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6\2026 07 27\"/>
    </mc:Choice>
  </mc:AlternateContent>
  <xr:revisionPtr revIDLastSave="0" documentId="13_ncr:1_{6DFDA335-3135-43BE-8052-C71495733A05}" xr6:coauthVersionLast="47" xr6:coauthVersionMax="47" xr10:uidLastSave="{00000000-0000-0000-0000-000000000000}"/>
  <bookViews>
    <workbookView xWindow="-28920" yWindow="-120" windowWidth="29040" windowHeight="15720" tabRatio="714" xr2:uid="{27797F82-6A2A-475F-9400-50ED3E8A7D00}"/>
  </bookViews>
  <sheets>
    <sheet name="00 - Cover" sheetId="23175" r:id="rId1"/>
    <sheet name="Controle" sheetId="23189" state="hidden" r:id="rId2"/>
    <sheet name="01 - Summary" sheetId="23176" state="hidden" r:id="rId3"/>
    <sheet name="02 - Eligibility Criteria" sheetId="23202" state="hidden"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Revolving Target Calculation " sheetId="23214" state="hidden" r:id="rId20"/>
    <sheet name="Neolink" sheetId="23208" state="hidden" r:id="rId21"/>
    <sheet name="Sheet1" sheetId="23215" state="hidden" r:id="rId22"/>
    <sheet name="OD Compta" sheetId="23211" state="hidden" r:id="rId23"/>
    <sheet name="INPUT_DATA" sheetId="23207" state="hidden" r:id="rId24"/>
    <sheet name="18 - Event" sheetId="23190" r:id="rId25"/>
    <sheet name="IR_Annex 12" sheetId="23209" r:id="rId26"/>
    <sheet name="IR_Annex 14" sheetId="23210" r:id="rId27"/>
    <sheet name="Historical Data" sheetId="23213" state="hidden" r:id="rId28"/>
    <sheet name="Instructions" sheetId="23195" state="hidden" r:id="rId29"/>
    <sheet name="Controle instructions" sheetId="23212" state="hidden" r:id="rId30"/>
    <sheet name="15 - OD" sheetId="23193" state="veryHidden" r:id="rId31"/>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30"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Cover'!$A$1:$I$48</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Follow-up'!$A$1:$Z$220</definedName>
    <definedName name="_xlnm.Print_Area" localSheetId="13">'12 - Notes Interest'!$A$2:$J$26</definedName>
    <definedName name="_xlnm.Print_Area" localSheetId="14">'13 - Issuer Account'!$A$1:$R$72</definedName>
    <definedName name="_xlnm.Print_Area" localSheetId="15">'14 - Fees'!$A$1:$K$77</definedName>
    <definedName name="_xlnm.Print_Area" localSheetId="30">'15 -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3201" l="1"/>
  <c r="H3" i="23197"/>
  <c r="F3" i="23198"/>
  <c r="H3" i="23199"/>
  <c r="J36" i="39"/>
  <c r="J74" i="39" l="1"/>
  <c r="Y21" i="23204" l="1"/>
  <c r="Y22" i="23204"/>
  <c r="Y20" i="23204"/>
  <c r="E5" i="23208" l="1"/>
  <c r="F5" i="23208" s="1"/>
  <c r="G5" i="23208"/>
  <c r="H5" i="23208"/>
  <c r="O5" i="23208" s="1"/>
  <c r="L5" i="23208"/>
  <c r="M5" i="23208"/>
  <c r="P5" i="23208"/>
  <c r="Q5" i="23208"/>
  <c r="R5" i="23208"/>
  <c r="S5" i="23208"/>
  <c r="T5" i="23208"/>
  <c r="U5" i="23208"/>
  <c r="V5" i="23208"/>
  <c r="Y5" i="23208"/>
  <c r="E6" i="23208"/>
  <c r="F6" i="23208" s="1"/>
  <c r="G6" i="23208"/>
  <c r="H6" i="23208"/>
  <c r="H3" i="23195"/>
  <c r="E2" i="23195"/>
  <c r="E13" i="23208"/>
  <c r="F13" i="23208" s="1"/>
  <c r="G13" i="23208"/>
  <c r="H13" i="23208"/>
  <c r="O13" i="23208" s="1"/>
  <c r="L13" i="23208"/>
  <c r="M13" i="23208"/>
  <c r="P13" i="23208"/>
  <c r="Q13" i="23208"/>
  <c r="R13" i="23208"/>
  <c r="S13" i="23208"/>
  <c r="T13" i="23208"/>
  <c r="U13" i="23208"/>
  <c r="V13" i="23208"/>
  <c r="Y13" i="23208"/>
  <c r="H11" i="23195"/>
  <c r="Z5" i="23208" l="1"/>
  <c r="E3" i="23195"/>
  <c r="D5" i="23208" s="1"/>
  <c r="Z13" i="23208"/>
  <c r="M17" i="23204"/>
  <c r="H57" i="23204" s="1"/>
  <c r="L17" i="23204"/>
  <c r="I36" i="23177" l="1"/>
  <c r="G15" i="23204"/>
  <c r="H48" i="23204"/>
  <c r="C120" i="23198"/>
  <c r="C121" i="23198"/>
  <c r="C122" i="23198"/>
  <c r="C123" i="23198"/>
  <c r="C124" i="23198"/>
  <c r="C125" i="23198"/>
  <c r="C126" i="23198"/>
  <c r="E120" i="23198"/>
  <c r="E121" i="23198"/>
  <c r="E122" i="23198"/>
  <c r="E123" i="23198"/>
  <c r="E124" i="23198"/>
  <c r="E125" i="23198"/>
  <c r="E126" i="23198"/>
  <c r="E424" i="23198" l="1"/>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519" i="23198"/>
  <c r="E520" i="23198"/>
  <c r="E521" i="23198"/>
  <c r="E522" i="23198"/>
  <c r="E523" i="23198"/>
  <c r="E524" i="23198"/>
  <c r="E525"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519" i="23198"/>
  <c r="C520" i="23198"/>
  <c r="C521" i="23198"/>
  <c r="C522" i="23198"/>
  <c r="C523" i="23198"/>
  <c r="C524" i="23198"/>
  <c r="C525" i="23198"/>
  <c r="C424" i="23198"/>
  <c r="Z21" i="23208" l="1"/>
  <c r="H36" i="23204"/>
  <c r="E72" i="39" l="1"/>
  <c r="J21" i="39" l="1"/>
  <c r="A25" i="23203" l="1"/>
  <c r="A26" i="23203" s="1"/>
  <c r="A27" i="23203" s="1"/>
  <c r="A28" i="23203" s="1"/>
  <c r="A29" i="23203" s="1"/>
  <c r="A30" i="23203" s="1"/>
  <c r="E13" i="23214" l="1"/>
  <c r="G13" i="23214"/>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8" i="23208" l="1"/>
  <c r="G8" i="23208"/>
  <c r="U8" i="23208"/>
  <c r="V8" i="23208"/>
  <c r="Y8" i="23208"/>
  <c r="Y19" i="23208"/>
  <c r="V19" i="23208"/>
  <c r="U19" i="23208"/>
  <c r="T19" i="23208"/>
  <c r="S19" i="23208"/>
  <c r="R19" i="23208"/>
  <c r="Q19" i="23208"/>
  <c r="P19" i="23208"/>
  <c r="M19" i="23208"/>
  <c r="L19" i="23208"/>
  <c r="H19" i="23208"/>
  <c r="O19" i="23208" s="1"/>
  <c r="G19" i="23208"/>
  <c r="E19" i="23208"/>
  <c r="Z19" i="23208" s="1"/>
  <c r="Y18" i="23208"/>
  <c r="V18" i="23208"/>
  <c r="U18" i="23208"/>
  <c r="T18" i="23208"/>
  <c r="S18" i="23208"/>
  <c r="R18" i="23208"/>
  <c r="Q18" i="23208"/>
  <c r="P18" i="23208"/>
  <c r="M18" i="23208"/>
  <c r="L18" i="23208"/>
  <c r="H18" i="23208"/>
  <c r="O18" i="23208" s="1"/>
  <c r="G18" i="23208"/>
  <c r="E18" i="23208"/>
  <c r="Z18" i="23208" s="1"/>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F14" i="23208" s="1"/>
  <c r="Y12" i="23208"/>
  <c r="V12" i="23208"/>
  <c r="U12" i="23208"/>
  <c r="T12" i="23208"/>
  <c r="S12" i="23208"/>
  <c r="R12" i="23208"/>
  <c r="Q12" i="23208"/>
  <c r="P12" i="23208"/>
  <c r="M12" i="23208"/>
  <c r="L12" i="23208"/>
  <c r="H12" i="23208"/>
  <c r="O12" i="23208" s="1"/>
  <c r="G12" i="23208"/>
  <c r="E12" i="23208"/>
  <c r="Z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T8" i="23208"/>
  <c r="S8" i="23208"/>
  <c r="R8" i="23208"/>
  <c r="Q8" i="23208"/>
  <c r="P8" i="23208"/>
  <c r="M8" i="23208"/>
  <c r="L8" i="23208"/>
  <c r="H8" i="23208"/>
  <c r="O8" i="23208" s="1"/>
  <c r="Z8" i="23208"/>
  <c r="Y7" i="23208"/>
  <c r="V7" i="23208"/>
  <c r="U7" i="23208"/>
  <c r="T7" i="23208"/>
  <c r="S7" i="23208"/>
  <c r="R7" i="23208"/>
  <c r="Q7" i="23208"/>
  <c r="P7" i="23208"/>
  <c r="M7" i="23208"/>
  <c r="L7" i="23208"/>
  <c r="H7" i="23208"/>
  <c r="O7" i="23208" s="1"/>
  <c r="G7" i="23208"/>
  <c r="E7" i="23208"/>
  <c r="Z7" i="23208" s="1"/>
  <c r="Y6" i="23208"/>
  <c r="V6" i="23208"/>
  <c r="U6" i="23208"/>
  <c r="T6" i="23208"/>
  <c r="S6" i="23208"/>
  <c r="R6" i="23208"/>
  <c r="Q6" i="23208"/>
  <c r="P6" i="23208"/>
  <c r="M6" i="23208"/>
  <c r="L6" i="23208"/>
  <c r="O6" i="23208"/>
  <c r="Z6" i="23208"/>
  <c r="Y4" i="23208"/>
  <c r="V4" i="23208"/>
  <c r="U4" i="23208"/>
  <c r="T4" i="23208"/>
  <c r="S4" i="23208"/>
  <c r="R4" i="23208"/>
  <c r="Q4" i="23208"/>
  <c r="P4" i="23208"/>
  <c r="M4" i="23208"/>
  <c r="L4" i="23208"/>
  <c r="H4" i="23208"/>
  <c r="G4" i="23208"/>
  <c r="E4" i="23208"/>
  <c r="Z4" i="23208" s="1"/>
  <c r="D43" i="23212"/>
  <c r="H17" i="23195"/>
  <c r="O4" i="23208" l="1"/>
  <c r="H22" i="23208"/>
  <c r="F4" i="23208"/>
  <c r="F7" i="23208"/>
  <c r="F9" i="23208"/>
  <c r="F11" i="23208"/>
  <c r="F16" i="23208"/>
  <c r="F18" i="23208"/>
  <c r="Z14" i="23208"/>
  <c r="H28" i="23208" s="1"/>
  <c r="F8" i="23208"/>
  <c r="F10" i="23208"/>
  <c r="F12" i="23208"/>
  <c r="F15" i="23208"/>
  <c r="F17" i="23208"/>
  <c r="F19"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6" i="23195"/>
  <c r="H15" i="23195"/>
  <c r="H14" i="23195"/>
  <c r="H13" i="23195"/>
  <c r="H12" i="23195"/>
  <c r="H10" i="23195"/>
  <c r="H9" i="23195"/>
  <c r="H8" i="23195"/>
  <c r="H7" i="23195"/>
  <c r="H6" i="23195"/>
  <c r="H5" i="23195"/>
  <c r="H4" i="23195"/>
  <c r="H2" i="23195"/>
  <c r="F13" i="23175" l="1"/>
  <c r="I4" i="23210" s="1"/>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70" i="39"/>
  <c r="J70" i="39" s="1"/>
  <c r="G68" i="39"/>
  <c r="J68" i="39" s="1"/>
  <c r="G57" i="39"/>
  <c r="G55" i="39"/>
  <c r="J55" i="39" s="1"/>
  <c r="G54" i="39"/>
  <c r="J54" i="39" s="1"/>
  <c r="G53" i="39"/>
  <c r="J53" i="39" s="1"/>
  <c r="G52" i="39"/>
  <c r="J52" i="39" s="1"/>
  <c r="G50" i="39"/>
  <c r="G22" i="39"/>
  <c r="C251" i="23198"/>
  <c r="E251" i="23198"/>
  <c r="J47" i="23177"/>
  <c r="K47" i="23177" s="1"/>
  <c r="J55" i="23177"/>
  <c r="K55" i="23177" s="1"/>
  <c r="J45" i="23177"/>
  <c r="I12" i="23206"/>
  <c r="F12" i="23206"/>
  <c r="G67" i="39"/>
  <c r="J67" i="39" s="1"/>
  <c r="G66" i="39"/>
  <c r="J66" i="39" s="1"/>
  <c r="G36" i="39"/>
  <c r="G31" i="39"/>
  <c r="J31" i="39" s="1"/>
  <c r="G30" i="39"/>
  <c r="J30" i="39" s="1"/>
  <c r="G60" i="39"/>
  <c r="G61" i="39"/>
  <c r="J61" i="39" s="1"/>
  <c r="G59" i="39"/>
  <c r="T24" i="23203"/>
  <c r="W24" i="23203" s="1"/>
  <c r="Y24" i="23203" s="1"/>
  <c r="M24" i="23203"/>
  <c r="G12" i="23206" s="1"/>
  <c r="I24" i="23203"/>
  <c r="I13" i="23204"/>
  <c r="D24" i="23203"/>
  <c r="C17" i="23205"/>
  <c r="C23" i="23205"/>
  <c r="C37" i="23198"/>
  <c r="C31" i="23198"/>
  <c r="C32" i="23198"/>
  <c r="C33" i="23198"/>
  <c r="C34" i="23198"/>
  <c r="C35" i="23198"/>
  <c r="C36" i="23198"/>
  <c r="C30" i="23198"/>
  <c r="C29" i="23198"/>
  <c r="G59" i="23198"/>
  <c r="G60" i="23198"/>
  <c r="G61" i="23198"/>
  <c r="G62" i="23198"/>
  <c r="G63" i="23198"/>
  <c r="G64" i="23198"/>
  <c r="G65" i="23198"/>
  <c r="G6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412" i="23198"/>
  <c r="E413" i="23198"/>
  <c r="E414" i="23198"/>
  <c r="E415" i="23198"/>
  <c r="E416" i="23198"/>
  <c r="E417" i="23198"/>
  <c r="E418" i="23198"/>
  <c r="E292" i="23198"/>
  <c r="E293" i="23198"/>
  <c r="E294" i="23198"/>
  <c r="E295" i="23198"/>
  <c r="E296" i="23198"/>
  <c r="E297" i="23198"/>
  <c r="E298" i="23198"/>
  <c r="E299" i="23198"/>
  <c r="E300" i="23198"/>
  <c r="E301" i="23198"/>
  <c r="E302" i="23198"/>
  <c r="E303" i="23198"/>
  <c r="E304" i="23198"/>
  <c r="E305" i="23198"/>
  <c r="E306" i="23198"/>
  <c r="E307" i="23198"/>
  <c r="E308" i="23198"/>
  <c r="E309" i="23198"/>
  <c r="E310" i="23198"/>
  <c r="E311" i="23198"/>
  <c r="E277" i="23198"/>
  <c r="E278" i="23198"/>
  <c r="E279" i="23198"/>
  <c r="E280" i="23198"/>
  <c r="E281" i="23198"/>
  <c r="E282" i="23198"/>
  <c r="E283" i="23198"/>
  <c r="E284" i="23198"/>
  <c r="E285" i="23198"/>
  <c r="E286" i="23198"/>
  <c r="E267" i="23198"/>
  <c r="E268" i="23198"/>
  <c r="E269" i="23198"/>
  <c r="E270" i="23198"/>
  <c r="E271" i="23198"/>
  <c r="E257" i="23198"/>
  <c r="E258" i="23198"/>
  <c r="E259" i="23198"/>
  <c r="E260" i="23198"/>
  <c r="E261" i="23198"/>
  <c r="E241" i="23198"/>
  <c r="E242" i="23198"/>
  <c r="E243" i="23198"/>
  <c r="E244" i="23198"/>
  <c r="E245" i="23198"/>
  <c r="E246" i="23198"/>
  <c r="E247" i="23198"/>
  <c r="E248" i="23198"/>
  <c r="E249" i="23198"/>
  <c r="E250" i="23198"/>
  <c r="E225" i="23198"/>
  <c r="E226" i="23198"/>
  <c r="E227" i="23198"/>
  <c r="E228" i="23198"/>
  <c r="E229" i="23198"/>
  <c r="E230" i="23198"/>
  <c r="E231" i="23198"/>
  <c r="E232" i="23198"/>
  <c r="E233" i="23198"/>
  <c r="E234" i="23198"/>
  <c r="E235" i="23198"/>
  <c r="E209" i="23198"/>
  <c r="E210" i="23198"/>
  <c r="E211" i="23198"/>
  <c r="E212" i="23198"/>
  <c r="E213" i="23198"/>
  <c r="E214" i="23198"/>
  <c r="E215" i="23198"/>
  <c r="E216" i="23198"/>
  <c r="E217" i="23198"/>
  <c r="E218" i="23198"/>
  <c r="E219" i="23198"/>
  <c r="E194" i="23198"/>
  <c r="E195" i="23198"/>
  <c r="E196" i="23198"/>
  <c r="E197" i="23198"/>
  <c r="E198" i="23198"/>
  <c r="E199" i="23198"/>
  <c r="E200" i="23198"/>
  <c r="E201" i="23198"/>
  <c r="E202" i="23198"/>
  <c r="E203" i="23198"/>
  <c r="E193" i="23198"/>
  <c r="E177" i="23198"/>
  <c r="E178" i="23198"/>
  <c r="E179" i="23198"/>
  <c r="E180" i="23198"/>
  <c r="E181" i="23198"/>
  <c r="E182" i="23198"/>
  <c r="E183" i="23198"/>
  <c r="E184" i="23198"/>
  <c r="E185" i="23198"/>
  <c r="E186" i="23198"/>
  <c r="E187" i="23198"/>
  <c r="E168" i="23198"/>
  <c r="E169" i="23198"/>
  <c r="E170" i="23198"/>
  <c r="E171" i="23198"/>
  <c r="E150" i="23198"/>
  <c r="E151" i="23198"/>
  <c r="E152" i="23198"/>
  <c r="E153" i="23198"/>
  <c r="E154" i="23198"/>
  <c r="E155" i="23198"/>
  <c r="E156" i="23198"/>
  <c r="E157" i="23198"/>
  <c r="E158" i="23198"/>
  <c r="E159" i="23198"/>
  <c r="E160" i="23198"/>
  <c r="E161" i="23198"/>
  <c r="E162" i="23198"/>
  <c r="E139" i="23198"/>
  <c r="E140" i="23198"/>
  <c r="E141" i="23198"/>
  <c r="E142" i="23198"/>
  <c r="E143" i="23198"/>
  <c r="E144" i="23198"/>
  <c r="E106" i="23198"/>
  <c r="E107" i="23198"/>
  <c r="E108" i="23198"/>
  <c r="E109" i="23198"/>
  <c r="E110" i="23198"/>
  <c r="E111" i="23198"/>
  <c r="E112" i="23198"/>
  <c r="E113" i="23198"/>
  <c r="E114" i="23198"/>
  <c r="E115" i="23198"/>
  <c r="E116" i="23198"/>
  <c r="E117" i="23198"/>
  <c r="E118" i="23198"/>
  <c r="E119" i="23198"/>
  <c r="E127" i="23198"/>
  <c r="E128" i="23198"/>
  <c r="E129" i="23198"/>
  <c r="E130" i="23198"/>
  <c r="E131" i="23198"/>
  <c r="E132" i="23198"/>
  <c r="E133" i="23198"/>
  <c r="E94" i="23198"/>
  <c r="E95" i="23198"/>
  <c r="E96" i="23198"/>
  <c r="E97" i="23198"/>
  <c r="E98" i="23198"/>
  <c r="E99" i="23198"/>
  <c r="E100" i="23198"/>
  <c r="E83" i="23198"/>
  <c r="E84" i="23198"/>
  <c r="E85" i="23198"/>
  <c r="E86" i="23198"/>
  <c r="E87" i="23198"/>
  <c r="E88" i="23198"/>
  <c r="E72" i="23198"/>
  <c r="E73" i="23198"/>
  <c r="E74" i="23198"/>
  <c r="E75" i="23198"/>
  <c r="E76" i="23198"/>
  <c r="E77"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412" i="23198"/>
  <c r="C413" i="23198"/>
  <c r="C414" i="23198"/>
  <c r="C415" i="23198"/>
  <c r="C416" i="23198"/>
  <c r="C417" i="23198"/>
  <c r="C418" i="23198"/>
  <c r="C292" i="23198"/>
  <c r="C293" i="23198"/>
  <c r="C294" i="23198"/>
  <c r="C295" i="23198"/>
  <c r="C296" i="23198"/>
  <c r="C297" i="23198"/>
  <c r="C298" i="23198"/>
  <c r="C299" i="23198"/>
  <c r="C300" i="23198"/>
  <c r="C301" i="23198"/>
  <c r="C302" i="23198"/>
  <c r="C303" i="23198"/>
  <c r="C304" i="23198"/>
  <c r="C305" i="23198"/>
  <c r="C306" i="23198"/>
  <c r="C307" i="23198"/>
  <c r="C308" i="23198"/>
  <c r="C309" i="23198"/>
  <c r="C310" i="23198"/>
  <c r="C311" i="23198"/>
  <c r="C277" i="23198"/>
  <c r="C278" i="23198"/>
  <c r="C279" i="23198"/>
  <c r="C280" i="23198"/>
  <c r="C281" i="23198"/>
  <c r="C282" i="23198"/>
  <c r="C283" i="23198"/>
  <c r="C284" i="23198"/>
  <c r="C285" i="23198"/>
  <c r="C286" i="23198"/>
  <c r="C267" i="23198"/>
  <c r="C268" i="23198"/>
  <c r="C269" i="23198"/>
  <c r="C270" i="23198"/>
  <c r="C271" i="23198"/>
  <c r="C257" i="23198"/>
  <c r="C258" i="23198"/>
  <c r="C259" i="23198"/>
  <c r="C260" i="23198"/>
  <c r="C261" i="23198"/>
  <c r="C241" i="23198"/>
  <c r="C242" i="23198"/>
  <c r="C243" i="23198"/>
  <c r="C244" i="23198"/>
  <c r="C245" i="23198"/>
  <c r="C246" i="23198"/>
  <c r="C247" i="23198"/>
  <c r="C248" i="23198"/>
  <c r="C249" i="23198"/>
  <c r="C250" i="23198"/>
  <c r="C225" i="23198"/>
  <c r="C226" i="23198"/>
  <c r="C227" i="23198"/>
  <c r="C228" i="23198"/>
  <c r="C229" i="23198"/>
  <c r="C230" i="23198"/>
  <c r="C231" i="23198"/>
  <c r="C232" i="23198"/>
  <c r="C233" i="23198"/>
  <c r="C234" i="23198"/>
  <c r="C235" i="23198"/>
  <c r="C209" i="23198"/>
  <c r="C210" i="23198"/>
  <c r="C211" i="23198"/>
  <c r="C212" i="23198"/>
  <c r="C213" i="23198"/>
  <c r="C214" i="23198"/>
  <c r="C215" i="23198"/>
  <c r="C216" i="23198"/>
  <c r="C217" i="23198"/>
  <c r="C218" i="23198"/>
  <c r="C219" i="23198"/>
  <c r="C194" i="23198"/>
  <c r="C195" i="23198"/>
  <c r="C196" i="23198"/>
  <c r="C197" i="23198"/>
  <c r="C198" i="23198"/>
  <c r="C199" i="23198"/>
  <c r="C200" i="23198"/>
  <c r="C201" i="23198"/>
  <c r="C202" i="23198"/>
  <c r="C203" i="23198"/>
  <c r="C193" i="23198"/>
  <c r="C177" i="23198"/>
  <c r="C178" i="23198"/>
  <c r="C179" i="23198"/>
  <c r="C180" i="23198"/>
  <c r="C181" i="23198"/>
  <c r="C182" i="23198"/>
  <c r="C183" i="23198"/>
  <c r="C184" i="23198"/>
  <c r="C185" i="23198"/>
  <c r="C186" i="23198"/>
  <c r="C187" i="23198"/>
  <c r="C168" i="23198"/>
  <c r="C169" i="23198"/>
  <c r="C170" i="23198"/>
  <c r="C171" i="23198"/>
  <c r="C150" i="23198"/>
  <c r="C151" i="23198"/>
  <c r="C152" i="23198"/>
  <c r="C153" i="23198"/>
  <c r="C154" i="23198"/>
  <c r="C155" i="23198"/>
  <c r="C156" i="23198"/>
  <c r="C157" i="23198"/>
  <c r="C158" i="23198"/>
  <c r="C159" i="23198"/>
  <c r="C160" i="23198"/>
  <c r="C161" i="23198"/>
  <c r="C162" i="23198"/>
  <c r="C139" i="23198"/>
  <c r="C140" i="23198"/>
  <c r="C141" i="23198"/>
  <c r="C142" i="23198"/>
  <c r="C143" i="23198"/>
  <c r="C144" i="23198"/>
  <c r="C106" i="23198"/>
  <c r="C107" i="23198"/>
  <c r="C108" i="23198"/>
  <c r="C109" i="23198"/>
  <c r="C110" i="23198"/>
  <c r="C111" i="23198"/>
  <c r="C112" i="23198"/>
  <c r="C113" i="23198"/>
  <c r="C114" i="23198"/>
  <c r="C115" i="23198"/>
  <c r="C116" i="23198"/>
  <c r="C117" i="23198"/>
  <c r="C118" i="23198"/>
  <c r="C119" i="23198"/>
  <c r="C127" i="23198"/>
  <c r="C128" i="23198"/>
  <c r="C129" i="23198"/>
  <c r="C130" i="23198"/>
  <c r="C131" i="23198"/>
  <c r="C132" i="23198"/>
  <c r="C133"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AO84" i="23184" s="1"/>
  <c r="C85" i="23184"/>
  <c r="AO85" i="23184" s="1"/>
  <c r="C86" i="23184"/>
  <c r="AO86" i="23184" s="1"/>
  <c r="C87" i="23184"/>
  <c r="AO87" i="23184" s="1"/>
  <c r="C88" i="23184"/>
  <c r="AO88" i="23184" s="1"/>
  <c r="C89" i="23184"/>
  <c r="AO89" i="23184" s="1"/>
  <c r="C90" i="23184"/>
  <c r="AO90" i="23184" s="1"/>
  <c r="C91" i="23184"/>
  <c r="AO91" i="23184" s="1"/>
  <c r="C92" i="23184"/>
  <c r="AO92" i="23184" s="1"/>
  <c r="C93" i="23184"/>
  <c r="AO93" i="23184" s="1"/>
  <c r="C94" i="23184"/>
  <c r="AO94" i="23184" s="1"/>
  <c r="C95" i="23184"/>
  <c r="AO95" i="23184" s="1"/>
  <c r="C96" i="23184"/>
  <c r="AO96" i="23184" s="1"/>
  <c r="C97" i="23184"/>
  <c r="AO97" i="23184" s="1"/>
  <c r="C98" i="23184"/>
  <c r="AO98" i="23184" s="1"/>
  <c r="C99" i="23184"/>
  <c r="AO99" i="23184" s="1"/>
  <c r="C100" i="23184"/>
  <c r="AO100" i="23184" s="1"/>
  <c r="C101" i="23184"/>
  <c r="AO101" i="23184" s="1"/>
  <c r="C102" i="23184"/>
  <c r="AO102" i="23184" s="1"/>
  <c r="C103" i="23184"/>
  <c r="AO103" i="23184" s="1"/>
  <c r="C104" i="23184"/>
  <c r="AO104" i="23184" s="1"/>
  <c r="C105" i="23184"/>
  <c r="AO105" i="23184" s="1"/>
  <c r="C106" i="23184"/>
  <c r="AO106" i="23184" s="1"/>
  <c r="C107" i="23184"/>
  <c r="AO107" i="23184" s="1"/>
  <c r="C108" i="23184"/>
  <c r="AO108" i="23184" s="1"/>
  <c r="C109" i="23184"/>
  <c r="AO109" i="23184" s="1"/>
  <c r="C110" i="23184"/>
  <c r="AO110" i="23184" s="1"/>
  <c r="C111" i="23184"/>
  <c r="AO111" i="23184" s="1"/>
  <c r="C112" i="23184"/>
  <c r="AO112" i="23184" s="1"/>
  <c r="C113" i="23184"/>
  <c r="AO113" i="23184" s="1"/>
  <c r="C114" i="23184"/>
  <c r="AO114" i="23184" s="1"/>
  <c r="C115" i="23184"/>
  <c r="AO115" i="23184" s="1"/>
  <c r="C116" i="23184"/>
  <c r="AO116" i="23184" s="1"/>
  <c r="C117" i="23184"/>
  <c r="AO117" i="23184" s="1"/>
  <c r="C118" i="23184"/>
  <c r="AO118" i="23184" s="1"/>
  <c r="C119" i="23184"/>
  <c r="AO119" i="23184" s="1"/>
  <c r="C120" i="23184"/>
  <c r="AO120" i="23184" s="1"/>
  <c r="C121" i="23184"/>
  <c r="AO121" i="23184" s="1"/>
  <c r="B19" i="23183"/>
  <c r="B20" i="23183"/>
  <c r="B21" i="23183"/>
  <c r="B22" i="23183"/>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I15" i="23202"/>
  <c r="I16" i="23202" s="1"/>
  <c r="H15" i="23202"/>
  <c r="H16" i="23202" s="1"/>
  <c r="G45" i="39"/>
  <c r="G46" i="39"/>
  <c r="G47" i="39"/>
  <c r="G48" i="39"/>
  <c r="A31" i="23203"/>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2" i="39"/>
  <c r="G44" i="39"/>
  <c r="G75" i="39"/>
  <c r="G74" i="39"/>
  <c r="G43" i="39"/>
  <c r="J43" i="39" s="1"/>
  <c r="G28" i="39"/>
  <c r="J28" i="39" s="1"/>
  <c r="G32" i="39"/>
  <c r="J32" i="39" s="1"/>
  <c r="G33" i="39"/>
  <c r="J33" i="39" s="1"/>
  <c r="G34" i="39"/>
  <c r="J34" i="39" s="1"/>
  <c r="G29" i="39"/>
  <c r="J29" i="39" s="1"/>
  <c r="G42" i="39"/>
  <c r="G39" i="39"/>
  <c r="G27" i="39"/>
  <c r="J27" i="39" s="1"/>
  <c r="G26" i="39"/>
  <c r="J26" i="39" s="1"/>
  <c r="G25" i="39"/>
  <c r="J25" i="39" s="1"/>
  <c r="G24" i="39"/>
  <c r="J24" i="39" s="1"/>
  <c r="G20" i="39"/>
  <c r="G38" i="39"/>
  <c r="J38"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I4" i="23209" l="1"/>
  <c r="E11" i="23195"/>
  <c r="D13" i="23208" s="1"/>
  <c r="O62" i="23204"/>
  <c r="E32" i="23183"/>
  <c r="P79" i="23183"/>
  <c r="E79" i="23183"/>
  <c r="E67" i="23183"/>
  <c r="P67" i="23183"/>
  <c r="P55" i="23183"/>
  <c r="E55" i="23183"/>
  <c r="E43" i="23183"/>
  <c r="BP31" i="23183"/>
  <c r="E31" i="23183"/>
  <c r="BP19" i="23183"/>
  <c r="E19" i="23183"/>
  <c r="E56" i="23183"/>
  <c r="P56" i="23183"/>
  <c r="E29" i="23183"/>
  <c r="BP77" i="23183"/>
  <c r="P77" i="23183"/>
  <c r="E77" i="23183"/>
  <c r="E18" i="23183"/>
  <c r="E76" i="23183"/>
  <c r="P76" i="23183"/>
  <c r="P64" i="23183"/>
  <c r="E64" i="23183"/>
  <c r="E52" i="23183"/>
  <c r="P52" i="23183"/>
  <c r="E40" i="23183"/>
  <c r="E28" i="23183"/>
  <c r="E41" i="23183"/>
  <c r="BP65" i="23183"/>
  <c r="E65" i="23183"/>
  <c r="P65" i="23183"/>
  <c r="BP53" i="23183"/>
  <c r="E53" i="23183"/>
  <c r="P53" i="23183"/>
  <c r="E87" i="23183"/>
  <c r="P87" i="23183"/>
  <c r="E75" i="23183"/>
  <c r="P75" i="23183"/>
  <c r="E63" i="23183"/>
  <c r="P63" i="23183"/>
  <c r="E51" i="23183"/>
  <c r="P51" i="23183"/>
  <c r="E39" i="23183"/>
  <c r="E74" i="23183"/>
  <c r="P74" i="23183"/>
  <c r="BP38" i="23183"/>
  <c r="E38" i="23183"/>
  <c r="E27" i="23183"/>
  <c r="E86" i="23183"/>
  <c r="P86" i="23183"/>
  <c r="BP62" i="23183"/>
  <c r="E62" i="23183"/>
  <c r="P62" i="23183"/>
  <c r="E50" i="23183"/>
  <c r="P50" i="23183"/>
  <c r="E26" i="23183"/>
  <c r="E85" i="23183"/>
  <c r="P85" i="23183"/>
  <c r="E73" i="23183"/>
  <c r="P73" i="23183"/>
  <c r="BP61" i="23183"/>
  <c r="E61" i="23183"/>
  <c r="P61" i="23183"/>
  <c r="E49" i="23183"/>
  <c r="BP37" i="23183"/>
  <c r="E37" i="23183"/>
  <c r="E25" i="23183"/>
  <c r="E44" i="23183"/>
  <c r="P66" i="23183"/>
  <c r="E66" i="23183"/>
  <c r="E84" i="23183"/>
  <c r="P84" i="23183"/>
  <c r="E72" i="23183"/>
  <c r="P72" i="23183"/>
  <c r="P60" i="23183"/>
  <c r="E60" i="23183"/>
  <c r="BP48" i="23183"/>
  <c r="E48" i="23183"/>
  <c r="E36" i="23183"/>
  <c r="E24" i="23183"/>
  <c r="E80" i="23183"/>
  <c r="P80" i="23183"/>
  <c r="E54" i="23183"/>
  <c r="P54" i="23183"/>
  <c r="P83" i="23183"/>
  <c r="E83" i="23183"/>
  <c r="P71" i="23183"/>
  <c r="E71" i="23183"/>
  <c r="P59" i="23183"/>
  <c r="E59" i="23183"/>
  <c r="E47" i="23183"/>
  <c r="E35" i="23183"/>
  <c r="E23" i="23183"/>
  <c r="P68" i="23183"/>
  <c r="E68" i="23183"/>
  <c r="E20" i="23183"/>
  <c r="E78" i="23183"/>
  <c r="P78" i="23183"/>
  <c r="E30" i="23183"/>
  <c r="E70" i="23183"/>
  <c r="P70" i="23183"/>
  <c r="E46" i="23183"/>
  <c r="E22" i="23183"/>
  <c r="E42" i="23183"/>
  <c r="E82" i="23183"/>
  <c r="P82" i="23183"/>
  <c r="E58" i="23183"/>
  <c r="P58" i="23183"/>
  <c r="E34" i="23183"/>
  <c r="E81" i="23183"/>
  <c r="P81" i="23183"/>
  <c r="P69" i="23183"/>
  <c r="E69" i="23183"/>
  <c r="P57" i="23183"/>
  <c r="E57" i="23183"/>
  <c r="BP45" i="23183"/>
  <c r="E45" i="23183"/>
  <c r="E33" i="23183"/>
  <c r="E21" i="23183"/>
  <c r="E134" i="23198"/>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0" i="23175"/>
  <c r="H68" i="23183"/>
  <c r="BP68" i="23183"/>
  <c r="BN54" i="23183"/>
  <c r="BP54" i="23183"/>
  <c r="G29" i="23183"/>
  <c r="BP29" i="23183"/>
  <c r="AI76" i="23183"/>
  <c r="BP76" i="23183"/>
  <c r="BO87" i="23183"/>
  <c r="BP87" i="23183"/>
  <c r="BG75" i="23183"/>
  <c r="BP75" i="23183"/>
  <c r="B58" i="23201"/>
  <c r="F58" i="23201" s="1"/>
  <c r="C58" i="23201" s="1"/>
  <c r="BP63" i="23183"/>
  <c r="AJ51" i="23183"/>
  <c r="BP51" i="23183"/>
  <c r="BS39" i="23183"/>
  <c r="BP39" i="23183"/>
  <c r="AL27" i="23183"/>
  <c r="BP27" i="23183"/>
  <c r="AH80" i="23183"/>
  <c r="BP80" i="23183"/>
  <c r="X32" i="23183"/>
  <c r="BP32" i="23183"/>
  <c r="BP42" i="23183"/>
  <c r="J50" i="23183"/>
  <c r="BP50" i="23183"/>
  <c r="F26" i="23183"/>
  <c r="BP26" i="23183"/>
  <c r="AP25" i="23183"/>
  <c r="BP25" i="23183"/>
  <c r="AW84" i="23183"/>
  <c r="BP84" i="23183"/>
  <c r="S72" i="23183"/>
  <c r="BP72" i="23183"/>
  <c r="BH60" i="23183"/>
  <c r="BP60" i="23183"/>
  <c r="BP36" i="23183"/>
  <c r="C24" i="23183"/>
  <c r="BP24" i="23183"/>
  <c r="AW78" i="23183"/>
  <c r="BP78" i="23183"/>
  <c r="BD30" i="23183"/>
  <c r="BP30" i="23183"/>
  <c r="DA73" i="23183"/>
  <c r="BP73" i="23183"/>
  <c r="AA49" i="23183"/>
  <c r="BP49" i="23183"/>
  <c r="AM83" i="23183"/>
  <c r="BP83" i="23183"/>
  <c r="AM71" i="23183"/>
  <c r="BP71" i="23183"/>
  <c r="I59" i="23183"/>
  <c r="BP59" i="23183"/>
  <c r="U47" i="23183"/>
  <c r="BP47" i="23183"/>
  <c r="BP35" i="23183"/>
  <c r="N23" i="23183"/>
  <c r="BP23" i="23183"/>
  <c r="AB44" i="23183"/>
  <c r="BP44" i="23183"/>
  <c r="L79" i="23183"/>
  <c r="BP79" i="23183"/>
  <c r="BA67" i="23183"/>
  <c r="BP67" i="23183"/>
  <c r="BK55" i="23183"/>
  <c r="BP55" i="23183"/>
  <c r="BB66" i="23183"/>
  <c r="BP66" i="23183"/>
  <c r="BP41" i="23183"/>
  <c r="AL52" i="23183"/>
  <c r="BP52" i="23183"/>
  <c r="AF86" i="23183"/>
  <c r="BP86" i="23183"/>
  <c r="Q70" i="23183"/>
  <c r="BP70" i="23183"/>
  <c r="AM46" i="23183"/>
  <c r="BP46" i="23183"/>
  <c r="K22" i="23183"/>
  <c r="BP22" i="23183"/>
  <c r="AV56" i="23183"/>
  <c r="BP56" i="23183"/>
  <c r="BZ20" i="23183"/>
  <c r="BP20" i="23183"/>
  <c r="H43" i="23183"/>
  <c r="BP43" i="23183"/>
  <c r="BM18" i="23183"/>
  <c r="BP18" i="23183"/>
  <c r="W64" i="23183"/>
  <c r="BP64" i="23183"/>
  <c r="BP40" i="23183"/>
  <c r="AD28" i="23183"/>
  <c r="BP28" i="23183"/>
  <c r="M74" i="23183"/>
  <c r="BP74" i="23183"/>
  <c r="F85" i="23183"/>
  <c r="BP85" i="23183"/>
  <c r="M82" i="23183"/>
  <c r="BP82" i="23183"/>
  <c r="L58" i="23183"/>
  <c r="BP58" i="23183"/>
  <c r="BL34" i="23183"/>
  <c r="BP34" i="23183"/>
  <c r="Q81" i="23183"/>
  <c r="BP81" i="23183"/>
  <c r="N69" i="23183"/>
  <c r="BP69" i="23183"/>
  <c r="N57" i="23183"/>
  <c r="BP57" i="23183"/>
  <c r="G33" i="23183"/>
  <c r="BP33" i="23183"/>
  <c r="AF21" i="23183"/>
  <c r="BP21" i="23183"/>
  <c r="B85" i="23184"/>
  <c r="C50" i="23193"/>
  <c r="Y103" i="23184"/>
  <c r="N59" i="23183"/>
  <c r="AN56" i="23183"/>
  <c r="Y86" i="23184"/>
  <c r="U32" i="23183"/>
  <c r="M44" i="23183"/>
  <c r="S56" i="23183"/>
  <c r="K32" i="23183"/>
  <c r="L44" i="23183"/>
  <c r="AV68" i="23183"/>
  <c r="AR44" i="23183"/>
  <c r="I68" i="23183"/>
  <c r="G80" i="23183"/>
  <c r="AE80" i="23183"/>
  <c r="AU56" i="23183"/>
  <c r="M47" i="23183"/>
  <c r="T80" i="23183"/>
  <c r="AA87" i="23184"/>
  <c r="AA80" i="23183"/>
  <c r="M32" i="23183"/>
  <c r="O80" i="23183"/>
  <c r="AN32" i="23183"/>
  <c r="AO80" i="23183"/>
  <c r="J56" i="23183"/>
  <c r="AF27" i="23183"/>
  <c r="O56" i="23183"/>
  <c r="X75" i="23183"/>
  <c r="AP44" i="23183"/>
  <c r="BG28" i="23183"/>
  <c r="AD44" i="23183"/>
  <c r="M75" i="23183"/>
  <c r="N56" i="23183"/>
  <c r="AJ80" i="23183"/>
  <c r="BI40" i="23183"/>
  <c r="M56" i="23183"/>
  <c r="G116" i="23184"/>
  <c r="J28" i="23183"/>
  <c r="K68" i="23183"/>
  <c r="AU60" i="23183"/>
  <c r="AH56" i="23183"/>
  <c r="H91" i="23184"/>
  <c r="BA75" i="23183"/>
  <c r="J39" i="23183"/>
  <c r="Q78" i="23183"/>
  <c r="G39" i="23183"/>
  <c r="AE66" i="23183"/>
  <c r="BL30" i="23183"/>
  <c r="AU109" i="23184"/>
  <c r="I39" i="23183"/>
  <c r="H66" i="23183"/>
  <c r="O42" i="23183"/>
  <c r="G40" i="23183"/>
  <c r="X78" i="23183"/>
  <c r="K41" i="23183"/>
  <c r="U81" i="23183"/>
  <c r="AK78" i="23183"/>
  <c r="G103" i="23184"/>
  <c r="F42" i="23183"/>
  <c r="J78" i="23183"/>
  <c r="AO87" i="23183"/>
  <c r="AK51" i="23183"/>
  <c r="L109" i="23184"/>
  <c r="J54" i="23183"/>
  <c r="AB66" i="23183"/>
  <c r="AA30" i="23183"/>
  <c r="J30" i="23183"/>
  <c r="I66" i="23183"/>
  <c r="AU66" i="23183"/>
  <c r="AU78" i="23183"/>
  <c r="H30" i="23183"/>
  <c r="O66" i="23183"/>
  <c r="AD63" i="23183"/>
  <c r="BN51" i="23183"/>
  <c r="O30" i="23183"/>
  <c r="L78" i="23183"/>
  <c r="AJ42" i="23183"/>
  <c r="AA66" i="23183"/>
  <c r="Y66" i="23183"/>
  <c r="J51" i="23183"/>
  <c r="AS42" i="23183"/>
  <c r="BB75" i="23183"/>
  <c r="C40" i="23183"/>
  <c r="AO63" i="23183"/>
  <c r="Z27" i="23183"/>
  <c r="N51" i="23183"/>
  <c r="L39" i="23183"/>
  <c r="H51" i="23183"/>
  <c r="K71" i="23183"/>
  <c r="I63" i="23183"/>
  <c r="AP28" i="23183"/>
  <c r="AT87" i="23183"/>
  <c r="AF39" i="23183"/>
  <c r="BB63" i="23183"/>
  <c r="AH87" i="23183"/>
  <c r="AW51" i="23183"/>
  <c r="BH51" i="23183"/>
  <c r="C23" i="23184"/>
  <c r="BM51" i="23183"/>
  <c r="F39" i="23183"/>
  <c r="AW75" i="23183"/>
  <c r="AG51" i="23183"/>
  <c r="AK39" i="23183"/>
  <c r="AQ75" i="23183"/>
  <c r="N75" i="23183"/>
  <c r="AA87" i="23183"/>
  <c r="BJ51" i="23183"/>
  <c r="R87" i="23183"/>
  <c r="F51" i="23183"/>
  <c r="AZ63" i="23183"/>
  <c r="G51" i="23183"/>
  <c r="BN27" i="23183"/>
  <c r="Q27" i="23183"/>
  <c r="D23" i="23183"/>
  <c r="BA87" i="23183"/>
  <c r="AE63" i="23183"/>
  <c r="AP64" i="23183"/>
  <c r="H63" i="23183"/>
  <c r="W51" i="23183"/>
  <c r="AS51" i="23183"/>
  <c r="AW63" i="23183"/>
  <c r="BF87" i="23183"/>
  <c r="D39" i="23183"/>
  <c r="AE51" i="23183"/>
  <c r="AR76" i="23183"/>
  <c r="AU75" i="23183"/>
  <c r="V87" i="23183"/>
  <c r="O75" i="23183"/>
  <c r="AX87" i="23183"/>
  <c r="AQ83" i="23183"/>
  <c r="BH27" i="23183"/>
  <c r="I51" i="23183"/>
  <c r="AO75" i="23183"/>
  <c r="X39" i="23183"/>
  <c r="AY27" i="23183"/>
  <c r="AL51" i="23183"/>
  <c r="F27" i="23183"/>
  <c r="L51" i="23183"/>
  <c r="H32" i="23183"/>
  <c r="R80" i="23183"/>
  <c r="Q76" i="23183"/>
  <c r="X63" i="23183"/>
  <c r="X52" i="23183"/>
  <c r="Y80" i="23183"/>
  <c r="W39" i="23183"/>
  <c r="D78" i="23183"/>
  <c r="AU68" i="23183"/>
  <c r="AP27" i="23183"/>
  <c r="AP68" i="23183"/>
  <c r="V75" i="23183"/>
  <c r="BQ51" i="23183"/>
  <c r="BF66" i="23183"/>
  <c r="BV63" i="23183"/>
  <c r="V51" i="23183"/>
  <c r="K39" i="23183"/>
  <c r="BB87" i="23183"/>
  <c r="Q63" i="23183"/>
  <c r="AY63" i="23183"/>
  <c r="BK27" i="23183"/>
  <c r="H27" i="23183"/>
  <c r="AG39" i="23183"/>
  <c r="BA80" i="23183"/>
  <c r="AS87" i="23183"/>
  <c r="T51" i="23183"/>
  <c r="BD39" i="23183"/>
  <c r="CS51" i="23183"/>
  <c r="AY39" i="23183"/>
  <c r="O94" i="23184"/>
  <c r="O63" i="23183"/>
  <c r="T39" i="23183"/>
  <c r="BL87" i="23183"/>
  <c r="Q51" i="23183"/>
  <c r="M51" i="23183"/>
  <c r="AI40" i="23183"/>
  <c r="T87" i="23183"/>
  <c r="AH75" i="23183"/>
  <c r="BJ87" i="23183"/>
  <c r="J27" i="23183"/>
  <c r="D51" i="23183"/>
  <c r="AF40" i="23183"/>
  <c r="AH27" i="23183"/>
  <c r="AJ87" i="23183"/>
  <c r="BH87" i="23183"/>
  <c r="C51" i="23183"/>
  <c r="V63" i="23183"/>
  <c r="N27" i="23183"/>
  <c r="M80" i="23183"/>
  <c r="AS64" i="23183"/>
  <c r="C64" i="23183"/>
  <c r="AB83" i="23183"/>
  <c r="AK47" i="23183"/>
  <c r="AJ27" i="23183"/>
  <c r="L27" i="23183"/>
  <c r="R75" i="23183"/>
  <c r="J32" i="23183"/>
  <c r="G59" i="23183"/>
  <c r="H75" i="23183"/>
  <c r="X66" i="23183"/>
  <c r="AN87" i="23183"/>
  <c r="AD39" i="23183"/>
  <c r="AY47" i="23183"/>
  <c r="AK32" i="23183"/>
  <c r="Y75" i="23183"/>
  <c r="AD27" i="23183"/>
  <c r="AQ51" i="23183"/>
  <c r="AO51" i="23183"/>
  <c r="BN39" i="23183"/>
  <c r="BG63" i="23183"/>
  <c r="CQ87" i="23183"/>
  <c r="AA27" i="23183"/>
  <c r="AH63" i="23183"/>
  <c r="AM51" i="23183"/>
  <c r="AB39" i="23183"/>
  <c r="AJ76" i="23183"/>
  <c r="U76" i="23183"/>
  <c r="AP76" i="23183"/>
  <c r="BA76" i="23183"/>
  <c r="AW76" i="23183"/>
  <c r="K76" i="23183"/>
  <c r="AQ76" i="23183"/>
  <c r="T76" i="23183"/>
  <c r="AU76" i="23183"/>
  <c r="N76" i="23183"/>
  <c r="BD76" i="23183"/>
  <c r="AS76" i="23183"/>
  <c r="AV76" i="23183"/>
  <c r="L76" i="23183"/>
  <c r="G76" i="23183"/>
  <c r="AA76" i="23183"/>
  <c r="AK76" i="23183"/>
  <c r="AE76" i="23183"/>
  <c r="AX76" i="23183"/>
  <c r="AO76" i="23183"/>
  <c r="I76" i="23183"/>
  <c r="AY76" i="23183"/>
  <c r="BE76" i="23183"/>
  <c r="AT76" i="23183"/>
  <c r="BO76" i="23183"/>
  <c r="BJ76" i="23183"/>
  <c r="AM76" i="23183"/>
  <c r="AD76" i="23183"/>
  <c r="V76" i="23183"/>
  <c r="F76" i="23183"/>
  <c r="CT76" i="23183"/>
  <c r="BN76" i="23183"/>
  <c r="AH76" i="23183"/>
  <c r="U52" i="23183"/>
  <c r="AA52" i="23183"/>
  <c r="Z52" i="23183"/>
  <c r="H52" i="23183"/>
  <c r="CK52" i="23183"/>
  <c r="AH52" i="23183"/>
  <c r="AW52" i="23183"/>
  <c r="AB52" i="23183"/>
  <c r="Y52" i="23183"/>
  <c r="T52" i="23183"/>
  <c r="AP52" i="23183"/>
  <c r="BQ52" i="23183"/>
  <c r="D52" i="23183"/>
  <c r="BD52" i="23183"/>
  <c r="AN52" i="23183"/>
  <c r="AJ52" i="23183"/>
  <c r="AF52" i="23183"/>
  <c r="AC52" i="23183"/>
  <c r="Q52" i="23183"/>
  <c r="BO52" i="23183"/>
  <c r="AR52" i="23183"/>
  <c r="AQ52" i="23183"/>
  <c r="G52" i="23183"/>
  <c r="BF52" i="23183"/>
  <c r="AG52" i="23183"/>
  <c r="BA52" i="23183"/>
  <c r="AT52" i="23183"/>
  <c r="AE52" i="23183"/>
  <c r="BJ52" i="23183"/>
  <c r="AU52" i="23183"/>
  <c r="AK52" i="23183"/>
  <c r="L52" i="23183"/>
  <c r="BM52" i="23183"/>
  <c r="AS52" i="23183"/>
  <c r="AV52" i="23183"/>
  <c r="C24" i="23184"/>
  <c r="AO24" i="23184" s="1"/>
  <c r="AI28" i="23183"/>
  <c r="AB28" i="23183"/>
  <c r="N28" i="23183"/>
  <c r="AJ28" i="23183"/>
  <c r="AH28" i="23183"/>
  <c r="C28" i="23183"/>
  <c r="Y28" i="23183"/>
  <c r="AM28" i="23183"/>
  <c r="K28" i="23183"/>
  <c r="F28" i="23183"/>
  <c r="Z28" i="23183"/>
  <c r="CG28" i="23183"/>
  <c r="B23" i="23199"/>
  <c r="E23" i="23199" s="1"/>
  <c r="D28" i="23183"/>
  <c r="AK28" i="23183"/>
  <c r="AN28" i="23183"/>
  <c r="G28" i="23183"/>
  <c r="V28" i="23183"/>
  <c r="T28" i="23183"/>
  <c r="AO28" i="23183"/>
  <c r="AF28" i="23183"/>
  <c r="AL28" i="23183"/>
  <c r="S28" i="23183"/>
  <c r="BJ28" i="23183"/>
  <c r="U28" i="23183"/>
  <c r="AY28" i="23183"/>
  <c r="AQ28" i="23183"/>
  <c r="I28" i="23183"/>
  <c r="BL28" i="23183"/>
  <c r="AS107" i="23184"/>
  <c r="AJ107" i="23184"/>
  <c r="V107" i="23184"/>
  <c r="G107" i="23184"/>
  <c r="J107" i="23184"/>
  <c r="Z107" i="23184"/>
  <c r="H28" i="23183"/>
  <c r="L40" i="23183"/>
  <c r="H64" i="23183"/>
  <c r="AX28" i="23183"/>
  <c r="AZ52" i="23183"/>
  <c r="W76" i="23183"/>
  <c r="Z18" i="23183"/>
  <c r="BD40" i="23183"/>
  <c r="I107" i="23184"/>
  <c r="AQ40" i="23183"/>
  <c r="Z40" i="23183"/>
  <c r="Y76" i="23183"/>
  <c r="BN52" i="23183"/>
  <c r="N52" i="23183"/>
  <c r="AM52" i="23183"/>
  <c r="BH52" i="23183"/>
  <c r="AF61" i="23183"/>
  <c r="AD61" i="23183"/>
  <c r="J18" i="23183"/>
  <c r="M52" i="23183"/>
  <c r="J52" i="23183"/>
  <c r="AS28" i="23183"/>
  <c r="AP40" i="23183"/>
  <c r="AY52" i="23183"/>
  <c r="M76" i="23183"/>
  <c r="AI52" i="23183"/>
  <c r="BH64" i="23183"/>
  <c r="P119" i="23184"/>
  <c r="R119" i="23184"/>
  <c r="BD65" i="23183"/>
  <c r="G65" i="23183"/>
  <c r="AY65" i="23183"/>
  <c r="AF65" i="23183"/>
  <c r="BN41" i="23183"/>
  <c r="E108" i="23184"/>
  <c r="Z108" i="23184"/>
  <c r="AA108" i="23184"/>
  <c r="P108" i="23184"/>
  <c r="AZ76" i="23183"/>
  <c r="R107" i="23184"/>
  <c r="I52" i="23183"/>
  <c r="C76" i="23183"/>
  <c r="AY40" i="23183"/>
  <c r="AN119" i="23184"/>
  <c r="N77" i="23183"/>
  <c r="AB18" i="23183"/>
  <c r="O18" i="23183"/>
  <c r="CJ18" i="23183"/>
  <c r="BG18" i="23183"/>
  <c r="AF18" i="23183"/>
  <c r="M18" i="23183"/>
  <c r="BH18" i="23183"/>
  <c r="S18" i="23183"/>
  <c r="L18" i="23183"/>
  <c r="AS18" i="23183"/>
  <c r="BI18" i="23183"/>
  <c r="V18" i="23183"/>
  <c r="K18" i="23183"/>
  <c r="CF18" i="23183"/>
  <c r="I18" i="23183"/>
  <c r="AD18" i="23183"/>
  <c r="AL18" i="23183"/>
  <c r="H18" i="23183"/>
  <c r="BN18" i="23183"/>
  <c r="AK18" i="23183"/>
  <c r="AX18" i="23183"/>
  <c r="F18" i="23183"/>
  <c r="AA18" i="23183"/>
  <c r="T18" i="23183"/>
  <c r="AW18" i="23183"/>
  <c r="H76" i="23183"/>
  <c r="W28" i="23183"/>
  <c r="J40" i="23183"/>
  <c r="K52" i="23183"/>
  <c r="R64" i="23183"/>
  <c r="AG28" i="23183"/>
  <c r="AX52" i="23183"/>
  <c r="AY18" i="23183"/>
  <c r="AR28" i="23183"/>
  <c r="BB52" i="23183"/>
  <c r="Y41" i="23183"/>
  <c r="AJ64" i="23183"/>
  <c r="AF76" i="23183"/>
  <c r="BD64" i="23183"/>
  <c r="CD52" i="23183"/>
  <c r="CE53" i="23183"/>
  <c r="N53" i="23183"/>
  <c r="O52" i="23183"/>
  <c r="X28" i="23183"/>
  <c r="B118" i="23184"/>
  <c r="BK25" i="23183"/>
  <c r="F25" i="23183"/>
  <c r="I25" i="23183"/>
  <c r="AX25" i="23183"/>
  <c r="N25" i="23183"/>
  <c r="AF25" i="23183"/>
  <c r="AA25" i="23183"/>
  <c r="C52" i="23183"/>
  <c r="N18" i="23183"/>
  <c r="AJ18" i="23183"/>
  <c r="D29" i="23183"/>
  <c r="C18" i="23183"/>
  <c r="D76" i="23183"/>
  <c r="J76" i="23183"/>
  <c r="R76" i="23183"/>
  <c r="AW28" i="23183"/>
  <c r="AO40" i="23183"/>
  <c r="AZ64" i="23183"/>
  <c r="BG76" i="23183"/>
  <c r="M119" i="23184"/>
  <c r="BK18" i="23183"/>
  <c r="BW76" i="23183"/>
  <c r="X18" i="23183"/>
  <c r="O28" i="23183"/>
  <c r="Q18" i="23183"/>
  <c r="Q28" i="23183"/>
  <c r="AC28" i="23183"/>
  <c r="AL40" i="23183"/>
  <c r="AN18" i="23183"/>
  <c r="BF18" i="23183"/>
  <c r="BU76" i="23183"/>
  <c r="BR64" i="23183"/>
  <c r="BQ64" i="23183"/>
  <c r="AI64" i="23183"/>
  <c r="N64" i="23183"/>
  <c r="BJ64" i="23183"/>
  <c r="AM64" i="23183"/>
  <c r="AK64" i="23183"/>
  <c r="AF64" i="23183"/>
  <c r="BA64" i="23183"/>
  <c r="AW64" i="23183"/>
  <c r="F64" i="23183"/>
  <c r="AN64" i="23183"/>
  <c r="B59" i="23200"/>
  <c r="J59" i="23200" s="1"/>
  <c r="BM64" i="23183"/>
  <c r="AO64" i="23183"/>
  <c r="U64" i="23183"/>
  <c r="T64" i="23183"/>
  <c r="BB64" i="23183"/>
  <c r="Z64" i="23183"/>
  <c r="J64" i="23183"/>
  <c r="AU64" i="23183"/>
  <c r="AL64" i="23183"/>
  <c r="G64" i="23183"/>
  <c r="AV64" i="23183"/>
  <c r="O64" i="23183"/>
  <c r="I64" i="23183"/>
  <c r="X64" i="23183"/>
  <c r="AX64" i="23183"/>
  <c r="L64" i="23183"/>
  <c r="M64" i="23183"/>
  <c r="AR64" i="23183"/>
  <c r="S64" i="23183"/>
  <c r="AT64" i="23183"/>
  <c r="Q64" i="23183"/>
  <c r="K64" i="23183"/>
  <c r="V64" i="23183"/>
  <c r="AX40" i="23183"/>
  <c r="T40" i="23183"/>
  <c r="V40" i="23183"/>
  <c r="I40" i="23183"/>
  <c r="BK40" i="23183"/>
  <c r="AA40" i="23183"/>
  <c r="AR40" i="23183"/>
  <c r="AW40" i="23183"/>
  <c r="M40" i="23183"/>
  <c r="BZ40" i="23183"/>
  <c r="BL40" i="23183"/>
  <c r="AM40" i="23183"/>
  <c r="Y40" i="23183"/>
  <c r="N40" i="23183"/>
  <c r="AS40" i="23183"/>
  <c r="AN40" i="23183"/>
  <c r="BM40" i="23183"/>
  <c r="X40" i="23183"/>
  <c r="AB40" i="23183"/>
  <c r="AC40" i="23183"/>
  <c r="O40" i="23183"/>
  <c r="F40" i="23183"/>
  <c r="AG40" i="23183"/>
  <c r="AD40" i="23183"/>
  <c r="AH40" i="23183"/>
  <c r="K40" i="23183"/>
  <c r="H40" i="23183"/>
  <c r="S40" i="23183"/>
  <c r="AJ40" i="23183"/>
  <c r="Q40" i="23183"/>
  <c r="D18" i="23183"/>
  <c r="U40" i="23183"/>
  <c r="AH64" i="23183"/>
  <c r="AG64" i="23183"/>
  <c r="D40" i="23183"/>
  <c r="W52" i="23183"/>
  <c r="AE40" i="23183"/>
  <c r="BB76" i="23183"/>
  <c r="O76" i="23183"/>
  <c r="M28" i="23183"/>
  <c r="F52" i="23183"/>
  <c r="AE28" i="23183"/>
  <c r="V52" i="23183"/>
  <c r="BN28" i="23183"/>
  <c r="BH53" i="23183"/>
  <c r="AJ79" i="23183"/>
  <c r="AQ79" i="23183"/>
  <c r="S67" i="23183"/>
  <c r="F67" i="23183"/>
  <c r="AR67" i="23183"/>
  <c r="J67" i="23183"/>
  <c r="BL67" i="23183"/>
  <c r="BI43" i="23183"/>
  <c r="BF43" i="23183"/>
  <c r="K31" i="23183"/>
  <c r="Q98" i="23184"/>
  <c r="AN98" i="23184"/>
  <c r="M98" i="23184"/>
  <c r="R98" i="23184"/>
  <c r="P86" i="23184"/>
  <c r="L28" i="23183"/>
  <c r="G18" i="23183"/>
  <c r="D64" i="23183"/>
  <c r="R52" i="23183"/>
  <c r="AD64" i="23183"/>
  <c r="AA28" i="23183"/>
  <c r="AK40" i="23183"/>
  <c r="AO52" i="23183"/>
  <c r="AY64" i="23183"/>
  <c r="AE25" i="23183"/>
  <c r="V53" i="23183"/>
  <c r="U18" i="23183"/>
  <c r="BM28" i="23183"/>
  <c r="J108" i="23184"/>
  <c r="CB18" i="23183"/>
  <c r="I119" i="23184"/>
  <c r="V119" i="23184"/>
  <c r="K51" i="23183"/>
  <c r="I27" i="23183"/>
  <c r="O44" i="23183"/>
  <c r="D80" i="23183"/>
  <c r="K80" i="23183"/>
  <c r="F59" i="23183"/>
  <c r="R63" i="23183"/>
  <c r="J75" i="23183"/>
  <c r="O84" i="23183"/>
  <c r="AG68" i="23183"/>
  <c r="AY87" i="23183"/>
  <c r="AI39" i="23183"/>
  <c r="H39" i="23183"/>
  <c r="AR32" i="23183"/>
  <c r="AY56" i="23183"/>
  <c r="AV75" i="23183"/>
  <c r="AK27" i="23183"/>
  <c r="AI27" i="23183"/>
  <c r="AX63" i="23183"/>
  <c r="S63" i="23183"/>
  <c r="T75" i="23183"/>
  <c r="Y87" i="23183"/>
  <c r="U51" i="23183"/>
  <c r="BI51" i="23183"/>
  <c r="BI27" i="23183"/>
  <c r="CX63" i="23183"/>
  <c r="N39" i="23183"/>
  <c r="G27" i="23183"/>
  <c r="Q39" i="23183"/>
  <c r="O51" i="23183"/>
  <c r="H35" i="23183"/>
  <c r="M83" i="23183"/>
  <c r="M87" i="23183"/>
  <c r="D63" i="23183"/>
  <c r="I87" i="23183"/>
  <c r="AN75" i="23183"/>
  <c r="AW87" i="23183"/>
  <c r="AS39" i="23183"/>
  <c r="AQ47" i="23183"/>
  <c r="AD75" i="23183"/>
  <c r="D75" i="23183"/>
  <c r="Y27" i="23183"/>
  <c r="AC27" i="23183"/>
  <c r="K63" i="23183"/>
  <c r="AI87" i="23183"/>
  <c r="AN63" i="23183"/>
  <c r="BB51" i="23183"/>
  <c r="BG51" i="23183"/>
  <c r="G94" i="23184"/>
  <c r="C35" i="23184"/>
  <c r="AO35" i="23184" s="1"/>
  <c r="CN63" i="23183"/>
  <c r="G75" i="23183"/>
  <c r="J87" i="23183"/>
  <c r="AV87" i="23183"/>
  <c r="AR75" i="23183"/>
  <c r="W75" i="23183"/>
  <c r="BA51" i="23183"/>
  <c r="B58" i="23200"/>
  <c r="I58" i="23200" s="1"/>
  <c r="BY27" i="23183"/>
  <c r="C57" i="23193"/>
  <c r="J63" i="23183"/>
  <c r="D27" i="23183"/>
  <c r="F75" i="23183"/>
  <c r="F80" i="23183"/>
  <c r="G56" i="23183"/>
  <c r="O35" i="23183"/>
  <c r="C87" i="23183"/>
  <c r="I75" i="23183"/>
  <c r="K75" i="23183"/>
  <c r="AC39" i="23183"/>
  <c r="AJ39" i="23183"/>
  <c r="AR39" i="23183"/>
  <c r="AE39" i="23183"/>
  <c r="AB63" i="23183"/>
  <c r="AQ35" i="23183"/>
  <c r="AC44" i="23183"/>
  <c r="BA68" i="23183"/>
  <c r="AB27" i="23183"/>
  <c r="W27" i="23183"/>
  <c r="S75" i="23183"/>
  <c r="U75" i="23183"/>
  <c r="AM75" i="23183"/>
  <c r="AZ51" i="23183"/>
  <c r="BM39" i="23183"/>
  <c r="BJ75" i="23183"/>
  <c r="BO63" i="23183"/>
  <c r="BE39" i="23183"/>
  <c r="BX39" i="23183"/>
  <c r="G87" i="23183"/>
  <c r="K87" i="23183"/>
  <c r="AD87" i="23183"/>
  <c r="G63" i="23183"/>
  <c r="C27" i="23183"/>
  <c r="C39" i="23183"/>
  <c r="C63" i="23183"/>
  <c r="H87" i="23183"/>
  <c r="I71" i="23183"/>
  <c r="Q87" i="23183"/>
  <c r="L83" i="23183"/>
  <c r="X51" i="23183"/>
  <c r="AB51" i="23183"/>
  <c r="AC87" i="23183"/>
  <c r="Y39" i="23183"/>
  <c r="S39" i="23183"/>
  <c r="AR63" i="23183"/>
  <c r="AF51" i="23183"/>
  <c r="AP35" i="23183"/>
  <c r="BB80" i="23183"/>
  <c r="AW27" i="23183"/>
  <c r="T27" i="23183"/>
  <c r="AG75" i="23183"/>
  <c r="AI75" i="23183"/>
  <c r="AR51" i="23183"/>
  <c r="AY51" i="23183"/>
  <c r="BI39" i="23183"/>
  <c r="BF75" i="23183"/>
  <c r="BL63" i="23183"/>
  <c r="I94" i="23184"/>
  <c r="BE63" i="23183"/>
  <c r="CQ75" i="23183"/>
  <c r="BD75" i="23183"/>
  <c r="Q75" i="23183"/>
  <c r="O27" i="23183"/>
  <c r="O39" i="23183"/>
  <c r="L63" i="23183"/>
  <c r="M63" i="23183"/>
  <c r="K83" i="23183"/>
  <c r="N87" i="23183"/>
  <c r="M39" i="23183"/>
  <c r="D87" i="23183"/>
  <c r="AA75" i="23183"/>
  <c r="AO39" i="23183"/>
  <c r="AP39" i="23183"/>
  <c r="N71" i="23183"/>
  <c r="AS27" i="23183"/>
  <c r="K27" i="23183"/>
  <c r="X87" i="23183"/>
  <c r="AC51" i="23183"/>
  <c r="AX51" i="23183"/>
  <c r="BH39" i="23183"/>
  <c r="AE75" i="23183"/>
  <c r="BH63" i="23183"/>
  <c r="CE75" i="23183"/>
  <c r="F87" i="23183"/>
  <c r="M27" i="23183"/>
  <c r="R51" i="23183"/>
  <c r="C75" i="23183"/>
  <c r="N63" i="23183"/>
  <c r="J68" i="23183"/>
  <c r="J47" i="23183"/>
  <c r="L87" i="23183"/>
  <c r="F63" i="23183"/>
  <c r="L75" i="23183"/>
  <c r="AP63" i="23183"/>
  <c r="AM87" i="23183"/>
  <c r="AZ87" i="23183"/>
  <c r="AI60" i="23183"/>
  <c r="AL39" i="23183"/>
  <c r="AS63" i="23183"/>
  <c r="AA44" i="23183"/>
  <c r="AZ75" i="23183"/>
  <c r="AS75" i="23183"/>
  <c r="AM27" i="23183"/>
  <c r="AT63" i="23183"/>
  <c r="AG87" i="23183"/>
  <c r="Z51" i="23183"/>
  <c r="AU51" i="23183"/>
  <c r="BO51" i="23183"/>
  <c r="BK87" i="23183"/>
  <c r="AG63" i="23183"/>
  <c r="Q103" i="23184"/>
  <c r="L94" i="23184"/>
  <c r="CN51" i="23183"/>
  <c r="E262" i="23198"/>
  <c r="F259" i="23198" s="1"/>
  <c r="K45" i="23177"/>
  <c r="H78" i="23183"/>
  <c r="AS70" i="23183"/>
  <c r="Q30" i="23183"/>
  <c r="N21" i="23183"/>
  <c r="D58" i="23183"/>
  <c r="K42" i="23183"/>
  <c r="C25" i="23183"/>
  <c r="F54" i="23183"/>
  <c r="N42" i="23183"/>
  <c r="AE42" i="23183"/>
  <c r="AI42" i="23183"/>
  <c r="AR42" i="23183"/>
  <c r="AB25" i="23183"/>
  <c r="AA54" i="23183"/>
  <c r="Y32" i="23183"/>
  <c r="AW56" i="23183"/>
  <c r="AT69" i="23183"/>
  <c r="AK24" i="23183"/>
  <c r="AL78" i="23183"/>
  <c r="BO54" i="23183"/>
  <c r="G108" i="23184"/>
  <c r="V86" i="23184"/>
  <c r="T96" i="23184"/>
  <c r="N78" i="23183"/>
  <c r="J77" i="23183"/>
  <c r="M22" i="23183"/>
  <c r="G54" i="23183"/>
  <c r="AC21" i="23183"/>
  <c r="AD54" i="23183"/>
  <c r="Z57" i="23183"/>
  <c r="I34" i="23193"/>
  <c r="N31" i="23183"/>
  <c r="O32" i="23183"/>
  <c r="L56" i="23183"/>
  <c r="N30" i="23183"/>
  <c r="O21" i="23183"/>
  <c r="J42" i="23183"/>
  <c r="O25" i="23183"/>
  <c r="O54" i="23183"/>
  <c r="F53" i="23183"/>
  <c r="AU55" i="23183"/>
  <c r="AS44" i="23183"/>
  <c r="Y29" i="23183"/>
  <c r="T42" i="23183"/>
  <c r="X25" i="23183"/>
  <c r="Y30" i="23183"/>
  <c r="Z54" i="23183"/>
  <c r="U78" i="23183"/>
  <c r="AA56" i="23183"/>
  <c r="AL75" i="23183"/>
  <c r="AF63" i="23183"/>
  <c r="AQ27" i="23183"/>
  <c r="AG27" i="23183"/>
  <c r="Z63" i="23183"/>
  <c r="W87" i="23183"/>
  <c r="AJ75" i="23183"/>
  <c r="Y51" i="23183"/>
  <c r="AV51" i="23183"/>
  <c r="AL79" i="23183"/>
  <c r="BL39" i="23183"/>
  <c r="BF51" i="23183"/>
  <c r="BD67" i="23183"/>
  <c r="BF63" i="23183"/>
  <c r="BI25" i="23183"/>
  <c r="Y108" i="23184"/>
  <c r="Z86" i="23184"/>
  <c r="B24" i="23199"/>
  <c r="T108" i="23184"/>
  <c r="CV27" i="23183"/>
  <c r="K30" i="23183"/>
  <c r="R78" i="23183"/>
  <c r="D42" i="23183"/>
  <c r="U30" i="23183"/>
  <c r="AY54" i="23183"/>
  <c r="AG66" i="23183"/>
  <c r="I108" i="23184"/>
  <c r="V108" i="23184"/>
  <c r="S108" i="23184"/>
  <c r="F78" i="23183"/>
  <c r="Q66" i="23183"/>
  <c r="M30" i="23183"/>
  <c r="Q69" i="23183"/>
  <c r="L66" i="23183"/>
  <c r="AA53" i="23183"/>
  <c r="Q54" i="23183"/>
  <c r="BQ57" i="23183"/>
  <c r="BQ78" i="23183"/>
  <c r="B107" i="23184"/>
  <c r="X108" i="23184"/>
  <c r="T54" i="23183"/>
  <c r="AR21" i="23183"/>
  <c r="AR66" i="23183"/>
  <c r="AS29" i="23183"/>
  <c r="AM42" i="23183"/>
  <c r="M29" i="23183"/>
  <c r="C42" i="23183"/>
  <c r="AF66" i="23183"/>
  <c r="AH54" i="23183"/>
  <c r="AR29" i="23183"/>
  <c r="Z42" i="23183"/>
  <c r="AK30" i="23183"/>
  <c r="O121" i="23184"/>
  <c r="R108" i="23184"/>
  <c r="G44" i="23183"/>
  <c r="D68" i="23183"/>
  <c r="L30" i="23183"/>
  <c r="J69" i="23183"/>
  <c r="I42" i="23183"/>
  <c r="H25" i="23183"/>
  <c r="K66" i="23183"/>
  <c r="G67" i="23183"/>
  <c r="AC54" i="23183"/>
  <c r="AD78" i="23183"/>
  <c r="AC66" i="23183"/>
  <c r="AP41" i="23183"/>
  <c r="Y42" i="23183"/>
  <c r="T25" i="23183"/>
  <c r="AB30" i="23183"/>
  <c r="AT78" i="23183"/>
  <c r="AQ87" i="23183"/>
  <c r="Z44" i="23183"/>
  <c r="Z68" i="23183"/>
  <c r="AT75" i="23183"/>
  <c r="Z65" i="23183"/>
  <c r="AE27" i="23183"/>
  <c r="BA63" i="23183"/>
  <c r="U87" i="23183"/>
  <c r="U63" i="23183"/>
  <c r="W63" i="23183"/>
  <c r="BG39" i="23183"/>
  <c r="BJ32" i="23183"/>
  <c r="BM78" i="23183"/>
  <c r="BI66" i="23183"/>
  <c r="E98" i="23184"/>
  <c r="AJ108" i="23184"/>
  <c r="O78" i="23183"/>
  <c r="C54" i="23183"/>
  <c r="C78" i="23183"/>
  <c r="BA66" i="23183"/>
  <c r="AR53" i="23183"/>
  <c r="AY30" i="23183"/>
  <c r="BA70" i="23183"/>
  <c r="BK42" i="23183"/>
  <c r="BG77" i="23183"/>
  <c r="V103" i="23184"/>
  <c r="M108" i="23184"/>
  <c r="CE69" i="23183"/>
  <c r="C30" i="23183"/>
  <c r="M54" i="23183"/>
  <c r="M78" i="23183"/>
  <c r="M66" i="23183"/>
  <c r="AE78" i="23183"/>
  <c r="AX53" i="23183"/>
  <c r="M42" i="23183"/>
  <c r="AM30" i="23183"/>
  <c r="U77" i="23183"/>
  <c r="F108" i="23184"/>
  <c r="N108" i="23184"/>
  <c r="K54" i="23183"/>
  <c r="H54" i="23183"/>
  <c r="I78" i="23183"/>
  <c r="I81" i="23183"/>
  <c r="O97" i="23184"/>
  <c r="N92" i="23184"/>
  <c r="AN108" i="23184"/>
  <c r="U82" i="23183"/>
  <c r="K82" i="23183"/>
  <c r="AA83" i="23183"/>
  <c r="AJ47" i="23183"/>
  <c r="X82" i="23183"/>
  <c r="AY82" i="23183"/>
  <c r="H85" i="23183"/>
  <c r="K85" i="23183"/>
  <c r="L85" i="23183"/>
  <c r="AY85" i="23183"/>
  <c r="CD85" i="23183"/>
  <c r="H61" i="23183"/>
  <c r="AE61" i="23183"/>
  <c r="N49" i="23183"/>
  <c r="AS49" i="23183"/>
  <c r="X49" i="23183"/>
  <c r="AL37" i="23183"/>
  <c r="CR37" i="23183"/>
  <c r="AD37" i="23183"/>
  <c r="CQ25" i="23183"/>
  <c r="AO25" i="23183"/>
  <c r="W25" i="23183"/>
  <c r="AN25" i="23183"/>
  <c r="B20" i="23200"/>
  <c r="B20" i="23201"/>
  <c r="BN25" i="23183"/>
  <c r="AY25" i="23183"/>
  <c r="AI25" i="23183"/>
  <c r="AQ25" i="23183"/>
  <c r="BE25" i="23183"/>
  <c r="AG25" i="23183"/>
  <c r="AK25" i="23183"/>
  <c r="J25" i="23183"/>
  <c r="AS25" i="23183"/>
  <c r="AW25" i="23183"/>
  <c r="K25" i="23183"/>
  <c r="CW25" i="23183"/>
  <c r="BD25" i="23183"/>
  <c r="AH25" i="23183"/>
  <c r="AL25" i="23183"/>
  <c r="M25" i="23183"/>
  <c r="AC25" i="23183"/>
  <c r="AM25" i="23183"/>
  <c r="BH25" i="23183"/>
  <c r="BF25" i="23183"/>
  <c r="U25" i="23183"/>
  <c r="AJ25" i="23183"/>
  <c r="P116" i="23184"/>
  <c r="X116" i="23184"/>
  <c r="H104" i="23184"/>
  <c r="U104" i="23184"/>
  <c r="G104" i="23184"/>
  <c r="H70" i="23183"/>
  <c r="AY70" i="23183"/>
  <c r="BO70" i="23183"/>
  <c r="R70" i="23183"/>
  <c r="F35" i="23183"/>
  <c r="J59" i="23183"/>
  <c r="D32" i="23183"/>
  <c r="N44" i="23183"/>
  <c r="I56" i="23183"/>
  <c r="Q80" i="23183"/>
  <c r="F30" i="23183"/>
  <c r="N47" i="23183"/>
  <c r="G83" i="23183"/>
  <c r="D35" i="23183"/>
  <c r="Q42" i="23183"/>
  <c r="L25" i="23183"/>
  <c r="R54" i="23183"/>
  <c r="K78" i="23183"/>
  <c r="AO44" i="23183"/>
  <c r="AM66" i="23183"/>
  <c r="T66" i="23183"/>
  <c r="AQ78" i="23183"/>
  <c r="AK42" i="23183"/>
  <c r="Y25" i="23183"/>
  <c r="AD25" i="23183"/>
  <c r="V30" i="23183"/>
  <c r="Z30" i="23183"/>
  <c r="AO56" i="23183"/>
  <c r="AN80" i="23183"/>
  <c r="V32" i="23183"/>
  <c r="T44" i="23183"/>
  <c r="AT56" i="23183"/>
  <c r="AT80" i="23183"/>
  <c r="F82" i="23183"/>
  <c r="AE22" i="23183"/>
  <c r="BO68" i="23183"/>
  <c r="BI85" i="23183"/>
  <c r="O111" i="23184"/>
  <c r="AN83" i="23183"/>
  <c r="O83" i="23183"/>
  <c r="AS83" i="23183"/>
  <c r="X83" i="23183"/>
  <c r="W83" i="23183"/>
  <c r="AZ83" i="23183"/>
  <c r="C67" i="23184"/>
  <c r="AO67" i="23184" s="1"/>
  <c r="AG71" i="23183"/>
  <c r="BQ71" i="23183"/>
  <c r="AV71" i="23183"/>
  <c r="Z71" i="23183"/>
  <c r="AG59" i="23183"/>
  <c r="V59" i="23183"/>
  <c r="AK59" i="23183"/>
  <c r="D59" i="23183"/>
  <c r="AU59" i="23183"/>
  <c r="O59" i="23183"/>
  <c r="AW59" i="23183"/>
  <c r="AP59" i="23183"/>
  <c r="AI59" i="23183"/>
  <c r="Z47" i="23183"/>
  <c r="AF47" i="23183"/>
  <c r="AD47" i="23183"/>
  <c r="B42" i="23201"/>
  <c r="AO47" i="23183"/>
  <c r="AP47" i="23183"/>
  <c r="K47" i="23183"/>
  <c r="AR47" i="23183"/>
  <c r="BD47" i="23183"/>
  <c r="AH47" i="23183"/>
  <c r="AL47" i="23183"/>
  <c r="AN35" i="23183"/>
  <c r="AH35" i="23183"/>
  <c r="AX35" i="23183"/>
  <c r="N35" i="23183"/>
  <c r="AF35" i="23183"/>
  <c r="C35" i="23183"/>
  <c r="BH35" i="23183"/>
  <c r="AG35" i="23183"/>
  <c r="AA35" i="23183"/>
  <c r="Q35" i="23183"/>
  <c r="W35" i="23183"/>
  <c r="AC35" i="23183"/>
  <c r="AS35" i="23183"/>
  <c r="BF23" i="23183"/>
  <c r="BH23" i="23183"/>
  <c r="AO23" i="23183"/>
  <c r="AR23" i="23183"/>
  <c r="AB23" i="23183"/>
  <c r="Q23" i="23183"/>
  <c r="AN23" i="23183"/>
  <c r="AC23" i="23183"/>
  <c r="C23" i="23183"/>
  <c r="AE23" i="23183"/>
  <c r="AP23" i="23183"/>
  <c r="AW23" i="23183"/>
  <c r="H102" i="23184"/>
  <c r="Y102" i="23184"/>
  <c r="AP34" i="23183"/>
  <c r="S34" i="23183"/>
  <c r="AI34" i="23183"/>
  <c r="AR34" i="23183"/>
  <c r="C34" i="23183"/>
  <c r="AY34" i="23183"/>
  <c r="AO34" i="23183"/>
  <c r="BF82" i="23183"/>
  <c r="BD82" i="23183"/>
  <c r="S82" i="23183"/>
  <c r="BE82" i="23183"/>
  <c r="BM82" i="23183"/>
  <c r="AS82" i="23183"/>
  <c r="AQ82" i="23183"/>
  <c r="BA82" i="23183"/>
  <c r="X70" i="23183"/>
  <c r="T70" i="23183"/>
  <c r="AH70" i="23183"/>
  <c r="AR70" i="23183"/>
  <c r="AP70" i="23183"/>
  <c r="AL70" i="23183"/>
  <c r="N70" i="23183"/>
  <c r="BJ70" i="23183"/>
  <c r="AI70" i="23183"/>
  <c r="CI22" i="23183"/>
  <c r="AP22" i="23183"/>
  <c r="CQ22" i="23183"/>
  <c r="AJ22" i="23183"/>
  <c r="Y22" i="23183"/>
  <c r="C56" i="23193"/>
  <c r="N32" i="23183"/>
  <c r="I44" i="23183"/>
  <c r="I47" i="23183"/>
  <c r="O22" i="23183"/>
  <c r="R71" i="23183"/>
  <c r="C59" i="23183"/>
  <c r="G25" i="23183"/>
  <c r="J82" i="23183"/>
  <c r="AF71" i="23183"/>
  <c r="AV66" i="23183"/>
  <c r="AC83" i="23183"/>
  <c r="AH42" i="23183"/>
  <c r="Z25" i="23183"/>
  <c r="AB59" i="23183"/>
  <c r="AJ30" i="23183"/>
  <c r="AT54" i="23183"/>
  <c r="S23" i="23183"/>
  <c r="Z35" i="23183"/>
  <c r="AL34" i="23183"/>
  <c r="V54" i="23183"/>
  <c r="BL25" i="23183"/>
  <c r="BK66" i="23183"/>
  <c r="J97" i="23184"/>
  <c r="L114" i="23184"/>
  <c r="J34" i="23183"/>
  <c r="T59" i="23183"/>
  <c r="AJ34" i="23183"/>
  <c r="BM25" i="23183"/>
  <c r="BM80" i="23183"/>
  <c r="AZ80" i="23183"/>
  <c r="AP80" i="23183"/>
  <c r="AW80" i="23183"/>
  <c r="AK80" i="23183"/>
  <c r="AX80" i="23183"/>
  <c r="X80" i="23183"/>
  <c r="AY80" i="23183"/>
  <c r="L80" i="23183"/>
  <c r="AC80" i="23183"/>
  <c r="AI80" i="23183"/>
  <c r="C80" i="23183"/>
  <c r="AM80" i="23183"/>
  <c r="J80" i="23183"/>
  <c r="AU80" i="23183"/>
  <c r="AB80" i="23183"/>
  <c r="BJ68" i="23183"/>
  <c r="AH68" i="23183"/>
  <c r="T68" i="23183"/>
  <c r="W68" i="23183"/>
  <c r="AN68" i="23183"/>
  <c r="AM68" i="23183"/>
  <c r="V68" i="23183"/>
  <c r="U68" i="23183"/>
  <c r="C68" i="23183"/>
  <c r="AI68" i="23183"/>
  <c r="AK68" i="23183"/>
  <c r="AJ68" i="23183"/>
  <c r="O68" i="23183"/>
  <c r="F68" i="23183"/>
  <c r="R68" i="23183"/>
  <c r="L68" i="23183"/>
  <c r="AL68" i="23183"/>
  <c r="G68" i="23183"/>
  <c r="BD68" i="23183"/>
  <c r="BB68" i="23183"/>
  <c r="BI68" i="23183"/>
  <c r="AA68" i="23183"/>
  <c r="AX68" i="23183"/>
  <c r="AB68" i="23183"/>
  <c r="AT68" i="23183"/>
  <c r="BM56" i="23183"/>
  <c r="AM56" i="23183"/>
  <c r="AI56" i="23183"/>
  <c r="T56" i="23183"/>
  <c r="V56" i="23183"/>
  <c r="AR56" i="23183"/>
  <c r="AP56" i="23183"/>
  <c r="R56" i="23183"/>
  <c r="AZ56" i="23183"/>
  <c r="C56" i="23183"/>
  <c r="AB56" i="23183"/>
  <c r="Z56" i="23183"/>
  <c r="AS56" i="23183"/>
  <c r="F56" i="23183"/>
  <c r="BH56" i="23183"/>
  <c r="BA56" i="23183"/>
  <c r="AE56" i="23183"/>
  <c r="AX56" i="23183"/>
  <c r="U56" i="23183"/>
  <c r="AC56" i="23183"/>
  <c r="AF56" i="23183"/>
  <c r="AL56" i="23183"/>
  <c r="AM44" i="23183"/>
  <c r="W44" i="23183"/>
  <c r="X44" i="23183"/>
  <c r="AE44" i="23183"/>
  <c r="Q44" i="23183"/>
  <c r="K44" i="23183"/>
  <c r="F44" i="23183"/>
  <c r="AQ44" i="23183"/>
  <c r="AW44" i="23183"/>
  <c r="D44" i="23183"/>
  <c r="AF44" i="23183"/>
  <c r="C44" i="23183"/>
  <c r="BG44" i="23183"/>
  <c r="AY44" i="23183"/>
  <c r="Y44" i="23183"/>
  <c r="AN44" i="23183"/>
  <c r="AG44" i="23183"/>
  <c r="S44" i="23183"/>
  <c r="AJ44" i="23183"/>
  <c r="AG32" i="23183"/>
  <c r="AD32" i="23183"/>
  <c r="AF32" i="23183"/>
  <c r="AS32" i="23183"/>
  <c r="T32" i="23183"/>
  <c r="AL32" i="23183"/>
  <c r="S32" i="23183"/>
  <c r="AY32" i="23183"/>
  <c r="Z32" i="23183"/>
  <c r="C32" i="23183"/>
  <c r="AO32" i="23183"/>
  <c r="AH32" i="23183"/>
  <c r="F32" i="23183"/>
  <c r="AP32" i="23183"/>
  <c r="AQ32" i="23183"/>
  <c r="G32" i="23183"/>
  <c r="AI32" i="23183"/>
  <c r="AA32" i="23183"/>
  <c r="AJ32" i="23183"/>
  <c r="AB32" i="23183"/>
  <c r="AX32" i="23183"/>
  <c r="AM32" i="23183"/>
  <c r="CH20" i="23183"/>
  <c r="S20" i="23183"/>
  <c r="AW20" i="23183"/>
  <c r="I111" i="23184"/>
  <c r="AA111" i="23184"/>
  <c r="AJ111" i="23184"/>
  <c r="Y87" i="23184"/>
  <c r="AK23" i="23183"/>
  <c r="AC22" i="23183"/>
  <c r="L32" i="23183"/>
  <c r="K56" i="23183"/>
  <c r="M68" i="23183"/>
  <c r="F47" i="23183"/>
  <c r="L34" i="23183"/>
  <c r="F23" i="23183"/>
  <c r="N80" i="23183"/>
  <c r="K23" i="23183"/>
  <c r="AG56" i="23183"/>
  <c r="AK56" i="23183"/>
  <c r="AF42" i="23183"/>
  <c r="S25" i="23183"/>
  <c r="AW54" i="23183"/>
  <c r="AF23" i="23183"/>
  <c r="AS59" i="23183"/>
  <c r="X68" i="23183"/>
  <c r="AW32" i="23183"/>
  <c r="W32" i="23183"/>
  <c r="AX44" i="23183"/>
  <c r="H56" i="23183"/>
  <c r="X46" i="23183"/>
  <c r="K46" i="23183"/>
  <c r="M46" i="23183"/>
  <c r="AY46" i="23183"/>
  <c r="BI46" i="23183"/>
  <c r="V46" i="23183"/>
  <c r="H101" i="23184"/>
  <c r="N101" i="23184"/>
  <c r="F83" i="23183"/>
  <c r="C46" i="23183"/>
  <c r="C71" i="23183"/>
  <c r="H23" i="23183"/>
  <c r="AD58" i="23183"/>
  <c r="AD23" i="23183"/>
  <c r="AX59" i="23183"/>
  <c r="AX71" i="23183"/>
  <c r="AF46" i="23183"/>
  <c r="U22" i="23183"/>
  <c r="BG25" i="23183"/>
  <c r="AA116" i="23184"/>
  <c r="BF78" i="23183"/>
  <c r="BO78" i="23183"/>
  <c r="AC78" i="23183"/>
  <c r="W78" i="23183"/>
  <c r="BA78" i="23183"/>
  <c r="BK78" i="23183"/>
  <c r="BB78" i="23183"/>
  <c r="V78" i="23183"/>
  <c r="AY78" i="23183"/>
  <c r="S78" i="23183"/>
  <c r="AH78" i="23183"/>
  <c r="AZ78" i="23183"/>
  <c r="AP78" i="23183"/>
  <c r="AV78" i="23183"/>
  <c r="G78" i="23183"/>
  <c r="AB78" i="23183"/>
  <c r="AO78" i="23183"/>
  <c r="AN78" i="23183"/>
  <c r="AG78" i="23183"/>
  <c r="AI78" i="23183"/>
  <c r="AX78" i="23183"/>
  <c r="AR78" i="23183"/>
  <c r="B61" i="23201"/>
  <c r="CL66" i="23183"/>
  <c r="AH66" i="23183"/>
  <c r="AL66" i="23183"/>
  <c r="AQ66" i="23183"/>
  <c r="BD66" i="23183"/>
  <c r="U66" i="23183"/>
  <c r="AW66" i="23183"/>
  <c r="D66" i="23183"/>
  <c r="C66" i="23183"/>
  <c r="BE66" i="23183"/>
  <c r="AI66" i="23183"/>
  <c r="AS66" i="23183"/>
  <c r="AT66" i="23183"/>
  <c r="N66" i="23183"/>
  <c r="F66" i="23183"/>
  <c r="AP66" i="23183"/>
  <c r="AN66" i="23183"/>
  <c r="J66" i="23183"/>
  <c r="AX66" i="23183"/>
  <c r="AO66" i="23183"/>
  <c r="DA66" i="23183"/>
  <c r="AD66" i="23183"/>
  <c r="C62" i="23184"/>
  <c r="AO62" i="23184" s="1"/>
  <c r="BO66" i="23183"/>
  <c r="AJ66" i="23183"/>
  <c r="BH54" i="23183"/>
  <c r="BI54" i="23183"/>
  <c r="W54" i="23183"/>
  <c r="BB54" i="23183"/>
  <c r="AB54" i="23183"/>
  <c r="CK54" i="23183"/>
  <c r="BJ54" i="23183"/>
  <c r="AU54" i="23183"/>
  <c r="AP54" i="23183"/>
  <c r="BG54" i="23183"/>
  <c r="AV54" i="23183"/>
  <c r="AE54" i="23183"/>
  <c r="I54" i="23183"/>
  <c r="AM54" i="23183"/>
  <c r="U54" i="23183"/>
  <c r="AF54" i="23183"/>
  <c r="D54" i="23183"/>
  <c r="AS54" i="23183"/>
  <c r="AI54" i="23183"/>
  <c r="L54" i="23183"/>
  <c r="AL54" i="23183"/>
  <c r="AK54" i="23183"/>
  <c r="AX54" i="23183"/>
  <c r="AO54" i="23183"/>
  <c r="AJ54" i="23183"/>
  <c r="BQ54" i="23183"/>
  <c r="BA54" i="23183"/>
  <c r="AR54" i="23183"/>
  <c r="B37" i="23199"/>
  <c r="AD42" i="23183"/>
  <c r="AL42" i="23183"/>
  <c r="AB42" i="23183"/>
  <c r="BM42" i="23183"/>
  <c r="AW42" i="23183"/>
  <c r="AC42" i="23183"/>
  <c r="U42" i="23183"/>
  <c r="S42" i="23183"/>
  <c r="G42" i="23183"/>
  <c r="BF42" i="23183"/>
  <c r="AG42" i="23183"/>
  <c r="AO42" i="23183"/>
  <c r="H42" i="23183"/>
  <c r="BJ42" i="23183"/>
  <c r="V42" i="23183"/>
  <c r="AP42" i="23183"/>
  <c r="L42" i="23183"/>
  <c r="X42" i="23183"/>
  <c r="AQ42" i="23183"/>
  <c r="BN42" i="23183"/>
  <c r="AN42" i="23183"/>
  <c r="BJ30" i="23183"/>
  <c r="BI30" i="23183"/>
  <c r="AX30" i="23183"/>
  <c r="AF30" i="23183"/>
  <c r="AR30" i="23183"/>
  <c r="AC30" i="23183"/>
  <c r="AS30" i="23183"/>
  <c r="AG30" i="23183"/>
  <c r="S30" i="23183"/>
  <c r="AI30" i="23183"/>
  <c r="G30" i="23183"/>
  <c r="AQ30" i="23183"/>
  <c r="AN30" i="23183"/>
  <c r="I30" i="23183"/>
  <c r="BM30" i="23183"/>
  <c r="AL30" i="23183"/>
  <c r="T30" i="23183"/>
  <c r="W30" i="23183"/>
  <c r="BG30" i="23183"/>
  <c r="AO30" i="23183"/>
  <c r="X30" i="23183"/>
  <c r="AH30" i="23183"/>
  <c r="AP30" i="23183"/>
  <c r="AW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Q47" i="23183"/>
  <c r="G23" i="23183"/>
  <c r="R66" i="23183"/>
  <c r="L20" i="23183"/>
  <c r="I32" i="23183"/>
  <c r="D56" i="23183"/>
  <c r="I80" i="23183"/>
  <c r="D30" i="23183"/>
  <c r="D47" i="23183"/>
  <c r="J23" i="23183"/>
  <c r="L71" i="23183"/>
  <c r="Q25" i="23183"/>
  <c r="N54" i="23183"/>
  <c r="G66" i="23183"/>
  <c r="N68" i="23183"/>
  <c r="AF78" i="23183"/>
  <c r="AZ66" i="23183"/>
  <c r="S68" i="23183"/>
  <c r="AA42" i="23183"/>
  <c r="AY42" i="23183"/>
  <c r="V25" i="23183"/>
  <c r="Z66" i="23183"/>
  <c r="AE30" i="23183"/>
  <c r="AG54" i="23183"/>
  <c r="AX23" i="23183"/>
  <c r="AV59" i="23183"/>
  <c r="AW71" i="23183"/>
  <c r="AE32" i="23183"/>
  <c r="AI44" i="23183"/>
  <c r="X56" i="23183"/>
  <c r="AW68" i="23183"/>
  <c r="AS46" i="23183"/>
  <c r="BL22" i="23183"/>
  <c r="BI42" i="23183"/>
  <c r="BU42" i="23183"/>
  <c r="BJ58" i="23183"/>
  <c r="AF58" i="23183"/>
  <c r="AA58" i="23183"/>
  <c r="AE58" i="23183"/>
  <c r="AG58" i="23183"/>
  <c r="Q71" i="23183"/>
  <c r="Q68" i="23183"/>
  <c r="Q32" i="23183"/>
  <c r="H44" i="23183"/>
  <c r="Q56" i="23183"/>
  <c r="H80" i="23183"/>
  <c r="L61" i="23183"/>
  <c r="J58" i="23183"/>
  <c r="M35" i="23183"/>
  <c r="Q83" i="23183"/>
  <c r="D25" i="23183"/>
  <c r="O71" i="23183"/>
  <c r="AO83" i="23183"/>
  <c r="AY66" i="23183"/>
  <c r="W42" i="23183"/>
  <c r="AX42" i="23183"/>
  <c r="AR25" i="23183"/>
  <c r="AD30" i="23183"/>
  <c r="AZ54" i="23183"/>
  <c r="AJ23" i="23183"/>
  <c r="AW83" i="23183"/>
  <c r="AS78" i="23183"/>
  <c r="AU71" i="23183"/>
  <c r="AC32" i="23183"/>
  <c r="AH44" i="23183"/>
  <c r="AJ56" i="23183"/>
  <c r="AZ68" i="23183"/>
  <c r="D46" i="23183"/>
  <c r="AA78" i="23183"/>
  <c r="BH49" i="23183"/>
  <c r="K113" i="23184"/>
  <c r="AA102" i="23184"/>
  <c r="DA78" i="23183"/>
  <c r="AR87" i="23183"/>
  <c r="AE87" i="23183"/>
  <c r="AU87" i="23183"/>
  <c r="CN87" i="23183"/>
  <c r="AK87" i="23183"/>
  <c r="AF87" i="23183"/>
  <c r="S87" i="23183"/>
  <c r="AP87" i="23183"/>
  <c r="B70" i="23200"/>
  <c r="BU75" i="23183"/>
  <c r="BH75" i="23183"/>
  <c r="AX75" i="23183"/>
  <c r="AC75" i="23183"/>
  <c r="BX75" i="23183"/>
  <c r="BI75" i="23183"/>
  <c r="AF75" i="23183"/>
  <c r="AY75" i="23183"/>
  <c r="CH63" i="23183"/>
  <c r="BD63" i="23183"/>
  <c r="AI63" i="23183"/>
  <c r="AU63" i="23183"/>
  <c r="AL63" i="23183"/>
  <c r="AQ63" i="23183"/>
  <c r="CU63" i="23183"/>
  <c r="T63" i="23183"/>
  <c r="AV63" i="23183"/>
  <c r="AC63" i="23183"/>
  <c r="AA63" i="23183"/>
  <c r="CK51" i="23183"/>
  <c r="BK51" i="23183"/>
  <c r="AD51" i="23183"/>
  <c r="AN51" i="23183"/>
  <c r="BL51" i="23183"/>
  <c r="BE51" i="23183"/>
  <c r="AP51" i="23183"/>
  <c r="AA51" i="23183"/>
  <c r="S51" i="23183"/>
  <c r="BJ39" i="23183"/>
  <c r="AQ39" i="23183"/>
  <c r="AM39" i="23183"/>
  <c r="BK39" i="23183"/>
  <c r="U39" i="23183"/>
  <c r="AN39" i="23183"/>
  <c r="B22" i="23200"/>
  <c r="L22" i="23200" s="1"/>
  <c r="AR27" i="23183"/>
  <c r="AN27" i="23183"/>
  <c r="U27" i="23183"/>
  <c r="AX27" i="23183"/>
  <c r="Q94" i="23184"/>
  <c r="Y94" i="23184"/>
  <c r="B46" i="23200"/>
  <c r="BR63" i="23183"/>
  <c r="CB27" i="23183"/>
  <c r="BV51" i="23183"/>
  <c r="S45" i="23183"/>
  <c r="L33" i="23183"/>
  <c r="AS33" i="23183"/>
  <c r="BF39" i="23183"/>
  <c r="BG87" i="23183"/>
  <c r="BM63" i="23183"/>
  <c r="BQ87" i="23183"/>
  <c r="C59" i="23184"/>
  <c r="AO59" i="23184" s="1"/>
  <c r="CY63" i="23183"/>
  <c r="CE27" i="23183"/>
  <c r="S98" i="23184"/>
  <c r="V98" i="23184"/>
  <c r="L98" i="23184"/>
  <c r="X98" i="23184"/>
  <c r="S86" i="23184"/>
  <c r="T86" i="23184"/>
  <c r="AU86" i="23184"/>
  <c r="F86" i="23184"/>
  <c r="O87" i="23183"/>
  <c r="AA39" i="23183"/>
  <c r="AH39" i="23183"/>
  <c r="AX39" i="23183"/>
  <c r="Z75" i="23183"/>
  <c r="V27" i="23183"/>
  <c r="X27" i="23183"/>
  <c r="AK63" i="23183"/>
  <c r="AJ63" i="23183"/>
  <c r="AM63" i="23183"/>
  <c r="Z87" i="23183"/>
  <c r="AT51" i="23183"/>
  <c r="BD87" i="23183"/>
  <c r="BM75" i="23183"/>
  <c r="AB87" i="23183"/>
  <c r="BK63" i="23183"/>
  <c r="BN75" i="23183"/>
  <c r="BQ75" i="23183"/>
  <c r="AA98" i="23184"/>
  <c r="AJ98" i="23184"/>
  <c r="BU39" i="23183"/>
  <c r="CC87" i="23183"/>
  <c r="AP75" i="23183"/>
  <c r="Z39" i="23183"/>
  <c r="V39" i="23183"/>
  <c r="AW39" i="23183"/>
  <c r="AB75" i="23183"/>
  <c r="AK75" i="23183"/>
  <c r="AH51" i="23183"/>
  <c r="S27" i="23183"/>
  <c r="AO27" i="23183"/>
  <c r="Y63" i="23183"/>
  <c r="AL87" i="23183"/>
  <c r="AI51" i="23183"/>
  <c r="BD51" i="23183"/>
  <c r="BK75" i="23183"/>
  <c r="BI63" i="23183"/>
  <c r="G98" i="23184"/>
  <c r="BN63" i="23183"/>
  <c r="BT39" i="23183"/>
  <c r="B33" i="23201"/>
  <c r="W38" i="23183"/>
  <c r="AF38" i="23183"/>
  <c r="AS38" i="23183"/>
  <c r="AP38" i="23183"/>
  <c r="N38" i="23183"/>
  <c r="AM38" i="23183"/>
  <c r="AO38" i="23183"/>
  <c r="O38" i="23183"/>
  <c r="BG38" i="23183"/>
  <c r="K38" i="23183"/>
  <c r="G21" i="23183"/>
  <c r="R57" i="23183"/>
  <c r="L49" i="23183"/>
  <c r="V85" i="23183"/>
  <c r="BA85" i="23183"/>
  <c r="AJ49" i="23183"/>
  <c r="AE21" i="23183"/>
  <c r="AV69" i="23183"/>
  <c r="AN57" i="23183"/>
  <c r="AL21" i="23183"/>
  <c r="BF69" i="23183"/>
  <c r="BV62" i="23183"/>
  <c r="CW62" i="23183"/>
  <c r="BA62" i="23183"/>
  <c r="AB62" i="23183"/>
  <c r="AC62" i="23183"/>
  <c r="O62" i="23183"/>
  <c r="AO62" i="23183"/>
  <c r="Y62" i="23183"/>
  <c r="I62" i="23183"/>
  <c r="AR62" i="23183"/>
  <c r="X62" i="23183"/>
  <c r="L62" i="23183"/>
  <c r="F62" i="23183"/>
  <c r="D62" i="23183"/>
  <c r="C38" i="23183"/>
  <c r="BR61" i="23183"/>
  <c r="AV61" i="23183"/>
  <c r="CG61" i="23183"/>
  <c r="B56" i="23200"/>
  <c r="BG61" i="23183"/>
  <c r="BQ61" i="23183"/>
  <c r="BN61" i="23183"/>
  <c r="BK61" i="23183"/>
  <c r="X61" i="23183"/>
  <c r="BB61" i="23183"/>
  <c r="U61" i="23183"/>
  <c r="CE61" i="23183"/>
  <c r="BH61" i="23183"/>
  <c r="C61" i="23183"/>
  <c r="AR61" i="23183"/>
  <c r="BV61" i="23183"/>
  <c r="CT61" i="23183"/>
  <c r="AY61" i="23183"/>
  <c r="AH61" i="23183"/>
  <c r="Z61" i="23183"/>
  <c r="BI61" i="23183"/>
  <c r="AP61" i="23183"/>
  <c r="AW61" i="23183"/>
  <c r="AN61" i="23183"/>
  <c r="V61" i="23183"/>
  <c r="AL61" i="23183"/>
  <c r="CN61" i="23183"/>
  <c r="AS61" i="23183"/>
  <c r="AQ61" i="23183"/>
  <c r="AO61" i="23183"/>
  <c r="BJ61" i="23183"/>
  <c r="W61" i="23183"/>
  <c r="AG61" i="23183"/>
  <c r="N61" i="23183"/>
  <c r="O61" i="23183"/>
  <c r="BO61" i="23183"/>
  <c r="BL61" i="23183"/>
  <c r="AX61" i="23183"/>
  <c r="Y61" i="23183"/>
  <c r="K61" i="23183"/>
  <c r="CO61" i="23183"/>
  <c r="BF61" i="23183"/>
  <c r="AZ61" i="23183"/>
  <c r="AK61" i="23183"/>
  <c r="F61" i="23183"/>
  <c r="BZ61" i="23183"/>
  <c r="B56" i="23199"/>
  <c r="BD61" i="23183"/>
  <c r="AT61" i="23183"/>
  <c r="I61" i="23183"/>
  <c r="CW61" i="23183"/>
  <c r="AB61" i="23183"/>
  <c r="AU61" i="23183"/>
  <c r="J61" i="23183"/>
  <c r="AJ61" i="23183"/>
  <c r="AC61" i="23183"/>
  <c r="G61" i="23183"/>
  <c r="AA61" i="23183"/>
  <c r="T61" i="23183"/>
  <c r="M61" i="23183"/>
  <c r="Q61" i="23183"/>
  <c r="H38" i="23183"/>
  <c r="AD33" i="23183"/>
  <c r="AT57" i="23183"/>
  <c r="AN81" i="23183"/>
  <c r="BA61" i="23183"/>
  <c r="BJ33" i="23183"/>
  <c r="BD81" i="23183"/>
  <c r="B68" i="23201"/>
  <c r="CT85" i="23183"/>
  <c r="CR73" i="23183"/>
  <c r="DA86" i="23183"/>
  <c r="BE86" i="23183"/>
  <c r="BN86" i="23183"/>
  <c r="X86" i="23183"/>
  <c r="BH86" i="23183"/>
  <c r="AH86" i="23183"/>
  <c r="AP86" i="23183"/>
  <c r="Z86" i="23183"/>
  <c r="Q86" i="23183"/>
  <c r="AS86" i="23183"/>
  <c r="Y86" i="23183"/>
  <c r="N86" i="23183"/>
  <c r="AA86" i="23183"/>
  <c r="AB81" i="23183"/>
  <c r="F21" i="23183"/>
  <c r="F81" i="23183"/>
  <c r="R61" i="23183"/>
  <c r="O33" i="23183"/>
  <c r="H26" i="23183"/>
  <c r="R62" i="23183"/>
  <c r="D69" i="23183"/>
  <c r="K81" i="23183"/>
  <c r="AG45" i="23183"/>
  <c r="AM73" i="23183"/>
  <c r="AY33" i="23183"/>
  <c r="BB57" i="23183"/>
  <c r="AX86" i="23183"/>
  <c r="M69" i="23183"/>
  <c r="S57" i="23183"/>
  <c r="BF62" i="23183"/>
  <c r="CA85" i="23183"/>
  <c r="BW85" i="23183"/>
  <c r="BK85" i="23183"/>
  <c r="S85" i="23183"/>
  <c r="CY85" i="23183"/>
  <c r="CU85" i="23183"/>
  <c r="BF85" i="23183"/>
  <c r="AP85" i="23183"/>
  <c r="CQ85" i="23183"/>
  <c r="BH85" i="23183"/>
  <c r="AF85" i="23183"/>
  <c r="BX85" i="23183"/>
  <c r="AN85" i="23183"/>
  <c r="CM85" i="23183"/>
  <c r="CV85" i="23183"/>
  <c r="BE85" i="23183"/>
  <c r="BM85" i="23183"/>
  <c r="CP85" i="23183"/>
  <c r="BN85" i="23183"/>
  <c r="BL85" i="23183"/>
  <c r="AC85" i="23183"/>
  <c r="CS85" i="23183"/>
  <c r="BG85" i="23183"/>
  <c r="AL85" i="23183"/>
  <c r="CR85" i="23183"/>
  <c r="AQ85" i="23183"/>
  <c r="AD85" i="23183"/>
  <c r="AT85" i="23183"/>
  <c r="CI85" i="23183"/>
  <c r="BO85" i="23183"/>
  <c r="AR85" i="23183"/>
  <c r="AE85" i="23183"/>
  <c r="AK85" i="23183"/>
  <c r="AU85" i="23183"/>
  <c r="C85" i="23183"/>
  <c r="N85" i="23183"/>
  <c r="CK85" i="23183"/>
  <c r="T85" i="23183"/>
  <c r="Y85" i="23183"/>
  <c r="AV85" i="23183"/>
  <c r="AS85" i="23183"/>
  <c r="Q85" i="23183"/>
  <c r="AO85" i="23183"/>
  <c r="AZ85" i="23183"/>
  <c r="AG85" i="23183"/>
  <c r="BD85" i="23183"/>
  <c r="AJ85" i="23183"/>
  <c r="AW85" i="23183"/>
  <c r="U85" i="23183"/>
  <c r="Z85" i="23183"/>
  <c r="D85" i="23183"/>
  <c r="I85" i="23183"/>
  <c r="CB85" i="23183"/>
  <c r="BQ85" i="23183"/>
  <c r="O85" i="23183"/>
  <c r="J85" i="23183"/>
  <c r="CC85" i="23183"/>
  <c r="AB85" i="23183"/>
  <c r="AM85" i="23183"/>
  <c r="AX85" i="23183"/>
  <c r="AH85" i="23183"/>
  <c r="G85" i="23183"/>
  <c r="BS85" i="23183"/>
  <c r="BJ85" i="23183"/>
  <c r="BB85" i="23183"/>
  <c r="W85" i="23183"/>
  <c r="AI85" i="23183"/>
  <c r="M85" i="23183"/>
  <c r="CV73" i="23183"/>
  <c r="CN73" i="23183"/>
  <c r="B68" i="23200"/>
  <c r="O68" i="23200" s="1"/>
  <c r="BI73" i="23183"/>
  <c r="CE73" i="23183"/>
  <c r="BG73" i="23183"/>
  <c r="U73" i="23183"/>
  <c r="BM73" i="23183"/>
  <c r="BJ73" i="23183"/>
  <c r="AH73" i="23183"/>
  <c r="AI73" i="23183"/>
  <c r="BD73" i="23183"/>
  <c r="BO73" i="23183"/>
  <c r="BK73" i="23183"/>
  <c r="AO73" i="23183"/>
  <c r="AC73" i="23183"/>
  <c r="AP73" i="23183"/>
  <c r="BH73" i="23183"/>
  <c r="AT73" i="23183"/>
  <c r="L73" i="23183"/>
  <c r="D73" i="23183"/>
  <c r="AA73" i="23183"/>
  <c r="AL73" i="23183"/>
  <c r="AK73" i="23183"/>
  <c r="AU73" i="23183"/>
  <c r="G73" i="23183"/>
  <c r="BL73" i="23183"/>
  <c r="X73" i="23183"/>
  <c r="AV73" i="23183"/>
  <c r="H73" i="23183"/>
  <c r="K73" i="23183"/>
  <c r="BF73" i="23183"/>
  <c r="AZ73" i="23183"/>
  <c r="AS73" i="23183"/>
  <c r="AB73" i="23183"/>
  <c r="AN73" i="23183"/>
  <c r="AW73" i="23183"/>
  <c r="N73" i="23183"/>
  <c r="BN73" i="23183"/>
  <c r="Y73" i="23183"/>
  <c r="AE73" i="23183"/>
  <c r="F73" i="23183"/>
  <c r="AG73" i="23183"/>
  <c r="I73" i="23183"/>
  <c r="AQ73" i="23183"/>
  <c r="AJ73" i="23183"/>
  <c r="R73" i="23183"/>
  <c r="BE73" i="23183"/>
  <c r="AX73" i="23183"/>
  <c r="T73" i="23183"/>
  <c r="V73" i="23183"/>
  <c r="Q73" i="23183"/>
  <c r="J73" i="23183"/>
  <c r="BW73" i="23183"/>
  <c r="BB73" i="23183"/>
  <c r="M73" i="23183"/>
  <c r="C73" i="23183"/>
  <c r="CB49" i="23183"/>
  <c r="CE49" i="23183"/>
  <c r="B44" i="23199"/>
  <c r="BF49" i="23183"/>
  <c r="BI49" i="23183"/>
  <c r="BE49" i="23183"/>
  <c r="BL49" i="23183"/>
  <c r="BJ49" i="23183"/>
  <c r="AQ49" i="23183"/>
  <c r="M49" i="23183"/>
  <c r="AK49" i="23183"/>
  <c r="V49" i="23183"/>
  <c r="F49" i="23183"/>
  <c r="AX49" i="23183"/>
  <c r="AW49" i="23183"/>
  <c r="AN49" i="23183"/>
  <c r="BG49" i="23183"/>
  <c r="AY49" i="23183"/>
  <c r="AB49" i="23183"/>
  <c r="I49" i="23183"/>
  <c r="AG49" i="23183"/>
  <c r="AD49" i="23183"/>
  <c r="AC49" i="23183"/>
  <c r="J49" i="23183"/>
  <c r="AR49" i="23183"/>
  <c r="AM49" i="23183"/>
  <c r="AO49" i="23183"/>
  <c r="U49" i="23183"/>
  <c r="K49" i="23183"/>
  <c r="Z49" i="23183"/>
  <c r="AF49" i="23183"/>
  <c r="C49" i="23183"/>
  <c r="BN49" i="23183"/>
  <c r="BK49" i="23183"/>
  <c r="AH49" i="23183"/>
  <c r="W49" i="23183"/>
  <c r="Q49" i="23183"/>
  <c r="D49" i="23183"/>
  <c r="BD49" i="23183"/>
  <c r="AP49" i="23183"/>
  <c r="S49" i="23183"/>
  <c r="G49" i="23183"/>
  <c r="BM49" i="23183"/>
  <c r="Y49" i="23183"/>
  <c r="AL49" i="23183"/>
  <c r="CN37" i="23183"/>
  <c r="BM37" i="23183"/>
  <c r="BJ37" i="23183"/>
  <c r="BS37" i="23183"/>
  <c r="CK37" i="23183"/>
  <c r="BF37" i="23183"/>
  <c r="BD37" i="23183"/>
  <c r="BL37" i="23183"/>
  <c r="CJ37" i="23183"/>
  <c r="AC37" i="23183"/>
  <c r="AE37" i="23183"/>
  <c r="CC37" i="23183"/>
  <c r="BH37" i="23183"/>
  <c r="CQ37" i="23183"/>
  <c r="N37" i="23183"/>
  <c r="AK37" i="23183"/>
  <c r="U37" i="23183"/>
  <c r="BW37" i="23183"/>
  <c r="BN37" i="23183"/>
  <c r="AB37" i="23183"/>
  <c r="W37" i="23183"/>
  <c r="T37" i="23183"/>
  <c r="F37" i="23183"/>
  <c r="H37" i="23183"/>
  <c r="BI37" i="23183"/>
  <c r="BE37" i="23183"/>
  <c r="AR37" i="23183"/>
  <c r="M37" i="23183"/>
  <c r="X37" i="23183"/>
  <c r="AS37" i="23183"/>
  <c r="I37" i="23183"/>
  <c r="BG37" i="23183"/>
  <c r="AJ37" i="23183"/>
  <c r="V37" i="23183"/>
  <c r="J37" i="23183"/>
  <c r="BR37" i="23183"/>
  <c r="Y37" i="23183"/>
  <c r="Z37" i="23183"/>
  <c r="K37" i="23183"/>
  <c r="BV37" i="23183"/>
  <c r="AM37" i="23183"/>
  <c r="AG37" i="23183"/>
  <c r="O37" i="23183"/>
  <c r="B32" i="23199"/>
  <c r="B32" i="23201"/>
  <c r="AN37" i="23183"/>
  <c r="AH37" i="23183"/>
  <c r="C37" i="23183"/>
  <c r="CA37" i="23183"/>
  <c r="BK37" i="23183"/>
  <c r="AX37" i="23183"/>
  <c r="AO37" i="23183"/>
  <c r="AI37" i="23183"/>
  <c r="AP37" i="23183"/>
  <c r="G37" i="23183"/>
  <c r="O73" i="23183"/>
  <c r="R85" i="23183"/>
  <c r="D61" i="23183"/>
  <c r="Y81" i="23183"/>
  <c r="Z45" i="23183"/>
  <c r="AF37" i="23183"/>
  <c r="S61" i="23183"/>
  <c r="AD73" i="23183"/>
  <c r="R117" i="23184"/>
  <c r="J117" i="23184"/>
  <c r="N117" i="23184"/>
  <c r="B116" i="23184"/>
  <c r="V117" i="23184"/>
  <c r="U117" i="23184"/>
  <c r="L117" i="23184"/>
  <c r="U69" i="23183"/>
  <c r="AC69" i="23183"/>
  <c r="BN69" i="23183"/>
  <c r="V69" i="23183"/>
  <c r="BM69" i="23183"/>
  <c r="AD69" i="23183"/>
  <c r="AZ69" i="23183"/>
  <c r="AJ69" i="23183"/>
  <c r="BA69" i="23183"/>
  <c r="AR69" i="23183"/>
  <c r="BK69" i="23183"/>
  <c r="BO69" i="23183"/>
  <c r="AU69" i="23183"/>
  <c r="BD69" i="23183"/>
  <c r="S69" i="23183"/>
  <c r="X69" i="23183"/>
  <c r="G69" i="23183"/>
  <c r="AE69" i="23183"/>
  <c r="H69" i="23183"/>
  <c r="B64" i="23200"/>
  <c r="F64" i="23200" s="1"/>
  <c r="BE69" i="23183"/>
  <c r="AQ69" i="23183"/>
  <c r="O69" i="23183"/>
  <c r="I69" i="23183"/>
  <c r="T69" i="23183"/>
  <c r="AO69" i="23183"/>
  <c r="AN69" i="23183"/>
  <c r="K69" i="23183"/>
  <c r="AF69" i="23183"/>
  <c r="Z69" i="23183"/>
  <c r="Y69" i="23183"/>
  <c r="AX69" i="23183"/>
  <c r="AI69" i="23183"/>
  <c r="AY69" i="23183"/>
  <c r="AS69" i="23183"/>
  <c r="AP69" i="23183"/>
  <c r="F69" i="23183"/>
  <c r="AK69" i="23183"/>
  <c r="BB69" i="23183"/>
  <c r="AB69" i="23183"/>
  <c r="AA69" i="23183"/>
  <c r="R69" i="23183"/>
  <c r="BL69" i="23183"/>
  <c r="AH69" i="23183"/>
  <c r="AW69" i="23183"/>
  <c r="AM69" i="23183"/>
  <c r="C69" i="23183"/>
  <c r="BK57" i="23183"/>
  <c r="BM57" i="23183"/>
  <c r="BE57" i="23183"/>
  <c r="BF57" i="23183"/>
  <c r="AB57" i="23183"/>
  <c r="AD57" i="23183"/>
  <c r="X57" i="23183"/>
  <c r="W57" i="23183"/>
  <c r="T57" i="23183"/>
  <c r="BA57" i="23183"/>
  <c r="AG57" i="23183"/>
  <c r="AU57" i="23183"/>
  <c r="V57" i="23183"/>
  <c r="AS57" i="23183"/>
  <c r="AJ57" i="23183"/>
  <c r="AL57" i="23183"/>
  <c r="L57" i="23183"/>
  <c r="M57" i="23183"/>
  <c r="Y57" i="23183"/>
  <c r="AC57" i="23183"/>
  <c r="O57" i="23183"/>
  <c r="BG57" i="23183"/>
  <c r="AO57" i="23183"/>
  <c r="AM57" i="23183"/>
  <c r="C57" i="23183"/>
  <c r="BH57" i="23183"/>
  <c r="AW57" i="23183"/>
  <c r="BL57" i="23183"/>
  <c r="AA57" i="23183"/>
  <c r="AF57" i="23183"/>
  <c r="F57" i="23183"/>
  <c r="AE57" i="23183"/>
  <c r="AX57" i="23183"/>
  <c r="U57" i="23183"/>
  <c r="AP57" i="23183"/>
  <c r="I57" i="23183"/>
  <c r="AY57" i="23183"/>
  <c r="AI57" i="23183"/>
  <c r="J57" i="23183"/>
  <c r="AZ57" i="23183"/>
  <c r="AK57" i="23183"/>
  <c r="Q57" i="23183"/>
  <c r="K57" i="23183"/>
  <c r="CA57" i="23183"/>
  <c r="AV57" i="23183"/>
  <c r="AR57" i="23183"/>
  <c r="H57" i="23183"/>
  <c r="BD33" i="23183"/>
  <c r="CI33" i="23183"/>
  <c r="BM33" i="23183"/>
  <c r="BE33" i="23183"/>
  <c r="BI33" i="23183"/>
  <c r="Q33" i="23183"/>
  <c r="BL33" i="23183"/>
  <c r="AE33" i="23183"/>
  <c r="AA33" i="23183"/>
  <c r="AW33" i="23183"/>
  <c r="AQ33" i="23183"/>
  <c r="D33" i="23183"/>
  <c r="AI33" i="23183"/>
  <c r="Y33" i="23183"/>
  <c r="H33" i="23183"/>
  <c r="BG33" i="23183"/>
  <c r="U33" i="23183"/>
  <c r="S33" i="23183"/>
  <c r="AB33" i="23183"/>
  <c r="F33" i="23183"/>
  <c r="M33" i="23183"/>
  <c r="B28" i="23201"/>
  <c r="BH33" i="23183"/>
  <c r="AG33" i="23183"/>
  <c r="AJ33" i="23183"/>
  <c r="AF33" i="23183"/>
  <c r="N33" i="23183"/>
  <c r="BK33" i="23183"/>
  <c r="AK33" i="23183"/>
  <c r="AO33" i="23183"/>
  <c r="I33" i="23183"/>
  <c r="BN33" i="23183"/>
  <c r="V33" i="23183"/>
  <c r="W33" i="23183"/>
  <c r="AR33" i="23183"/>
  <c r="J33" i="23183"/>
  <c r="AX33" i="23183"/>
  <c r="AH33" i="23183"/>
  <c r="AL33" i="23183"/>
  <c r="K33" i="23183"/>
  <c r="AP33" i="23183"/>
  <c r="AC33" i="23183"/>
  <c r="Z33" i="23183"/>
  <c r="C33" i="23183"/>
  <c r="CF21" i="23183"/>
  <c r="BJ21" i="23183"/>
  <c r="Y21" i="23183"/>
  <c r="B16" i="23199"/>
  <c r="E16" i="23199" s="1"/>
  <c r="CJ21" i="23183"/>
  <c r="AG21" i="23183"/>
  <c r="AD21" i="23183"/>
  <c r="W21" i="23183"/>
  <c r="CO21" i="23183"/>
  <c r="BW21" i="23183"/>
  <c r="AP21" i="23183"/>
  <c r="BH21" i="23183"/>
  <c r="AI21" i="23183"/>
  <c r="U21" i="23183"/>
  <c r="BX21" i="23183"/>
  <c r="CI21" i="23183"/>
  <c r="Z21" i="23183"/>
  <c r="AK21" i="23183"/>
  <c r="BK21" i="23183"/>
  <c r="CC21" i="23183"/>
  <c r="CB21" i="23183"/>
  <c r="AY21" i="23183"/>
  <c r="L21" i="23183"/>
  <c r="CW21" i="23183"/>
  <c r="BL21" i="23183"/>
  <c r="BE21" i="23183"/>
  <c r="BN21" i="23183"/>
  <c r="AS21" i="23183"/>
  <c r="AW21" i="23183"/>
  <c r="K21" i="23183"/>
  <c r="X21" i="23183"/>
  <c r="J21" i="23183"/>
  <c r="CG21" i="23183"/>
  <c r="BI21" i="23183"/>
  <c r="AN21" i="23183"/>
  <c r="I21" i="23183"/>
  <c r="AQ21" i="23183"/>
  <c r="AB21" i="23183"/>
  <c r="H21" i="23183"/>
  <c r="BY21" i="23183"/>
  <c r="BD21" i="23183"/>
  <c r="V21" i="23183"/>
  <c r="S21" i="23183"/>
  <c r="D21" i="23183"/>
  <c r="AM21" i="23183"/>
  <c r="Q21" i="23183"/>
  <c r="AO21" i="23183"/>
  <c r="AA21" i="23183"/>
  <c r="C21" i="23183"/>
  <c r="AJ21" i="23183"/>
  <c r="AH21" i="23183"/>
  <c r="AX21" i="23183"/>
  <c r="T21" i="23183"/>
  <c r="M21" i="23183"/>
  <c r="L112" i="23184"/>
  <c r="O112" i="23184"/>
  <c r="B111" i="23184"/>
  <c r="X112" i="23184"/>
  <c r="H112" i="23184"/>
  <c r="K100" i="23184"/>
  <c r="E100" i="23184"/>
  <c r="AJ88" i="23184"/>
  <c r="CR26" i="23183"/>
  <c r="AG26" i="23183"/>
  <c r="AD26" i="23183"/>
  <c r="J26" i="23183"/>
  <c r="V26" i="23183"/>
  <c r="K26" i="23183"/>
  <c r="BH26" i="23183"/>
  <c r="W26" i="23183"/>
  <c r="L26" i="23183"/>
  <c r="AB26" i="23183"/>
  <c r="M26" i="23183"/>
  <c r="AH26" i="23183"/>
  <c r="AO26" i="23183"/>
  <c r="I26" i="23183"/>
  <c r="Z73" i="23183"/>
  <c r="AO45" i="23183"/>
  <c r="AW37" i="23183"/>
  <c r="S38" i="23183"/>
  <c r="BE61" i="23183"/>
  <c r="CZ50" i="23183"/>
  <c r="BE50" i="23183"/>
  <c r="AK50" i="23183"/>
  <c r="CB50" i="23183"/>
  <c r="AN50" i="23183"/>
  <c r="AZ50" i="23183"/>
  <c r="AV50" i="23183"/>
  <c r="BG50" i="23183"/>
  <c r="AF50" i="23183"/>
  <c r="Q50" i="23183"/>
  <c r="V50" i="23183"/>
  <c r="F50" i="23183"/>
  <c r="DA50" i="23183"/>
  <c r="BB50" i="23183"/>
  <c r="G50" i="23183"/>
  <c r="AU50" i="23183"/>
  <c r="AQ50" i="23183"/>
  <c r="C50" i="23183"/>
  <c r="AL50" i="23183"/>
  <c r="N50" i="23183"/>
  <c r="AN105" i="23184"/>
  <c r="M105" i="23184"/>
  <c r="E105" i="23184"/>
  <c r="L105" i="23184"/>
  <c r="K86" i="23183"/>
  <c r="F74" i="23183"/>
  <c r="AR73" i="23183"/>
  <c r="Q45" i="23183"/>
  <c r="Q37" i="23183"/>
  <c r="AF73" i="23183"/>
  <c r="AI61" i="23183"/>
  <c r="AN33" i="23183"/>
  <c r="AM45" i="23183"/>
  <c r="AA37" i="23183"/>
  <c r="W86" i="23183"/>
  <c r="AA85" i="23183"/>
  <c r="AG69" i="23183"/>
  <c r="BM61" i="23183"/>
  <c r="BE81" i="23183"/>
  <c r="C81" i="23184"/>
  <c r="AO81" i="23184" s="1"/>
  <c r="BL74" i="23183"/>
  <c r="BO74" i="23183"/>
  <c r="L74" i="23183"/>
  <c r="BB74" i="23183"/>
  <c r="AU74" i="23183"/>
  <c r="Y74" i="23183"/>
  <c r="X74" i="23183"/>
  <c r="I74" i="23183"/>
  <c r="Q74" i="23183"/>
  <c r="K74" i="23183"/>
  <c r="AQ74" i="23183"/>
  <c r="O74" i="23183"/>
  <c r="G74" i="23183"/>
  <c r="W74" i="23183"/>
  <c r="BA74" i="23183"/>
  <c r="AL74" i="23183"/>
  <c r="L69" i="23183"/>
  <c r="I45" i="23183"/>
  <c r="L37" i="23183"/>
  <c r="S73" i="23183"/>
  <c r="T49" i="23183"/>
  <c r="AM33" i="23183"/>
  <c r="AZ74" i="23183"/>
  <c r="AO81" i="23183"/>
  <c r="BF21" i="23183"/>
  <c r="BO86" i="23183"/>
  <c r="BO50" i="23183"/>
  <c r="CK45" i="23183"/>
  <c r="BL45" i="23183"/>
  <c r="BN45" i="23183"/>
  <c r="BH45" i="23183"/>
  <c r="BD45" i="23183"/>
  <c r="AY45" i="23183"/>
  <c r="AA45" i="23183"/>
  <c r="V45" i="23183"/>
  <c r="BG45" i="23183"/>
  <c r="AW45" i="23183"/>
  <c r="AL45" i="23183"/>
  <c r="BM45" i="23183"/>
  <c r="H45" i="23183"/>
  <c r="Y45" i="23183"/>
  <c r="U45" i="23183"/>
  <c r="BZ45" i="23183"/>
  <c r="BF45" i="23183"/>
  <c r="AP45" i="23183"/>
  <c r="G45" i="23183"/>
  <c r="BI45" i="23183"/>
  <c r="AQ45" i="23183"/>
  <c r="N45" i="23183"/>
  <c r="BJ45" i="23183"/>
  <c r="X45" i="23183"/>
  <c r="AR45" i="23183"/>
  <c r="O45" i="23183"/>
  <c r="AJ45" i="23183"/>
  <c r="W45" i="23183"/>
  <c r="F45" i="23183"/>
  <c r="AK45" i="23183"/>
  <c r="AS45" i="23183"/>
  <c r="M45" i="23183"/>
  <c r="AB45" i="23183"/>
  <c r="AD45" i="23183"/>
  <c r="J45" i="23183"/>
  <c r="AX45" i="23183"/>
  <c r="AN45" i="23183"/>
  <c r="AE45" i="23183"/>
  <c r="K45" i="23183"/>
  <c r="AC45" i="23183"/>
  <c r="AF45" i="23183"/>
  <c r="L45" i="23183"/>
  <c r="AI45" i="23183"/>
  <c r="T45" i="23183"/>
  <c r="AH45" i="23183"/>
  <c r="D45" i="23183"/>
  <c r="C45" i="23183"/>
  <c r="D37" i="23183"/>
  <c r="G57" i="23183"/>
  <c r="O49" i="23183"/>
  <c r="BA73" i="23183"/>
  <c r="AI49" i="23183"/>
  <c r="X33" i="23183"/>
  <c r="AY37" i="23183"/>
  <c r="AM61" i="23183"/>
  <c r="AQ37" i="23183"/>
  <c r="J112" i="23184"/>
  <c r="CJ61" i="23183"/>
  <c r="AQ62" i="23183"/>
  <c r="AE38" i="23183"/>
  <c r="AQ81" i="23183"/>
  <c r="CK81" i="23183"/>
  <c r="BH81" i="23183"/>
  <c r="BN81" i="23183"/>
  <c r="S81" i="23183"/>
  <c r="AL81" i="23183"/>
  <c r="AU81" i="23183"/>
  <c r="C77" i="23184"/>
  <c r="AO77" i="23184" s="1"/>
  <c r="BO81" i="23183"/>
  <c r="AR81" i="23183"/>
  <c r="AX81" i="23183"/>
  <c r="BQ81" i="23183"/>
  <c r="AC81" i="23183"/>
  <c r="BB81" i="23183"/>
  <c r="T81" i="23183"/>
  <c r="AM81" i="23183"/>
  <c r="BA81" i="23183"/>
  <c r="H81" i="23183"/>
  <c r="AA81" i="23183"/>
  <c r="AT81" i="23183"/>
  <c r="W81" i="23183"/>
  <c r="AI81" i="23183"/>
  <c r="C81" i="23183"/>
  <c r="J81" i="23183"/>
  <c r="AE81" i="23183"/>
  <c r="AV81" i="23183"/>
  <c r="AH81" i="23183"/>
  <c r="O81" i="23183"/>
  <c r="AP81" i="23183"/>
  <c r="AW81" i="23183"/>
  <c r="V81" i="23183"/>
  <c r="D81" i="23183"/>
  <c r="AD81" i="23183"/>
  <c r="AZ81" i="23183"/>
  <c r="AK81" i="23183"/>
  <c r="R81" i="23183"/>
  <c r="BF81" i="23183"/>
  <c r="G81" i="23183"/>
  <c r="BI81" i="23183"/>
  <c r="AF81" i="23183"/>
  <c r="AJ81" i="23183"/>
  <c r="AS81" i="23183"/>
  <c r="M81" i="23183"/>
  <c r="BJ81" i="23183"/>
  <c r="X81" i="23183"/>
  <c r="AG81" i="23183"/>
  <c r="N81" i="23183"/>
  <c r="AY81" i="23183"/>
  <c r="L81" i="23183"/>
  <c r="D57" i="23183"/>
  <c r="H49" i="23183"/>
  <c r="R50" i="23183"/>
  <c r="AH57" i="23183"/>
  <c r="AY73" i="23183"/>
  <c r="AE49" i="23183"/>
  <c r="AQ57" i="23183"/>
  <c r="T33" i="23183"/>
  <c r="W69" i="23183"/>
  <c r="AL69" i="23183"/>
  <c r="BG21" i="23183"/>
  <c r="BN57" i="23183"/>
  <c r="BG69" i="23183"/>
  <c r="Z111" i="23184"/>
  <c r="J87" i="23184"/>
  <c r="BS83" i="23183"/>
  <c r="CQ83" i="23183"/>
  <c r="AD83" i="23183"/>
  <c r="BN83" i="23183"/>
  <c r="BI83" i="23183"/>
  <c r="Z83" i="23183"/>
  <c r="CP71" i="23183"/>
  <c r="B66" i="23200"/>
  <c r="J66" i="23200" s="1"/>
  <c r="BO71" i="23183"/>
  <c r="BF71" i="23183"/>
  <c r="W71" i="23183"/>
  <c r="CV59" i="23183"/>
  <c r="BE59" i="23183"/>
  <c r="BG59" i="23183"/>
  <c r="CC47" i="23183"/>
  <c r="BK47" i="23183"/>
  <c r="CP47" i="23183"/>
  <c r="CW47" i="23183"/>
  <c r="CX47" i="23183"/>
  <c r="B42" i="23199"/>
  <c r="B30" i="23199"/>
  <c r="E30" i="23199" s="1"/>
  <c r="BM35" i="23183"/>
  <c r="AN102" i="23184"/>
  <c r="X102" i="23184"/>
  <c r="P102" i="23184"/>
  <c r="C52" i="23193"/>
  <c r="BJ35" i="23183"/>
  <c r="B86" i="23184"/>
  <c r="BG80" i="23183"/>
  <c r="BE80" i="23183"/>
  <c r="AD80" i="23183"/>
  <c r="BF80" i="23183"/>
  <c r="AF80" i="23183"/>
  <c r="U80" i="23183"/>
  <c r="BO80" i="23183"/>
  <c r="AQ80" i="23183"/>
  <c r="W80" i="23183"/>
  <c r="BG68" i="23183"/>
  <c r="BK68" i="23183"/>
  <c r="AR68" i="23183"/>
  <c r="AQ68" i="23183"/>
  <c r="AO68" i="23183"/>
  <c r="BN56" i="23183"/>
  <c r="BI56" i="23183"/>
  <c r="BN44" i="23183"/>
  <c r="BM44" i="23183"/>
  <c r="AK44" i="23183"/>
  <c r="U44" i="23183"/>
  <c r="BH44" i="23183"/>
  <c r="BN32" i="23183"/>
  <c r="BD32" i="23183"/>
  <c r="BH32" i="23183"/>
  <c r="BK32" i="23183"/>
  <c r="BF32" i="23183"/>
  <c r="BG32" i="23183"/>
  <c r="AR20" i="23183"/>
  <c r="BY20" i="23183"/>
  <c r="X111" i="23184"/>
  <c r="E111" i="23184"/>
  <c r="V111" i="23184"/>
  <c r="G111" i="23184"/>
  <c r="Z87" i="23184"/>
  <c r="P87" i="23184"/>
  <c r="V87" i="23184"/>
  <c r="F87" i="23184"/>
  <c r="H87" i="23184"/>
  <c r="M87" i="23184"/>
  <c r="AJ87" i="23184"/>
  <c r="N87" i="23184"/>
  <c r="I87" i="23184"/>
  <c r="T87" i="23184"/>
  <c r="E87" i="23184"/>
  <c r="X87" i="23184"/>
  <c r="BN71" i="23183"/>
  <c r="AM47" i="23183"/>
  <c r="CX20" i="23183"/>
  <c r="BF59" i="23183"/>
  <c r="BD44" i="23183"/>
  <c r="G87" i="23184"/>
  <c r="BT20" i="23183"/>
  <c r="AJ83" i="23183"/>
  <c r="AQ59" i="23183"/>
  <c r="BD83" i="23183"/>
  <c r="BL44" i="23183"/>
  <c r="C31" i="23184"/>
  <c r="AO31" i="23184" s="1"/>
  <c r="AN114" i="23184"/>
  <c r="B101" i="23184"/>
  <c r="M111" i="23184"/>
  <c r="CO18" i="23183"/>
  <c r="CD18" i="23183"/>
  <c r="BL18" i="23183"/>
  <c r="Y18" i="23183"/>
  <c r="W18" i="23183"/>
  <c r="CL18" i="23183"/>
  <c r="BU18" i="23183"/>
  <c r="BE18" i="23183"/>
  <c r="AE18" i="23183"/>
  <c r="AC18" i="23183"/>
  <c r="BY18" i="23183"/>
  <c r="CH18" i="23183"/>
  <c r="AM18" i="23183"/>
  <c r="CW18" i="23183"/>
  <c r="BT18" i="23183"/>
  <c r="AH18" i="23183"/>
  <c r="AP18" i="23183"/>
  <c r="AI18" i="23183"/>
  <c r="BD18" i="23183"/>
  <c r="AR18" i="23183"/>
  <c r="BJ18" i="23183"/>
  <c r="AG18" i="23183"/>
  <c r="AQ18" i="23183"/>
  <c r="AO18" i="23183"/>
  <c r="B13" i="23199"/>
  <c r="E13" i="23199" s="1"/>
  <c r="BR18" i="23183"/>
  <c r="CL76" i="23183"/>
  <c r="BF76" i="23183"/>
  <c r="AC76" i="23183"/>
  <c r="AN76" i="23183"/>
  <c r="AL76" i="23183"/>
  <c r="BH76" i="23183"/>
  <c r="B71" i="23199"/>
  <c r="AG76" i="23183"/>
  <c r="Z76" i="23183"/>
  <c r="BI76" i="23183"/>
  <c r="BK76" i="23183"/>
  <c r="C72" i="23184"/>
  <c r="AO72" i="23184" s="1"/>
  <c r="BQ76" i="23183"/>
  <c r="X76" i="23183"/>
  <c r="S76" i="23183"/>
  <c r="CS64" i="23183"/>
  <c r="BG64" i="23183"/>
  <c r="AQ64" i="23183"/>
  <c r="BI64" i="23183"/>
  <c r="AC64" i="23183"/>
  <c r="AA64" i="23183"/>
  <c r="DA64" i="23183"/>
  <c r="BE64" i="23183"/>
  <c r="AB64" i="23183"/>
  <c r="Y64" i="23183"/>
  <c r="BY64" i="23183"/>
  <c r="BF64" i="23183"/>
  <c r="BO64" i="23183"/>
  <c r="BK64" i="23183"/>
  <c r="BR52" i="23183"/>
  <c r="DA52" i="23183"/>
  <c r="BG52" i="23183"/>
  <c r="S52" i="23183"/>
  <c r="BW52" i="23183"/>
  <c r="BI52" i="23183"/>
  <c r="BE52" i="23183"/>
  <c r="B47" i="23201"/>
  <c r="AD52" i="23183"/>
  <c r="BK52" i="23183"/>
  <c r="B35" i="23199"/>
  <c r="B35" i="23201"/>
  <c r="BF40" i="23183"/>
  <c r="BH40" i="23183"/>
  <c r="CM40" i="23183"/>
  <c r="BE40" i="23183"/>
  <c r="BG40" i="23183"/>
  <c r="BN40" i="23183"/>
  <c r="BY40" i="23183"/>
  <c r="W40" i="23183"/>
  <c r="CK28" i="23183"/>
  <c r="BF28" i="23183"/>
  <c r="BH28" i="23183"/>
  <c r="CX28" i="23183"/>
  <c r="BD28" i="23183"/>
  <c r="BI28" i="23183"/>
  <c r="CW28" i="23183"/>
  <c r="BK28" i="23183"/>
  <c r="BE28" i="23183"/>
  <c r="U119" i="23184"/>
  <c r="L119" i="23184"/>
  <c r="K119" i="23184"/>
  <c r="T119" i="23184"/>
  <c r="Z119" i="23184"/>
  <c r="E119" i="23184"/>
  <c r="F119" i="23184"/>
  <c r="O119" i="23184"/>
  <c r="AA119" i="23184"/>
  <c r="AJ119" i="23184"/>
  <c r="M107" i="23184"/>
  <c r="X107" i="23184"/>
  <c r="AA107" i="23184"/>
  <c r="L107" i="23184"/>
  <c r="U107" i="23184"/>
  <c r="E107" i="23184"/>
  <c r="AN54" i="23183"/>
  <c r="AQ54" i="23183"/>
  <c r="S46" i="23183"/>
  <c r="AX58" i="23183"/>
  <c r="S54" i="23183"/>
  <c r="Z78" i="23183"/>
  <c r="AN82" i="23183"/>
  <c r="BK30" i="23183"/>
  <c r="BD78" i="23183"/>
  <c r="G86" i="23184"/>
  <c r="E89" i="23184"/>
  <c r="Y97" i="23184"/>
  <c r="AA121" i="23184"/>
  <c r="Z98" i="23184"/>
  <c r="U97" i="23184"/>
  <c r="CP54" i="23183"/>
  <c r="AJ78" i="23183"/>
  <c r="AF34" i="23183"/>
  <c r="AU70" i="23183"/>
  <c r="S66" i="23183"/>
  <c r="AM82" i="23183"/>
  <c r="AK66" i="23183"/>
  <c r="BL54" i="23183"/>
  <c r="BM66" i="23183"/>
  <c r="T78" i="23183"/>
  <c r="BN30" i="23183"/>
  <c r="BL42" i="23183"/>
  <c r="BN58" i="23183"/>
  <c r="B97" i="23184"/>
  <c r="M101" i="23184"/>
  <c r="B61" i="23199"/>
  <c r="G61" i="23199" s="1"/>
  <c r="BZ78" i="23183"/>
  <c r="BG46" i="23183"/>
  <c r="BK46" i="23183"/>
  <c r="AD46" i="23183"/>
  <c r="BX22" i="23183"/>
  <c r="BH22" i="23183"/>
  <c r="BE22" i="23183"/>
  <c r="BG22" i="23183"/>
  <c r="O89" i="23184"/>
  <c r="BJ66" i="23183"/>
  <c r="BH42" i="23183"/>
  <c r="G101" i="23184"/>
  <c r="B120" i="23184"/>
  <c r="J98" i="23184"/>
  <c r="H98" i="23184"/>
  <c r="P98" i="23184"/>
  <c r="F98" i="23184"/>
  <c r="I86" i="23184"/>
  <c r="N86" i="23184"/>
  <c r="K86" i="23184"/>
  <c r="O86" i="23184"/>
  <c r="U86" i="23184"/>
  <c r="AJ86" i="23184"/>
  <c r="BI78" i="23183"/>
  <c r="BL78" i="23183"/>
  <c r="BJ78" i="23183"/>
  <c r="BN78" i="23183"/>
  <c r="CL78" i="23183"/>
  <c r="BG78" i="23183"/>
  <c r="AM78" i="23183"/>
  <c r="CM66" i="23183"/>
  <c r="BY66" i="23183"/>
  <c r="BL66" i="23183"/>
  <c r="W66" i="23183"/>
  <c r="BN66" i="23183"/>
  <c r="V66" i="23183"/>
  <c r="BG66" i="23183"/>
  <c r="BZ54" i="23183"/>
  <c r="BD54" i="23183"/>
  <c r="BR54" i="23183"/>
  <c r="BE54" i="23183"/>
  <c r="BM54" i="23183"/>
  <c r="X54" i="23183"/>
  <c r="BG42" i="23183"/>
  <c r="BD42" i="23183"/>
  <c r="BE30" i="23183"/>
  <c r="BF30" i="23183"/>
  <c r="I121" i="23184"/>
  <c r="Z121" i="23184"/>
  <c r="AS121" i="23184"/>
  <c r="K121" i="23184"/>
  <c r="AP109" i="23184"/>
  <c r="N109" i="23184"/>
  <c r="AA109" i="23184"/>
  <c r="Q109" i="23184"/>
  <c r="I109" i="23184"/>
  <c r="Y109" i="23184"/>
  <c r="G109" i="23184"/>
  <c r="H109" i="23184"/>
  <c r="Z97" i="23184"/>
  <c r="M97" i="23184"/>
  <c r="X97" i="23184"/>
  <c r="C262" i="23198"/>
  <c r="D261" i="23198" s="1"/>
  <c r="AW58" i="23183"/>
  <c r="Y58" i="23183"/>
  <c r="Y78" i="23183"/>
  <c r="Y54" i="23183"/>
  <c r="BH78" i="23183"/>
  <c r="BF54" i="23183"/>
  <c r="BQ66" i="23183"/>
  <c r="BE78" i="23183"/>
  <c r="BH70" i="23183"/>
  <c r="BH30" i="23183"/>
  <c r="BE42" i="23183"/>
  <c r="E86" i="23184"/>
  <c r="Q97" i="23184"/>
  <c r="AJ121" i="23184"/>
  <c r="X86" i="23184"/>
  <c r="N98" i="23184"/>
  <c r="BY54" i="23183"/>
  <c r="E89" i="23198"/>
  <c r="F88" i="23198" s="1"/>
  <c r="E145" i="23198"/>
  <c r="F144" i="23198" s="1"/>
  <c r="J12" i="23206"/>
  <c r="E172" i="23198"/>
  <c r="F170" i="23198" s="1"/>
  <c r="S24" i="23183"/>
  <c r="M93" i="23184"/>
  <c r="Q93" i="23184"/>
  <c r="K93" i="23184"/>
  <c r="R72" i="23183"/>
  <c r="R84" i="23183"/>
  <c r="AJ84" i="23183"/>
  <c r="AX60" i="23183"/>
  <c r="AD24" i="23183"/>
  <c r="BO84" i="23183"/>
  <c r="F115" i="23184"/>
  <c r="CC48" i="23183"/>
  <c r="BK48" i="23183"/>
  <c r="BI48" i="23183"/>
  <c r="BM48" i="23183"/>
  <c r="AB48" i="23183"/>
  <c r="AK48" i="23183"/>
  <c r="AN48" i="23183"/>
  <c r="AE48" i="23183"/>
  <c r="H48" i="23183"/>
  <c r="AQ48" i="23183"/>
  <c r="I48" i="23183"/>
  <c r="L48" i="23183"/>
  <c r="AW48" i="23183"/>
  <c r="G48" i="23183"/>
  <c r="M48" i="23183"/>
  <c r="C48" i="23183"/>
  <c r="U48" i="23183"/>
  <c r="N48" i="23183"/>
  <c r="V48" i="23183"/>
  <c r="BL48" i="23183"/>
  <c r="AA48" i="23183"/>
  <c r="X48" i="23183"/>
  <c r="C54" i="23193"/>
  <c r="C72" i="23183"/>
  <c r="T24" i="23183"/>
  <c r="Q91" i="23184"/>
  <c r="AN115" i="23184"/>
  <c r="BR84" i="23183"/>
  <c r="BK84" i="23183"/>
  <c r="BZ84" i="23183"/>
  <c r="BD84" i="23183"/>
  <c r="AQ84" i="23183"/>
  <c r="X84" i="23183"/>
  <c r="N84" i="23183"/>
  <c r="AE84" i="23183"/>
  <c r="M84" i="23183"/>
  <c r="BA84" i="23183"/>
  <c r="AL84" i="23183"/>
  <c r="AI84" i="23183"/>
  <c r="AP84" i="23183"/>
  <c r="AC84" i="23183"/>
  <c r="BB84" i="23183"/>
  <c r="AS84" i="23183"/>
  <c r="AD84" i="23183"/>
  <c r="AU84" i="23183"/>
  <c r="I84" i="23183"/>
  <c r="AG84" i="23183"/>
  <c r="AY84" i="23183"/>
  <c r="F84" i="23183"/>
  <c r="Q84" i="23183"/>
  <c r="U84" i="23183"/>
  <c r="AZ84" i="23183"/>
  <c r="G84" i="23183"/>
  <c r="BN84" i="23183"/>
  <c r="AO48" i="23183"/>
  <c r="AR84" i="23183"/>
  <c r="H93" i="23184"/>
  <c r="BN82" i="23183"/>
  <c r="BG82" i="23183"/>
  <c r="CM82" i="23183"/>
  <c r="CN82" i="23183"/>
  <c r="BV82" i="23183"/>
  <c r="BW82" i="23183"/>
  <c r="CL82" i="23183"/>
  <c r="BH82" i="23183"/>
  <c r="BB82" i="23183"/>
  <c r="BI82" i="23183"/>
  <c r="AL82" i="23183"/>
  <c r="AU82" i="23183"/>
  <c r="C82" i="23183"/>
  <c r="BJ82" i="23183"/>
  <c r="BO82" i="23183"/>
  <c r="Z82" i="23183"/>
  <c r="AK82" i="23183"/>
  <c r="AV82" i="23183"/>
  <c r="Q82" i="23183"/>
  <c r="BK82" i="23183"/>
  <c r="AC82" i="23183"/>
  <c r="AW82" i="23183"/>
  <c r="AP82" i="23183"/>
  <c r="D82" i="23183"/>
  <c r="O82" i="23183"/>
  <c r="CB82" i="23183"/>
  <c r="AT82" i="23183"/>
  <c r="AI82" i="23183"/>
  <c r="AF82" i="23183"/>
  <c r="AD82" i="23183"/>
  <c r="R82" i="23183"/>
  <c r="W82" i="23183"/>
  <c r="AH82" i="23183"/>
  <c r="N82" i="23183"/>
  <c r="Y82" i="23183"/>
  <c r="AJ82" i="23183"/>
  <c r="V82" i="23183"/>
  <c r="I82" i="23183"/>
  <c r="BL82" i="23183"/>
  <c r="AO82" i="23183"/>
  <c r="AB82" i="23183"/>
  <c r="AX82" i="23183"/>
  <c r="T82" i="23183"/>
  <c r="L82" i="23183"/>
  <c r="H82" i="23183"/>
  <c r="BQ82" i="23183"/>
  <c r="AA82" i="23183"/>
  <c r="AZ82" i="23183"/>
  <c r="AG82" i="23183"/>
  <c r="AR82" i="23183"/>
  <c r="AE82" i="23183"/>
  <c r="G82" i="23183"/>
  <c r="CU70" i="23183"/>
  <c r="B65" i="23199"/>
  <c r="CB70" i="23183"/>
  <c r="BQ70" i="23183"/>
  <c r="CN70" i="23183"/>
  <c r="BF70" i="23183"/>
  <c r="CV70" i="23183"/>
  <c r="BX70" i="23183"/>
  <c r="B65" i="23201"/>
  <c r="BK70" i="23183"/>
  <c r="BN70" i="23183"/>
  <c r="W70" i="23183"/>
  <c r="AV70" i="23183"/>
  <c r="I70" i="23183"/>
  <c r="CY70" i="23183"/>
  <c r="BM70" i="23183"/>
  <c r="AK70" i="23183"/>
  <c r="AW70" i="23183"/>
  <c r="AG70" i="23183"/>
  <c r="AD70" i="23183"/>
  <c r="J70" i="23183"/>
  <c r="BV70" i="23183"/>
  <c r="V70" i="23183"/>
  <c r="BL70" i="23183"/>
  <c r="AB70" i="23183"/>
  <c r="L70" i="23183"/>
  <c r="BD70" i="23183"/>
  <c r="AN70" i="23183"/>
  <c r="AJ70" i="23183"/>
  <c r="AE70" i="23183"/>
  <c r="K70" i="23183"/>
  <c r="AQ70" i="23183"/>
  <c r="AC70" i="23183"/>
  <c r="U70" i="23183"/>
  <c r="D70" i="23183"/>
  <c r="BE70" i="23183"/>
  <c r="M70" i="23183"/>
  <c r="AO70" i="23183"/>
  <c r="O70" i="23183"/>
  <c r="BG70" i="23183"/>
  <c r="AM70" i="23183"/>
  <c r="AX70" i="23183"/>
  <c r="AT70" i="23183"/>
  <c r="G70" i="23183"/>
  <c r="BI70" i="23183"/>
  <c r="Z70" i="23183"/>
  <c r="Y70" i="23183"/>
  <c r="AZ70" i="23183"/>
  <c r="AF70" i="23183"/>
  <c r="S70" i="23183"/>
  <c r="C70" i="23183"/>
  <c r="BB70" i="23183"/>
  <c r="AA70" i="23183"/>
  <c r="F70" i="23183"/>
  <c r="CQ58" i="23183"/>
  <c r="BG58" i="23183"/>
  <c r="BQ58" i="23183"/>
  <c r="BF58" i="23183"/>
  <c r="CP58" i="23183"/>
  <c r="CR58" i="23183"/>
  <c r="BL58" i="23183"/>
  <c r="BZ58" i="23183"/>
  <c r="B53" i="23200"/>
  <c r="M53" i="23200" s="1"/>
  <c r="BM58" i="23183"/>
  <c r="AC58" i="23183"/>
  <c r="AY58" i="23183"/>
  <c r="T58" i="23183"/>
  <c r="Q58" i="23183"/>
  <c r="V58" i="23183"/>
  <c r="AQ58" i="23183"/>
  <c r="AZ58" i="23183"/>
  <c r="AH58" i="23183"/>
  <c r="BD58" i="23183"/>
  <c r="BA58" i="23183"/>
  <c r="AT58" i="23183"/>
  <c r="AL58" i="23183"/>
  <c r="O58" i="23183"/>
  <c r="Z58" i="23183"/>
  <c r="BB58" i="23183"/>
  <c r="W58" i="23183"/>
  <c r="AP58" i="23183"/>
  <c r="AI58" i="23183"/>
  <c r="N58" i="23183"/>
  <c r="M58" i="23183"/>
  <c r="F58" i="23183"/>
  <c r="BE58" i="23183"/>
  <c r="AU58" i="23183"/>
  <c r="AJ58" i="23183"/>
  <c r="R58" i="23183"/>
  <c r="BH58" i="23183"/>
  <c r="AB58" i="23183"/>
  <c r="AV58" i="23183"/>
  <c r="X58" i="23183"/>
  <c r="G58" i="23183"/>
  <c r="BI58" i="23183"/>
  <c r="U58" i="23183"/>
  <c r="AK58" i="23183"/>
  <c r="AO58" i="23183"/>
  <c r="C58" i="23183"/>
  <c r="BK58" i="23183"/>
  <c r="BO58" i="23183"/>
  <c r="AR58" i="23183"/>
  <c r="AS58" i="23183"/>
  <c r="AN58" i="23183"/>
  <c r="AM58" i="23183"/>
  <c r="I58" i="23183"/>
  <c r="H58" i="23183"/>
  <c r="S58" i="23183"/>
  <c r="K58" i="23183"/>
  <c r="CX46" i="23183"/>
  <c r="CQ46" i="23183"/>
  <c r="CC46" i="23183"/>
  <c r="CW46" i="23183"/>
  <c r="BL46" i="23183"/>
  <c r="AJ46" i="23183"/>
  <c r="AO46" i="23183"/>
  <c r="Q46" i="23183"/>
  <c r="BM46" i="23183"/>
  <c r="AR46" i="23183"/>
  <c r="Y46" i="23183"/>
  <c r="T46" i="23183"/>
  <c r="O46" i="23183"/>
  <c r="AB46" i="23183"/>
  <c r="BN46" i="23183"/>
  <c r="AK46" i="23183"/>
  <c r="AP46" i="23183"/>
  <c r="F46" i="23183"/>
  <c r="CP46" i="23183"/>
  <c r="BD46" i="23183"/>
  <c r="AC46" i="23183"/>
  <c r="Z46" i="23183"/>
  <c r="W46" i="23183"/>
  <c r="N46" i="23183"/>
  <c r="CE46" i="23183"/>
  <c r="C42" i="23184"/>
  <c r="BE46" i="23183"/>
  <c r="AL46" i="23183"/>
  <c r="AQ46" i="23183"/>
  <c r="G46" i="23183"/>
  <c r="CB46" i="23183"/>
  <c r="U46" i="23183"/>
  <c r="H46" i="23183"/>
  <c r="BF46" i="23183"/>
  <c r="AG46" i="23183"/>
  <c r="AE46" i="23183"/>
  <c r="I46" i="23183"/>
  <c r="BH46" i="23183"/>
  <c r="AW46" i="23183"/>
  <c r="AI46" i="23183"/>
  <c r="J46" i="23183"/>
  <c r="BJ46" i="23183"/>
  <c r="AX46" i="23183"/>
  <c r="AH46" i="23183"/>
  <c r="AN46" i="23183"/>
  <c r="AA46" i="23183"/>
  <c r="L46" i="23183"/>
  <c r="CH34" i="23183"/>
  <c r="BN34" i="23183"/>
  <c r="CB34" i="23183"/>
  <c r="BF34" i="23183"/>
  <c r="BH34" i="23183"/>
  <c r="B29" i="23199"/>
  <c r="AE34" i="23183"/>
  <c r="AW34" i="23183"/>
  <c r="AH34" i="23183"/>
  <c r="K34" i="23183"/>
  <c r="AQ34" i="23183"/>
  <c r="X34" i="23183"/>
  <c r="AK34" i="23183"/>
  <c r="O34" i="23183"/>
  <c r="N34" i="23183"/>
  <c r="BD34" i="23183"/>
  <c r="AM34" i="23183"/>
  <c r="AS34" i="23183"/>
  <c r="F34" i="23183"/>
  <c r="BE34" i="23183"/>
  <c r="V34" i="23183"/>
  <c r="AC34" i="23183"/>
  <c r="Q34" i="23183"/>
  <c r="Y34" i="23183"/>
  <c r="G34" i="23183"/>
  <c r="C30" i="23184"/>
  <c r="AO30" i="23184" s="1"/>
  <c r="BI34" i="23183"/>
  <c r="AA34" i="23183"/>
  <c r="AN34" i="23183"/>
  <c r="H34" i="23183"/>
  <c r="CI34" i="23183"/>
  <c r="BK34" i="23183"/>
  <c r="AX34" i="23183"/>
  <c r="T34" i="23183"/>
  <c r="Z34" i="23183"/>
  <c r="I34" i="23183"/>
  <c r="B29" i="23201"/>
  <c r="BM34" i="23183"/>
  <c r="AD34" i="23183"/>
  <c r="U34" i="23183"/>
  <c r="AB34" i="23183"/>
  <c r="M34" i="23183"/>
  <c r="W34" i="23183"/>
  <c r="AG34" i="23183"/>
  <c r="D34" i="23183"/>
  <c r="CM22" i="23183"/>
  <c r="CW22" i="23183"/>
  <c r="CV22" i="23183"/>
  <c r="CP22" i="23183"/>
  <c r="CD22" i="23183"/>
  <c r="BS22" i="23183"/>
  <c r="CN22" i="23183"/>
  <c r="BN22" i="23183"/>
  <c r="X22" i="23183"/>
  <c r="J22" i="23183"/>
  <c r="I22" i="23183"/>
  <c r="BM22" i="23183"/>
  <c r="BJ22" i="23183"/>
  <c r="W22" i="23183"/>
  <c r="H22" i="23183"/>
  <c r="BI22" i="23183"/>
  <c r="AS22" i="23183"/>
  <c r="AN22" i="23183"/>
  <c r="G22" i="23183"/>
  <c r="CA22" i="23183"/>
  <c r="AF22" i="23183"/>
  <c r="T22" i="23183"/>
  <c r="S22" i="23183"/>
  <c r="AX22" i="23183"/>
  <c r="AB22" i="23183"/>
  <c r="D22" i="23183"/>
  <c r="F22" i="23183"/>
  <c r="BW22" i="23183"/>
  <c r="BK22" i="23183"/>
  <c r="V22" i="23183"/>
  <c r="AQ22" i="23183"/>
  <c r="AI22" i="23183"/>
  <c r="AH22" i="23183"/>
  <c r="AY22" i="23183"/>
  <c r="AL22" i="23183"/>
  <c r="AM22" i="23183"/>
  <c r="Q22" i="23183"/>
  <c r="C18" i="23184"/>
  <c r="AO18" i="23184" s="1"/>
  <c r="BD22" i="23183"/>
  <c r="AW22" i="23183"/>
  <c r="Z22" i="23183"/>
  <c r="AA22" i="23183"/>
  <c r="C22" i="23183"/>
  <c r="BF22" i="23183"/>
  <c r="AR22" i="23183"/>
  <c r="AD22" i="23183"/>
  <c r="AO22" i="23183"/>
  <c r="N22" i="23183"/>
  <c r="AG22" i="23183"/>
  <c r="AK22" i="23183"/>
  <c r="L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K60" i="23183"/>
  <c r="BT60" i="23183"/>
  <c r="CF60" i="23183"/>
  <c r="CX60" i="23183"/>
  <c r="BF60" i="23183"/>
  <c r="BN60" i="23183"/>
  <c r="AC60" i="23183"/>
  <c r="AM60" i="23183"/>
  <c r="O60" i="23183"/>
  <c r="I60" i="23183"/>
  <c r="BO60" i="23183"/>
  <c r="AB60" i="23183"/>
  <c r="AP60" i="23183"/>
  <c r="AT60" i="23183"/>
  <c r="L60" i="23183"/>
  <c r="BQ60" i="23183"/>
  <c r="AG60" i="23183"/>
  <c r="AZ60" i="23183"/>
  <c r="G60" i="23183"/>
  <c r="Q60" i="23183"/>
  <c r="M60" i="23183"/>
  <c r="BE60" i="23183"/>
  <c r="AE60" i="23183"/>
  <c r="AR60" i="23183"/>
  <c r="CE60" i="23183"/>
  <c r="AW60" i="23183"/>
  <c r="K60" i="23183"/>
  <c r="U60" i="23183"/>
  <c r="BB60" i="23183"/>
  <c r="AV60" i="23183"/>
  <c r="AN60" i="23183"/>
  <c r="C60" i="23183"/>
  <c r="F60" i="23183"/>
  <c r="AF24" i="23183"/>
  <c r="AA24" i="23183"/>
  <c r="D24" i="23183"/>
  <c r="BH24" i="23183"/>
  <c r="AR24" i="23183"/>
  <c r="AH24" i="23183"/>
  <c r="Q24" i="23183"/>
  <c r="B19" i="23200"/>
  <c r="L19" i="23200" s="1"/>
  <c r="BG24" i="23183"/>
  <c r="U24" i="23183"/>
  <c r="AN24" i="23183"/>
  <c r="F24" i="23183"/>
  <c r="AG24" i="23183"/>
  <c r="AO24" i="23183"/>
  <c r="G24" i="23183"/>
  <c r="AS24" i="23183"/>
  <c r="V24" i="23183"/>
  <c r="I24" i="23183"/>
  <c r="BN24" i="23183"/>
  <c r="W24" i="23183"/>
  <c r="J24" i="23183"/>
  <c r="BD24" i="23183"/>
  <c r="AI24" i="23183"/>
  <c r="K24" i="23183"/>
  <c r="AY24" i="23183"/>
  <c r="M24" i="23183"/>
  <c r="AP24" i="23183"/>
  <c r="O24" i="23183"/>
  <c r="N24" i="23183"/>
  <c r="AL48" i="23183"/>
  <c r="C49" i="23193"/>
  <c r="C53" i="23193"/>
  <c r="L24" i="23183"/>
  <c r="D84" i="23183"/>
  <c r="D60" i="23183"/>
  <c r="AL36" i="23183"/>
  <c r="AM48" i="23183"/>
  <c r="AF72" i="23183"/>
  <c r="N36" i="23183"/>
  <c r="BU36" i="23183"/>
  <c r="C32" i="23184"/>
  <c r="AO32" i="23184" s="1"/>
  <c r="BG36" i="23183"/>
  <c r="AF36" i="23183"/>
  <c r="O36" i="23183"/>
  <c r="X36" i="23183"/>
  <c r="S36" i="23183"/>
  <c r="F36" i="23183"/>
  <c r="W36" i="23183"/>
  <c r="T36" i="23183"/>
  <c r="AM36" i="23183"/>
  <c r="U36" i="23183"/>
  <c r="H36" i="23183"/>
  <c r="G36" i="23183"/>
  <c r="C36" i="23183"/>
  <c r="Z36" i="23183"/>
  <c r="V36" i="23183"/>
  <c r="Q36" i="23183"/>
  <c r="AN36" i="23183"/>
  <c r="AA36" i="23183"/>
  <c r="BE36" i="23183"/>
  <c r="AB36" i="23183"/>
  <c r="AG36" i="23183"/>
  <c r="D36" i="23183"/>
  <c r="J36" i="23183"/>
  <c r="K36" i="23183"/>
  <c r="I36" i="23183"/>
  <c r="AQ36" i="23183"/>
  <c r="M36" i="23183"/>
  <c r="AV91" i="23184"/>
  <c r="V91" i="23184"/>
  <c r="AA91" i="23184"/>
  <c r="O91" i="23184"/>
  <c r="L91" i="23184"/>
  <c r="AJ91" i="23184"/>
  <c r="X91" i="23184"/>
  <c r="K91" i="23184"/>
  <c r="R91" i="23184"/>
  <c r="F91" i="23184"/>
  <c r="B90" i="23184"/>
  <c r="E91" i="23184"/>
  <c r="I91" i="23184"/>
  <c r="G91" i="23184"/>
  <c r="Z91" i="23184"/>
  <c r="P91" i="23184"/>
  <c r="N91" i="23184"/>
  <c r="M91" i="23184"/>
  <c r="L36" i="23183"/>
  <c r="L84" i="23183"/>
  <c r="AC36" i="23183"/>
  <c r="B41" i="23199"/>
  <c r="CH72" i="23183"/>
  <c r="CB72" i="23183"/>
  <c r="BR72" i="23183"/>
  <c r="CE72" i="23183"/>
  <c r="CL72" i="23183"/>
  <c r="BY72" i="23183"/>
  <c r="AP72" i="23183"/>
  <c r="BB72" i="23183"/>
  <c r="AL72" i="23183"/>
  <c r="K72" i="23183"/>
  <c r="AU72" i="23183"/>
  <c r="O72" i="23183"/>
  <c r="BN72" i="23183"/>
  <c r="AV72" i="23183"/>
  <c r="BD72" i="23183"/>
  <c r="AX72" i="23183"/>
  <c r="AN72" i="23183"/>
  <c r="F72" i="23183"/>
  <c r="V72" i="23183"/>
  <c r="Z72" i="23183"/>
  <c r="BE72" i="23183"/>
  <c r="AS72" i="23183"/>
  <c r="AW72" i="23183"/>
  <c r="CD72" i="23183"/>
  <c r="BQ72" i="23183"/>
  <c r="AE72" i="23183"/>
  <c r="N72" i="23183"/>
  <c r="AK72" i="23183"/>
  <c r="AQ72" i="23183"/>
  <c r="D72" i="23183"/>
  <c r="J72" i="23183"/>
  <c r="I72" i="23183"/>
  <c r="AP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O48" i="23183"/>
  <c r="AP36" i="23183"/>
  <c r="BA72" i="23183"/>
  <c r="J115" i="23184"/>
  <c r="M72" i="23183"/>
  <c r="AA115" i="23184"/>
  <c r="R60" i="23183"/>
  <c r="BI60" i="23183"/>
  <c r="L104" i="23184"/>
  <c r="J104" i="23184"/>
  <c r="Q102" i="23184"/>
  <c r="G102" i="23184"/>
  <c r="E102" i="23184"/>
  <c r="AP102" i="23184"/>
  <c r="AJ102" i="23184"/>
  <c r="U102" i="23184"/>
  <c r="J102" i="23184"/>
  <c r="F102" i="23184"/>
  <c r="K102" i="23184"/>
  <c r="I102" i="23184"/>
  <c r="L102" i="23184"/>
  <c r="AA90" i="23184"/>
  <c r="AV90" i="23184"/>
  <c r="BS81" i="23183"/>
  <c r="BG81" i="23183"/>
  <c r="BM81" i="23183"/>
  <c r="Z81" i="23183"/>
  <c r="BK81" i="23183"/>
  <c r="BU81" i="23183"/>
  <c r="BL81" i="23183"/>
  <c r="BI69" i="23183"/>
  <c r="BV69" i="23183"/>
  <c r="BH69" i="23183"/>
  <c r="CH69" i="23183"/>
  <c r="BJ69" i="23183"/>
  <c r="BQ69" i="23183"/>
  <c r="CA69" i="23183"/>
  <c r="CX57" i="23183"/>
  <c r="BI57" i="23183"/>
  <c r="BJ57" i="23183"/>
  <c r="CS57" i="23183"/>
  <c r="CK57" i="23183"/>
  <c r="CW57" i="23183"/>
  <c r="BO57" i="23183"/>
  <c r="BD57" i="23183"/>
  <c r="BK45" i="23183"/>
  <c r="CG45" i="23183"/>
  <c r="BV45" i="23183"/>
  <c r="CX45" i="23183"/>
  <c r="C41" i="23184"/>
  <c r="AO41" i="23184" s="1"/>
  <c r="BX33" i="23183"/>
  <c r="B28" i="23200"/>
  <c r="BF33" i="23183"/>
  <c r="CX33" i="23183"/>
  <c r="CM33" i="23183"/>
  <c r="CK21" i="23183"/>
  <c r="CP21" i="23183"/>
  <c r="CH21" i="23183"/>
  <c r="BU21" i="23183"/>
  <c r="BT21" i="23183"/>
  <c r="C17" i="23184"/>
  <c r="AO17" i="23184" s="1"/>
  <c r="BV21" i="23183"/>
  <c r="CN21" i="23183"/>
  <c r="CD21" i="23183"/>
  <c r="CL21" i="23183"/>
  <c r="BR21" i="23183"/>
  <c r="BZ21" i="23183"/>
  <c r="BS21" i="23183"/>
  <c r="CX21" i="23183"/>
  <c r="BM21" i="23183"/>
  <c r="CV21" i="23183"/>
  <c r="CR21" i="23183"/>
  <c r="Y112" i="23184"/>
  <c r="K112" i="23184"/>
  <c r="G112" i="23184"/>
  <c r="Z112" i="23184"/>
  <c r="I112" i="23184"/>
  <c r="Q112" i="23184"/>
  <c r="F112" i="23184"/>
  <c r="M112" i="23184"/>
  <c r="E112" i="23184"/>
  <c r="N112" i="23184"/>
  <c r="CT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B33" i="23183"/>
  <c r="CJ87" i="23183"/>
  <c r="CH87" i="23183"/>
  <c r="CL87" i="23183"/>
  <c r="C83" i="23184"/>
  <c r="AO83" i="23184" s="1"/>
  <c r="BI87" i="23183"/>
  <c r="BZ87" i="23183"/>
  <c r="BM87" i="23183"/>
  <c r="BN87" i="23183"/>
  <c r="BE87" i="23183"/>
  <c r="BV87" i="23183"/>
  <c r="CP75" i="23183"/>
  <c r="CB75" i="23183"/>
  <c r="BZ75" i="23183"/>
  <c r="CS75" i="23183"/>
  <c r="BE75" i="23183"/>
  <c r="BL75" i="23183"/>
  <c r="CV75" i="23183"/>
  <c r="B70" i="23201"/>
  <c r="BY75" i="23183"/>
  <c r="BV75" i="23183"/>
  <c r="CK75" i="23183"/>
  <c r="CN75" i="23183"/>
  <c r="CC75" i="23183"/>
  <c r="BO75" i="23183"/>
  <c r="CO75" i="23183"/>
  <c r="B70" i="23199"/>
  <c r="CR75" i="23183"/>
  <c r="CQ63" i="23183"/>
  <c r="CG63" i="23183"/>
  <c r="CC63" i="23183"/>
  <c r="BX63" i="23183"/>
  <c r="BQ63" i="23183"/>
  <c r="BJ63" i="23183"/>
  <c r="CO63" i="23183"/>
  <c r="CJ63" i="23183"/>
  <c r="CD63" i="23183"/>
  <c r="CK63" i="23183"/>
  <c r="CP63" i="23183"/>
  <c r="CL63" i="23183"/>
  <c r="BT63" i="23183"/>
  <c r="CW63" i="23183"/>
  <c r="CF63" i="23183"/>
  <c r="BU63" i="23183"/>
  <c r="CB63" i="23183"/>
  <c r="CT63" i="23183"/>
  <c r="B58" i="23199"/>
  <c r="CL51" i="23183"/>
  <c r="CH51" i="23183"/>
  <c r="CZ51" i="23183"/>
  <c r="B46" i="23201"/>
  <c r="F46" i="23201" s="1"/>
  <c r="C46" i="23201" s="1"/>
  <c r="CP51" i="23183"/>
  <c r="B46" i="23199"/>
  <c r="C47" i="23184"/>
  <c r="AO47" i="23184" s="1"/>
  <c r="CU51" i="23183"/>
  <c r="CB51" i="23183"/>
  <c r="CE51" i="23183"/>
  <c r="CC51" i="23183"/>
  <c r="CF51" i="23183"/>
  <c r="CW51" i="23183"/>
  <c r="CG51" i="23183"/>
  <c r="CM51" i="23183"/>
  <c r="CJ39" i="23183"/>
  <c r="B34" i="23199"/>
  <c r="E34" i="23199" s="1"/>
  <c r="BW39" i="23183"/>
  <c r="CX39" i="23183"/>
  <c r="CM39" i="23183"/>
  <c r="B34" i="23200"/>
  <c r="L34" i="23200" s="1"/>
  <c r="CN39" i="23183"/>
  <c r="B34" i="23201"/>
  <c r="BR39" i="23183"/>
  <c r="CP39" i="23183"/>
  <c r="CF39" i="23183"/>
  <c r="BZ27" i="23183"/>
  <c r="CP27" i="23183"/>
  <c r="CX27" i="23183"/>
  <c r="CW27" i="23183"/>
  <c r="BL27" i="23183"/>
  <c r="CD27" i="23183"/>
  <c r="BM27" i="23183"/>
  <c r="CQ27" i="23183"/>
  <c r="CR27" i="23183"/>
  <c r="BX27" i="23183"/>
  <c r="BE27" i="23183"/>
  <c r="CJ27" i="23183"/>
  <c r="BF27" i="23183"/>
  <c r="B22" i="23201"/>
  <c r="CH27" i="23183"/>
  <c r="BG27" i="23183"/>
  <c r="CL27" i="23183"/>
  <c r="BJ27" i="23183"/>
  <c r="X118" i="23184"/>
  <c r="L118" i="23184"/>
  <c r="AN118" i="23184"/>
  <c r="C60" i="23184"/>
  <c r="AO60" i="23184" s="1"/>
  <c r="B13" i="23200"/>
  <c r="CC40" i="23183"/>
  <c r="CG76" i="23183"/>
  <c r="N114" i="23184"/>
  <c r="M114" i="23184"/>
  <c r="CG18" i="23183"/>
  <c r="BM76" i="23183"/>
  <c r="CK18" i="23183"/>
  <c r="CC18" i="23183"/>
  <c r="B60" i="23200"/>
  <c r="C60" i="23200" s="1"/>
  <c r="AS86" i="23184"/>
  <c r="R86" i="23184"/>
  <c r="CV40" i="23183"/>
  <c r="CL64" i="23183"/>
  <c r="DA76" i="23183"/>
  <c r="CX65" i="23183"/>
  <c r="CC78" i="23183"/>
  <c r="P111" i="23184"/>
  <c r="H111" i="23184"/>
  <c r="Q111" i="23184"/>
  <c r="BW18" i="23183"/>
  <c r="CQ18" i="23183"/>
  <c r="CV18" i="23183"/>
  <c r="CN18" i="23183"/>
  <c r="B23" i="23200"/>
  <c r="U98" i="23184"/>
  <c r="CG40" i="23183"/>
  <c r="BW64" i="23183"/>
  <c r="CO76" i="23183"/>
  <c r="CX18" i="23183"/>
  <c r="BL64" i="23183"/>
  <c r="BL76" i="23183"/>
  <c r="BX18" i="23183"/>
  <c r="BZ18" i="23183"/>
  <c r="BU40" i="23183"/>
  <c r="CT64" i="23183"/>
  <c r="CM78" i="23183"/>
  <c r="BY78" i="23183"/>
  <c r="CM54" i="23183"/>
  <c r="B49" i="23199"/>
  <c r="G49" i="23199" s="1"/>
  <c r="CD42" i="23183"/>
  <c r="CD30" i="23183"/>
  <c r="C26" i="23184"/>
  <c r="AO26" i="23184" s="1"/>
  <c r="AV121" i="23184"/>
  <c r="Y121" i="23184"/>
  <c r="G121" i="23184"/>
  <c r="F121" i="23184"/>
  <c r="CR40" i="23183"/>
  <c r="CD64" i="23183"/>
  <c r="AO29" i="23183"/>
  <c r="CH29" i="23183"/>
  <c r="H120" i="23184"/>
  <c r="AV120" i="23184"/>
  <c r="T109" i="23184"/>
  <c r="AJ109" i="23184"/>
  <c r="AU98" i="23184"/>
  <c r="Y98" i="23184"/>
  <c r="AV98" i="23184"/>
  <c r="AV86" i="23184"/>
  <c r="Q86" i="23184"/>
  <c r="M86" i="23184"/>
  <c r="H86" i="23184"/>
  <c r="CA18" i="23183"/>
  <c r="BV18" i="23183"/>
  <c r="CR18" i="23183"/>
  <c r="CE18" i="23183"/>
  <c r="CI18" i="23183"/>
  <c r="BZ52" i="23183"/>
  <c r="C48" i="23184"/>
  <c r="AO48" i="23184" s="1"/>
  <c r="AP119" i="23184"/>
  <c r="H119" i="23184"/>
  <c r="Y119" i="23184"/>
  <c r="G119" i="23184"/>
  <c r="AV119" i="23184"/>
  <c r="AV108" i="23184"/>
  <c r="K108" i="23184"/>
  <c r="H108" i="23184"/>
  <c r="Q108" i="23184"/>
  <c r="N97" i="23184"/>
  <c r="B96" i="23184"/>
  <c r="CP18" i="23183"/>
  <c r="C79" i="23184"/>
  <c r="AO79" i="23184" s="1"/>
  <c r="C36" i="23184"/>
  <c r="AO36" i="23184" s="1"/>
  <c r="C38" i="23184"/>
  <c r="AO38" i="23184" s="1"/>
  <c r="B59" i="23201"/>
  <c r="E59" i="23201" s="1"/>
  <c r="S97" i="23184"/>
  <c r="P97" i="23184"/>
  <c r="BU28" i="23183"/>
  <c r="BV52" i="23183"/>
  <c r="BZ76" i="23183"/>
  <c r="BU30" i="23183"/>
  <c r="CK66" i="23183"/>
  <c r="BJ40" i="23183"/>
  <c r="BL52" i="23183"/>
  <c r="BN64" i="23183"/>
  <c r="AE64" i="23183"/>
  <c r="AB76" i="23183"/>
  <c r="H97" i="23184"/>
  <c r="F109" i="23184"/>
  <c r="G97" i="23184"/>
  <c r="J119" i="23184"/>
  <c r="V109" i="23184"/>
  <c r="L86" i="23184"/>
  <c r="AA86" i="23184"/>
  <c r="O98" i="23184"/>
  <c r="I98" i="23184"/>
  <c r="CM18" i="23183"/>
  <c r="C14" i="23184"/>
  <c r="AO14" i="23184" s="1"/>
  <c r="B71" i="23200"/>
  <c r="L71" i="23200" s="1"/>
  <c r="AN86" i="23184"/>
  <c r="AU119" i="23184"/>
  <c r="S109" i="23184"/>
  <c r="AP86" i="23184"/>
  <c r="AS114" i="23184"/>
  <c r="CR28" i="23183"/>
  <c r="CS52" i="23183"/>
  <c r="CD66" i="23183"/>
  <c r="C89" i="23198"/>
  <c r="D84" i="23198" s="1"/>
  <c r="AV110" i="23184"/>
  <c r="F89" i="23184"/>
  <c r="AA89" i="23184"/>
  <c r="B17" i="23183"/>
  <c r="F14" i="23175"/>
  <c r="F43" i="23183"/>
  <c r="Z31" i="23183"/>
  <c r="T55" i="23183"/>
  <c r="Q31" i="23183"/>
  <c r="K55" i="23183"/>
  <c r="G79" i="23183"/>
  <c r="N67" i="23183"/>
  <c r="AP31" i="23183"/>
  <c r="AO43" i="23183"/>
  <c r="AQ55" i="23183"/>
  <c r="M67" i="23183"/>
  <c r="AP79" i="23183"/>
  <c r="BR86" i="23183"/>
  <c r="CV86" i="23183"/>
  <c r="AB86" i="23183"/>
  <c r="CR86" i="23183"/>
  <c r="CJ86" i="23183"/>
  <c r="CM86" i="23183"/>
  <c r="BU86" i="23183"/>
  <c r="CC86" i="23183"/>
  <c r="CI86" i="23183"/>
  <c r="CQ86" i="23183"/>
  <c r="CF86" i="23183"/>
  <c r="CG86" i="23183"/>
  <c r="BV86" i="23183"/>
  <c r="BQ86" i="23183"/>
  <c r="CX86" i="23183"/>
  <c r="CW86" i="23183"/>
  <c r="CP86" i="23183"/>
  <c r="BJ86" i="23183"/>
  <c r="BI86" i="23183"/>
  <c r="AO86" i="23183"/>
  <c r="AU86" i="23183"/>
  <c r="CS86" i="23183"/>
  <c r="BL86" i="23183"/>
  <c r="AC86" i="23183"/>
  <c r="AV86" i="23183"/>
  <c r="BY86" i="23183"/>
  <c r="BM86" i="23183"/>
  <c r="BK86" i="23183"/>
  <c r="AW86" i="23183"/>
  <c r="BD86" i="23183"/>
  <c r="BB86" i="23183"/>
  <c r="U86" i="23183"/>
  <c r="BF86" i="23183"/>
  <c r="AT86" i="23183"/>
  <c r="L86" i="23183"/>
  <c r="CB86" i="23183"/>
  <c r="AM86" i="23183"/>
  <c r="AL86" i="23183"/>
  <c r="AJ86" i="23183"/>
  <c r="AR86" i="23183"/>
  <c r="CZ86" i="23183"/>
  <c r="AG86" i="23183"/>
  <c r="T86" i="23183"/>
  <c r="G86" i="23183"/>
  <c r="CH86" i="23183"/>
  <c r="C82" i="23184"/>
  <c r="AO82" i="23184" s="1"/>
  <c r="H86" i="23183"/>
  <c r="D86" i="23183"/>
  <c r="CO86" i="23183"/>
  <c r="C86" i="23183"/>
  <c r="AQ86" i="23183"/>
  <c r="R86" i="23183"/>
  <c r="M86" i="23183"/>
  <c r="CL86" i="23183"/>
  <c r="AY86" i="23183"/>
  <c r="S86" i="23183"/>
  <c r="AD86" i="23183"/>
  <c r="F86" i="23183"/>
  <c r="J86" i="23183"/>
  <c r="CK86" i="23183"/>
  <c r="AZ86" i="23183"/>
  <c r="AK86" i="23183"/>
  <c r="V86" i="23183"/>
  <c r="AN86" i="23183"/>
  <c r="O86" i="23183"/>
  <c r="I86" i="23183"/>
  <c r="BG86" i="23183"/>
  <c r="BA86" i="23183"/>
  <c r="AI86" i="23183"/>
  <c r="AE86" i="23183"/>
  <c r="BT74" i="23183"/>
  <c r="CL74" i="23183"/>
  <c r="CN74" i="23183"/>
  <c r="CS74" i="23183"/>
  <c r="CZ74" i="23183"/>
  <c r="BW74" i="23183"/>
  <c r="CP74" i="23183"/>
  <c r="BX74" i="23183"/>
  <c r="CH74" i="23183"/>
  <c r="BZ74" i="23183"/>
  <c r="S74" i="23183"/>
  <c r="CC74" i="23183"/>
  <c r="B69" i="23201"/>
  <c r="DA74" i="23183"/>
  <c r="CU74" i="23183"/>
  <c r="CW74" i="23183"/>
  <c r="BG74" i="23183"/>
  <c r="CA74" i="23183"/>
  <c r="BQ74" i="23183"/>
  <c r="CE74" i="23183"/>
  <c r="CQ74" i="23183"/>
  <c r="BE74" i="23183"/>
  <c r="CF74" i="23183"/>
  <c r="BN74" i="23183"/>
  <c r="BJ74" i="23183"/>
  <c r="BI74" i="23183"/>
  <c r="CJ74" i="23183"/>
  <c r="C70" i="23184"/>
  <c r="AO70" i="23184" s="1"/>
  <c r="CY74" i="23183"/>
  <c r="B69" i="23199"/>
  <c r="AI74" i="23183"/>
  <c r="AW74" i="23183"/>
  <c r="CB74" i="23183"/>
  <c r="B69" i="23200"/>
  <c r="I69" i="23200" s="1"/>
  <c r="BM74" i="23183"/>
  <c r="U74" i="23183"/>
  <c r="AB74" i="23183"/>
  <c r="AF74" i="23183"/>
  <c r="AM74" i="23183"/>
  <c r="CR74" i="23183"/>
  <c r="BK74" i="23183"/>
  <c r="AN74" i="23183"/>
  <c r="AR74" i="23183"/>
  <c r="BH74" i="23183"/>
  <c r="AO74" i="23183"/>
  <c r="AS74" i="23183"/>
  <c r="C74" i="23183"/>
  <c r="BU74" i="23183"/>
  <c r="AT74" i="23183"/>
  <c r="AE74" i="23183"/>
  <c r="R74" i="23183"/>
  <c r="CV74" i="23183"/>
  <c r="AG74" i="23183"/>
  <c r="AK74" i="23183"/>
  <c r="D74" i="23183"/>
  <c r="BD74" i="23183"/>
  <c r="AX74" i="23183"/>
  <c r="BF74" i="23183"/>
  <c r="AY74" i="23183"/>
  <c r="AD74" i="23183"/>
  <c r="AP74" i="23183"/>
  <c r="AJ74" i="23183"/>
  <c r="AH74" i="23183"/>
  <c r="AV74" i="23183"/>
  <c r="V74" i="23183"/>
  <c r="T74" i="23183"/>
  <c r="AC74" i="23183"/>
  <c r="N74" i="23183"/>
  <c r="Z74" i="23183"/>
  <c r="H74" i="23183"/>
  <c r="J74" i="23183"/>
  <c r="AA74" i="23183"/>
  <c r="BR62" i="23183"/>
  <c r="CH62" i="23183"/>
  <c r="CA62" i="23183"/>
  <c r="CX62" i="23183"/>
  <c r="CB62" i="23183"/>
  <c r="BU62" i="23183"/>
  <c r="CC62" i="23183"/>
  <c r="AE62" i="23183"/>
  <c r="BT62" i="23183"/>
  <c r="C58" i="23184"/>
  <c r="AO58" i="23184" s="1"/>
  <c r="BD62" i="23183"/>
  <c r="BW62" i="23183"/>
  <c r="BX62" i="23183"/>
  <c r="BH62" i="23183"/>
  <c r="DA62" i="23183"/>
  <c r="BE62" i="23183"/>
  <c r="CS62" i="23183"/>
  <c r="AI62" i="23183"/>
  <c r="B57" i="23201"/>
  <c r="BN62" i="23183"/>
  <c r="BL62" i="23183"/>
  <c r="BG62" i="23183"/>
  <c r="AU62" i="23183"/>
  <c r="S62" i="23183"/>
  <c r="AG62" i="23183"/>
  <c r="AV62" i="23183"/>
  <c r="B57" i="23199"/>
  <c r="BQ62" i="23183"/>
  <c r="AW62" i="23183"/>
  <c r="AS62" i="23183"/>
  <c r="AM62" i="23183"/>
  <c r="AL62" i="23183"/>
  <c r="B57" i="23200"/>
  <c r="AT62" i="23183"/>
  <c r="AD62" i="23183"/>
  <c r="W62" i="23183"/>
  <c r="M62" i="23183"/>
  <c r="T62" i="23183"/>
  <c r="AK62" i="23183"/>
  <c r="N62" i="23183"/>
  <c r="J62" i="23183"/>
  <c r="AF62" i="23183"/>
  <c r="AP62" i="23183"/>
  <c r="V62" i="23183"/>
  <c r="Q62" i="23183"/>
  <c r="C62" i="23183"/>
  <c r="AY62" i="23183"/>
  <c r="BJ62" i="23183"/>
  <c r="AZ62" i="23183"/>
  <c r="BM62" i="23183"/>
  <c r="Z62" i="23183"/>
  <c r="AJ62" i="23183"/>
  <c r="BK62" i="23183"/>
  <c r="AH62" i="23183"/>
  <c r="AA62" i="23183"/>
  <c r="U62" i="23183"/>
  <c r="G62" i="23183"/>
  <c r="BO62" i="23183"/>
  <c r="BI62" i="23183"/>
  <c r="AX62" i="23183"/>
  <c r="H62" i="23183"/>
  <c r="BB62" i="23183"/>
  <c r="K62" i="23183"/>
  <c r="AN62" i="23183"/>
  <c r="CR50" i="23183"/>
  <c r="CV50" i="23183"/>
  <c r="CO50" i="23183"/>
  <c r="BR50" i="23183"/>
  <c r="BV50" i="23183"/>
  <c r="BZ50" i="23183"/>
  <c r="CD50" i="23183"/>
  <c r="CH50" i="23183"/>
  <c r="CL50" i="23183"/>
  <c r="CQ50" i="23183"/>
  <c r="CU50" i="23183"/>
  <c r="CC50" i="23183"/>
  <c r="CS50" i="23183"/>
  <c r="CM50" i="23183"/>
  <c r="CT50" i="23183"/>
  <c r="CN50" i="23183"/>
  <c r="BW50" i="23183"/>
  <c r="CY50" i="23183"/>
  <c r="CJ50" i="23183"/>
  <c r="CP50" i="23183"/>
  <c r="CW50" i="23183"/>
  <c r="C46" i="23184"/>
  <c r="AO46" i="23184" s="1"/>
  <c r="BS50" i="23183"/>
  <c r="CX50" i="23183"/>
  <c r="B45" i="23199"/>
  <c r="CF50" i="23183"/>
  <c r="AG50" i="23183"/>
  <c r="BU50" i="23183"/>
  <c r="AS50" i="23183"/>
  <c r="CG50" i="23183"/>
  <c r="BF50" i="23183"/>
  <c r="AW50" i="23183"/>
  <c r="BY50" i="23183"/>
  <c r="BQ50" i="23183"/>
  <c r="AY50" i="23183"/>
  <c r="BX50" i="23183"/>
  <c r="BL50" i="23183"/>
  <c r="S50" i="23183"/>
  <c r="AR50" i="23183"/>
  <c r="CK50" i="23183"/>
  <c r="AH50" i="23183"/>
  <c r="AD50" i="23183"/>
  <c r="CA50" i="23183"/>
  <c r="BH50" i="23183"/>
  <c r="AX50" i="23183"/>
  <c r="T50" i="23183"/>
  <c r="AJ50" i="23183"/>
  <c r="AC50" i="23183"/>
  <c r="BM50" i="23183"/>
  <c r="U50" i="23183"/>
  <c r="AP50" i="23183"/>
  <c r="K50" i="23183"/>
  <c r="B45" i="23200"/>
  <c r="L45" i="23200" s="1"/>
  <c r="BI50" i="23183"/>
  <c r="AT50" i="23183"/>
  <c r="AE50" i="23183"/>
  <c r="L50" i="23183"/>
  <c r="Z50" i="23183"/>
  <c r="M50" i="23183"/>
  <c r="BT50" i="23183"/>
  <c r="AI50" i="23183"/>
  <c r="O50" i="23183"/>
  <c r="CI50" i="23183"/>
  <c r="BN50" i="23183"/>
  <c r="W50" i="23183"/>
  <c r="X50" i="23183"/>
  <c r="AM50" i="23183"/>
  <c r="H50" i="23183"/>
  <c r="Y50" i="23183"/>
  <c r="AO50" i="23183"/>
  <c r="I50" i="23183"/>
  <c r="BD50" i="23183"/>
  <c r="BK50" i="23183"/>
  <c r="BJ50" i="23183"/>
  <c r="AB50" i="23183"/>
  <c r="AA50" i="23183"/>
  <c r="D50" i="23183"/>
  <c r="BA50" i="23183"/>
  <c r="BT38" i="23183"/>
  <c r="CK38" i="23183"/>
  <c r="CG38" i="23183"/>
  <c r="CM38" i="23183"/>
  <c r="BV38" i="23183"/>
  <c r="CN38" i="23183"/>
  <c r="BR38" i="23183"/>
  <c r="CJ38" i="23183"/>
  <c r="CQ38" i="23183"/>
  <c r="CO38" i="23183"/>
  <c r="C34" i="23184"/>
  <c r="AO34" i="23184" s="1"/>
  <c r="CF38" i="23183"/>
  <c r="CR38" i="23183"/>
  <c r="B33" i="23199"/>
  <c r="BU38" i="23183"/>
  <c r="BW38" i="23183"/>
  <c r="BJ38" i="23183"/>
  <c r="BN38" i="23183"/>
  <c r="BL38" i="23183"/>
  <c r="BK38" i="23183"/>
  <c r="BX38" i="23183"/>
  <c r="AN38" i="23183"/>
  <c r="CV38" i="23183"/>
  <c r="BE38" i="23183"/>
  <c r="BD38" i="23183"/>
  <c r="AX38" i="23183"/>
  <c r="X38" i="23183"/>
  <c r="AQ38" i="23183"/>
  <c r="BY38" i="23183"/>
  <c r="AY38" i="23183"/>
  <c r="AJ38" i="23183"/>
  <c r="T38" i="23183"/>
  <c r="BZ38" i="23183"/>
  <c r="Y38" i="23183"/>
  <c r="AR38" i="23183"/>
  <c r="V38" i="23183"/>
  <c r="AB38" i="23183"/>
  <c r="F38" i="23183"/>
  <c r="Q38" i="23183"/>
  <c r="BF38" i="23183"/>
  <c r="AH38" i="23183"/>
  <c r="AC38" i="23183"/>
  <c r="BS38" i="23183"/>
  <c r="B33" i="23200"/>
  <c r="BM38" i="23183"/>
  <c r="AK38" i="23183"/>
  <c r="AD38" i="23183"/>
  <c r="G38" i="23183"/>
  <c r="CA38" i="23183"/>
  <c r="D38" i="23183"/>
  <c r="AL38" i="23183"/>
  <c r="I38" i="23183"/>
  <c r="CC38" i="23183"/>
  <c r="BI38" i="23183"/>
  <c r="BH38" i="23183"/>
  <c r="AA38" i="23183"/>
  <c r="AI38" i="23183"/>
  <c r="U38" i="23183"/>
  <c r="L38" i="23183"/>
  <c r="AG38" i="23183"/>
  <c r="M38" i="23183"/>
  <c r="Z38" i="23183"/>
  <c r="J38" i="23183"/>
  <c r="AW38" i="23183"/>
  <c r="BZ26" i="23183"/>
  <c r="BY26" i="23183"/>
  <c r="BS26" i="23183"/>
  <c r="CG26" i="23183"/>
  <c r="BU26" i="23183"/>
  <c r="CH26" i="23183"/>
  <c r="BX26" i="23183"/>
  <c r="B21" i="23201"/>
  <c r="C22" i="23184"/>
  <c r="AO22" i="23184" s="1"/>
  <c r="B21" i="23199"/>
  <c r="E21" i="23199" s="1"/>
  <c r="B21" i="23200"/>
  <c r="BT26" i="23183"/>
  <c r="BJ26" i="23183"/>
  <c r="CW26" i="23183"/>
  <c r="BI26" i="23183"/>
  <c r="AA26" i="23183"/>
  <c r="AF26" i="23183"/>
  <c r="AW26" i="23183"/>
  <c r="CM26" i="23183"/>
  <c r="BM26" i="23183"/>
  <c r="BK26" i="23183"/>
  <c r="AM26" i="23183"/>
  <c r="AR26" i="23183"/>
  <c r="U26" i="23183"/>
  <c r="BF26" i="23183"/>
  <c r="BE26" i="23183"/>
  <c r="AX26" i="23183"/>
  <c r="X26" i="23183"/>
  <c r="Y26" i="23183"/>
  <c r="AP26" i="23183"/>
  <c r="AK26" i="23183"/>
  <c r="O26" i="23183"/>
  <c r="N26" i="23183"/>
  <c r="BD26" i="23183"/>
  <c r="S26" i="23183"/>
  <c r="AS26" i="23183"/>
  <c r="C26" i="23183"/>
  <c r="AE26" i="23183"/>
  <c r="AN26" i="23183"/>
  <c r="D26" i="23183"/>
  <c r="BG26" i="23183"/>
  <c r="T26" i="23183"/>
  <c r="AJ26" i="23183"/>
  <c r="Z26" i="23183"/>
  <c r="AI26" i="23183"/>
  <c r="AL26" i="23183"/>
  <c r="AC26" i="23183"/>
  <c r="Q26" i="23183"/>
  <c r="BN26" i="23183"/>
  <c r="BL26" i="23183"/>
  <c r="AY26" i="23183"/>
  <c r="G26" i="23183"/>
  <c r="AQ26" i="23183"/>
  <c r="AP117" i="23184"/>
  <c r="AV117" i="23184"/>
  <c r="AU117" i="23184"/>
  <c r="S117" i="23184"/>
  <c r="AA117" i="23184"/>
  <c r="AJ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J31" i="23183"/>
  <c r="L31" i="23183"/>
  <c r="R55" i="23183"/>
  <c r="F79" i="23183"/>
  <c r="Q67" i="23183"/>
  <c r="AR31" i="23183"/>
  <c r="AK43" i="23183"/>
  <c r="AB55" i="23183"/>
  <c r="AW79" i="23183"/>
  <c r="U67" i="23183"/>
  <c r="U79" i="23183"/>
  <c r="CE50" i="23183"/>
  <c r="I31" i="23183"/>
  <c r="AG67" i="23183"/>
  <c r="G31" i="23183"/>
  <c r="J79" i="23183"/>
  <c r="Z55" i="23183"/>
  <c r="M55" i="23183"/>
  <c r="I79" i="23183"/>
  <c r="T79" i="23183"/>
  <c r="U55" i="23183"/>
  <c r="W79" i="23183"/>
  <c r="N43" i="23183"/>
  <c r="F55" i="23183"/>
  <c r="O67" i="23183"/>
  <c r="R67" i="23183"/>
  <c r="AQ31" i="23183"/>
  <c r="AJ43" i="23183"/>
  <c r="AI55" i="23183"/>
  <c r="AJ67" i="23183"/>
  <c r="AG79" i="23183"/>
  <c r="BE31" i="23183"/>
  <c r="BX55" i="23183"/>
  <c r="C78" i="23198"/>
  <c r="D76" i="23198" s="1"/>
  <c r="AY67" i="23183"/>
  <c r="M43" i="23183"/>
  <c r="C55" i="23183"/>
  <c r="AS31" i="23183"/>
  <c r="AC43" i="23183"/>
  <c r="BB55" i="23183"/>
  <c r="AC79" i="23183"/>
  <c r="AS55" i="23183"/>
  <c r="AS79" i="23183"/>
  <c r="BD31" i="23183"/>
  <c r="BH55" i="23183"/>
  <c r="CV67" i="23183"/>
  <c r="B62" i="23201"/>
  <c r="BK67" i="23183"/>
  <c r="BU67" i="23183"/>
  <c r="CI67" i="23183"/>
  <c r="BE67" i="23183"/>
  <c r="BX67" i="23183"/>
  <c r="BI67" i="23183"/>
  <c r="BQ67" i="23183"/>
  <c r="AE67" i="23183"/>
  <c r="AQ67" i="23183"/>
  <c r="AM67" i="23183"/>
  <c r="V67" i="23183"/>
  <c r="AI67" i="23183"/>
  <c r="Y67" i="23183"/>
  <c r="BJ67" i="23183"/>
  <c r="T67" i="23183"/>
  <c r="AK67" i="23183"/>
  <c r="BM67" i="23183"/>
  <c r="AT67" i="23183"/>
  <c r="L67" i="23183"/>
  <c r="BN67" i="23183"/>
  <c r="Z67" i="23183"/>
  <c r="AS67" i="23183"/>
  <c r="C67" i="23183"/>
  <c r="BO67" i="23183"/>
  <c r="AL67" i="23183"/>
  <c r="AD67" i="23183"/>
  <c r="BH67" i="23183"/>
  <c r="AP67" i="23183"/>
  <c r="AU67" i="23183"/>
  <c r="AO67" i="23183"/>
  <c r="AA67" i="23183"/>
  <c r="X67" i="23183"/>
  <c r="BB67" i="23183"/>
  <c r="AN67" i="23183"/>
  <c r="AC67" i="23183"/>
  <c r="H67" i="23183"/>
  <c r="W67" i="23183"/>
  <c r="AH67" i="23183"/>
  <c r="I67" i="23183"/>
  <c r="AF67" i="23183"/>
  <c r="K67" i="23183"/>
  <c r="AV67" i="23183"/>
  <c r="CO43" i="23183"/>
  <c r="BX43" i="23183"/>
  <c r="CM43" i="23183"/>
  <c r="BE43" i="23183"/>
  <c r="B38" i="23201"/>
  <c r="Y43" i="23183"/>
  <c r="BG43" i="23183"/>
  <c r="BJ43" i="23183"/>
  <c r="BH43" i="23183"/>
  <c r="BK43" i="23183"/>
  <c r="BN43" i="23183"/>
  <c r="AY43" i="23183"/>
  <c r="AS43" i="23183"/>
  <c r="AN43" i="23183"/>
  <c r="V43" i="23183"/>
  <c r="X43" i="23183"/>
  <c r="BL43" i="23183"/>
  <c r="S43" i="23183"/>
  <c r="AL43" i="23183"/>
  <c r="BM43" i="23183"/>
  <c r="AE43" i="23183"/>
  <c r="AM43" i="23183"/>
  <c r="D43" i="23183"/>
  <c r="G43" i="23183"/>
  <c r="AQ43" i="23183"/>
  <c r="T43" i="23183"/>
  <c r="J43" i="23183"/>
  <c r="Q43" i="23183"/>
  <c r="AA43" i="23183"/>
  <c r="AG43" i="23183"/>
  <c r="AR43" i="23183"/>
  <c r="AP43" i="23183"/>
  <c r="U43" i="23183"/>
  <c r="BD43" i="23183"/>
  <c r="Z43" i="23183"/>
  <c r="AH43" i="23183"/>
  <c r="L43" i="23183"/>
  <c r="AI43" i="23183"/>
  <c r="C43" i="23183"/>
  <c r="CL43" i="23183"/>
  <c r="AW43" i="23183"/>
  <c r="AF43" i="23183"/>
  <c r="B14" i="23201"/>
  <c r="AC19" i="23183"/>
  <c r="CP19" i="23183"/>
  <c r="CO19" i="23183"/>
  <c r="BL19" i="23183"/>
  <c r="K19" i="23183"/>
  <c r="X19" i="23183"/>
  <c r="AJ19" i="23183"/>
  <c r="J19" i="23183"/>
  <c r="BK19" i="23183"/>
  <c r="AP19" i="23183"/>
  <c r="AI19" i="23183"/>
  <c r="AF19" i="23183"/>
  <c r="W19" i="23183"/>
  <c r="AV99" i="23184"/>
  <c r="AN99" i="23184"/>
  <c r="L99" i="23184"/>
  <c r="O99" i="23184"/>
  <c r="Z99" i="23184"/>
  <c r="G99" i="23184"/>
  <c r="F99" i="23184"/>
  <c r="AJ99" i="23184"/>
  <c r="I99" i="23184"/>
  <c r="J99" i="23184"/>
  <c r="AA99" i="23184"/>
  <c r="B98" i="23184"/>
  <c r="AU99" i="23184"/>
  <c r="H99" i="23184"/>
  <c r="N99" i="23184"/>
  <c r="U99" i="23184"/>
  <c r="E99" i="23184"/>
  <c r="AX31" i="23183"/>
  <c r="AZ67" i="23183"/>
  <c r="AL55" i="23183"/>
  <c r="AB67" i="23183"/>
  <c r="O43" i="23183"/>
  <c r="K79" i="23183"/>
  <c r="AX43" i="23183"/>
  <c r="H55" i="23183"/>
  <c r="AX67" i="23183"/>
  <c r="V79" i="23183"/>
  <c r="BE79" i="23183"/>
  <c r="H17" i="23202"/>
  <c r="K43" i="23183"/>
  <c r="O55" i="23183"/>
  <c r="AE55" i="23183"/>
  <c r="AG31" i="23183"/>
  <c r="W43" i="23183"/>
  <c r="AY55" i="23183"/>
  <c r="AB43" i="23183"/>
  <c r="B45" i="23201"/>
  <c r="BU79" i="23183"/>
  <c r="CU79" i="23183"/>
  <c r="BS79" i="23183"/>
  <c r="C75" i="23184"/>
  <c r="AO75" i="23184" s="1"/>
  <c r="CG79" i="23183"/>
  <c r="BV79" i="23183"/>
  <c r="BQ79" i="23183"/>
  <c r="BJ79" i="23183"/>
  <c r="BK79" i="23183"/>
  <c r="BH79" i="23183"/>
  <c r="AK79" i="23183"/>
  <c r="Y79" i="23183"/>
  <c r="BI79" i="23183"/>
  <c r="AB79" i="23183"/>
  <c r="Z79" i="23183"/>
  <c r="AD79" i="23183"/>
  <c r="AT79" i="23183"/>
  <c r="BL79" i="23183"/>
  <c r="AZ79" i="23183"/>
  <c r="AM79" i="23183"/>
  <c r="AE79" i="23183"/>
  <c r="AY79" i="23183"/>
  <c r="S79" i="23183"/>
  <c r="BA79" i="23183"/>
  <c r="AO79" i="23183"/>
  <c r="M79" i="23183"/>
  <c r="AH79" i="23183"/>
  <c r="BB79" i="23183"/>
  <c r="BN79" i="23183"/>
  <c r="X79" i="23183"/>
  <c r="AN79" i="23183"/>
  <c r="Q79" i="23183"/>
  <c r="BO79" i="23183"/>
  <c r="D79" i="23183"/>
  <c r="AR79" i="23183"/>
  <c r="AU79" i="23183"/>
  <c r="AA79" i="23183"/>
  <c r="BM79" i="23183"/>
  <c r="AI79" i="23183"/>
  <c r="AF79" i="23183"/>
  <c r="AV79" i="23183"/>
  <c r="R79" i="23183"/>
  <c r="BD79" i="23183"/>
  <c r="AX79" i="23183"/>
  <c r="O79" i="23183"/>
  <c r="N79" i="23183"/>
  <c r="C79" i="23183"/>
  <c r="CV55" i="23183"/>
  <c r="BU55" i="23183"/>
  <c r="CI55" i="23183"/>
  <c r="BN55" i="23183"/>
  <c r="BE55" i="23183"/>
  <c r="B50" i="23200"/>
  <c r="BL55" i="23183"/>
  <c r="B50" i="23201"/>
  <c r="BM55" i="23183"/>
  <c r="BO55" i="23183"/>
  <c r="BF55" i="23183"/>
  <c r="AZ55" i="23183"/>
  <c r="AF55" i="23183"/>
  <c r="BA55" i="23183"/>
  <c r="S55" i="23183"/>
  <c r="BD55" i="23183"/>
  <c r="AD55" i="23183"/>
  <c r="V55" i="23183"/>
  <c r="BQ55" i="23183"/>
  <c r="AA55" i="23183"/>
  <c r="AP55" i="23183"/>
  <c r="AK55" i="23183"/>
  <c r="D55" i="23183"/>
  <c r="BG55" i="23183"/>
  <c r="AO55" i="23183"/>
  <c r="W55" i="23183"/>
  <c r="N55" i="23183"/>
  <c r="Q55" i="23183"/>
  <c r="AM55" i="23183"/>
  <c r="AT55" i="23183"/>
  <c r="Y55" i="23183"/>
  <c r="X55" i="23183"/>
  <c r="AC55" i="23183"/>
  <c r="J55" i="23183"/>
  <c r="AN55" i="23183"/>
  <c r="AR55" i="23183"/>
  <c r="I55" i="23183"/>
  <c r="G55" i="23183"/>
  <c r="AG55" i="23183"/>
  <c r="AV55" i="23183"/>
  <c r="AH55" i="23183"/>
  <c r="BJ55" i="23183"/>
  <c r="AX55" i="23183"/>
  <c r="CL31" i="23183"/>
  <c r="CM31" i="23183"/>
  <c r="BX31" i="23183"/>
  <c r="CO31" i="23183"/>
  <c r="BF31" i="23183"/>
  <c r="B26" i="23199"/>
  <c r="BG31" i="23183"/>
  <c r="BJ31" i="23183"/>
  <c r="BI31" i="23183"/>
  <c r="BM31" i="23183"/>
  <c r="AM31" i="23183"/>
  <c r="AC31" i="23183"/>
  <c r="S31" i="23183"/>
  <c r="AW31" i="23183"/>
  <c r="AD31" i="23183"/>
  <c r="Y31" i="23183"/>
  <c r="BH31" i="23183"/>
  <c r="AA31" i="23183"/>
  <c r="AF31" i="23183"/>
  <c r="O31" i="23183"/>
  <c r="AB31" i="23183"/>
  <c r="AH31" i="23183"/>
  <c r="C31" i="23183"/>
  <c r="AN31" i="23183"/>
  <c r="AI31" i="23183"/>
  <c r="H31" i="23183"/>
  <c r="AY31" i="23183"/>
  <c r="AO31" i="23183"/>
  <c r="BK31" i="23183"/>
  <c r="X31" i="23183"/>
  <c r="AK31" i="23183"/>
  <c r="M31" i="23183"/>
  <c r="AJ31" i="23183"/>
  <c r="T31" i="23183"/>
  <c r="D31" i="23183"/>
  <c r="AL31" i="23183"/>
  <c r="V31" i="23183"/>
  <c r="F31" i="23183"/>
  <c r="BL31" i="23183"/>
  <c r="AE31" i="23183"/>
  <c r="AP88" i="23184"/>
  <c r="AV88" i="23184"/>
  <c r="AN88" i="23184"/>
  <c r="R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CI79" i="23183"/>
  <c r="W31" i="23183"/>
  <c r="BF79" i="23183"/>
  <c r="AW67" i="23183"/>
  <c r="I43" i="23183"/>
  <c r="L55" i="23183"/>
  <c r="H79" i="23183"/>
  <c r="U31" i="23183"/>
  <c r="AD43" i="23183"/>
  <c r="AW55" i="23183"/>
  <c r="BN31" i="23183"/>
  <c r="AJ55" i="23183"/>
  <c r="N88" i="23184"/>
  <c r="CD19" i="23183"/>
  <c r="AP118" i="23184"/>
  <c r="R118" i="23184"/>
  <c r="AU118" i="23184"/>
  <c r="O118" i="23184"/>
  <c r="J118" i="23184"/>
  <c r="AV118" i="23184"/>
  <c r="T118" i="23184"/>
  <c r="P118" i="23184"/>
  <c r="F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Z84" i="23184"/>
  <c r="V84" i="23184"/>
  <c r="P84" i="23184"/>
  <c r="F84" i="23184"/>
  <c r="AA84" i="23184"/>
  <c r="X84" i="23184"/>
  <c r="G84" i="23184"/>
  <c r="Y118" i="23184"/>
  <c r="AJ118" i="23184"/>
  <c r="N118" i="23184"/>
  <c r="CE83" i="23183"/>
  <c r="CU83" i="23183"/>
  <c r="BZ83" i="23183"/>
  <c r="CN83" i="23183"/>
  <c r="BT83" i="23183"/>
  <c r="CH83" i="23183"/>
  <c r="BF83" i="23183"/>
  <c r="BM83" i="23183"/>
  <c r="CY83" i="23183"/>
  <c r="CD83" i="23183"/>
  <c r="BJ83" i="23183"/>
  <c r="BK83" i="23183"/>
  <c r="BO83" i="23183"/>
  <c r="AK83" i="23183"/>
  <c r="BG83" i="23183"/>
  <c r="AF83" i="23183"/>
  <c r="S83" i="23183"/>
  <c r="AY83" i="23183"/>
  <c r="BL83" i="23183"/>
  <c r="BH83" i="23183"/>
  <c r="AH83" i="23183"/>
  <c r="T83" i="23183"/>
  <c r="BA83" i="23183"/>
  <c r="Y83" i="23183"/>
  <c r="V83" i="23183"/>
  <c r="BB83" i="23183"/>
  <c r="AG83" i="23183"/>
  <c r="I83" i="23183"/>
  <c r="J83" i="23183"/>
  <c r="BE83" i="23183"/>
  <c r="AL83" i="23183"/>
  <c r="U83" i="23183"/>
  <c r="AU83" i="23183"/>
  <c r="C83" i="23183"/>
  <c r="BQ83" i="23183"/>
  <c r="AI83" i="23183"/>
  <c r="AP83" i="23183"/>
  <c r="AV83" i="23183"/>
  <c r="H83" i="23183"/>
  <c r="AR83" i="23183"/>
  <c r="AE83" i="23183"/>
  <c r="AX83" i="23183"/>
  <c r="D83" i="23183"/>
  <c r="R83" i="23183"/>
  <c r="N83" i="23183"/>
  <c r="AT83" i="23183"/>
  <c r="CE71" i="23183"/>
  <c r="CL71" i="23183"/>
  <c r="CW71" i="23183"/>
  <c r="CT71" i="23183"/>
  <c r="BV71" i="23183"/>
  <c r="CJ71" i="23183"/>
  <c r="B66" i="23201"/>
  <c r="E66" i="23201" s="1"/>
  <c r="CQ71" i="23183"/>
  <c r="BG71" i="23183"/>
  <c r="BL71" i="23183"/>
  <c r="V71" i="23183"/>
  <c r="BK71" i="23183"/>
  <c r="BD71" i="23183"/>
  <c r="AD71" i="23183"/>
  <c r="BE71" i="23183"/>
  <c r="AS71" i="23183"/>
  <c r="DA71" i="23183"/>
  <c r="B66" i="23199"/>
  <c r="BH71" i="23183"/>
  <c r="BM71" i="23183"/>
  <c r="AE71" i="23183"/>
  <c r="BI71" i="23183"/>
  <c r="BA71" i="23183"/>
  <c r="AP71" i="23183"/>
  <c r="BB71" i="23183"/>
  <c r="AI71" i="23183"/>
  <c r="AQ71" i="23183"/>
  <c r="AB71" i="23183"/>
  <c r="AN71" i="23183"/>
  <c r="AT71" i="23183"/>
  <c r="U71" i="23183"/>
  <c r="T71" i="23183"/>
  <c r="AH71" i="23183"/>
  <c r="AR71" i="23183"/>
  <c r="AC71" i="23183"/>
  <c r="AY71" i="23183"/>
  <c r="F71" i="23183"/>
  <c r="D71" i="23183"/>
  <c r="CA71" i="23183"/>
  <c r="BJ71" i="23183"/>
  <c r="AO71" i="23183"/>
  <c r="Y71" i="23183"/>
  <c r="G71" i="23183"/>
  <c r="CD71" i="23183"/>
  <c r="AA71" i="23183"/>
  <c r="AJ71" i="23183"/>
  <c r="AK71" i="23183"/>
  <c r="H71" i="23183"/>
  <c r="M71" i="23183"/>
  <c r="J71" i="23183"/>
  <c r="X71" i="23183"/>
  <c r="AL71" i="23183"/>
  <c r="S71" i="23183"/>
  <c r="AZ71" i="23183"/>
  <c r="CQ59" i="23183"/>
  <c r="BX59" i="23183"/>
  <c r="C55" i="23184"/>
  <c r="AO55" i="23184" s="1"/>
  <c r="CJ59" i="23183"/>
  <c r="B54" i="23199"/>
  <c r="CN59" i="23183"/>
  <c r="CA59" i="23183"/>
  <c r="BW59" i="23183"/>
  <c r="BJ59" i="23183"/>
  <c r="CX59" i="23183"/>
  <c r="BO59" i="23183"/>
  <c r="BD59" i="23183"/>
  <c r="CZ59" i="23183"/>
  <c r="CP59" i="23183"/>
  <c r="BM59" i="23183"/>
  <c r="AC59" i="23183"/>
  <c r="CR59" i="23183"/>
  <c r="B54" i="23201"/>
  <c r="BN59" i="23183"/>
  <c r="BQ59" i="23183"/>
  <c r="BH59" i="23183"/>
  <c r="BA59" i="23183"/>
  <c r="W59" i="23183"/>
  <c r="BI59" i="23183"/>
  <c r="AH59" i="23183"/>
  <c r="BB59" i="23183"/>
  <c r="AJ59" i="23183"/>
  <c r="BK59" i="23183"/>
  <c r="AT59" i="23183"/>
  <c r="AA59" i="23183"/>
  <c r="H59" i="23183"/>
  <c r="CY59" i="23183"/>
  <c r="BL59" i="23183"/>
  <c r="Y59" i="23183"/>
  <c r="AN59" i="23183"/>
  <c r="AY59" i="23183"/>
  <c r="K59" i="23183"/>
  <c r="CB59" i="23183"/>
  <c r="AO59" i="23183"/>
  <c r="U59" i="23183"/>
  <c r="AZ59" i="23183"/>
  <c r="AR59" i="23183"/>
  <c r="M59" i="23183"/>
  <c r="Q59" i="23183"/>
  <c r="CU59" i="23183"/>
  <c r="X59" i="23183"/>
  <c r="AD59" i="23183"/>
  <c r="Z59" i="23183"/>
  <c r="R59" i="23183"/>
  <c r="B54" i="23200"/>
  <c r="AM59" i="23183"/>
  <c r="AL59" i="23183"/>
  <c r="S59" i="23183"/>
  <c r="L59" i="23183"/>
  <c r="AE59" i="23183"/>
  <c r="AF59" i="23183"/>
  <c r="BV47" i="23183"/>
  <c r="CI47" i="23183"/>
  <c r="BR47" i="23183"/>
  <c r="CO47" i="23183"/>
  <c r="B42" i="23200"/>
  <c r="CG47" i="23183"/>
  <c r="CH47" i="23183"/>
  <c r="CN47" i="23183"/>
  <c r="BM47" i="23183"/>
  <c r="BI47" i="23183"/>
  <c r="BH47" i="23183"/>
  <c r="BF47" i="23183"/>
  <c r="BE47" i="23183"/>
  <c r="BJ47" i="23183"/>
  <c r="BG47" i="23183"/>
  <c r="T47" i="23183"/>
  <c r="BW47" i="23183"/>
  <c r="BL47" i="23183"/>
  <c r="BN47" i="23183"/>
  <c r="AN47" i="23183"/>
  <c r="S47" i="23183"/>
  <c r="AA47" i="23183"/>
  <c r="H47" i="23183"/>
  <c r="AE47" i="23183"/>
  <c r="AC47" i="23183"/>
  <c r="CB47" i="23183"/>
  <c r="AG47" i="23183"/>
  <c r="AB47" i="23183"/>
  <c r="Y47" i="23183"/>
  <c r="L47" i="23183"/>
  <c r="G47" i="23183"/>
  <c r="AW47" i="23183"/>
  <c r="AS47" i="23183"/>
  <c r="X47" i="23183"/>
  <c r="O47" i="23183"/>
  <c r="AX47" i="23183"/>
  <c r="V47" i="23183"/>
  <c r="C47" i="23183"/>
  <c r="W47" i="23183"/>
  <c r="C43" i="23184"/>
  <c r="AO43" i="23184" s="1"/>
  <c r="AI47" i="23183"/>
  <c r="BZ35" i="23183"/>
  <c r="CQ35" i="23183"/>
  <c r="B30" i="23201"/>
  <c r="CP35" i="23183"/>
  <c r="B30" i="23200"/>
  <c r="BV35" i="23183"/>
  <c r="CO35" i="23183"/>
  <c r="BK35" i="23183"/>
  <c r="AI35" i="23183"/>
  <c r="BI35" i="23183"/>
  <c r="CN35" i="23183"/>
  <c r="BG35" i="23183"/>
  <c r="BE35" i="23183"/>
  <c r="AM35" i="23183"/>
  <c r="AK35" i="23183"/>
  <c r="AL35" i="23183"/>
  <c r="BL35" i="23183"/>
  <c r="BN35" i="23183"/>
  <c r="AW35" i="23183"/>
  <c r="Y35" i="23183"/>
  <c r="S35" i="23183"/>
  <c r="AB35" i="23183"/>
  <c r="AO35" i="23183"/>
  <c r="T35" i="23183"/>
  <c r="AY35" i="23183"/>
  <c r="AD35" i="23183"/>
  <c r="I35" i="23183"/>
  <c r="BD35" i="23183"/>
  <c r="AR35" i="23183"/>
  <c r="J35" i="23183"/>
  <c r="AE35" i="23183"/>
  <c r="G35" i="23183"/>
  <c r="BS35" i="23183"/>
  <c r="V35" i="23183"/>
  <c r="U35" i="23183"/>
  <c r="L35" i="23183"/>
  <c r="K35" i="23183"/>
  <c r="CE35" i="23183"/>
  <c r="BF35" i="23183"/>
  <c r="AJ35" i="23183"/>
  <c r="X35" i="23183"/>
  <c r="CJ23" i="23183"/>
  <c r="BW23" i="23183"/>
  <c r="CW23" i="23183"/>
  <c r="B18" i="23199"/>
  <c r="CX23" i="23183"/>
  <c r="B18" i="23200"/>
  <c r="E18" i="23200" s="1"/>
  <c r="BN23" i="23183"/>
  <c r="BX23" i="23183"/>
  <c r="C19" i="23184"/>
  <c r="AO19" i="23184" s="1"/>
  <c r="BJ23" i="23183"/>
  <c r="CP23" i="23183"/>
  <c r="BL23" i="23183"/>
  <c r="BT23" i="23183"/>
  <c r="BM23" i="23183"/>
  <c r="BI23" i="23183"/>
  <c r="BY23" i="23183"/>
  <c r="AL23" i="23183"/>
  <c r="AG23" i="23183"/>
  <c r="CN23" i="23183"/>
  <c r="AA23" i="23183"/>
  <c r="AS23" i="23183"/>
  <c r="I23" i="23183"/>
  <c r="BE23" i="23183"/>
  <c r="W23" i="23183"/>
  <c r="AY23" i="23183"/>
  <c r="AH23" i="23183"/>
  <c r="M23" i="23183"/>
  <c r="AI23" i="23183"/>
  <c r="T23" i="23183"/>
  <c r="L23" i="23183"/>
  <c r="O23" i="23183"/>
  <c r="BK23" i="23183"/>
  <c r="X23" i="23183"/>
  <c r="U23" i="23183"/>
  <c r="AQ23" i="23183"/>
  <c r="Z23" i="23183"/>
  <c r="V23" i="23183"/>
  <c r="BG23" i="23183"/>
  <c r="BD23" i="23183"/>
  <c r="AM23" i="23183"/>
  <c r="Y23" i="23183"/>
  <c r="S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X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R94" i="23184"/>
  <c r="N105" i="23184"/>
  <c r="BI84" i="23183"/>
  <c r="CD84" i="23183"/>
  <c r="BW84" i="23183"/>
  <c r="CI84" i="23183"/>
  <c r="CY84" i="23183"/>
  <c r="CB84" i="23183"/>
  <c r="BS84" i="23183"/>
  <c r="BG84" i="23183"/>
  <c r="CE84" i="23183"/>
  <c r="CP84" i="23183"/>
  <c r="BH84" i="23183"/>
  <c r="BF84" i="23183"/>
  <c r="CW84" i="23183"/>
  <c r="CX84" i="23183"/>
  <c r="BJ84" i="23183"/>
  <c r="BM84" i="23183"/>
  <c r="BE84" i="23183"/>
  <c r="AH84" i="23183"/>
  <c r="S84" i="23183"/>
  <c r="C80" i="23184"/>
  <c r="AO80" i="23184" s="1"/>
  <c r="BQ84" i="23183"/>
  <c r="V84" i="23183"/>
  <c r="AV84" i="23183"/>
  <c r="AK84" i="23183"/>
  <c r="AM84" i="23183"/>
  <c r="AX84" i="23183"/>
  <c r="Y84" i="23183"/>
  <c r="J84" i="23183"/>
  <c r="CO72" i="23183"/>
  <c r="CG72" i="23183"/>
  <c r="CK72" i="23183"/>
  <c r="CM72" i="23183"/>
  <c r="CP72" i="23183"/>
  <c r="CI72" i="23183"/>
  <c r="CY72" i="23183"/>
  <c r="BS72" i="23183"/>
  <c r="CU72" i="23183"/>
  <c r="CZ72" i="23183"/>
  <c r="CF72" i="23183"/>
  <c r="CW72" i="23183"/>
  <c r="BV72" i="23183"/>
  <c r="BW72" i="23183"/>
  <c r="BH72" i="23183"/>
  <c r="CC72" i="23183"/>
  <c r="CJ72" i="23183"/>
  <c r="C68" i="23184"/>
  <c r="AO68" i="23184" s="1"/>
  <c r="B67" i="23201"/>
  <c r="DA72" i="23183"/>
  <c r="BX72" i="23183"/>
  <c r="B67" i="23199"/>
  <c r="BT72" i="23183"/>
  <c r="CS72" i="23183"/>
  <c r="CA72" i="23183"/>
  <c r="CT72" i="23183"/>
  <c r="B67" i="23200"/>
  <c r="CV72" i="23183"/>
  <c r="BJ72" i="23183"/>
  <c r="CX72" i="23183"/>
  <c r="AA72" i="23183"/>
  <c r="BZ72" i="23183"/>
  <c r="BI72" i="23183"/>
  <c r="BL72" i="23183"/>
  <c r="CN72" i="23183"/>
  <c r="BK72" i="23183"/>
  <c r="BO72" i="23183"/>
  <c r="CQ72" i="23183"/>
  <c r="AR72" i="23183"/>
  <c r="AC72" i="23183"/>
  <c r="AY72" i="23183"/>
  <c r="X72" i="23183"/>
  <c r="CR72" i="23183"/>
  <c r="AD72" i="23183"/>
  <c r="AO72" i="23183"/>
  <c r="AZ72" i="23183"/>
  <c r="U72" i="23183"/>
  <c r="BU72" i="23183"/>
  <c r="BM72" i="23183"/>
  <c r="AT72" i="23183"/>
  <c r="AG72" i="23183"/>
  <c r="L72" i="23183"/>
  <c r="H72" i="23183"/>
  <c r="CY60" i="23183"/>
  <c r="CQ60" i="23183"/>
  <c r="CU60" i="23183"/>
  <c r="CC60" i="23183"/>
  <c r="BU60" i="23183"/>
  <c r="CW60" i="23183"/>
  <c r="CO60" i="23183"/>
  <c r="CG60" i="23183"/>
  <c r="BZ60" i="23183"/>
  <c r="CP60" i="23183"/>
  <c r="CT60" i="23183"/>
  <c r="BY60" i="23183"/>
  <c r="CM60" i="23183"/>
  <c r="CS60" i="23183"/>
  <c r="CB60" i="23183"/>
  <c r="BV60" i="23183"/>
  <c r="CN60" i="23183"/>
  <c r="CH60" i="23183"/>
  <c r="W60" i="23183"/>
  <c r="CR60" i="23183"/>
  <c r="CA60" i="23183"/>
  <c r="BX60" i="23183"/>
  <c r="B55" i="23201"/>
  <c r="F55" i="23201" s="1"/>
  <c r="C55" i="23201" s="1"/>
  <c r="BK60" i="23183"/>
  <c r="CZ60" i="23183"/>
  <c r="CJ60" i="23183"/>
  <c r="BW60" i="23183"/>
  <c r="CI60" i="23183"/>
  <c r="BJ60" i="23183"/>
  <c r="CV60" i="23183"/>
  <c r="BL60" i="23183"/>
  <c r="AJ60" i="23183"/>
  <c r="DA60" i="23183"/>
  <c r="CL60" i="23183"/>
  <c r="AK60" i="23183"/>
  <c r="BR60" i="23183"/>
  <c r="C56" i="23184"/>
  <c r="AO56" i="23184" s="1"/>
  <c r="Z60" i="23183"/>
  <c r="CD60" i="23183"/>
  <c r="B55" i="23199"/>
  <c r="G55" i="23199" s="1"/>
  <c r="AQ60" i="23183"/>
  <c r="AY60" i="23183"/>
  <c r="AH60" i="23183"/>
  <c r="T60" i="23183"/>
  <c r="BS60" i="23183"/>
  <c r="B55" i="23200"/>
  <c r="BG60" i="23183"/>
  <c r="AD60" i="23183"/>
  <c r="Y60" i="23183"/>
  <c r="AA60" i="23183"/>
  <c r="V60" i="23183"/>
  <c r="BU48" i="23183"/>
  <c r="CL48" i="23183"/>
  <c r="CK48" i="23183"/>
  <c r="W48" i="23183"/>
  <c r="C44" i="23184"/>
  <c r="AO44" i="23184" s="1"/>
  <c r="BF48" i="23183"/>
  <c r="BD48" i="23183"/>
  <c r="B43" i="23199"/>
  <c r="B43" i="23201"/>
  <c r="BH48" i="23183"/>
  <c r="BE48" i="23183"/>
  <c r="B43" i="23200"/>
  <c r="AJ48" i="23183"/>
  <c r="BV48" i="23183"/>
  <c r="AH48" i="23183"/>
  <c r="T48" i="23183"/>
  <c r="Z48" i="23183"/>
  <c r="CW48" i="23183"/>
  <c r="BN48" i="23183"/>
  <c r="AX48" i="23183"/>
  <c r="AF48" i="23183"/>
  <c r="AC48" i="23183"/>
  <c r="Q48" i="23183"/>
  <c r="BZ48" i="23183"/>
  <c r="AI48" i="23183"/>
  <c r="AY48" i="23183"/>
  <c r="AR48" i="23183"/>
  <c r="AG48" i="23183"/>
  <c r="CL36" i="23183"/>
  <c r="CH36" i="23183"/>
  <c r="CW36" i="23183"/>
  <c r="B31" i="23200"/>
  <c r="CO36" i="23183"/>
  <c r="CP36" i="23183"/>
  <c r="B31" i="23199"/>
  <c r="CK36" i="23183"/>
  <c r="BK36" i="23183"/>
  <c r="BW36" i="23183"/>
  <c r="BI36" i="23183"/>
  <c r="BM36" i="23183"/>
  <c r="BL36" i="23183"/>
  <c r="BN36" i="23183"/>
  <c r="BF36" i="23183"/>
  <c r="BD36" i="23183"/>
  <c r="BJ36" i="23183"/>
  <c r="AX36" i="23183"/>
  <c r="AD36" i="23183"/>
  <c r="AH36" i="23183"/>
  <c r="BH36" i="23183"/>
  <c r="AY36" i="23183"/>
  <c r="AR36" i="23183"/>
  <c r="AI36" i="23183"/>
  <c r="BS24" i="23183"/>
  <c r="BZ24" i="23183"/>
  <c r="BT24" i="23183"/>
  <c r="BV24" i="23183"/>
  <c r="C20" i="23184"/>
  <c r="AO20" i="23184" s="1"/>
  <c r="CK24" i="23183"/>
  <c r="B19" i="23199"/>
  <c r="E19" i="23199" s="1"/>
  <c r="CL24" i="23183"/>
  <c r="BJ24" i="23183"/>
  <c r="BR24" i="23183"/>
  <c r="CD24" i="23183"/>
  <c r="B19" i="23201"/>
  <c r="BI24" i="23183"/>
  <c r="BM24" i="23183"/>
  <c r="X24" i="23183"/>
  <c r="AB24" i="23183"/>
  <c r="AJ24" i="23183"/>
  <c r="AC24" i="23183"/>
  <c r="BK24" i="23183"/>
  <c r="BE24" i="23183"/>
  <c r="Y24" i="23183"/>
  <c r="AE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V93" i="23184"/>
  <c r="P93" i="23184"/>
  <c r="C84" i="23183"/>
  <c r="H84" i="23183"/>
  <c r="H60" i="23183"/>
  <c r="K84" i="23183"/>
  <c r="T72" i="23183"/>
  <c r="Z84" i="23183"/>
  <c r="AS36" i="23183"/>
  <c r="AK36" i="23183"/>
  <c r="AS60" i="23183"/>
  <c r="BA60" i="23183"/>
  <c r="AO60" i="23183"/>
  <c r="AB84" i="23183"/>
  <c r="AO84" i="23183"/>
  <c r="AW24" i="23183"/>
  <c r="AX24" i="23183"/>
  <c r="H24" i="23183"/>
  <c r="S48" i="23183"/>
  <c r="AI72" i="23183"/>
  <c r="BF24" i="23183"/>
  <c r="BL84" i="23183"/>
  <c r="AJ93" i="23184"/>
  <c r="K94" i="23184"/>
  <c r="V94" i="23184"/>
  <c r="Y105" i="23184"/>
  <c r="AJ104" i="23184"/>
  <c r="BL24" i="23183"/>
  <c r="D48" i="23183"/>
  <c r="J48" i="23183"/>
  <c r="Q72" i="23183"/>
  <c r="AJ72" i="23183"/>
  <c r="AE36" i="23183"/>
  <c r="Y36" i="23183"/>
  <c r="AF60" i="23183"/>
  <c r="J60" i="23183"/>
  <c r="Y72" i="23183"/>
  <c r="AN84" i="23183"/>
  <c r="AQ24" i="23183"/>
  <c r="AL24" i="23183"/>
  <c r="Y48" i="23183"/>
  <c r="W72" i="23183"/>
  <c r="T84" i="23183"/>
  <c r="W84" i="23183"/>
  <c r="BD60" i="23183"/>
  <c r="BG48" i="23183"/>
  <c r="BG72" i="23183"/>
  <c r="AA84" i="23183"/>
  <c r="F94" i="23184"/>
  <c r="B31" i="23201"/>
  <c r="N60" i="23183"/>
  <c r="F48" i="23183"/>
  <c r="G72" i="23183"/>
  <c r="K48" i="23183"/>
  <c r="AP48" i="23183"/>
  <c r="AL60" i="23183"/>
  <c r="AO36" i="23183"/>
  <c r="AW36" i="23183"/>
  <c r="AJ36" i="23183"/>
  <c r="S60" i="23183"/>
  <c r="AT84" i="23183"/>
  <c r="X60" i="23183"/>
  <c r="AM72" i="23183"/>
  <c r="AM24" i="23183"/>
  <c r="Z24" i="23183"/>
  <c r="AS48" i="23183"/>
  <c r="AD48" i="23183"/>
  <c r="AH72" i="23183"/>
  <c r="AB72" i="23183"/>
  <c r="AF84" i="23183"/>
  <c r="BM60" i="23183"/>
  <c r="BJ48" i="23183"/>
  <c r="BF72" i="23183"/>
  <c r="J94" i="23184"/>
  <c r="V105" i="23184"/>
  <c r="R105" i="23184"/>
  <c r="AN93" i="23184"/>
  <c r="CI24" i="23183"/>
  <c r="W56" i="23183"/>
  <c r="V44" i="23183"/>
  <c r="AL80" i="23183"/>
  <c r="BF56" i="23183"/>
  <c r="J44" i="23183"/>
  <c r="AD56" i="23183"/>
  <c r="BB56" i="23183"/>
  <c r="AY68" i="23183"/>
  <c r="AV80" i="23183"/>
  <c r="Y56" i="23183"/>
  <c r="S80" i="23183"/>
  <c r="CZ80" i="23183"/>
  <c r="DA80" i="23183"/>
  <c r="C76" i="23184"/>
  <c r="AO76" i="23184" s="1"/>
  <c r="CE80" i="23183"/>
  <c r="BW80" i="23183"/>
  <c r="BQ80" i="23183"/>
  <c r="BH80" i="23183"/>
  <c r="BI80" i="23183"/>
  <c r="BD80" i="23183"/>
  <c r="BJ80" i="23183"/>
  <c r="Z80" i="23183"/>
  <c r="BK80" i="23183"/>
  <c r="AR80" i="23183"/>
  <c r="BL80" i="23183"/>
  <c r="AG80" i="23183"/>
  <c r="AS80" i="23183"/>
  <c r="V80" i="23183"/>
  <c r="BN80" i="23183"/>
  <c r="CK68" i="23183"/>
  <c r="BZ68" i="23183"/>
  <c r="B63" i="23200"/>
  <c r="M63" i="23200" s="1"/>
  <c r="B63" i="23199"/>
  <c r="BF68" i="23183"/>
  <c r="B63" i="23201"/>
  <c r="Y68" i="23183"/>
  <c r="BE68" i="23183"/>
  <c r="BH68" i="23183"/>
  <c r="BL68" i="23183"/>
  <c r="AS68" i="23183"/>
  <c r="BM68" i="23183"/>
  <c r="AD68" i="23183"/>
  <c r="BN68" i="23183"/>
  <c r="AE68" i="23183"/>
  <c r="AC68" i="23183"/>
  <c r="CN68" i="23183"/>
  <c r="BQ68" i="23183"/>
  <c r="AF68" i="23183"/>
  <c r="CW56" i="23183"/>
  <c r="CY56" i="23183"/>
  <c r="BW56" i="23183"/>
  <c r="BX56" i="23183"/>
  <c r="C52" i="23184"/>
  <c r="AO52" i="23184" s="1"/>
  <c r="BO56" i="23183"/>
  <c r="BE56" i="23183"/>
  <c r="BG56" i="23183"/>
  <c r="AQ56" i="23183"/>
  <c r="BQ56" i="23183"/>
  <c r="BJ56" i="23183"/>
  <c r="BK56" i="23183"/>
  <c r="BL56" i="23183"/>
  <c r="BD56" i="23183"/>
  <c r="BZ44" i="23183"/>
  <c r="CB44" i="23183"/>
  <c r="BE44" i="23183"/>
  <c r="BI44" i="23183"/>
  <c r="BJ44" i="23183"/>
  <c r="BF44" i="23183"/>
  <c r="AL44" i="23183"/>
  <c r="BK44" i="23183"/>
  <c r="CQ32" i="23183"/>
  <c r="C28" i="23184"/>
  <c r="AO28" i="23184" s="1"/>
  <c r="B27" i="23199"/>
  <c r="BI32" i="23183"/>
  <c r="BL32" i="23183"/>
  <c r="BM32" i="23183"/>
  <c r="BE32" i="23183"/>
  <c r="B15" i="23201"/>
  <c r="CQ20" i="23183"/>
  <c r="AV89" i="23184"/>
  <c r="Z89" i="23184"/>
  <c r="I89" i="23184"/>
  <c r="Q89" i="23184"/>
  <c r="M89" i="23184"/>
  <c r="Y89" i="23184"/>
  <c r="X89" i="23184"/>
  <c r="L89" i="23184"/>
  <c r="G89" i="23184"/>
  <c r="J89" i="23184"/>
  <c r="H89" i="23184"/>
  <c r="AV113" i="23184"/>
  <c r="S113" i="23184"/>
  <c r="R113" i="23184"/>
  <c r="AS102" i="23184"/>
  <c r="R102" i="23184"/>
  <c r="S102" i="23184"/>
  <c r="AU102" i="23184"/>
  <c r="AV102" i="23184"/>
  <c r="Z102" i="23184"/>
  <c r="M102" i="23184"/>
  <c r="N102" i="23184"/>
  <c r="T102" i="23184"/>
  <c r="V102" i="23184"/>
  <c r="O102" i="23184"/>
  <c r="CS81" i="23183"/>
  <c r="CH81" i="23183"/>
  <c r="CY69" i="23183"/>
  <c r="CB69" i="23183"/>
  <c r="CL69" i="23183"/>
  <c r="CB57" i="23183"/>
  <c r="BV57" i="23183"/>
  <c r="BY57" i="23183"/>
  <c r="CY57" i="23183"/>
  <c r="CE57" i="23183"/>
  <c r="BT57" i="23183"/>
  <c r="CH45" i="23183"/>
  <c r="CA45" i="23183"/>
  <c r="CR45" i="23183"/>
  <c r="CJ33" i="23183"/>
  <c r="CN33" i="23183"/>
  <c r="BR33" i="23183"/>
  <c r="CP33" i="23183"/>
  <c r="BT33" i="23183"/>
  <c r="CF33" i="23183"/>
  <c r="B16" i="23201"/>
  <c r="B16" i="23200"/>
  <c r="CM21" i="23183"/>
  <c r="CQ21" i="23183"/>
  <c r="CA21" i="23183"/>
  <c r="CE21" i="23183"/>
  <c r="AP112" i="23184"/>
  <c r="AV112" i="23184"/>
  <c r="S112" i="23184"/>
  <c r="AJ112" i="23184"/>
  <c r="P112" i="23184"/>
  <c r="AS112" i="23184"/>
  <c r="V112" i="23184"/>
  <c r="AA112" i="23184"/>
  <c r="AU87" i="23184"/>
  <c r="AV87" i="23184"/>
  <c r="AP87" i="23184"/>
  <c r="B22" i="23199"/>
  <c r="E22" i="23199" s="1"/>
  <c r="BD27" i="23183"/>
  <c r="C71" i="23184"/>
  <c r="AO71" i="23184" s="1"/>
  <c r="BY63" i="23183"/>
  <c r="CS76" i="23183"/>
  <c r="CK76" i="23183"/>
  <c r="CA76" i="23183"/>
  <c r="CD76" i="23183"/>
  <c r="BV64" i="23183"/>
  <c r="BZ64" i="23183"/>
  <c r="CA64" i="23183"/>
  <c r="BS64" i="23183"/>
  <c r="CH52" i="23183"/>
  <c r="CL52" i="23183"/>
  <c r="CA52" i="23183"/>
  <c r="BS52" i="23183"/>
  <c r="CK40" i="23183"/>
  <c r="CN40" i="23183"/>
  <c r="BR40" i="23183"/>
  <c r="BV40" i="23183"/>
  <c r="BZ28" i="23183"/>
  <c r="BR28" i="23183"/>
  <c r="BV28" i="23183"/>
  <c r="AN109" i="23184"/>
  <c r="R109" i="23184"/>
  <c r="U109" i="23184"/>
  <c r="AS109" i="23184"/>
  <c r="AV109" i="23184"/>
  <c r="AP98" i="23184"/>
  <c r="K98" i="23184"/>
  <c r="T98" i="23184"/>
  <c r="AS98" i="23184"/>
  <c r="BT87" i="23183"/>
  <c r="CU87" i="23183"/>
  <c r="CY87" i="23183"/>
  <c r="CV87" i="23183"/>
  <c r="CB87" i="23183"/>
  <c r="BX87" i="23183"/>
  <c r="CP87" i="23183"/>
  <c r="CH75" i="23183"/>
  <c r="CJ75" i="23183"/>
  <c r="BT75" i="23183"/>
  <c r="CW75" i="23183"/>
  <c r="CM75" i="23183"/>
  <c r="CF75" i="23183"/>
  <c r="CZ75" i="23183"/>
  <c r="CI75" i="23183"/>
  <c r="DA63" i="23183"/>
  <c r="CS63" i="23183"/>
  <c r="BZ63" i="23183"/>
  <c r="CA63" i="23183"/>
  <c r="BS63" i="23183"/>
  <c r="BW63" i="23183"/>
  <c r="CM63" i="23183"/>
  <c r="CE63" i="23183"/>
  <c r="CI63" i="23183"/>
  <c r="CZ63" i="23183"/>
  <c r="CR63" i="23183"/>
  <c r="CV63" i="23183"/>
  <c r="BU51" i="23183"/>
  <c r="CO51" i="23183"/>
  <c r="BW51" i="23183"/>
  <c r="CA51" i="23183"/>
  <c r="BX51" i="23183"/>
  <c r="CV51" i="23183"/>
  <c r="BR51" i="23183"/>
  <c r="CY51" i="23183"/>
  <c r="CI39" i="23183"/>
  <c r="CA39" i="23183"/>
  <c r="CE39" i="23183"/>
  <c r="BY39" i="23183"/>
  <c r="CQ39" i="23183"/>
  <c r="BZ39" i="23183"/>
  <c r="BV39" i="23183"/>
  <c r="CO39" i="23183"/>
  <c r="BT27" i="23183"/>
  <c r="CO27" i="23183"/>
  <c r="CM27" i="23183"/>
  <c r="BV27" i="23183"/>
  <c r="BS27" i="23183"/>
  <c r="CN27" i="23183"/>
  <c r="S119" i="23184"/>
  <c r="N119" i="23184"/>
  <c r="AS119" i="23184"/>
  <c r="Q119" i="23184"/>
  <c r="AP108" i="23184"/>
  <c r="U108" i="23184"/>
  <c r="O108" i="23184"/>
  <c r="AS108" i="23184"/>
  <c r="L108" i="23184"/>
  <c r="AU108" i="23184"/>
  <c r="AV97" i="23184"/>
  <c r="CG82" i="23183"/>
  <c r="BW34" i="23183"/>
  <c r="CF58" i="23183"/>
  <c r="CK49" i="23183"/>
  <c r="CE82" i="23183"/>
  <c r="CJ49" i="23183"/>
  <c r="AV115" i="23184"/>
  <c r="AV100" i="23184"/>
  <c r="AV111" i="23184"/>
  <c r="C67" i="23198"/>
  <c r="D66" i="23198" s="1"/>
  <c r="E312" i="23198"/>
  <c r="Q29" i="23183"/>
  <c r="O77" i="23183"/>
  <c r="K53" i="23183"/>
  <c r="AI29" i="23183"/>
  <c r="AC41" i="23183"/>
  <c r="AU53" i="23183"/>
  <c r="BB77" i="23183"/>
  <c r="AO77" i="23183"/>
  <c r="W77" i="23183"/>
  <c r="BF41" i="23183"/>
  <c r="AS90" i="23184"/>
  <c r="O29" i="23183"/>
  <c r="AS77" i="23183"/>
  <c r="AF29" i="23183"/>
  <c r="T65" i="23183"/>
  <c r="BD53" i="23183"/>
  <c r="G100" i="23184"/>
  <c r="Q110" i="23184"/>
  <c r="CH41" i="23183"/>
  <c r="T29" i="23183"/>
  <c r="AQ65" i="23183"/>
  <c r="BH65" i="23183"/>
  <c r="Q90" i="23184"/>
  <c r="AA110" i="23184"/>
  <c r="CW53" i="23183"/>
  <c r="L29" i="23183"/>
  <c r="M65" i="23183"/>
  <c r="AG53" i="23183"/>
  <c r="AT65" i="23183"/>
  <c r="AM65" i="23183"/>
  <c r="CM77" i="23183"/>
  <c r="CY77" i="23183"/>
  <c r="CP77" i="23183"/>
  <c r="BW77" i="23183"/>
  <c r="BV77" i="23183"/>
  <c r="BS77" i="23183"/>
  <c r="CI77" i="23183"/>
  <c r="CB77" i="23183"/>
  <c r="CE77" i="23183"/>
  <c r="CU77" i="23183"/>
  <c r="CN77" i="23183"/>
  <c r="CQ77" i="23183"/>
  <c r="BX77" i="23183"/>
  <c r="CZ77" i="23183"/>
  <c r="BT77" i="23183"/>
  <c r="BY77" i="23183"/>
  <c r="CC77" i="23183"/>
  <c r="CF77" i="23183"/>
  <c r="BZ77" i="23183"/>
  <c r="CO77" i="23183"/>
  <c r="CR77" i="23183"/>
  <c r="CK77" i="23183"/>
  <c r="BR77" i="23183"/>
  <c r="CH77" i="23183"/>
  <c r="CX77" i="23183"/>
  <c r="BD77" i="23183"/>
  <c r="V77" i="23183"/>
  <c r="AE77" i="23183"/>
  <c r="AC77" i="23183"/>
  <c r="Q77" i="23183"/>
  <c r="CA77" i="23183"/>
  <c r="Y77" i="23183"/>
  <c r="X77" i="23183"/>
  <c r="AN77" i="23183"/>
  <c r="G77" i="23183"/>
  <c r="AQ77" i="23183"/>
  <c r="DA77" i="23183"/>
  <c r="B72" i="23201"/>
  <c r="BJ77" i="23183"/>
  <c r="BE77" i="23183"/>
  <c r="AJ77" i="23183"/>
  <c r="AH77" i="23183"/>
  <c r="AX77" i="23183"/>
  <c r="T77" i="23183"/>
  <c r="I77" i="23183"/>
  <c r="CT77" i="23183"/>
  <c r="B72" i="23199"/>
  <c r="BQ77" i="23183"/>
  <c r="AM77" i="23183"/>
  <c r="AY77" i="23183"/>
  <c r="AF77" i="23183"/>
  <c r="K77" i="23183"/>
  <c r="CJ77" i="23183"/>
  <c r="B72" i="23200"/>
  <c r="BF77" i="23183"/>
  <c r="BK77" i="23183"/>
  <c r="BA77" i="23183"/>
  <c r="AR77" i="23183"/>
  <c r="M77" i="23183"/>
  <c r="BU77" i="23183"/>
  <c r="BH77" i="23183"/>
  <c r="BM77" i="23183"/>
  <c r="CG77" i="23183"/>
  <c r="C73" i="23184"/>
  <c r="AO73" i="23184" s="1"/>
  <c r="BI77" i="23183"/>
  <c r="CS77" i="23183"/>
  <c r="BL77" i="23183"/>
  <c r="AA77" i="23183"/>
  <c r="AL77" i="23183"/>
  <c r="AV77" i="23183"/>
  <c r="C77" i="23183"/>
  <c r="H77" i="23183"/>
  <c r="R77" i="23183"/>
  <c r="CV77" i="23183"/>
  <c r="AG77" i="23183"/>
  <c r="AK77" i="23183"/>
  <c r="AW77" i="23183"/>
  <c r="AP77" i="23183"/>
  <c r="F77" i="23183"/>
  <c r="D77" i="23183"/>
  <c r="CL77" i="23183"/>
  <c r="BN77" i="23183"/>
  <c r="AI77" i="23183"/>
  <c r="AZ77" i="23183"/>
  <c r="AB77" i="23183"/>
  <c r="CY65" i="23183"/>
  <c r="BS65" i="23183"/>
  <c r="CU65" i="23183"/>
  <c r="CT65" i="23183"/>
  <c r="CE65" i="23183"/>
  <c r="BX65" i="23183"/>
  <c r="B60" i="23201"/>
  <c r="CB65" i="23183"/>
  <c r="CQ65" i="23183"/>
  <c r="CJ65" i="23183"/>
  <c r="B60" i="23199"/>
  <c r="CN65" i="23183"/>
  <c r="BT65" i="23183"/>
  <c r="CV65" i="23183"/>
  <c r="CZ65" i="23183"/>
  <c r="CF65" i="23183"/>
  <c r="BY65" i="23183"/>
  <c r="CC65" i="23183"/>
  <c r="CR65" i="23183"/>
  <c r="BZ65" i="23183"/>
  <c r="CO65" i="23183"/>
  <c r="BU65" i="23183"/>
  <c r="CK65" i="23183"/>
  <c r="CA65" i="23183"/>
  <c r="CD65" i="23183"/>
  <c r="BW65" i="23183"/>
  <c r="CW65" i="23183"/>
  <c r="AD65" i="23183"/>
  <c r="AU65" i="23183"/>
  <c r="D65" i="23183"/>
  <c r="O65" i="23183"/>
  <c r="H65" i="23183"/>
  <c r="CM65" i="23183"/>
  <c r="BE65" i="23183"/>
  <c r="AV65" i="23183"/>
  <c r="DA65" i="23183"/>
  <c r="BQ65" i="23183"/>
  <c r="AW65" i="23183"/>
  <c r="I65" i="23183"/>
  <c r="C65" i="23183"/>
  <c r="CH65" i="23183"/>
  <c r="BF65" i="23183"/>
  <c r="S65" i="23183"/>
  <c r="K65" i="23183"/>
  <c r="BR65" i="23183"/>
  <c r="BG65" i="23183"/>
  <c r="AC65" i="23183"/>
  <c r="AO65" i="23183"/>
  <c r="AE65" i="23183"/>
  <c r="L65" i="23183"/>
  <c r="CG65" i="23183"/>
  <c r="BI65" i="23183"/>
  <c r="AH65" i="23183"/>
  <c r="X65" i="23183"/>
  <c r="CS65" i="23183"/>
  <c r="BL65" i="23183"/>
  <c r="BK65" i="23183"/>
  <c r="BV65" i="23183"/>
  <c r="BM65" i="23183"/>
  <c r="V65" i="23183"/>
  <c r="AS65" i="23183"/>
  <c r="AP65" i="23183"/>
  <c r="AL65" i="23183"/>
  <c r="AZ65" i="23183"/>
  <c r="AR65" i="23183"/>
  <c r="N65" i="23183"/>
  <c r="CI65" i="23183"/>
  <c r="C61" i="23184"/>
  <c r="AO61" i="23184" s="1"/>
  <c r="BN65" i="23183"/>
  <c r="AG65" i="23183"/>
  <c r="AB65" i="23183"/>
  <c r="AA65" i="23183"/>
  <c r="BA65" i="23183"/>
  <c r="W65" i="23183"/>
  <c r="F65" i="23183"/>
  <c r="CL65" i="23183"/>
  <c r="BO65" i="23183"/>
  <c r="BJ65" i="23183"/>
  <c r="AN65" i="23183"/>
  <c r="BB65" i="23183"/>
  <c r="AI65" i="23183"/>
  <c r="R65" i="23183"/>
  <c r="CY53" i="23183"/>
  <c r="CQ53" i="23183"/>
  <c r="CU53" i="23183"/>
  <c r="CB53" i="23183"/>
  <c r="BT53" i="23183"/>
  <c r="BX53" i="23183"/>
  <c r="CN53" i="23183"/>
  <c r="CF53" i="23183"/>
  <c r="CJ53" i="23183"/>
  <c r="CZ53" i="23183"/>
  <c r="CR53" i="23183"/>
  <c r="CV53" i="23183"/>
  <c r="CC53" i="23183"/>
  <c r="BU53" i="23183"/>
  <c r="BY53" i="23183"/>
  <c r="CO53" i="23183"/>
  <c r="CG53" i="23183"/>
  <c r="BZ53" i="23183"/>
  <c r="B48" i="23199"/>
  <c r="DA53" i="23183"/>
  <c r="CS53" i="23183"/>
  <c r="CK53" i="23183"/>
  <c r="B48" i="23200"/>
  <c r="CA53" i="23183"/>
  <c r="BS53" i="23183"/>
  <c r="BW53" i="23183"/>
  <c r="CX53" i="23183"/>
  <c r="BM53" i="23183"/>
  <c r="AY53" i="23183"/>
  <c r="Y53" i="23183"/>
  <c r="L53" i="23183"/>
  <c r="CM53" i="23183"/>
  <c r="BE53" i="23183"/>
  <c r="T53" i="23183"/>
  <c r="U53" i="23183"/>
  <c r="AZ53" i="23183"/>
  <c r="AM53" i="23183"/>
  <c r="D53" i="23183"/>
  <c r="BR53" i="23183"/>
  <c r="BQ53" i="23183"/>
  <c r="AK53" i="23183"/>
  <c r="BA53" i="23183"/>
  <c r="Z53" i="23183"/>
  <c r="G53" i="23183"/>
  <c r="O53" i="23183"/>
  <c r="CD53" i="23183"/>
  <c r="BF53" i="23183"/>
  <c r="BB53" i="23183"/>
  <c r="AN53" i="23183"/>
  <c r="H53" i="23183"/>
  <c r="C53" i="23183"/>
  <c r="CP53" i="23183"/>
  <c r="BG53" i="23183"/>
  <c r="AT53" i="23183"/>
  <c r="AB53" i="23183"/>
  <c r="M53" i="23183"/>
  <c r="BV53" i="23183"/>
  <c r="B48" i="23201"/>
  <c r="BI53" i="23183"/>
  <c r="CH53" i="23183"/>
  <c r="BJ53" i="23183"/>
  <c r="AL53" i="23183"/>
  <c r="AI53" i="23183"/>
  <c r="CT53" i="23183"/>
  <c r="AH53" i="23183"/>
  <c r="BK53" i="23183"/>
  <c r="W53" i="23183"/>
  <c r="AJ53" i="23183"/>
  <c r="AE53" i="23183"/>
  <c r="R53" i="23183"/>
  <c r="CI53" i="23183"/>
  <c r="BN53" i="23183"/>
  <c r="BL53" i="23183"/>
  <c r="AC53" i="23183"/>
  <c r="AS53" i="23183"/>
  <c r="I53" i="23183"/>
  <c r="CL53" i="23183"/>
  <c r="BO53" i="23183"/>
  <c r="AP53" i="23183"/>
  <c r="AO53" i="23183"/>
  <c r="S53" i="23183"/>
  <c r="J53" i="23183"/>
  <c r="CP41" i="23183"/>
  <c r="CX41" i="23183"/>
  <c r="BS41" i="23183"/>
  <c r="BW41" i="23183"/>
  <c r="CA41" i="23183"/>
  <c r="CE41" i="23183"/>
  <c r="CI41" i="23183"/>
  <c r="CB41" i="23183"/>
  <c r="CQ41" i="23183"/>
  <c r="CC41" i="23183"/>
  <c r="BT41" i="23183"/>
  <c r="BX41" i="23183"/>
  <c r="CM41" i="23183"/>
  <c r="CF41" i="23183"/>
  <c r="CJ41" i="23183"/>
  <c r="CN41" i="23183"/>
  <c r="CR41" i="23183"/>
  <c r="CV41" i="23183"/>
  <c r="CO41" i="23183"/>
  <c r="BR41" i="23183"/>
  <c r="BV41" i="23183"/>
  <c r="BZ41" i="23183"/>
  <c r="B36" i="23200"/>
  <c r="C37" i="23184"/>
  <c r="AO37" i="23184" s="1"/>
  <c r="BM41" i="23183"/>
  <c r="AQ41" i="23183"/>
  <c r="G41" i="23183"/>
  <c r="AK41" i="23183"/>
  <c r="Z41" i="23183"/>
  <c r="CD41" i="23183"/>
  <c r="BD41" i="23183"/>
  <c r="AX41" i="23183"/>
  <c r="AA41" i="23183"/>
  <c r="AD41" i="23183"/>
  <c r="BU41" i="23183"/>
  <c r="AY41" i="23183"/>
  <c r="AM41" i="23183"/>
  <c r="AE41" i="23183"/>
  <c r="M41" i="23183"/>
  <c r="F41" i="23183"/>
  <c r="CG41" i="23183"/>
  <c r="BE41" i="23183"/>
  <c r="AB41" i="23183"/>
  <c r="AF41" i="23183"/>
  <c r="U41" i="23183"/>
  <c r="AN41" i="23183"/>
  <c r="AG41" i="23183"/>
  <c r="D41" i="23183"/>
  <c r="I41" i="23183"/>
  <c r="N41" i="23183"/>
  <c r="BY41" i="23183"/>
  <c r="BG41" i="23183"/>
  <c r="CK41" i="23183"/>
  <c r="B36" i="23201"/>
  <c r="BH41" i="23183"/>
  <c r="AI41" i="23183"/>
  <c r="CW41" i="23183"/>
  <c r="BI41" i="23183"/>
  <c r="AL41" i="23183"/>
  <c r="V41" i="23183"/>
  <c r="O41" i="23183"/>
  <c r="CL41" i="23183"/>
  <c r="B36" i="23199"/>
  <c r="BJ41" i="23183"/>
  <c r="X41" i="23183"/>
  <c r="AR41" i="23183"/>
  <c r="H41" i="23183"/>
  <c r="C41" i="23183"/>
  <c r="S41" i="23183"/>
  <c r="BK41" i="23183"/>
  <c r="AJ41" i="23183"/>
  <c r="W41" i="23183"/>
  <c r="CP29" i="23183"/>
  <c r="CX29" i="23183"/>
  <c r="BS29" i="23183"/>
  <c r="BW29" i="23183"/>
  <c r="CA29" i="23183"/>
  <c r="B24" i="23200"/>
  <c r="CE29" i="23183"/>
  <c r="CI29" i="23183"/>
  <c r="CB29" i="23183"/>
  <c r="CQ29" i="23183"/>
  <c r="CC29" i="23183"/>
  <c r="BT29" i="23183"/>
  <c r="BX29" i="23183"/>
  <c r="CM29" i="23183"/>
  <c r="CF29" i="23183"/>
  <c r="CJ29" i="23183"/>
  <c r="CN29" i="23183"/>
  <c r="CR29" i="23183"/>
  <c r="CV29" i="23183"/>
  <c r="CO29" i="23183"/>
  <c r="BR29" i="23183"/>
  <c r="BV29" i="23183"/>
  <c r="BZ29" i="23183"/>
  <c r="BN29" i="23183"/>
  <c r="BL29" i="23183"/>
  <c r="AY29" i="23183"/>
  <c r="AJ29" i="23183"/>
  <c r="CD29" i="23183"/>
  <c r="C25" i="23184"/>
  <c r="AO25" i="23184" s="1"/>
  <c r="AD29" i="23183"/>
  <c r="V29" i="23183"/>
  <c r="AK29" i="23183"/>
  <c r="BU29" i="23183"/>
  <c r="BD29" i="23183"/>
  <c r="AP29" i="23183"/>
  <c r="AH29" i="23183"/>
  <c r="AL29" i="23183"/>
  <c r="I29" i="23183"/>
  <c r="CG29" i="23183"/>
  <c r="AN29" i="23183"/>
  <c r="J29" i="23183"/>
  <c r="BE29" i="23183"/>
  <c r="W29" i="23183"/>
  <c r="AQ29" i="23183"/>
  <c r="K29" i="23183"/>
  <c r="BY29" i="23183"/>
  <c r="BM29" i="23183"/>
  <c r="BF29" i="23183"/>
  <c r="CK29" i="23183"/>
  <c r="BG29" i="23183"/>
  <c r="CW29" i="23183"/>
  <c r="BH29" i="23183"/>
  <c r="N29" i="23183"/>
  <c r="AM29" i="23183"/>
  <c r="AE29" i="23183"/>
  <c r="C29" i="23183"/>
  <c r="CL29" i="23183"/>
  <c r="BI29" i="23183"/>
  <c r="AX29" i="23183"/>
  <c r="U29" i="23183"/>
  <c r="AW29" i="23183"/>
  <c r="B24" i="23201"/>
  <c r="BJ29" i="23183"/>
  <c r="AC29" i="23183"/>
  <c r="AG29" i="23183"/>
  <c r="Z29" i="23183"/>
  <c r="H29" i="23183"/>
  <c r="S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F29" i="23183"/>
  <c r="J65" i="23183"/>
  <c r="Q41" i="23183"/>
  <c r="X29" i="23183"/>
  <c r="T41" i="23183"/>
  <c r="AD53" i="23183"/>
  <c r="AX65" i="23183"/>
  <c r="BO77" i="23183"/>
  <c r="S110" i="23184"/>
  <c r="CP65" i="23183"/>
  <c r="AF53" i="23183"/>
  <c r="S29" i="23183"/>
  <c r="AH41" i="23183"/>
  <c r="AQ53" i="23183"/>
  <c r="Q65" i="23183"/>
  <c r="Z77" i="23183"/>
  <c r="CW77" i="23183"/>
  <c r="I18" i="23193"/>
  <c r="L41" i="23183"/>
  <c r="U65" i="23183"/>
  <c r="AB29" i="23183"/>
  <c r="AS41" i="23183"/>
  <c r="AW53" i="23183"/>
  <c r="S77" i="23183"/>
  <c r="BK29" i="23183"/>
  <c r="B89" i="23184"/>
  <c r="CD77" i="23183"/>
  <c r="L77" i="23183"/>
  <c r="Q53" i="23183"/>
  <c r="AJ65" i="23183"/>
  <c r="AK65" i="23183"/>
  <c r="AA29" i="23183"/>
  <c r="AW41" i="23183"/>
  <c r="X53" i="23183"/>
  <c r="AU77" i="23183"/>
  <c r="Y65" i="23183"/>
  <c r="E110" i="23184"/>
  <c r="Q100" i="23184"/>
  <c r="C49" i="23184"/>
  <c r="J41" i="23183"/>
  <c r="AO41" i="23183"/>
  <c r="AV53" i="23183"/>
  <c r="AT77" i="23183"/>
  <c r="AD77" i="23183"/>
  <c r="BL41" i="23183"/>
  <c r="BH66" i="23183"/>
  <c r="CG30" i="23183"/>
  <c r="CG42" i="23183"/>
  <c r="CD54" i="23183"/>
  <c r="BR66" i="23183"/>
  <c r="CO78" i="23183"/>
  <c r="C50" i="23184"/>
  <c r="AO50" i="23184" s="1"/>
  <c r="CK80" i="23183"/>
  <c r="CW80" i="23183"/>
  <c r="CB80" i="23183"/>
  <c r="CR80" i="23183"/>
  <c r="CO68" i="23183"/>
  <c r="BR68" i="23183"/>
  <c r="CE68" i="23183"/>
  <c r="CG68" i="23183"/>
  <c r="BV68" i="23183"/>
  <c r="CT68" i="23183"/>
  <c r="BX68" i="23183"/>
  <c r="CZ56" i="23183"/>
  <c r="CO56" i="23183"/>
  <c r="B51" i="23199"/>
  <c r="BR56" i="23183"/>
  <c r="BS56" i="23183"/>
  <c r="CF56" i="23183"/>
  <c r="CG56" i="23183"/>
  <c r="BV56" i="23183"/>
  <c r="CK56" i="23183"/>
  <c r="BS44" i="23183"/>
  <c r="B39" i="23200"/>
  <c r="CQ44" i="23183"/>
  <c r="BU44" i="23183"/>
  <c r="BW44" i="23183"/>
  <c r="CJ44" i="23183"/>
  <c r="BU32" i="23183"/>
  <c r="BW32" i="23183"/>
  <c r="CJ32" i="23183"/>
  <c r="BZ32" i="23183"/>
  <c r="CB32" i="23183"/>
  <c r="BS32" i="23183"/>
  <c r="AP113" i="23184"/>
  <c r="M113" i="23184"/>
  <c r="AN113" i="23184"/>
  <c r="O113" i="23184"/>
  <c r="N113" i="23184"/>
  <c r="T113" i="23184"/>
  <c r="AP103" i="23184"/>
  <c r="S103" i="23184"/>
  <c r="AP93" i="23184"/>
  <c r="AS93" i="23184"/>
  <c r="AU93" i="23184"/>
  <c r="L93" i="23184"/>
  <c r="T93" i="23184"/>
  <c r="CY78" i="23183"/>
  <c r="CD78" i="23183"/>
  <c r="BW78" i="23183"/>
  <c r="BX78" i="23183"/>
  <c r="CP78" i="23183"/>
  <c r="CI78" i="23183"/>
  <c r="CB78" i="23183"/>
  <c r="BS78" i="23183"/>
  <c r="CU78" i="23183"/>
  <c r="CN78" i="23183"/>
  <c r="CE78" i="23183"/>
  <c r="CJ78" i="23183"/>
  <c r="CZ78" i="23183"/>
  <c r="CQ78" i="23183"/>
  <c r="CW78" i="23183"/>
  <c r="BV78" i="23183"/>
  <c r="BT78" i="23183"/>
  <c r="CX78" i="23183"/>
  <c r="CV78" i="23183"/>
  <c r="CF78" i="23183"/>
  <c r="CK78" i="23183"/>
  <c r="CA78" i="23183"/>
  <c r="CH78" i="23183"/>
  <c r="CS78" i="23183"/>
  <c r="CY66" i="23183"/>
  <c r="CE66" i="23183"/>
  <c r="CU66" i="23183"/>
  <c r="CB66" i="23183"/>
  <c r="CQ66" i="23183"/>
  <c r="BX66" i="23183"/>
  <c r="CN66" i="23183"/>
  <c r="BT66" i="23183"/>
  <c r="CJ66" i="23183"/>
  <c r="CZ66" i="23183"/>
  <c r="CF66" i="23183"/>
  <c r="CV66" i="23183"/>
  <c r="BV66" i="23183"/>
  <c r="CR66" i="23183"/>
  <c r="CW66" i="23183"/>
  <c r="CC66" i="23183"/>
  <c r="BU66" i="23183"/>
  <c r="BZ66" i="23183"/>
  <c r="CO66" i="23183"/>
  <c r="CG66" i="23183"/>
  <c r="CX66" i="23183"/>
  <c r="CA66" i="23183"/>
  <c r="CP66" i="23183"/>
  <c r="BW66" i="23183"/>
  <c r="B61" i="23200"/>
  <c r="CY54" i="23183"/>
  <c r="CQ54" i="23183"/>
  <c r="CU54" i="23183"/>
  <c r="CB54" i="23183"/>
  <c r="BT54" i="23183"/>
  <c r="BX54" i="23183"/>
  <c r="B49" i="23200"/>
  <c r="CN54" i="23183"/>
  <c r="CF54" i="23183"/>
  <c r="CJ54" i="23183"/>
  <c r="CZ54" i="23183"/>
  <c r="CR54" i="23183"/>
  <c r="CV54" i="23183"/>
  <c r="CC54" i="23183"/>
  <c r="BU54" i="23183"/>
  <c r="CW54" i="23183"/>
  <c r="CO54" i="23183"/>
  <c r="CG54" i="23183"/>
  <c r="CX54" i="23183"/>
  <c r="DA54" i="23183"/>
  <c r="CS54" i="23183"/>
  <c r="CL54" i="23183"/>
  <c r="CA54" i="23183"/>
  <c r="BS54" i="23183"/>
  <c r="BW54" i="23183"/>
  <c r="CP42" i="23183"/>
  <c r="CX42" i="23183"/>
  <c r="BS42" i="23183"/>
  <c r="BW42" i="23183"/>
  <c r="CA42" i="23183"/>
  <c r="CE42" i="23183"/>
  <c r="CI42" i="23183"/>
  <c r="CB42" i="23183"/>
  <c r="B37" i="23201"/>
  <c r="CQ42" i="23183"/>
  <c r="CC42" i="23183"/>
  <c r="BT42" i="23183"/>
  <c r="BX42" i="23183"/>
  <c r="CM42" i="23183"/>
  <c r="CF42" i="23183"/>
  <c r="CJ42" i="23183"/>
  <c r="CN42" i="23183"/>
  <c r="B37" i="23200"/>
  <c r="CR42" i="23183"/>
  <c r="CV42" i="23183"/>
  <c r="CO42" i="23183"/>
  <c r="BR42" i="23183"/>
  <c r="BV42" i="23183"/>
  <c r="BZ42" i="23183"/>
  <c r="CP30" i="23183"/>
  <c r="CX30" i="23183"/>
  <c r="BS30" i="23183"/>
  <c r="BW30" i="23183"/>
  <c r="CA30" i="23183"/>
  <c r="CE30" i="23183"/>
  <c r="CI30" i="23183"/>
  <c r="CB30" i="23183"/>
  <c r="CQ30" i="23183"/>
  <c r="CC30" i="23183"/>
  <c r="BT30" i="23183"/>
  <c r="BX30" i="23183"/>
  <c r="CM30" i="23183"/>
  <c r="CF30" i="23183"/>
  <c r="CJ30" i="23183"/>
  <c r="CN30" i="23183"/>
  <c r="CR30" i="23183"/>
  <c r="CV30" i="23183"/>
  <c r="CO30" i="23183"/>
  <c r="B25" i="23201"/>
  <c r="BR30" i="23183"/>
  <c r="BV30" i="23183"/>
  <c r="BZ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J91" i="23184"/>
  <c r="AN91" i="23184"/>
  <c r="C74" i="23184"/>
  <c r="AO74" i="23184" s="1"/>
  <c r="CL30" i="23183"/>
  <c r="CL42" i="23183"/>
  <c r="CI54" i="23183"/>
  <c r="CI66" i="23183"/>
  <c r="CT78" i="23183"/>
  <c r="B13" i="23201"/>
  <c r="BS18" i="23183"/>
  <c r="CM76" i="23183"/>
  <c r="CP76" i="23183"/>
  <c r="CI76" i="23183"/>
  <c r="CY76" i="23183"/>
  <c r="BS76" i="23183"/>
  <c r="CU76" i="23183"/>
  <c r="CB76" i="23183"/>
  <c r="CE76" i="23183"/>
  <c r="BX76" i="23183"/>
  <c r="CN76" i="23183"/>
  <c r="CQ76" i="23183"/>
  <c r="CV76" i="23183"/>
  <c r="CZ76" i="23183"/>
  <c r="BT76" i="23183"/>
  <c r="CJ76" i="23183"/>
  <c r="BV76" i="23183"/>
  <c r="CF76" i="23183"/>
  <c r="CW76" i="23183"/>
  <c r="B71" i="23201"/>
  <c r="CC76" i="23183"/>
  <c r="CR76" i="23183"/>
  <c r="CX76" i="23183"/>
  <c r="BR76" i="23183"/>
  <c r="CH76" i="23183"/>
  <c r="BY76" i="23183"/>
  <c r="CM64" i="23183"/>
  <c r="CE64" i="23183"/>
  <c r="CI64" i="23183"/>
  <c r="CY64" i="23183"/>
  <c r="CQ64" i="23183"/>
  <c r="CU64" i="23183"/>
  <c r="CB64" i="23183"/>
  <c r="BT64" i="23183"/>
  <c r="CJ64" i="23183"/>
  <c r="CN64" i="23183"/>
  <c r="CF64" i="23183"/>
  <c r="BX64" i="23183"/>
  <c r="CZ64" i="23183"/>
  <c r="CR64" i="23183"/>
  <c r="CV64" i="23183"/>
  <c r="CC64" i="23183"/>
  <c r="BU64" i="23183"/>
  <c r="CW64" i="23183"/>
  <c r="CO64" i="23183"/>
  <c r="CG64" i="23183"/>
  <c r="CX64" i="23183"/>
  <c r="CP64" i="23183"/>
  <c r="CH64" i="23183"/>
  <c r="CK64" i="23183"/>
  <c r="B59" i="23199"/>
  <c r="CM52" i="23183"/>
  <c r="CE52" i="23183"/>
  <c r="CI52" i="23183"/>
  <c r="CY52" i="23183"/>
  <c r="CQ52" i="23183"/>
  <c r="CU52" i="23183"/>
  <c r="B47" i="23199"/>
  <c r="CB52" i="23183"/>
  <c r="BT52" i="23183"/>
  <c r="BX52" i="23183"/>
  <c r="B47" i="23200"/>
  <c r="CN52" i="23183"/>
  <c r="CF52" i="23183"/>
  <c r="CJ52" i="23183"/>
  <c r="CZ52" i="23183"/>
  <c r="CR52" i="23183"/>
  <c r="CV52" i="23183"/>
  <c r="CC52" i="23183"/>
  <c r="BU52" i="23183"/>
  <c r="CW52" i="23183"/>
  <c r="CO52" i="23183"/>
  <c r="CG52" i="23183"/>
  <c r="CX52" i="23183"/>
  <c r="CP52" i="23183"/>
  <c r="CT52" i="23183"/>
  <c r="BY52" i="23183"/>
  <c r="CD40" i="23183"/>
  <c r="CH40" i="23183"/>
  <c r="CL40" i="23183"/>
  <c r="CP40" i="23183"/>
  <c r="CX40" i="23183"/>
  <c r="BS40" i="23183"/>
  <c r="BW40" i="23183"/>
  <c r="CE40" i="23183"/>
  <c r="CI40" i="23183"/>
  <c r="CQ40" i="23183"/>
  <c r="BT40" i="23183"/>
  <c r="BX40" i="23183"/>
  <c r="CA40" i="23183"/>
  <c r="B35" i="23200"/>
  <c r="CF40" i="23183"/>
  <c r="CJ40" i="23183"/>
  <c r="CB40" i="23183"/>
  <c r="CW40" i="23183"/>
  <c r="CO40" i="23183"/>
  <c r="CD28" i="23183"/>
  <c r="CH28" i="23183"/>
  <c r="CA28" i="23183"/>
  <c r="CP28" i="23183"/>
  <c r="BW28" i="23183"/>
  <c r="CB28" i="23183"/>
  <c r="BS28" i="23183"/>
  <c r="CI28" i="23183"/>
  <c r="CC28" i="23183"/>
  <c r="CE28" i="23183"/>
  <c r="BX28" i="23183"/>
  <c r="CM28" i="23183"/>
  <c r="CQ28" i="23183"/>
  <c r="CJ28" i="23183"/>
  <c r="CN28" i="23183"/>
  <c r="BT28" i="23183"/>
  <c r="CV28" i="23183"/>
  <c r="CO28" i="23183"/>
  <c r="CF28" i="23183"/>
  <c r="BY28" i="23183"/>
  <c r="B23" i="23201"/>
  <c r="CL28" i="23183"/>
  <c r="AP99" i="23184"/>
  <c r="T99" i="23184"/>
  <c r="S89" i="23184"/>
  <c r="AS89" i="23184"/>
  <c r="AS101" i="23184"/>
  <c r="CW30" i="23183"/>
  <c r="CW42" i="23183"/>
  <c r="CT54" i="23183"/>
  <c r="CT66" i="23183"/>
  <c r="CG78" i="23183"/>
  <c r="AU101" i="23184"/>
  <c r="CK30" i="23183"/>
  <c r="CK42" i="23183"/>
  <c r="CH54" i="23183"/>
  <c r="CH66" i="23183"/>
  <c r="BU78" i="23183"/>
  <c r="B49" i="23201"/>
  <c r="B25" i="23200"/>
  <c r="BY30" i="23183"/>
  <c r="BY42" i="23183"/>
  <c r="BV54" i="23183"/>
  <c r="CS66" i="23183"/>
  <c r="CR78" i="23183"/>
  <c r="BK54" i="23183"/>
  <c r="B25" i="23199"/>
  <c r="P101" i="23184"/>
  <c r="AN121" i="23184"/>
  <c r="CH30" i="23183"/>
  <c r="CH42" i="23183"/>
  <c r="CE54" i="23183"/>
  <c r="BS66" i="23183"/>
  <c r="BR78" i="23183"/>
  <c r="CJ25" i="23183"/>
  <c r="C134" i="23198"/>
  <c r="C145" i="23198"/>
  <c r="D144" i="23198" s="1"/>
  <c r="C220" i="23198"/>
  <c r="D212" i="23198" s="1"/>
  <c r="C312" i="23198"/>
  <c r="E78" i="23198"/>
  <c r="F75" i="23198" s="1"/>
  <c r="E220" i="23198"/>
  <c r="F216" i="23198" s="1"/>
  <c r="E236" i="23198"/>
  <c r="F233" i="23198" s="1"/>
  <c r="G67" i="23198"/>
  <c r="C27" i="23198" s="1"/>
  <c r="CT73" i="23183"/>
  <c r="CK84" i="23183"/>
  <c r="BV84" i="23183"/>
  <c r="BW49" i="23183"/>
  <c r="CH24" i="23183"/>
  <c r="BY24" i="23183"/>
  <c r="BV36" i="23183"/>
  <c r="CV48" i="23183"/>
  <c r="AH48" i="23209"/>
  <c r="CU84" i="23183"/>
  <c r="CN84" i="23183"/>
  <c r="CR49" i="23183"/>
  <c r="BW24" i="23183"/>
  <c r="BX24" i="23183"/>
  <c r="CG36" i="23183"/>
  <c r="BX48" i="23183"/>
  <c r="I151" i="23210"/>
  <c r="I152" i="23210" s="1"/>
  <c r="CH84" i="23183"/>
  <c r="CM84" i="23183"/>
  <c r="CQ24" i="23183"/>
  <c r="CD36" i="23183"/>
  <c r="CG48" i="23183"/>
  <c r="BU87" i="23183"/>
  <c r="CA26" i="23183"/>
  <c r="BR26" i="23183"/>
  <c r="BS62" i="23183"/>
  <c r="BY73" i="23183"/>
  <c r="CS84" i="23183"/>
  <c r="CA84" i="23183"/>
  <c r="CE24" i="23183"/>
  <c r="CX36" i="23183"/>
  <c r="BR36" i="23183"/>
  <c r="BT48" i="23183"/>
  <c r="CF87" i="23183"/>
  <c r="CL26" i="23183"/>
  <c r="CK62" i="23183"/>
  <c r="CD62" i="23183"/>
  <c r="CQ84" i="23183"/>
  <c r="CM48" i="23183"/>
  <c r="CQ48" i="23183"/>
  <c r="BZ62" i="23183"/>
  <c r="L19" i="23183"/>
  <c r="N20" i="23183"/>
  <c r="AQ20" i="23183"/>
  <c r="AX20" i="23183"/>
  <c r="AB20" i="23183"/>
  <c r="AM20" i="23183"/>
  <c r="BJ19" i="23183"/>
  <c r="BX20" i="23183"/>
  <c r="CR20" i="23183"/>
  <c r="CI20" i="23183"/>
  <c r="M19" i="23183"/>
  <c r="O20" i="23183"/>
  <c r="Y19" i="23183"/>
  <c r="AS20" i="23183"/>
  <c r="AQ19" i="23183"/>
  <c r="BI19" i="23183"/>
  <c r="CJ20" i="23183"/>
  <c r="CO20" i="23183"/>
  <c r="M20" i="23183"/>
  <c r="AF20" i="23183"/>
  <c r="CF20" i="23183"/>
  <c r="N19" i="23183"/>
  <c r="C20" i="23183"/>
  <c r="U19" i="23183"/>
  <c r="AY19" i="23183"/>
  <c r="AK19" i="23183"/>
  <c r="AA19" i="23183"/>
  <c r="AG20" i="23183"/>
  <c r="T20" i="23183"/>
  <c r="AN20" i="23183"/>
  <c r="BH19" i="23183"/>
  <c r="BW19" i="23183"/>
  <c r="BI20" i="23183"/>
  <c r="CK20" i="23183"/>
  <c r="CL20" i="23183"/>
  <c r="O19" i="23183"/>
  <c r="Q20" i="23183"/>
  <c r="AG19" i="23183"/>
  <c r="AX19" i="23183"/>
  <c r="V20" i="23183"/>
  <c r="AB19" i="23183"/>
  <c r="AJ20" i="23183"/>
  <c r="AD19" i="23183"/>
  <c r="X20" i="23183"/>
  <c r="AI20" i="23183"/>
  <c r="AO20" i="23183"/>
  <c r="BK20" i="23183"/>
  <c r="BN19" i="23183"/>
  <c r="BG19" i="23183"/>
  <c r="BM20" i="23183"/>
  <c r="BU19" i="23183"/>
  <c r="BX19" i="23183"/>
  <c r="BV20" i="23183"/>
  <c r="CB19" i="23183"/>
  <c r="C19" i="23183"/>
  <c r="E40" i="39" s="1"/>
  <c r="E41" i="39" s="1"/>
  <c r="D20" i="23183"/>
  <c r="AS19" i="23183"/>
  <c r="AW19" i="23183"/>
  <c r="AH20" i="23183"/>
  <c r="AM19" i="23183"/>
  <c r="AN19" i="23183"/>
  <c r="U20" i="23183"/>
  <c r="BN20" i="23183"/>
  <c r="BF19" i="23183"/>
  <c r="CG19" i="23183"/>
  <c r="BV19" i="23183"/>
  <c r="CJ19" i="23183"/>
  <c r="AA20" i="23183"/>
  <c r="CW20" i="23183"/>
  <c r="AY20" i="23183"/>
  <c r="Q19" i="23183"/>
  <c r="F20" i="23183"/>
  <c r="AD20" i="23183"/>
  <c r="AK20" i="23183"/>
  <c r="BD20" i="23183"/>
  <c r="BF20" i="23183"/>
  <c r="BE19" i="23183"/>
  <c r="C16" i="23184"/>
  <c r="AO16" i="23184" s="1"/>
  <c r="CV19" i="23183"/>
  <c r="CH19" i="23183"/>
  <c r="BR20" i="23183"/>
  <c r="CA19" i="23183"/>
  <c r="D19" i="23183"/>
  <c r="H20" i="23183"/>
  <c r="G20" i="23183"/>
  <c r="AP20" i="23183"/>
  <c r="AO19" i="23183"/>
  <c r="BE20" i="23183"/>
  <c r="CA20" i="23183"/>
  <c r="CB20" i="23183"/>
  <c r="CD20" i="23183"/>
  <c r="CM19" i="23183"/>
  <c r="BW20" i="23183"/>
  <c r="Z20" i="23183"/>
  <c r="W20" i="23183"/>
  <c r="F19" i="23183"/>
  <c r="I20" i="23183"/>
  <c r="AC20" i="23183"/>
  <c r="Y20" i="23183"/>
  <c r="AL20" i="23183"/>
  <c r="BG20" i="23183"/>
  <c r="BH20" i="23183"/>
  <c r="BD19" i="23183"/>
  <c r="BS19" i="23183"/>
  <c r="BT19" i="23183"/>
  <c r="CM20" i="23183"/>
  <c r="CN20" i="23183"/>
  <c r="CP20" i="23183"/>
  <c r="CK19" i="23183"/>
  <c r="BU20" i="23183"/>
  <c r="AE20" i="23183"/>
  <c r="G19" i="23183"/>
  <c r="J20" i="23183"/>
  <c r="S19" i="23183"/>
  <c r="BJ20" i="23183"/>
  <c r="V19" i="23183"/>
  <c r="CE19" i="23183"/>
  <c r="CF19" i="23183"/>
  <c r="BS20" i="23183"/>
  <c r="CG20" i="23183"/>
  <c r="CC20" i="23183"/>
  <c r="B15" i="23199"/>
  <c r="E15" i="23199" s="1"/>
  <c r="I19" i="23183"/>
  <c r="H19" i="23183"/>
  <c r="K20" i="23183"/>
  <c r="AH19" i="23183"/>
  <c r="Z19" i="23183"/>
  <c r="AL19" i="23183"/>
  <c r="AE19" i="23183"/>
  <c r="AR19" i="23183"/>
  <c r="T19" i="23183"/>
  <c r="BL20" i="23183"/>
  <c r="BM19" i="23183"/>
  <c r="BR19" i="23183"/>
  <c r="CQ19" i="23183"/>
  <c r="CR19" i="23183"/>
  <c r="CE20" i="23183"/>
  <c r="CL19" i="23183"/>
  <c r="CV20" i="23183"/>
  <c r="CI19" i="23183"/>
  <c r="B15" i="23200"/>
  <c r="O15" i="23200" s="1"/>
  <c r="C54" i="23198"/>
  <c r="D53" i="23198" s="1"/>
  <c r="E272" i="23198"/>
  <c r="F271" i="23198" s="1"/>
  <c r="E526" i="23198"/>
  <c r="F481" i="23198" s="1"/>
  <c r="I40" i="23193"/>
  <c r="C21" i="23193"/>
  <c r="I17" i="23202"/>
  <c r="E188" i="23198"/>
  <c r="F184" i="23198" s="1"/>
  <c r="E252" i="23198"/>
  <c r="E419" i="23198"/>
  <c r="F368" i="23198" s="1"/>
  <c r="H46" i="23193"/>
  <c r="C27" i="23193"/>
  <c r="E287" i="23198"/>
  <c r="F284" i="23198" s="1"/>
  <c r="H44" i="23193"/>
  <c r="C37" i="23193"/>
  <c r="C163" i="23198"/>
  <c r="D156" i="23198" s="1"/>
  <c r="E163" i="23198"/>
  <c r="F157"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204" i="23198"/>
  <c r="F196" i="23198" s="1"/>
  <c r="AP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204" i="23198"/>
  <c r="D202" i="23198" s="1"/>
  <c r="I21" i="23193"/>
  <c r="H28" i="23193"/>
  <c r="H22" i="23193"/>
  <c r="C13" i="23193"/>
  <c r="H12" i="23193"/>
  <c r="H58" i="23193" s="1"/>
  <c r="C40" i="23193"/>
  <c r="H19" i="23193"/>
  <c r="H27" i="23193"/>
  <c r="I31" i="23193"/>
  <c r="C42" i="23193"/>
  <c r="E67" i="23198"/>
  <c r="F66" i="23198" s="1"/>
  <c r="U89" i="23184"/>
  <c r="CO80" i="23183"/>
  <c r="BU80" i="23183"/>
  <c r="CX80" i="23183"/>
  <c r="BV80" i="23183"/>
  <c r="CS80" i="23183"/>
  <c r="BX80" i="23183"/>
  <c r="BR80" i="23183"/>
  <c r="CH80" i="23183"/>
  <c r="BZ80" i="23183"/>
  <c r="CM80" i="23183"/>
  <c r="CP80" i="23183"/>
  <c r="CI80" i="23183"/>
  <c r="CN80" i="23183"/>
  <c r="CG80" i="23183"/>
  <c r="CT80" i="23183"/>
  <c r="CU80" i="23183"/>
  <c r="CC80" i="23183"/>
  <c r="CJ80" i="23183"/>
  <c r="CD80" i="23183"/>
  <c r="CL80" i="23183"/>
  <c r="BS80" i="23183"/>
  <c r="CV80" i="23183"/>
  <c r="CQ80" i="23183"/>
  <c r="BY80" i="23183"/>
  <c r="CA80" i="23183"/>
  <c r="BT80" i="23183"/>
  <c r="CY80" i="23183"/>
  <c r="CF80" i="23183"/>
  <c r="CA68" i="23183"/>
  <c r="BS68" i="23183"/>
  <c r="BW68" i="23183"/>
  <c r="CY68" i="23183"/>
  <c r="CQ68" i="23183"/>
  <c r="CU68" i="23183"/>
  <c r="CB68" i="23183"/>
  <c r="BT68" i="23183"/>
  <c r="CV68" i="23183"/>
  <c r="CZ68" i="23183"/>
  <c r="CR68" i="23183"/>
  <c r="CJ68" i="23183"/>
  <c r="DA68" i="23183"/>
  <c r="CI68" i="23183"/>
  <c r="C64" i="23184"/>
  <c r="AO64" i="23184" s="1"/>
  <c r="CD68" i="23183"/>
  <c r="CW68" i="23183"/>
  <c r="CP68" i="23183"/>
  <c r="CX68" i="23183"/>
  <c r="CF68" i="23183"/>
  <c r="CL68" i="23183"/>
  <c r="BU68" i="23183"/>
  <c r="BY68" i="23183"/>
  <c r="CM68" i="23183"/>
  <c r="CS68" i="23183"/>
  <c r="CC68" i="23183"/>
  <c r="CH68" i="23183"/>
  <c r="CP56" i="23183"/>
  <c r="CT56" i="23183"/>
  <c r="CL56" i="23183"/>
  <c r="CM56" i="23183"/>
  <c r="CE56" i="23183"/>
  <c r="CI56" i="23183"/>
  <c r="CD56" i="23183"/>
  <c r="CU56" i="23183"/>
  <c r="B51" i="23200"/>
  <c r="B51" i="23201"/>
  <c r="CQ56" i="23183"/>
  <c r="CJ56" i="23183"/>
  <c r="CA56" i="23183"/>
  <c r="BT56" i="23183"/>
  <c r="CV56" i="23183"/>
  <c r="CB56" i="23183"/>
  <c r="CR56" i="23183"/>
  <c r="CX56" i="23183"/>
  <c r="CN56" i="23183"/>
  <c r="BU56" i="23183"/>
  <c r="BZ56" i="23183"/>
  <c r="CC56" i="23183"/>
  <c r="CS56" i="23183"/>
  <c r="BY56" i="23183"/>
  <c r="DA56" i="23183"/>
  <c r="CH56" i="23183"/>
  <c r="CR44" i="23183"/>
  <c r="CV44" i="23183"/>
  <c r="CC44" i="23183"/>
  <c r="CG44" i="23183"/>
  <c r="CK44" i="23183"/>
  <c r="CN44" i="23183"/>
  <c r="CW44" i="23183"/>
  <c r="CO44" i="23183"/>
  <c r="CD44" i="23183"/>
  <c r="CH44" i="23183"/>
  <c r="CL44" i="23183"/>
  <c r="CE44" i="23183"/>
  <c r="BY44" i="23183"/>
  <c r="BT44" i="23183"/>
  <c r="CX44" i="23183"/>
  <c r="B39" i="23201"/>
  <c r="CF44" i="23183"/>
  <c r="C40" i="23184"/>
  <c r="AO40" i="23184" s="1"/>
  <c r="BV44" i="23183"/>
  <c r="B39" i="23199"/>
  <c r="CA44" i="23183"/>
  <c r="CI44" i="23183"/>
  <c r="CM44" i="23183"/>
  <c r="BR44" i="23183"/>
  <c r="CP44" i="23183"/>
  <c r="BX44" i="23183"/>
  <c r="CR32" i="23183"/>
  <c r="CV32" i="23183"/>
  <c r="CC32" i="23183"/>
  <c r="CG32" i="23183"/>
  <c r="CK32" i="23183"/>
  <c r="CN32" i="23183"/>
  <c r="CW32" i="23183"/>
  <c r="CO32" i="23183"/>
  <c r="CD32" i="23183"/>
  <c r="CH32" i="23183"/>
  <c r="CL32" i="23183"/>
  <c r="CE32" i="23183"/>
  <c r="BY32" i="23183"/>
  <c r="BT32" i="23183"/>
  <c r="CX32" i="23183"/>
  <c r="B27" i="23201"/>
  <c r="CF32" i="23183"/>
  <c r="BV32" i="23183"/>
  <c r="CA32" i="23183"/>
  <c r="B27" i="23200"/>
  <c r="CI32" i="23183"/>
  <c r="CM32" i="23183"/>
  <c r="BR32" i="23183"/>
  <c r="CP32" i="23183"/>
  <c r="BX32" i="23183"/>
  <c r="J111" i="23184"/>
  <c r="K111" i="23184"/>
  <c r="R111" i="23184"/>
  <c r="Y111" i="23184"/>
  <c r="T111" i="23184"/>
  <c r="B110" i="23184"/>
  <c r="AP111" i="23184"/>
  <c r="U111" i="23184"/>
  <c r="AU111" i="23184"/>
  <c r="AP101" i="23184"/>
  <c r="J101" i="23184"/>
  <c r="R101" i="23184"/>
  <c r="AN101" i="23184"/>
  <c r="S101" i="23184"/>
  <c r="U101" i="23184"/>
  <c r="X101" i="23184"/>
  <c r="AP120" i="23184"/>
  <c r="K120" i="23184"/>
  <c r="M120" i="23184"/>
  <c r="R120" i="23184"/>
  <c r="T120" i="23184"/>
  <c r="AS120" i="23184"/>
  <c r="AU120" i="23184"/>
  <c r="AJ120" i="23184"/>
  <c r="U120" i="23184"/>
  <c r="P120" i="23184"/>
  <c r="N120" i="23184"/>
  <c r="AP89" i="23184"/>
  <c r="AJ89" i="23184"/>
  <c r="K89" i="23184"/>
  <c r="AN89" i="23184"/>
  <c r="V89" i="23184"/>
  <c r="P89" i="23184"/>
  <c r="AU89" i="23184"/>
  <c r="N89" i="23184"/>
  <c r="R89" i="23184"/>
  <c r="T89" i="23184"/>
  <c r="BV85" i="23183"/>
  <c r="CE85" i="23183"/>
  <c r="CW85" i="23183"/>
  <c r="CN85" i="23183"/>
  <c r="BT85" i="23183"/>
  <c r="CL85" i="23183"/>
  <c r="CZ85" i="23183"/>
  <c r="CF85" i="23183"/>
  <c r="CX85" i="23183"/>
  <c r="CO85" i="23183"/>
  <c r="BU85" i="23183"/>
  <c r="BY85" i="23183"/>
  <c r="DA85" i="23183"/>
  <c r="CG85" i="23183"/>
  <c r="CJ85" i="23183"/>
  <c r="X85" i="23183"/>
  <c r="BR85" i="23183"/>
  <c r="CH85" i="23183"/>
  <c r="BZ85" i="23183"/>
  <c r="CO73" i="23183"/>
  <c r="BU73" i="23183"/>
  <c r="CX73" i="23183"/>
  <c r="CH73" i="23183"/>
  <c r="CS73" i="23183"/>
  <c r="CL73" i="23183"/>
  <c r="BR73" i="23183"/>
  <c r="BV73" i="23183"/>
  <c r="CW73" i="23183"/>
  <c r="CM73" i="23183"/>
  <c r="CP73" i="23183"/>
  <c r="CI73" i="23183"/>
  <c r="CB73" i="23183"/>
  <c r="CG73" i="23183"/>
  <c r="W73" i="23183"/>
  <c r="CZ73" i="23183"/>
  <c r="CU73" i="23183"/>
  <c r="CC73" i="23183"/>
  <c r="BX73" i="23183"/>
  <c r="CD73" i="23183"/>
  <c r="CJ73" i="23183"/>
  <c r="C69" i="23184"/>
  <c r="AO69" i="23184" s="1"/>
  <c r="BQ73" i="23183"/>
  <c r="BS73" i="23183"/>
  <c r="BZ73" i="23183"/>
  <c r="B68" i="23199"/>
  <c r="CQ73" i="23183"/>
  <c r="CK73" i="23183"/>
  <c r="CA73" i="23183"/>
  <c r="BT73" i="23183"/>
  <c r="CY73" i="23183"/>
  <c r="CF73" i="23183"/>
  <c r="CA61" i="23183"/>
  <c r="BS61" i="23183"/>
  <c r="BW61" i="23183"/>
  <c r="CY61" i="23183"/>
  <c r="CQ61" i="23183"/>
  <c r="CU61" i="23183"/>
  <c r="CB61" i="23183"/>
  <c r="BT61" i="23183"/>
  <c r="BX61" i="23183"/>
  <c r="CZ61" i="23183"/>
  <c r="CR61" i="23183"/>
  <c r="CV61" i="23183"/>
  <c r="DA61" i="23183"/>
  <c r="CI61" i="23183"/>
  <c r="CD61" i="23183"/>
  <c r="CX61" i="23183"/>
  <c r="CP61" i="23183"/>
  <c r="BY61" i="23183"/>
  <c r="B56" i="23201"/>
  <c r="CF61" i="23183"/>
  <c r="CK61" i="23183"/>
  <c r="BU61" i="23183"/>
  <c r="CL61" i="23183"/>
  <c r="CM61" i="23183"/>
  <c r="CS61" i="23183"/>
  <c r="C57" i="23184"/>
  <c r="AO57" i="23184" s="1"/>
  <c r="CC61" i="23183"/>
  <c r="CH61" i="23183"/>
  <c r="BZ49" i="23183"/>
  <c r="BR49" i="23183"/>
  <c r="CH49" i="23183"/>
  <c r="CX49" i="23183"/>
  <c r="CD49" i="23183"/>
  <c r="CA49" i="23183"/>
  <c r="BS49" i="23183"/>
  <c r="CI49" i="23183"/>
  <c r="CC49" i="23183"/>
  <c r="C45" i="23184"/>
  <c r="AO45" i="23184" s="1"/>
  <c r="CV49" i="23183"/>
  <c r="B44" i="23200"/>
  <c r="CP49" i="23183"/>
  <c r="BY49" i="23183"/>
  <c r="CQ49" i="23183"/>
  <c r="CW49" i="23183"/>
  <c r="B44" i="23201"/>
  <c r="CF49" i="23183"/>
  <c r="CL49" i="23183"/>
  <c r="BU49" i="23183"/>
  <c r="CN49" i="23183"/>
  <c r="CG49" i="23183"/>
  <c r="CO49" i="23183"/>
  <c r="BV49" i="23183"/>
  <c r="CW37" i="23183"/>
  <c r="CD37" i="23183"/>
  <c r="CH37" i="23183"/>
  <c r="CL37" i="23183"/>
  <c r="CE37" i="23183"/>
  <c r="BX37" i="23183"/>
  <c r="CO37" i="23183"/>
  <c r="BT37" i="23183"/>
  <c r="CV37" i="23183"/>
  <c r="CF37" i="23183"/>
  <c r="BY37" i="23183"/>
  <c r="C33" i="23184"/>
  <c r="AO33" i="23184" s="1"/>
  <c r="BU37" i="23183"/>
  <c r="BZ37" i="23183"/>
  <c r="B32" i="23200"/>
  <c r="CG37" i="23183"/>
  <c r="CX37" i="23183"/>
  <c r="S37" i="23183"/>
  <c r="CB37" i="23183"/>
  <c r="CP37" i="23183"/>
  <c r="CI37" i="23183"/>
  <c r="CM37" i="23183"/>
  <c r="CE25" i="23183"/>
  <c r="CV25" i="23183"/>
  <c r="CR25" i="23183"/>
  <c r="BZ25" i="23183"/>
  <c r="CG25" i="23183"/>
  <c r="CX25" i="23183"/>
  <c r="BV25" i="23183"/>
  <c r="CA25" i="23183"/>
  <c r="BR25" i="23183"/>
  <c r="CI25" i="23183"/>
  <c r="CM25" i="23183"/>
  <c r="CP25" i="23183"/>
  <c r="BX25" i="23183"/>
  <c r="CN25" i="23183"/>
  <c r="BT25" i="23183"/>
  <c r="CF25" i="23183"/>
  <c r="BU25" i="23183"/>
  <c r="CH25" i="23183"/>
  <c r="BY25" i="23183"/>
  <c r="CK25" i="23183"/>
  <c r="C21" i="23184"/>
  <c r="AO21" i="23184" s="1"/>
  <c r="CL25" i="23183"/>
  <c r="B20" i="23199"/>
  <c r="E20" i="23199" s="1"/>
  <c r="BJ25" i="23183"/>
  <c r="CC25" i="23183"/>
  <c r="BS25" i="23183"/>
  <c r="CO25" i="23183"/>
  <c r="CC19" i="23183"/>
  <c r="AS104" i="23184"/>
  <c r="AN112" i="23184"/>
  <c r="AS97" i="23184"/>
  <c r="AU112" i="23184"/>
  <c r="T97" i="23184"/>
  <c r="AS113" i="23184"/>
  <c r="J113" i="23184"/>
  <c r="M103" i="23184"/>
  <c r="AN87" i="23184"/>
  <c r="T104" i="23184"/>
  <c r="R97" i="23184"/>
  <c r="T112" i="23184"/>
  <c r="N103" i="23184"/>
  <c r="CM87" i="23183"/>
  <c r="CA87" i="23183"/>
  <c r="CE87" i="23183"/>
  <c r="BY87" i="23183"/>
  <c r="CZ87" i="23183"/>
  <c r="CR87" i="23183"/>
  <c r="CK87" i="23183"/>
  <c r="CO87" i="23183"/>
  <c r="CG87" i="23183"/>
  <c r="CW87" i="23183"/>
  <c r="DA87" i="23183"/>
  <c r="CS87" i="23183"/>
  <c r="CX87" i="23183"/>
  <c r="BR87" i="23183"/>
  <c r="CT87" i="23183"/>
  <c r="CD87" i="23183"/>
  <c r="BW87" i="23183"/>
  <c r="DA75" i="23183"/>
  <c r="CG75" i="23183"/>
  <c r="CL75" i="23183"/>
  <c r="BR75" i="23183"/>
  <c r="CT75" i="23183"/>
  <c r="CX75" i="23183"/>
  <c r="CA75" i="23183"/>
  <c r="CD75" i="23183"/>
  <c r="BW75" i="23183"/>
  <c r="CY75" i="23183"/>
  <c r="BS75" i="23183"/>
  <c r="CU75" i="23183"/>
  <c r="CI51" i="23183"/>
  <c r="DA51" i="23183"/>
  <c r="CX51" i="23183"/>
  <c r="CD51" i="23183"/>
  <c r="CJ51" i="23183"/>
  <c r="CQ51" i="23183"/>
  <c r="BS51" i="23183"/>
  <c r="BY51" i="23183"/>
  <c r="CR51" i="23183"/>
  <c r="BT51" i="23183"/>
  <c r="BZ51" i="23183"/>
  <c r="CT51" i="23183"/>
  <c r="CR39" i="23183"/>
  <c r="CV39" i="23183"/>
  <c r="CG39" i="23183"/>
  <c r="CK39" i="23183"/>
  <c r="CB39" i="23183"/>
  <c r="CW39" i="23183"/>
  <c r="CC39" i="23183"/>
  <c r="CD39" i="23183"/>
  <c r="CH39" i="23183"/>
  <c r="CL39" i="23183"/>
  <c r="CF27" i="23183"/>
  <c r="CK27" i="23183"/>
  <c r="BU27" i="23183"/>
  <c r="BW27" i="23183"/>
  <c r="CG27" i="23183"/>
  <c r="CI27" i="23183"/>
  <c r="BR27" i="23183"/>
  <c r="CA27" i="23183"/>
  <c r="CC27" i="23183"/>
  <c r="CW19" i="23183"/>
  <c r="CN19" i="23183"/>
  <c r="R104" i="23184"/>
  <c r="U87" i="23184"/>
  <c r="L97" i="23184"/>
  <c r="U112" i="23184"/>
  <c r="O116" i="23184"/>
  <c r="CA86" i="23183"/>
  <c r="CD86" i="23183"/>
  <c r="BW86" i="23183"/>
  <c r="CY86" i="23183"/>
  <c r="BS86" i="23183"/>
  <c r="CU86" i="23183"/>
  <c r="CT86" i="23183"/>
  <c r="CE86" i="23183"/>
  <c r="BX86" i="23183"/>
  <c r="CN86" i="23183"/>
  <c r="BT86" i="23183"/>
  <c r="BZ86" i="23183"/>
  <c r="CO74" i="23183"/>
  <c r="CG74" i="23183"/>
  <c r="CX74" i="23183"/>
  <c r="BR74" i="23183"/>
  <c r="CT74" i="23183"/>
  <c r="CK74" i="23183"/>
  <c r="CD74" i="23183"/>
  <c r="BV74" i="23183"/>
  <c r="BY74" i="23183"/>
  <c r="CM74" i="23183"/>
  <c r="BS74" i="23183"/>
  <c r="CI74" i="23183"/>
  <c r="CO62" i="23183"/>
  <c r="CG62" i="23183"/>
  <c r="CL62" i="23183"/>
  <c r="CP62" i="23183"/>
  <c r="CT62" i="23183"/>
  <c r="BY62" i="23183"/>
  <c r="CM62" i="23183"/>
  <c r="CE62" i="23183"/>
  <c r="CI62" i="23183"/>
  <c r="CY62" i="23183"/>
  <c r="CQ62" i="23183"/>
  <c r="CU62" i="23183"/>
  <c r="CN62" i="23183"/>
  <c r="CF62" i="23183"/>
  <c r="CJ62" i="23183"/>
  <c r="CZ62" i="23183"/>
  <c r="CR62" i="23183"/>
  <c r="CV62" i="23183"/>
  <c r="CW38" i="23183"/>
  <c r="CD38" i="23183"/>
  <c r="CH38" i="23183"/>
  <c r="CL38" i="23183"/>
  <c r="CP38" i="23183"/>
  <c r="CX38" i="23183"/>
  <c r="CE38" i="23183"/>
  <c r="CI38" i="23183"/>
  <c r="CB38" i="23183"/>
  <c r="CF26" i="23183"/>
  <c r="CK26" i="23183"/>
  <c r="BV26" i="23183"/>
  <c r="CX26" i="23183"/>
  <c r="CD26" i="23183"/>
  <c r="BW26" i="23183"/>
  <c r="CB26" i="23183"/>
  <c r="CP26" i="23183"/>
  <c r="CI26" i="23183"/>
  <c r="CC26" i="23183"/>
  <c r="CE26" i="23183"/>
  <c r="CJ26" i="23183"/>
  <c r="CN26" i="23183"/>
  <c r="CQ26" i="23183"/>
  <c r="CV26" i="23183"/>
  <c r="CO26" i="23183"/>
  <c r="BY19" i="23183"/>
  <c r="CX19" i="23183"/>
  <c r="C15" i="23184"/>
  <c r="AO15" i="23184" s="1"/>
  <c r="B14" i="23199"/>
  <c r="U103" i="23184"/>
  <c r="U116" i="23184"/>
  <c r="AS106" i="23184"/>
  <c r="L87" i="23184"/>
  <c r="T106" i="23184"/>
  <c r="S87" i="23184"/>
  <c r="AU113" i="23184"/>
  <c r="R112" i="23184"/>
  <c r="B14" i="23200"/>
  <c r="T103" i="23184"/>
  <c r="L113" i="23184"/>
  <c r="T116" i="23184"/>
  <c r="S106" i="23184"/>
  <c r="R87" i="23184"/>
  <c r="O87" i="23184"/>
  <c r="AS87" i="23184"/>
  <c r="AN106" i="23184"/>
  <c r="CA83" i="23183"/>
  <c r="BW83" i="23183"/>
  <c r="BV83" i="23183"/>
  <c r="BY83" i="23183"/>
  <c r="CB83" i="23183"/>
  <c r="BX83" i="23183"/>
  <c r="BR83" i="23183"/>
  <c r="CW83" i="23183"/>
  <c r="CS71" i="23183"/>
  <c r="BW71" i="23183"/>
  <c r="CU71" i="23183"/>
  <c r="CY71" i="23183"/>
  <c r="BX71" i="23183"/>
  <c r="BS59" i="23183"/>
  <c r="BT59" i="23183"/>
  <c r="CF59" i="23183"/>
  <c r="CT59" i="23183"/>
  <c r="CD47" i="23183"/>
  <c r="CK47" i="23183"/>
  <c r="BS47" i="23183"/>
  <c r="BZ47" i="23183"/>
  <c r="CE47" i="23183"/>
  <c r="CL47" i="23183"/>
  <c r="CM47" i="23183"/>
  <c r="BW35" i="23183"/>
  <c r="CI35" i="23183"/>
  <c r="BX35" i="23183"/>
  <c r="CD23" i="23183"/>
  <c r="CM23" i="23183"/>
  <c r="CE23" i="23183"/>
  <c r="CQ23" i="23183"/>
  <c r="CF23" i="23183"/>
  <c r="AP97" i="23184"/>
  <c r="Q87" i="23184"/>
  <c r="N116" i="23184"/>
  <c r="BZ19" i="23183"/>
  <c r="R103" i="23184"/>
  <c r="S116" i="23184"/>
  <c r="AU97" i="23184"/>
  <c r="M106" i="23184"/>
  <c r="AU103" i="23184"/>
  <c r="U113" i="23184"/>
  <c r="AS103" i="23184"/>
  <c r="M116" i="23184"/>
  <c r="O64" i="23204"/>
  <c r="O66" i="23204" s="1"/>
  <c r="O67" i="23204" s="1"/>
  <c r="H58" i="23204" s="1"/>
  <c r="I59" i="23209"/>
  <c r="S59" i="23209" s="1"/>
  <c r="M62" i="23209"/>
  <c r="O48" i="23209"/>
  <c r="U62" i="23209"/>
  <c r="AD48" i="23209"/>
  <c r="W62" i="23209"/>
  <c r="AL48" i="23209"/>
  <c r="O62" i="23209"/>
  <c r="I212" i="23210"/>
  <c r="C188" i="23198"/>
  <c r="D177" i="23198" s="1"/>
  <c r="S85" i="23184"/>
  <c r="Q85" i="23184"/>
  <c r="T85" i="23184"/>
  <c r="V85" i="23184"/>
  <c r="H85" i="23184"/>
  <c r="U85" i="23184"/>
  <c r="J85" i="23184"/>
  <c r="B84" i="23184"/>
  <c r="AN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B81" i="23183"/>
  <c r="CQ81" i="23183"/>
  <c r="CX81" i="23183"/>
  <c r="CN81" i="23183"/>
  <c r="BT81" i="23183"/>
  <c r="BZ81" i="23183"/>
  <c r="CZ81" i="23183"/>
  <c r="CF81" i="23183"/>
  <c r="BX81" i="23183"/>
  <c r="CC81" i="23183"/>
  <c r="CR81" i="23183"/>
  <c r="BY81" i="23183"/>
  <c r="CO81" i="23183"/>
  <c r="BW81" i="23183"/>
  <c r="DA81" i="23183"/>
  <c r="CI81" i="23183"/>
  <c r="BV81" i="23183"/>
  <c r="CU81" i="23183"/>
  <c r="BR81" i="23183"/>
  <c r="CW81" i="23183"/>
  <c r="CD81" i="23183"/>
  <c r="CV81" i="23183"/>
  <c r="CP81" i="23183"/>
  <c r="CJ81" i="23183"/>
  <c r="CE81" i="23183"/>
  <c r="CL81" i="23183"/>
  <c r="CM81" i="23183"/>
  <c r="CG81" i="23183"/>
  <c r="CN69" i="23183"/>
  <c r="BT69" i="23183"/>
  <c r="BX69" i="23183"/>
  <c r="CZ69" i="23183"/>
  <c r="CF69" i="23183"/>
  <c r="CJ69" i="23183"/>
  <c r="CC69" i="23183"/>
  <c r="CR69" i="23183"/>
  <c r="BY69" i="23183"/>
  <c r="CO69" i="23183"/>
  <c r="BU69" i="23183"/>
  <c r="BZ69" i="23183"/>
  <c r="DA69" i="23183"/>
  <c r="BW69" i="23183"/>
  <c r="CT69" i="23183"/>
  <c r="CI69" i="23183"/>
  <c r="C65" i="23184"/>
  <c r="AO65" i="23184" s="1"/>
  <c r="BR69" i="23183"/>
  <c r="CU69" i="23183"/>
  <c r="CD69" i="23183"/>
  <c r="CV69" i="23183"/>
  <c r="CP69" i="23183"/>
  <c r="CX69" i="23183"/>
  <c r="B64" i="23201"/>
  <c r="BS69" i="23183"/>
  <c r="CK69" i="23183"/>
  <c r="CQ69" i="23183"/>
  <c r="CW69" i="23183"/>
  <c r="B64" i="23199"/>
  <c r="CM69" i="23183"/>
  <c r="CS69" i="23183"/>
  <c r="CN57" i="23183"/>
  <c r="CF57" i="23183"/>
  <c r="CJ57" i="23183"/>
  <c r="CZ57" i="23183"/>
  <c r="CR57" i="23183"/>
  <c r="CV57" i="23183"/>
  <c r="CO57" i="23183"/>
  <c r="CG57" i="23183"/>
  <c r="CC57" i="23183"/>
  <c r="CH57" i="23183"/>
  <c r="B52" i="23199"/>
  <c r="DA57" i="23183"/>
  <c r="CT57" i="23183"/>
  <c r="B52" i="23200"/>
  <c r="BR57" i="23183"/>
  <c r="BW57" i="23183"/>
  <c r="CD57" i="23183"/>
  <c r="CI57" i="23183"/>
  <c r="C53" i="23184"/>
  <c r="AO53" i="23184" s="1"/>
  <c r="CP57" i="23183"/>
  <c r="CU57" i="23183"/>
  <c r="BS57" i="23183"/>
  <c r="BX57" i="23183"/>
  <c r="CQ57" i="23183"/>
  <c r="BZ57" i="23183"/>
  <c r="CM57" i="23183"/>
  <c r="BU57" i="23183"/>
  <c r="CL57" i="23183"/>
  <c r="B52" i="23201"/>
  <c r="CE45" i="23183"/>
  <c r="CI45" i="23183"/>
  <c r="CB45" i="23183"/>
  <c r="CQ45" i="23183"/>
  <c r="CC45" i="23183"/>
  <c r="BR45" i="23183"/>
  <c r="CM45" i="23183"/>
  <c r="BE45" i="23183"/>
  <c r="CD45" i="23183"/>
  <c r="BW45" i="23183"/>
  <c r="CN45" i="23183"/>
  <c r="B40" i="23201"/>
  <c r="CP45" i="23183"/>
  <c r="BX45" i="23183"/>
  <c r="CO45" i="23183"/>
  <c r="B40" i="23199"/>
  <c r="BS45" i="23183"/>
  <c r="CJ45" i="23183"/>
  <c r="B40" i="23200"/>
  <c r="BT45" i="23183"/>
  <c r="CV45" i="23183"/>
  <c r="CF45" i="23183"/>
  <c r="BY45" i="23183"/>
  <c r="BU45" i="23183"/>
  <c r="CW45" i="23183"/>
  <c r="CL45" i="23183"/>
  <c r="CE33" i="23183"/>
  <c r="CQ33" i="23183"/>
  <c r="CR33" i="23183"/>
  <c r="CV33" i="23183"/>
  <c r="CO33" i="23183"/>
  <c r="BU33" i="23183"/>
  <c r="BY33" i="23183"/>
  <c r="CG33" i="23183"/>
  <c r="CK33" i="23183"/>
  <c r="CW33" i="23183"/>
  <c r="BV33" i="23183"/>
  <c r="BZ33" i="23183"/>
  <c r="B28" i="23199"/>
  <c r="CH33" i="23183"/>
  <c r="CL33" i="23183"/>
  <c r="CD33" i="23183"/>
  <c r="BW33" i="23183"/>
  <c r="CA33" i="23183"/>
  <c r="C29" i="23184"/>
  <c r="AO29" i="23184" s="1"/>
  <c r="BS33" i="23183"/>
  <c r="CC33" i="23183"/>
  <c r="CH22" i="23183"/>
  <c r="CO22" i="23183"/>
  <c r="BU22" i="23183"/>
  <c r="CK22" i="23183"/>
  <c r="BV22" i="23183"/>
  <c r="CC22" i="23183"/>
  <c r="B17" i="23199"/>
  <c r="CR22" i="23183"/>
  <c r="CL22" i="23183"/>
  <c r="BY22" i="23183"/>
  <c r="B17" i="23200"/>
  <c r="CF22" i="23183"/>
  <c r="BZ22" i="23183"/>
  <c r="BT22" i="23183"/>
  <c r="CJ22" i="23183"/>
  <c r="BR22" i="23183"/>
  <c r="CX22" i="23183"/>
  <c r="CG22" i="23183"/>
  <c r="CE22" i="23183"/>
  <c r="CB22" i="23183"/>
  <c r="CH79" i="23183"/>
  <c r="CE79" i="23183"/>
  <c r="CJ79" i="23183"/>
  <c r="BG79" i="23183"/>
  <c r="CB79" i="23183"/>
  <c r="CQ79" i="23183"/>
  <c r="BX79" i="23183"/>
  <c r="CN79" i="23183"/>
  <c r="BT79" i="23183"/>
  <c r="BY79" i="23183"/>
  <c r="CZ79" i="23183"/>
  <c r="CF79" i="23183"/>
  <c r="BZ79" i="23183"/>
  <c r="CT79" i="23183"/>
  <c r="CR79" i="23183"/>
  <c r="CW79" i="23183"/>
  <c r="DA79" i="23183"/>
  <c r="CS79" i="23183"/>
  <c r="CV79" i="23183"/>
  <c r="CA79" i="23183"/>
  <c r="CD79" i="23183"/>
  <c r="BW79" i="23183"/>
  <c r="CO67" i="23183"/>
  <c r="CG67" i="23183"/>
  <c r="BZ67" i="23183"/>
  <c r="C63" i="23184"/>
  <c r="AO63" i="23184" s="1"/>
  <c r="DA67" i="23183"/>
  <c r="CS67" i="23183"/>
  <c r="CK67" i="23183"/>
  <c r="BR67" i="23183"/>
  <c r="BV67" i="23183"/>
  <c r="CL67" i="23183"/>
  <c r="B62" i="23200"/>
  <c r="BG67" i="23183"/>
  <c r="CD67" i="23183"/>
  <c r="CH67" i="23183"/>
  <c r="CW67" i="23183"/>
  <c r="B62" i="23199"/>
  <c r="CP67" i="23183"/>
  <c r="CT67" i="23183"/>
  <c r="CX67" i="23183"/>
  <c r="CA67" i="23183"/>
  <c r="BS67" i="23183"/>
  <c r="BW67" i="23183"/>
  <c r="CY67" i="23183"/>
  <c r="CQ67" i="23183"/>
  <c r="CU67" i="23183"/>
  <c r="BF67" i="23183"/>
  <c r="CN67" i="23183"/>
  <c r="CF67" i="23183"/>
  <c r="CJ67" i="23183"/>
  <c r="CO55" i="23183"/>
  <c r="CG55" i="23183"/>
  <c r="BZ55" i="23183"/>
  <c r="DA55" i="23183"/>
  <c r="CS55" i="23183"/>
  <c r="CK55" i="23183"/>
  <c r="BR55" i="23183"/>
  <c r="BV55" i="23183"/>
  <c r="CL55" i="23183"/>
  <c r="CD55" i="23183"/>
  <c r="CH55" i="23183"/>
  <c r="CW55" i="23183"/>
  <c r="CP55" i="23183"/>
  <c r="CT55" i="23183"/>
  <c r="CX55" i="23183"/>
  <c r="C51" i="23184"/>
  <c r="AO51" i="23184" s="1"/>
  <c r="CA55" i="23183"/>
  <c r="BS55" i="23183"/>
  <c r="BW55" i="23183"/>
  <c r="CY55" i="23183"/>
  <c r="CQ55" i="23183"/>
  <c r="CU55" i="23183"/>
  <c r="B50" i="23199"/>
  <c r="CN55" i="23183"/>
  <c r="CF55" i="23183"/>
  <c r="CJ55" i="23183"/>
  <c r="BI55" i="23183"/>
  <c r="CF43" i="23183"/>
  <c r="CJ43" i="23183"/>
  <c r="B38" i="23199"/>
  <c r="CR43" i="23183"/>
  <c r="CV43" i="23183"/>
  <c r="BU43" i="23183"/>
  <c r="BY43" i="23183"/>
  <c r="CA43" i="23183"/>
  <c r="CG43" i="23183"/>
  <c r="CK43" i="23183"/>
  <c r="CB43" i="23183"/>
  <c r="CW43" i="23183"/>
  <c r="CC43" i="23183"/>
  <c r="BR43" i="23183"/>
  <c r="BV43" i="23183"/>
  <c r="BZ43" i="23183"/>
  <c r="CP43" i="23183"/>
  <c r="CX43" i="23183"/>
  <c r="C39" i="23184"/>
  <c r="AO39" i="23184" s="1"/>
  <c r="CE43" i="23183"/>
  <c r="CI43" i="23183"/>
  <c r="CN43" i="23183"/>
  <c r="CF31" i="23183"/>
  <c r="CJ31" i="23183"/>
  <c r="C27" i="23184"/>
  <c r="AO27" i="23184" s="1"/>
  <c r="CR31" i="23183"/>
  <c r="CV31" i="23183"/>
  <c r="B26" i="23201"/>
  <c r="BU31" i="23183"/>
  <c r="BY31" i="23183"/>
  <c r="CA31" i="23183"/>
  <c r="CG31" i="23183"/>
  <c r="CK31" i="23183"/>
  <c r="CC31" i="23183"/>
  <c r="CW31" i="23183"/>
  <c r="CB31" i="23183"/>
  <c r="B26" i="23200"/>
  <c r="BR31" i="23183"/>
  <c r="BV31" i="23183"/>
  <c r="BZ31" i="23183"/>
  <c r="CP31" i="23183"/>
  <c r="CX31" i="23183"/>
  <c r="CE31" i="23183"/>
  <c r="CI31" i="23183"/>
  <c r="CN31" i="23183"/>
  <c r="C252" i="23198"/>
  <c r="D248" i="23198" s="1"/>
  <c r="C272" i="23198"/>
  <c r="D267" i="23198" s="1"/>
  <c r="C287" i="23198"/>
  <c r="D278" i="23198" s="1"/>
  <c r="CR55" i="23183"/>
  <c r="CR67" i="23183"/>
  <c r="CP79" i="23183"/>
  <c r="BW31" i="23183"/>
  <c r="BW43" i="23183"/>
  <c r="BT55" i="23183"/>
  <c r="BT67" i="23183"/>
  <c r="B38" i="23200"/>
  <c r="BR79" i="23183"/>
  <c r="CH31" i="23183"/>
  <c r="CH43" i="23183"/>
  <c r="CE55" i="23183"/>
  <c r="CE67" i="23183"/>
  <c r="CO79" i="23183"/>
  <c r="BT31" i="23183"/>
  <c r="BT43" i="23183"/>
  <c r="CC55" i="23183"/>
  <c r="CC67" i="23183"/>
  <c r="CX79" i="23183"/>
  <c r="CC79" i="23183"/>
  <c r="CQ31" i="23183"/>
  <c r="CQ43" i="23183"/>
  <c r="CZ55" i="23183"/>
  <c r="CZ67" i="23183"/>
  <c r="CL79" i="23183"/>
  <c r="CY79" i="23183"/>
  <c r="BS31" i="23183"/>
  <c r="BS43" i="23183"/>
  <c r="CB55" i="23183"/>
  <c r="CB67" i="23183"/>
  <c r="CY81" i="23183"/>
  <c r="CK79" i="23183"/>
  <c r="CM79" i="23183"/>
  <c r="CD31" i="23183"/>
  <c r="CD43" i="23183"/>
  <c r="CM55" i="23183"/>
  <c r="CM67" i="23183"/>
  <c r="CG69" i="23183"/>
  <c r="CA81" i="23183"/>
  <c r="BY55" i="23183"/>
  <c r="BY67" i="23183"/>
  <c r="CZ82" i="23183"/>
  <c r="BT82" i="23183"/>
  <c r="CX82" i="23183"/>
  <c r="CH82" i="23183"/>
  <c r="CF82" i="23183"/>
  <c r="BZ82" i="23183"/>
  <c r="CC82" i="23183"/>
  <c r="CR82" i="23183"/>
  <c r="CJ82" i="23183"/>
  <c r="CO82" i="23183"/>
  <c r="BU82" i="23183"/>
  <c r="CW82" i="23183"/>
  <c r="DA82" i="23183"/>
  <c r="CI82" i="23183"/>
  <c r="C78" i="23184"/>
  <c r="AO78" i="23184" s="1"/>
  <c r="CT82" i="23183"/>
  <c r="CU82" i="23183"/>
  <c r="BR82" i="23183"/>
  <c r="BY82" i="23183"/>
  <c r="CD82" i="23183"/>
  <c r="BX82" i="23183"/>
  <c r="CP82" i="23183"/>
  <c r="CK82" i="23183"/>
  <c r="BS82" i="23183"/>
  <c r="CV82" i="23183"/>
  <c r="CA82" i="23183"/>
  <c r="CQ82" i="23183"/>
  <c r="CY82" i="23183"/>
  <c r="CS82" i="23183"/>
  <c r="CZ70" i="23183"/>
  <c r="CF70" i="23183"/>
  <c r="CW70" i="23183"/>
  <c r="CH70" i="23183"/>
  <c r="CR70" i="23183"/>
  <c r="CX70" i="23183"/>
  <c r="CC70" i="23183"/>
  <c r="BU70" i="23183"/>
  <c r="BZ70" i="23183"/>
  <c r="CO70" i="23183"/>
  <c r="CG70" i="23183"/>
  <c r="CL70" i="23183"/>
  <c r="DA70" i="23183"/>
  <c r="CS70" i="23183"/>
  <c r="CK70" i="23183"/>
  <c r="CM70" i="23183"/>
  <c r="CP70" i="23183"/>
  <c r="CI70" i="23183"/>
  <c r="BR70" i="23183"/>
  <c r="BY70" i="23183"/>
  <c r="B65" i="23200"/>
  <c r="CD70" i="23183"/>
  <c r="BS70" i="23183"/>
  <c r="C66" i="23184"/>
  <c r="AO66" i="23184" s="1"/>
  <c r="CE70" i="23183"/>
  <c r="CQ70" i="23183"/>
  <c r="BT70" i="23183"/>
  <c r="CA70" i="23183"/>
  <c r="BW70" i="23183"/>
  <c r="CT70" i="23183"/>
  <c r="CJ70" i="23183"/>
  <c r="CC58" i="23183"/>
  <c r="BU58" i="23183"/>
  <c r="CW58" i="23183"/>
  <c r="CO58" i="23183"/>
  <c r="CG58" i="23183"/>
  <c r="CX58" i="23183"/>
  <c r="DA58" i="23183"/>
  <c r="CS58" i="23183"/>
  <c r="CL58" i="23183"/>
  <c r="BR58" i="23183"/>
  <c r="BV58" i="23183"/>
  <c r="CK58" i="23183"/>
  <c r="CD58" i="23183"/>
  <c r="CH58" i="23183"/>
  <c r="BY58" i="23183"/>
  <c r="CM58" i="23183"/>
  <c r="CE58" i="23183"/>
  <c r="CI58" i="23183"/>
  <c r="CT58" i="23183"/>
  <c r="CA58" i="23183"/>
  <c r="BW58" i="23183"/>
  <c r="B53" i="23201"/>
  <c r="CY58" i="23183"/>
  <c r="CU58" i="23183"/>
  <c r="CB58" i="23183"/>
  <c r="BX58" i="23183"/>
  <c r="CN58" i="23183"/>
  <c r="CJ58" i="23183"/>
  <c r="B53" i="23199"/>
  <c r="C54" i="23184"/>
  <c r="AO54" i="23184" s="1"/>
  <c r="CZ58" i="23183"/>
  <c r="CV58" i="23183"/>
  <c r="BS58" i="23183"/>
  <c r="BT58" i="23183"/>
  <c r="BT46" i="23183"/>
  <c r="BX46" i="23183"/>
  <c r="CM46" i="23183"/>
  <c r="CF46" i="23183"/>
  <c r="CJ46" i="23183"/>
  <c r="CN46" i="23183"/>
  <c r="CR46" i="23183"/>
  <c r="CV46" i="23183"/>
  <c r="CO46" i="23183"/>
  <c r="BU46" i="23183"/>
  <c r="BY46" i="23183"/>
  <c r="CG46" i="23183"/>
  <c r="CK46" i="23183"/>
  <c r="CD46" i="23183"/>
  <c r="CH46" i="23183"/>
  <c r="CL46" i="23183"/>
  <c r="BV46" i="23183"/>
  <c r="BW46" i="23183"/>
  <c r="CI46" i="23183"/>
  <c r="B41" i="23201"/>
  <c r="BR46" i="23183"/>
  <c r="BZ46" i="23183"/>
  <c r="B41" i="23200"/>
  <c r="BS46" i="23183"/>
  <c r="CA46" i="23183"/>
  <c r="BT34" i="23183"/>
  <c r="BX34" i="23183"/>
  <c r="CM34" i="23183"/>
  <c r="CF34" i="23183"/>
  <c r="CJ34" i="23183"/>
  <c r="CN34" i="23183"/>
  <c r="CR34" i="23183"/>
  <c r="CV34" i="23183"/>
  <c r="CO34" i="23183"/>
  <c r="BU34" i="23183"/>
  <c r="BY34" i="23183"/>
  <c r="CG34" i="23183"/>
  <c r="CK34" i="23183"/>
  <c r="CD34" i="23183"/>
  <c r="B29" i="23200"/>
  <c r="BG34" i="23183"/>
  <c r="BR34" i="23183"/>
  <c r="CW34" i="23183"/>
  <c r="CP34" i="23183"/>
  <c r="BZ34" i="23183"/>
  <c r="BS34" i="23183"/>
  <c r="CL34" i="23183"/>
  <c r="BJ34" i="23183"/>
  <c r="CE34" i="23183"/>
  <c r="CX34" i="23183"/>
  <c r="CQ34" i="23183"/>
  <c r="CA34" i="23183"/>
  <c r="BV34" i="23183"/>
  <c r="CC34" i="23183"/>
  <c r="B17" i="23201"/>
  <c r="Y99" i="23184"/>
  <c r="P99" i="23184"/>
  <c r="X99" i="23184"/>
  <c r="C236" i="23198"/>
  <c r="D232" i="23198" s="1"/>
  <c r="S99" i="23184"/>
  <c r="C101" i="23198"/>
  <c r="D96" i="23198" s="1"/>
  <c r="K99" i="23184"/>
  <c r="R99" i="23184"/>
  <c r="CO48" i="23183"/>
  <c r="M99" i="23184"/>
  <c r="AS99" i="23184"/>
  <c r="C526" i="23198"/>
  <c r="D424" i="23198" s="1"/>
  <c r="CZ84" i="23183"/>
  <c r="BT84" i="23183"/>
  <c r="BY84" i="23183"/>
  <c r="CT84" i="23183"/>
  <c r="CF84" i="23183"/>
  <c r="CL84" i="23183"/>
  <c r="CC84" i="23183"/>
  <c r="CR84" i="23183"/>
  <c r="CV84" i="23183"/>
  <c r="CO84" i="23183"/>
  <c r="BU84" i="23183"/>
  <c r="CJ84" i="23183"/>
  <c r="DA84" i="23183"/>
  <c r="CG84" i="23183"/>
  <c r="BX84" i="23183"/>
  <c r="CF48" i="23183"/>
  <c r="CJ48" i="23183"/>
  <c r="CB48" i="23183"/>
  <c r="BR48" i="23183"/>
  <c r="CH48" i="23183"/>
  <c r="CX48" i="23183"/>
  <c r="CD48" i="23183"/>
  <c r="CP48" i="23183"/>
  <c r="BW48" i="23183"/>
  <c r="BS48" i="23183"/>
  <c r="CI48" i="23183"/>
  <c r="CE48" i="23183"/>
  <c r="CA48" i="23183"/>
  <c r="CR48" i="23183"/>
  <c r="BY48" i="23183"/>
  <c r="CN48" i="23183"/>
  <c r="CF36" i="23183"/>
  <c r="CJ36" i="23183"/>
  <c r="CB36" i="23183"/>
  <c r="BS36" i="23183"/>
  <c r="CI36" i="23183"/>
  <c r="CE36" i="23183"/>
  <c r="CA36" i="23183"/>
  <c r="CQ36" i="23183"/>
  <c r="BX36" i="23183"/>
  <c r="CC36" i="23183"/>
  <c r="BT36" i="23183"/>
  <c r="CV36" i="23183"/>
  <c r="CM36" i="23183"/>
  <c r="CR36" i="23183"/>
  <c r="BY36" i="23183"/>
  <c r="CN36" i="23183"/>
  <c r="BZ36" i="23183"/>
  <c r="CM24" i="23183"/>
  <c r="CF24" i="23183"/>
  <c r="CA24" i="23183"/>
  <c r="CR24" i="23183"/>
  <c r="CB24" i="23183"/>
  <c r="CV24" i="23183"/>
  <c r="CN24" i="23183"/>
  <c r="CW24" i="23183"/>
  <c r="CC24" i="23183"/>
  <c r="CX24" i="23183"/>
  <c r="CO24" i="23183"/>
  <c r="BU24" i="23183"/>
  <c r="CJ24" i="23183"/>
  <c r="CP24" i="23183"/>
  <c r="CG24" i="23183"/>
  <c r="Q99" i="23184"/>
  <c r="CZ83" i="23183"/>
  <c r="CF83" i="23183"/>
  <c r="CJ83" i="23183"/>
  <c r="CT83" i="23183"/>
  <c r="CR83" i="23183"/>
  <c r="CV83" i="23183"/>
  <c r="CC83" i="23183"/>
  <c r="BU83" i="23183"/>
  <c r="CX83" i="23183"/>
  <c r="CO83" i="23183"/>
  <c r="CG83" i="23183"/>
  <c r="CK83" i="23183"/>
  <c r="DA83" i="23183"/>
  <c r="CS83" i="23183"/>
  <c r="CL83" i="23183"/>
  <c r="CM83" i="23183"/>
  <c r="CP83" i="23183"/>
  <c r="CI83" i="23183"/>
  <c r="CM71" i="23183"/>
  <c r="BS71" i="23183"/>
  <c r="CI71" i="23183"/>
  <c r="CB71" i="23183"/>
  <c r="BT71" i="23183"/>
  <c r="CV71" i="23183"/>
  <c r="CN71" i="23183"/>
  <c r="CF71" i="23183"/>
  <c r="BY71" i="23183"/>
  <c r="CZ71" i="23183"/>
  <c r="CR71" i="23183"/>
  <c r="BZ71" i="23183"/>
  <c r="CC71" i="23183"/>
  <c r="BU71" i="23183"/>
  <c r="CK71" i="23183"/>
  <c r="CO71" i="23183"/>
  <c r="CG71" i="23183"/>
  <c r="CX71" i="23183"/>
  <c r="BR71" i="23183"/>
  <c r="CH71" i="23183"/>
  <c r="CC59" i="23183"/>
  <c r="BU59" i="23183"/>
  <c r="BY59" i="23183"/>
  <c r="CO59" i="23183"/>
  <c r="CG59" i="23183"/>
  <c r="BZ59" i="23183"/>
  <c r="DA59" i="23183"/>
  <c r="CS59" i="23183"/>
  <c r="CK59" i="23183"/>
  <c r="BR59" i="23183"/>
  <c r="BV59" i="23183"/>
  <c r="CL59" i="23183"/>
  <c r="CD59" i="23183"/>
  <c r="CH59" i="23183"/>
  <c r="CW59" i="23183"/>
  <c r="CM59" i="23183"/>
  <c r="CE59" i="23183"/>
  <c r="CI59" i="23183"/>
  <c r="CQ47" i="23183"/>
  <c r="BT47" i="23183"/>
  <c r="BX47" i="23183"/>
  <c r="CF47" i="23183"/>
  <c r="CJ47" i="23183"/>
  <c r="CR47" i="23183"/>
  <c r="CV47" i="23183"/>
  <c r="BU47" i="23183"/>
  <c r="BY47" i="23183"/>
  <c r="CA47" i="23183"/>
  <c r="CD35" i="23183"/>
  <c r="CH35" i="23183"/>
  <c r="CL35" i="23183"/>
  <c r="BT35" i="23183"/>
  <c r="CJ35" i="23183"/>
  <c r="CF35" i="23183"/>
  <c r="CV35" i="23183"/>
  <c r="CA35" i="23183"/>
  <c r="CR35" i="23183"/>
  <c r="BY35" i="23183"/>
  <c r="CB35" i="23183"/>
  <c r="BU35" i="23183"/>
  <c r="CK35" i="23183"/>
  <c r="CC35" i="23183"/>
  <c r="CG35" i="23183"/>
  <c r="CW35" i="23183"/>
  <c r="BR35" i="23183"/>
  <c r="CM35" i="23183"/>
  <c r="BR23" i="23183"/>
  <c r="BV23" i="23183"/>
  <c r="CA23" i="23183"/>
  <c r="CR23" i="23183"/>
  <c r="CK23" i="23183"/>
  <c r="BU23" i="23183"/>
  <c r="BZ23" i="23183"/>
  <c r="CG23" i="23183"/>
  <c r="CL23" i="23183"/>
  <c r="CV23" i="23183"/>
  <c r="CB23" i="23183"/>
  <c r="B18" i="23201"/>
  <c r="CH23" i="23183"/>
  <c r="CC23" i="23183"/>
  <c r="BS23" i="23183"/>
  <c r="CI23" i="23183"/>
  <c r="CO23" i="23183"/>
  <c r="C172" i="23198"/>
  <c r="D171" i="23198" s="1"/>
  <c r="C39" i="23198" s="1"/>
  <c r="C419" i="23198"/>
  <c r="D318" i="23198" s="1"/>
  <c r="BT49" i="23183"/>
  <c r="BX49" i="23183"/>
  <c r="CM49" i="23183"/>
  <c r="CD25" i="23183"/>
  <c r="BW25" i="23183"/>
  <c r="CB25" i="23183"/>
  <c r="Q48" i="23209"/>
  <c r="AK48" i="23209"/>
  <c r="CI87" i="23183"/>
  <c r="BS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BO49" i="23183" l="1"/>
  <c r="BQ49" i="23183" s="1"/>
  <c r="CT49" i="23183"/>
  <c r="CZ49" i="23183" s="1"/>
  <c r="AU49" i="23183"/>
  <c r="BA49" i="23183" s="1"/>
  <c r="AV49" i="23183"/>
  <c r="BB49" i="23183" s="1"/>
  <c r="P49" i="23183"/>
  <c r="R49" i="23183" s="1"/>
  <c r="CU49" i="23183"/>
  <c r="DA49" i="23183" s="1"/>
  <c r="CS49" i="23183"/>
  <c r="CY49" i="23183" s="1"/>
  <c r="AT49" i="23183"/>
  <c r="AZ49" i="23183" s="1"/>
  <c r="AT48" i="23183"/>
  <c r="AZ48" i="23183" s="1"/>
  <c r="AU48" i="23183"/>
  <c r="BA48" i="23183" s="1"/>
  <c r="CS48" i="23183"/>
  <c r="CY48" i="23183" s="1"/>
  <c r="BO48" i="23183"/>
  <c r="BQ48" i="23183" s="1"/>
  <c r="P48" i="23183"/>
  <c r="R48" i="23183" s="1"/>
  <c r="CT48" i="23183"/>
  <c r="CZ48" i="23183" s="1"/>
  <c r="AV48" i="23183"/>
  <c r="BB48" i="23183" s="1"/>
  <c r="CU48" i="23183"/>
  <c r="DA48" i="23183" s="1"/>
  <c r="C42" i="23199"/>
  <c r="AT47" i="23183"/>
  <c r="AZ47" i="23183" s="1"/>
  <c r="AV47" i="23183"/>
  <c r="BB47" i="23183" s="1"/>
  <c r="CU47" i="23183"/>
  <c r="DA47" i="23183" s="1"/>
  <c r="CT47" i="23183"/>
  <c r="CZ47" i="23183" s="1"/>
  <c r="AU47" i="23183"/>
  <c r="BA47" i="23183" s="1"/>
  <c r="P47" i="23183"/>
  <c r="R47" i="23183" s="1"/>
  <c r="CS47" i="23183"/>
  <c r="CY47" i="23183" s="1"/>
  <c r="BO47" i="23183"/>
  <c r="BQ47" i="23183" s="1"/>
  <c r="BO46" i="23183"/>
  <c r="BQ46" i="23183" s="1"/>
  <c r="CU46" i="23183"/>
  <c r="DA46" i="23183" s="1"/>
  <c r="AT46" i="23183"/>
  <c r="AZ46" i="23183" s="1"/>
  <c r="CT46" i="23183"/>
  <c r="CZ46" i="23183" s="1"/>
  <c r="AU46" i="23183"/>
  <c r="BA46" i="23183" s="1"/>
  <c r="CS46" i="23183"/>
  <c r="CY46" i="23183" s="1"/>
  <c r="AV46" i="23183"/>
  <c r="BB46" i="23183" s="1"/>
  <c r="P46" i="23183"/>
  <c r="R46" i="23183" s="1"/>
  <c r="CS45" i="23183"/>
  <c r="CY45" i="23183" s="1"/>
  <c r="BO45" i="23183"/>
  <c r="BQ45" i="23183" s="1"/>
  <c r="AV45" i="23183"/>
  <c r="BB45" i="23183" s="1"/>
  <c r="AT45" i="23183"/>
  <c r="AZ45" i="23183" s="1"/>
  <c r="CU45" i="23183"/>
  <c r="DA45" i="23183" s="1"/>
  <c r="P45" i="23183"/>
  <c r="R45" i="23183" s="1"/>
  <c r="CT45" i="23183"/>
  <c r="CZ45" i="23183" s="1"/>
  <c r="AU45" i="23183"/>
  <c r="BA45" i="23183" s="1"/>
  <c r="AU44" i="23183"/>
  <c r="BA44" i="23183" s="1"/>
  <c r="AV44" i="23183"/>
  <c r="BB44" i="23183" s="1"/>
  <c r="P44" i="23183"/>
  <c r="R44" i="23183" s="1"/>
  <c r="BO44" i="23183"/>
  <c r="BQ44" i="23183" s="1"/>
  <c r="CS44" i="23183"/>
  <c r="CY44" i="23183" s="1"/>
  <c r="CU44" i="23183"/>
  <c r="DA44" i="23183" s="1"/>
  <c r="CT44" i="23183"/>
  <c r="CZ44" i="23183" s="1"/>
  <c r="AT44" i="23183"/>
  <c r="AZ44" i="23183" s="1"/>
  <c r="L3" i="23177"/>
  <c r="J2" i="23204"/>
  <c r="C3" i="23213"/>
  <c r="G4" i="23201"/>
  <c r="AU43" i="23183"/>
  <c r="BA43" i="23183" s="1"/>
  <c r="BO43" i="23183"/>
  <c r="BQ43" i="23183" s="1"/>
  <c r="AV43" i="23183"/>
  <c r="BB43" i="23183" s="1"/>
  <c r="CT43" i="23183"/>
  <c r="CZ43" i="23183" s="1"/>
  <c r="CU43" i="23183"/>
  <c r="DA43" i="23183" s="1"/>
  <c r="CS43" i="23183"/>
  <c r="CY43" i="23183" s="1"/>
  <c r="AT43" i="23183"/>
  <c r="AZ43" i="23183" s="1"/>
  <c r="P43" i="23183"/>
  <c r="R43" i="23183" s="1"/>
  <c r="CS42" i="23183"/>
  <c r="CY42" i="23183" s="1"/>
  <c r="BO42" i="23183"/>
  <c r="BQ42" i="23183" s="1"/>
  <c r="AT42" i="23183"/>
  <c r="AZ42" i="23183" s="1"/>
  <c r="AV42" i="23183"/>
  <c r="BB42" i="23183" s="1"/>
  <c r="P42" i="23183"/>
  <c r="R42" i="23183" s="1"/>
  <c r="CU42" i="23183"/>
  <c r="DA42" i="23183" s="1"/>
  <c r="CT42" i="23183"/>
  <c r="CZ42" i="23183" s="1"/>
  <c r="AU42" i="23183"/>
  <c r="BA42" i="23183" s="1"/>
  <c r="P41" i="23183"/>
  <c r="R41" i="23183" s="1"/>
  <c r="CU41" i="23183"/>
  <c r="DA41" i="23183" s="1"/>
  <c r="AT41" i="23183"/>
  <c r="AZ41" i="23183" s="1"/>
  <c r="AV41" i="23183"/>
  <c r="BB41" i="23183" s="1"/>
  <c r="BO41" i="23183"/>
  <c r="BQ41" i="23183" s="1"/>
  <c r="CS41" i="23183"/>
  <c r="CY41" i="23183" s="1"/>
  <c r="AU41" i="23183"/>
  <c r="BA41" i="23183" s="1"/>
  <c r="CT41" i="23183"/>
  <c r="CZ41" i="23183" s="1"/>
  <c r="T49" i="23184"/>
  <c r="AO49" i="23184"/>
  <c r="O42" i="23184"/>
  <c r="AO42" i="23184"/>
  <c r="U23" i="23184"/>
  <c r="AO23" i="23184"/>
  <c r="F130" i="23198"/>
  <c r="F123" i="23198"/>
  <c r="F124" i="23198"/>
  <c r="F125" i="23198"/>
  <c r="F126" i="23198"/>
  <c r="F121" i="23198"/>
  <c r="F122" i="23198"/>
  <c r="F120" i="23198"/>
  <c r="D107" i="23198"/>
  <c r="D125" i="23198"/>
  <c r="D126" i="23198"/>
  <c r="D124" i="23198"/>
  <c r="D120" i="23198"/>
  <c r="D121" i="23198"/>
  <c r="D122" i="23198"/>
  <c r="D123" i="23198"/>
  <c r="CU40" i="23183"/>
  <c r="DA40" i="23183" s="1"/>
  <c r="AV40" i="23183"/>
  <c r="BB40" i="23183" s="1"/>
  <c r="CT40" i="23183"/>
  <c r="CZ40" i="23183" s="1"/>
  <c r="BO40" i="23183"/>
  <c r="BQ40" i="23183" s="1"/>
  <c r="CS40" i="23183"/>
  <c r="CY40" i="23183" s="1"/>
  <c r="AU40" i="23183"/>
  <c r="BA40" i="23183" s="1"/>
  <c r="P40" i="23183"/>
  <c r="R40" i="23183" s="1"/>
  <c r="AT40" i="23183"/>
  <c r="AZ40" i="23183" s="1"/>
  <c r="AT39" i="23183"/>
  <c r="AZ39" i="23183" s="1"/>
  <c r="CS39" i="23183"/>
  <c r="CY39" i="23183" s="1"/>
  <c r="BO39" i="23183"/>
  <c r="BQ39" i="23183" s="1"/>
  <c r="AU39" i="23183"/>
  <c r="BA39" i="23183" s="1"/>
  <c r="AV39" i="23183"/>
  <c r="BB39" i="23183" s="1"/>
  <c r="CT39" i="23183"/>
  <c r="CZ39" i="23183" s="1"/>
  <c r="CU39" i="23183"/>
  <c r="DA39" i="23183" s="1"/>
  <c r="P39" i="23183"/>
  <c r="R39" i="23183" s="1"/>
  <c r="BO38" i="23183"/>
  <c r="BQ38" i="23183" s="1"/>
  <c r="CU38" i="23183"/>
  <c r="DA38" i="23183" s="1"/>
  <c r="P38" i="23183"/>
  <c r="R38" i="23183" s="1"/>
  <c r="CT38" i="23183"/>
  <c r="CZ38" i="23183" s="1"/>
  <c r="AT38" i="23183"/>
  <c r="AZ38" i="23183" s="1"/>
  <c r="AV38" i="23183"/>
  <c r="BB38" i="23183" s="1"/>
  <c r="AU38" i="23183"/>
  <c r="BA38" i="23183" s="1"/>
  <c r="CS38" i="23183"/>
  <c r="CY38" i="23183" s="1"/>
  <c r="K58" i="23200"/>
  <c r="F58" i="23200"/>
  <c r="P23" i="23184"/>
  <c r="N23" i="23184"/>
  <c r="G58" i="23200"/>
  <c r="O58" i="23200"/>
  <c r="C58" i="23200"/>
  <c r="D58" i="23200"/>
  <c r="P28" i="23183"/>
  <c r="R28" i="23183" s="1"/>
  <c r="P18" i="23183"/>
  <c r="R18" i="23183" s="1"/>
  <c r="P35" i="23183"/>
  <c r="R35" i="23183" s="1"/>
  <c r="P26" i="23183"/>
  <c r="R26" i="23183" s="1"/>
  <c r="P36" i="23183"/>
  <c r="R36" i="23183" s="1"/>
  <c r="P37" i="23183"/>
  <c r="R37" i="23183" s="1"/>
  <c r="P27" i="23183"/>
  <c r="R27" i="23183" s="1"/>
  <c r="P29" i="23183"/>
  <c r="R29" i="23183" s="1"/>
  <c r="P22" i="23183"/>
  <c r="R22" i="23183" s="1"/>
  <c r="P32" i="23183"/>
  <c r="R32" i="23183" s="1"/>
  <c r="P30" i="23183"/>
  <c r="R30" i="23183" s="1"/>
  <c r="P25" i="23183"/>
  <c r="R25" i="23183" s="1"/>
  <c r="P20" i="23183"/>
  <c r="R20" i="23183" s="1"/>
  <c r="P31" i="23183"/>
  <c r="R31" i="23183" s="1"/>
  <c r="P21" i="23183"/>
  <c r="R21" i="23183" s="1"/>
  <c r="P23" i="23183"/>
  <c r="R23" i="23183" s="1"/>
  <c r="P33" i="23183"/>
  <c r="R33" i="23183" s="1"/>
  <c r="P24" i="23183"/>
  <c r="R24" i="23183" s="1"/>
  <c r="P34" i="23183"/>
  <c r="R34" i="23183" s="1"/>
  <c r="B13" i="23214"/>
  <c r="E17" i="23183"/>
  <c r="P19" i="23183"/>
  <c r="R19" i="23183" s="1"/>
  <c r="CU37" i="23183"/>
  <c r="DA37" i="23183" s="1"/>
  <c r="AT37" i="23183"/>
  <c r="AZ37" i="23183" s="1"/>
  <c r="AU37" i="23183"/>
  <c r="BA37" i="23183" s="1"/>
  <c r="AV37" i="23183"/>
  <c r="BB37" i="23183" s="1"/>
  <c r="BO37" i="23183"/>
  <c r="BQ37" i="23183" s="1"/>
  <c r="CS37" i="23183"/>
  <c r="CY37" i="23183" s="1"/>
  <c r="CT37" i="23183"/>
  <c r="CZ37" i="23183" s="1"/>
  <c r="C61" i="23199"/>
  <c r="AU36" i="23183"/>
  <c r="BA36" i="23183" s="1"/>
  <c r="AT36" i="23183"/>
  <c r="AZ36" i="23183" s="1"/>
  <c r="CS36" i="23183"/>
  <c r="CY36" i="23183" s="1"/>
  <c r="AV36" i="23183"/>
  <c r="BB36" i="23183" s="1"/>
  <c r="CU36" i="23183"/>
  <c r="DA36" i="23183" s="1"/>
  <c r="CT36" i="23183"/>
  <c r="CZ36" i="23183" s="1"/>
  <c r="BO36" i="23183"/>
  <c r="BQ36" i="23183" s="1"/>
  <c r="F30" i="23201"/>
  <c r="F85" i="23198"/>
  <c r="F87" i="23198"/>
  <c r="F86" i="23198"/>
  <c r="F83" i="23198"/>
  <c r="E53" i="23200"/>
  <c r="P42" i="23184"/>
  <c r="CT35" i="23183"/>
  <c r="CZ35" i="23183" s="1"/>
  <c r="F53" i="23200"/>
  <c r="AU35" i="23183"/>
  <c r="BA35" i="23183" s="1"/>
  <c r="I53" i="23200"/>
  <c r="BO35" i="23183"/>
  <c r="BQ35" i="23183" s="1"/>
  <c r="H53" i="23200"/>
  <c r="AT35" i="23183"/>
  <c r="AZ35" i="23183" s="1"/>
  <c r="O53" i="23200"/>
  <c r="AV35" i="23183"/>
  <c r="BB35" i="23183" s="1"/>
  <c r="CS35" i="23183"/>
  <c r="CY35" i="23183" s="1"/>
  <c r="CU35" i="23183"/>
  <c r="DA35" i="23183" s="1"/>
  <c r="BP17" i="23183"/>
  <c r="F438"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AI42" i="23184"/>
  <c r="AH42" i="23184"/>
  <c r="AG42" i="23184"/>
  <c r="AE42" i="23184"/>
  <c r="AD42" i="23184"/>
  <c r="AC42" i="23184"/>
  <c r="AM42" i="23184"/>
  <c r="AL42" i="23184"/>
  <c r="AB42" i="23184"/>
  <c r="AF42" i="23184"/>
  <c r="AK42"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M37" i="23184"/>
  <c r="AI37" i="23184"/>
  <c r="AL37" i="23184"/>
  <c r="AH37" i="23184"/>
  <c r="AK37" i="23184"/>
  <c r="AG37" i="23184"/>
  <c r="AF37" i="23184"/>
  <c r="AD37" i="23184"/>
  <c r="AC37" i="23184"/>
  <c r="AB37" i="23184"/>
  <c r="AE37"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AU34" i="23183"/>
  <c r="BA34" i="23183" s="1"/>
  <c r="AT34" i="23183"/>
  <c r="AZ34" i="23183" s="1"/>
  <c r="BO34" i="23183"/>
  <c r="BQ34" i="23183" s="1"/>
  <c r="CS34" i="23183"/>
  <c r="CY34" i="23183" s="1"/>
  <c r="CT34" i="23183"/>
  <c r="CZ34" i="23183" s="1"/>
  <c r="AV34" i="23183"/>
  <c r="BB34" i="23183" s="1"/>
  <c r="CU34" i="23183"/>
  <c r="DA34" i="23183" s="1"/>
  <c r="F261" i="23198"/>
  <c r="D63" i="23198"/>
  <c r="C29" i="23199"/>
  <c r="AU33" i="23183"/>
  <c r="BA33" i="23183" s="1"/>
  <c r="CS33" i="23183"/>
  <c r="CY33" i="23183" s="1"/>
  <c r="M41" i="23184"/>
  <c r="AV33" i="23183"/>
  <c r="BB33" i="23183" s="1"/>
  <c r="CT33" i="23183"/>
  <c r="CZ33" i="23183" s="1"/>
  <c r="CU33" i="23183"/>
  <c r="DA33" i="23183" s="1"/>
  <c r="BO33" i="23183"/>
  <c r="BQ33" i="23183" s="1"/>
  <c r="AT33" i="23183"/>
  <c r="AZ33" i="23183" s="1"/>
  <c r="F15" i="23175"/>
  <c r="F16" i="23175"/>
  <c r="J5" i="23204"/>
  <c r="F12" i="23175"/>
  <c r="BO32" i="23183"/>
  <c r="BQ32" i="23183" s="1"/>
  <c r="F257" i="23198"/>
  <c r="CU32" i="23183"/>
  <c r="DA32" i="23183" s="1"/>
  <c r="CT32" i="23183"/>
  <c r="CZ32" i="23183" s="1"/>
  <c r="CS32" i="23183"/>
  <c r="CY32" i="23183" s="1"/>
  <c r="AT32" i="23183"/>
  <c r="AZ32" i="23183" s="1"/>
  <c r="AU32" i="23183"/>
  <c r="BA32" i="23183" s="1"/>
  <c r="AV32" i="23183"/>
  <c r="BB32" i="23183" s="1"/>
  <c r="E58" i="23201"/>
  <c r="I81" i="23184"/>
  <c r="F112" i="23198"/>
  <c r="Y81" i="23184"/>
  <c r="F14" i="23212"/>
  <c r="H6" i="23212" s="1"/>
  <c r="D58" i="23201"/>
  <c r="H81" i="23184"/>
  <c r="K81" i="23184"/>
  <c r="J81" i="23184"/>
  <c r="N81" i="23184"/>
  <c r="F21" i="23201"/>
  <c r="C23" i="23199"/>
  <c r="E58" i="23200"/>
  <c r="F258" i="23198"/>
  <c r="N58" i="23200"/>
  <c r="H59" i="23200"/>
  <c r="F260" i="23198"/>
  <c r="Y23" i="23184"/>
  <c r="F131" i="23198"/>
  <c r="C35" i="23199"/>
  <c r="M58" i="23200"/>
  <c r="D50" i="23198"/>
  <c r="O59" i="23200"/>
  <c r="F23" i="23184"/>
  <c r="B22" i="23184"/>
  <c r="J58" i="23200"/>
  <c r="F59" i="23200"/>
  <c r="L23" i="23184"/>
  <c r="E42" i="23199"/>
  <c r="L58" i="23200"/>
  <c r="K59" i="23200"/>
  <c r="I23" i="23184"/>
  <c r="S23" i="23184"/>
  <c r="E35" i="23199"/>
  <c r="E14" i="23201"/>
  <c r="G59" i="23200"/>
  <c r="H58" i="23200"/>
  <c r="F139" i="23198"/>
  <c r="G53" i="23200"/>
  <c r="C53" i="23200"/>
  <c r="F286" i="23198"/>
  <c r="D53" i="23200"/>
  <c r="J53" i="23200"/>
  <c r="L53" i="23200"/>
  <c r="F74" i="23198"/>
  <c r="AV59" i="23184"/>
  <c r="F59" i="23184"/>
  <c r="K53" i="23200"/>
  <c r="F84" i="23198"/>
  <c r="N53" i="23200"/>
  <c r="O49" i="23184"/>
  <c r="F491" i="23198"/>
  <c r="E49" i="23184"/>
  <c r="J32" i="23184"/>
  <c r="D22" i="23200"/>
  <c r="F500" i="23198"/>
  <c r="F492" i="23198"/>
  <c r="O32" i="23184"/>
  <c r="F517" i="23198"/>
  <c r="AS49" i="23184"/>
  <c r="F451" i="23198"/>
  <c r="Z49" i="23184"/>
  <c r="F463" i="23198"/>
  <c r="I49" i="23184"/>
  <c r="F514" i="23198"/>
  <c r="F464" i="23198"/>
  <c r="O34" i="23184"/>
  <c r="F488" i="23198"/>
  <c r="E31" i="23184"/>
  <c r="H66" i="23200"/>
  <c r="G22" i="23200"/>
  <c r="G66" i="23200"/>
  <c r="X32" i="23184"/>
  <c r="E22" i="23200"/>
  <c r="F55" i="23199"/>
  <c r="N35" i="23184"/>
  <c r="C30" i="23199"/>
  <c r="C26" i="23198"/>
  <c r="D296" i="23198" s="1"/>
  <c r="F142" i="23198"/>
  <c r="E14" i="23199"/>
  <c r="F140" i="23198"/>
  <c r="K64" i="23200"/>
  <c r="C55" i="23199"/>
  <c r="F143" i="23198"/>
  <c r="H55" i="23199"/>
  <c r="F59" i="23201"/>
  <c r="D59" i="23201" s="1"/>
  <c r="CT31" i="23183"/>
  <c r="CZ31" i="23183" s="1"/>
  <c r="AT31" i="23183"/>
  <c r="AZ31" i="23183" s="1"/>
  <c r="AU31" i="23183"/>
  <c r="BA31" i="23183" s="1"/>
  <c r="CS31" i="23183"/>
  <c r="CY31" i="23183" s="1"/>
  <c r="F19" i="23201"/>
  <c r="AV31" i="23183"/>
  <c r="BB31" i="23183" s="1"/>
  <c r="BO31" i="23183"/>
  <c r="BQ31" i="23183" s="1"/>
  <c r="CU31" i="23183"/>
  <c r="DA31" i="23183" s="1"/>
  <c r="F14" i="23201"/>
  <c r="C24" i="23199"/>
  <c r="F495" i="23198"/>
  <c r="F450" i="23198"/>
  <c r="F482" i="23198"/>
  <c r="F515" i="23198"/>
  <c r="L35" i="23184"/>
  <c r="F510" i="23198"/>
  <c r="F468" i="23198"/>
  <c r="F519" i="23198"/>
  <c r="P35" i="23184"/>
  <c r="F429" i="23198"/>
  <c r="F426" i="23198"/>
  <c r="F459" i="23198"/>
  <c r="F456" i="23198"/>
  <c r="F445" i="23198"/>
  <c r="F480" i="23198"/>
  <c r="F490" i="23198"/>
  <c r="J35" i="23184"/>
  <c r="AT30" i="23183"/>
  <c r="AZ30" i="23183" s="1"/>
  <c r="H61" i="23199"/>
  <c r="F108" i="23198"/>
  <c r="F73" i="23198"/>
  <c r="F61" i="23199"/>
  <c r="E61" i="23199"/>
  <c r="J19" i="23200"/>
  <c r="F129" i="23198"/>
  <c r="F72" i="23198"/>
  <c r="N56" i="23184"/>
  <c r="H19" i="23200"/>
  <c r="K19" i="23200"/>
  <c r="D61" i="23199"/>
  <c r="R22" i="23184"/>
  <c r="F119" i="23198"/>
  <c r="F76" i="23198"/>
  <c r="F214" i="23198"/>
  <c r="F77" i="23198"/>
  <c r="E15" i="23201"/>
  <c r="J42" i="23184"/>
  <c r="F49" i="23184"/>
  <c r="Y49" i="23184"/>
  <c r="F219" i="23198"/>
  <c r="D45" i="23200"/>
  <c r="BO30" i="23183"/>
  <c r="BQ30" i="23183" s="1"/>
  <c r="B41" i="23184"/>
  <c r="F215" i="23198"/>
  <c r="R49" i="23184"/>
  <c r="P49" i="23184"/>
  <c r="X49" i="23184"/>
  <c r="F218" i="23198"/>
  <c r="F179" i="23198"/>
  <c r="G42" i="23184"/>
  <c r="Q49" i="23184"/>
  <c r="J49" i="23184"/>
  <c r="F209" i="23198"/>
  <c r="L64" i="23200"/>
  <c r="Y42" i="23184"/>
  <c r="B21" i="23184"/>
  <c r="H49" i="23184"/>
  <c r="K49" i="23184"/>
  <c r="N49" i="23184"/>
  <c r="D258" i="23198"/>
  <c r="M42" i="23184"/>
  <c r="N22" i="23184"/>
  <c r="F211" i="23198"/>
  <c r="AJ49" i="23184"/>
  <c r="F217" i="23198"/>
  <c r="CU30" i="23183"/>
  <c r="DA30" i="23183" s="1"/>
  <c r="D257" i="23198"/>
  <c r="AU30" i="23183"/>
  <c r="BA30" i="23183" s="1"/>
  <c r="F22" i="23184"/>
  <c r="G49" i="23184"/>
  <c r="AU49" i="23184"/>
  <c r="AV30" i="23183"/>
  <c r="BB30" i="23183" s="1"/>
  <c r="CT30" i="23183"/>
  <c r="CZ30" i="23183" s="1"/>
  <c r="S22" i="23184"/>
  <c r="V49" i="23184"/>
  <c r="CS30" i="23183"/>
  <c r="CY30" i="23183" s="1"/>
  <c r="AA49" i="23184"/>
  <c r="D259" i="23198"/>
  <c r="G64" i="23200"/>
  <c r="AP49" i="23184"/>
  <c r="L49" i="23184"/>
  <c r="K45" i="23200"/>
  <c r="F22" i="23201"/>
  <c r="H54" i="23193"/>
  <c r="D133" i="23198"/>
  <c r="D108" i="23198"/>
  <c r="I57" i="23193"/>
  <c r="L57" i="23193" s="1"/>
  <c r="G68" i="23200"/>
  <c r="D112" i="23198"/>
  <c r="D119" i="23198"/>
  <c r="AU29" i="23183"/>
  <c r="BA29" i="23183" s="1"/>
  <c r="P43" i="23184"/>
  <c r="AV29" i="23183"/>
  <c r="BB29" i="23183" s="1"/>
  <c r="X43" i="23184"/>
  <c r="L43" i="23184"/>
  <c r="O43" i="23184"/>
  <c r="J43" i="23184"/>
  <c r="CT29" i="23183"/>
  <c r="CZ29" i="23183" s="1"/>
  <c r="Z43" i="23184"/>
  <c r="BO29" i="23183"/>
  <c r="BQ29" i="23183" s="1"/>
  <c r="CS29" i="23183"/>
  <c r="CY29" i="23183" s="1"/>
  <c r="B42" i="23184"/>
  <c r="CU29" i="23183"/>
  <c r="DA29" i="23183" s="1"/>
  <c r="H34" i="23200"/>
  <c r="Y43" i="23184"/>
  <c r="Z62" i="23184"/>
  <c r="AT29" i="23183"/>
  <c r="AZ29" i="23183" s="1"/>
  <c r="AT21" i="23183"/>
  <c r="AZ21" i="23183" s="1"/>
  <c r="AT22" i="23183"/>
  <c r="AZ22" i="23183" s="1"/>
  <c r="AV25" i="23183"/>
  <c r="BB25" i="23183" s="1"/>
  <c r="AU28" i="23183"/>
  <c r="BA28" i="23183" s="1"/>
  <c r="E20" i="23201"/>
  <c r="AU27" i="23183"/>
  <c r="BA27" i="23183" s="1"/>
  <c r="AT28" i="23183"/>
  <c r="AZ28" i="23183" s="1"/>
  <c r="AV28" i="23183"/>
  <c r="BB28" i="23183" s="1"/>
  <c r="G19" i="23200"/>
  <c r="S35" i="23184"/>
  <c r="D114" i="23198"/>
  <c r="D116" i="23198"/>
  <c r="Z30" i="23184"/>
  <c r="J68" i="23200"/>
  <c r="X42" i="23184"/>
  <c r="V81" i="23184"/>
  <c r="Q81" i="23184"/>
  <c r="AU81" i="23184"/>
  <c r="F19" i="23200"/>
  <c r="D115" i="23198"/>
  <c r="F30" i="23184"/>
  <c r="U30" i="23184"/>
  <c r="O64" i="23200"/>
  <c r="J22" i="23200"/>
  <c r="AV18" i="23183"/>
  <c r="BB18" i="23183" s="1"/>
  <c r="Y35" i="23184"/>
  <c r="O23" i="23184"/>
  <c r="B29" i="23184"/>
  <c r="AV47" i="23184"/>
  <c r="H64" i="23200"/>
  <c r="I68" i="23200"/>
  <c r="F20" i="23201"/>
  <c r="I22" i="23200"/>
  <c r="K35" i="23184"/>
  <c r="X23" i="23184"/>
  <c r="F133" i="23198"/>
  <c r="N19" i="23200"/>
  <c r="D106" i="23198"/>
  <c r="D118" i="23198"/>
  <c r="S42" i="23184"/>
  <c r="F141" i="23198"/>
  <c r="F111" i="23198"/>
  <c r="E81" i="23184"/>
  <c r="U81" i="23184"/>
  <c r="C19" i="23200"/>
  <c r="D117" i="23198"/>
  <c r="D109" i="23198"/>
  <c r="I30" i="23184"/>
  <c r="N64" i="23200"/>
  <c r="M68" i="23200"/>
  <c r="N68" i="23200"/>
  <c r="C68" i="23200"/>
  <c r="K22" i="23200"/>
  <c r="E13" i="23201"/>
  <c r="F116" i="23198"/>
  <c r="X81" i="23184"/>
  <c r="AP81" i="23184"/>
  <c r="Z81" i="23184"/>
  <c r="M19" i="23200"/>
  <c r="D131" i="23198"/>
  <c r="D111" i="23198"/>
  <c r="F18" i="23200"/>
  <c r="G30" i="23184"/>
  <c r="K30" i="23184"/>
  <c r="J30" i="23184"/>
  <c r="K63" i="23200"/>
  <c r="M64" i="23200"/>
  <c r="Z23" i="23184"/>
  <c r="M23" i="23184"/>
  <c r="D128" i="23198"/>
  <c r="X35" i="23184"/>
  <c r="Z42" i="23184"/>
  <c r="F114" i="23198"/>
  <c r="F110" i="23198"/>
  <c r="T81" i="23184"/>
  <c r="AA81" i="23184"/>
  <c r="D110" i="23198"/>
  <c r="M30" i="23184"/>
  <c r="S30" i="23184"/>
  <c r="O30" i="23184"/>
  <c r="E16" i="23201"/>
  <c r="F68" i="23200"/>
  <c r="E64" i="23200"/>
  <c r="F35" i="23184"/>
  <c r="R23" i="23184"/>
  <c r="E23" i="23184"/>
  <c r="F106" i="23198"/>
  <c r="F277" i="23198"/>
  <c r="R42" i="23184"/>
  <c r="L42" i="23184"/>
  <c r="F115" i="23198"/>
  <c r="F128" i="23198"/>
  <c r="AJ81" i="23184"/>
  <c r="F81" i="23184"/>
  <c r="O19" i="23200"/>
  <c r="D127" i="23198"/>
  <c r="D113" i="23198"/>
  <c r="F118" i="23198"/>
  <c r="I19" i="23200"/>
  <c r="Y30" i="23184"/>
  <c r="P30" i="23184"/>
  <c r="E30" i="23184"/>
  <c r="L68" i="23200"/>
  <c r="K23" i="23184"/>
  <c r="X30" i="23184"/>
  <c r="H63" i="23200"/>
  <c r="AT25" i="23183"/>
  <c r="AZ25" i="23183" s="1"/>
  <c r="E42" i="23184"/>
  <c r="F109" i="23198"/>
  <c r="F132" i="23198"/>
  <c r="F107" i="23198"/>
  <c r="O81" i="23184"/>
  <c r="AS81" i="23184"/>
  <c r="E19" i="23200"/>
  <c r="D129" i="23198"/>
  <c r="F127" i="23198"/>
  <c r="AU26" i="23183"/>
  <c r="BA26" i="23183" s="1"/>
  <c r="N22" i="23200"/>
  <c r="I64" i="23200"/>
  <c r="F15" i="23201"/>
  <c r="AT27" i="23183"/>
  <c r="AZ27" i="23183" s="1"/>
  <c r="U35" i="23184"/>
  <c r="J23" i="23184"/>
  <c r="F117" i="23198"/>
  <c r="F113" i="23198"/>
  <c r="D19" i="23200"/>
  <c r="D260" i="23198"/>
  <c r="AV27" i="23183"/>
  <c r="BB27" i="23183" s="1"/>
  <c r="G35" i="23184"/>
  <c r="R35" i="23184"/>
  <c r="M35" i="23184"/>
  <c r="AU25" i="23183"/>
  <c r="BA25" i="23183" s="1"/>
  <c r="G34" i="23200"/>
  <c r="Y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34" i="23198"/>
  <c r="N34" i="23200"/>
  <c r="R24" i="23184"/>
  <c r="N43" i="23184"/>
  <c r="E43" i="23184"/>
  <c r="F232" i="23198"/>
  <c r="I34" i="23200"/>
  <c r="D34" i="23200"/>
  <c r="AV79" i="23184"/>
  <c r="E34" i="23200"/>
  <c r="M34" i="23200"/>
  <c r="AU18" i="23183"/>
  <c r="BA18" i="23183" s="1"/>
  <c r="I24" i="23184"/>
  <c r="L60" i="23200"/>
  <c r="M59" i="23200"/>
  <c r="C59" i="23200"/>
  <c r="N59" i="23200"/>
  <c r="D59" i="23200"/>
  <c r="E59" i="23200"/>
  <c r="L59" i="23200"/>
  <c r="I59" i="23200"/>
  <c r="E35" i="23184"/>
  <c r="B34" i="23184"/>
  <c r="I35" i="23184"/>
  <c r="Z35" i="23184"/>
  <c r="F210" i="23198"/>
  <c r="F212" i="23198"/>
  <c r="F225" i="23198"/>
  <c r="K43" i="23184"/>
  <c r="Q59" i="23209"/>
  <c r="L59" i="23209"/>
  <c r="F227" i="23198"/>
  <c r="F213" i="23198"/>
  <c r="V71" i="23184"/>
  <c r="D66" i="23200"/>
  <c r="R59" i="23209"/>
  <c r="F226" i="23198"/>
  <c r="AV23" i="23183"/>
  <c r="BB23" i="23183" s="1"/>
  <c r="BO25" i="23183"/>
  <c r="BQ25" i="23183" s="1"/>
  <c r="B13" i="23184"/>
  <c r="R71" i="23184"/>
  <c r="AS71" i="23184"/>
  <c r="Z71" i="23184"/>
  <c r="D194" i="23198"/>
  <c r="G14" i="23184"/>
  <c r="AP71" i="23184"/>
  <c r="E71" i="23184"/>
  <c r="D280" i="23198"/>
  <c r="D86" i="23198"/>
  <c r="X71" i="23184"/>
  <c r="AT23" i="23183"/>
  <c r="AZ23" i="23183" s="1"/>
  <c r="F386" i="23198"/>
  <c r="M71" i="23184"/>
  <c r="AU23" i="23183"/>
  <c r="BA23" i="23183" s="1"/>
  <c r="AV67" i="23184"/>
  <c r="G71" i="23184"/>
  <c r="F395" i="23198"/>
  <c r="U71" i="23184"/>
  <c r="Y71" i="23184"/>
  <c r="T71" i="23184"/>
  <c r="D201" i="23198"/>
  <c r="D55" i="23201"/>
  <c r="D88" i="23198"/>
  <c r="G71" i="23200"/>
  <c r="F366" i="23198"/>
  <c r="H71" i="23184"/>
  <c r="C20" i="23199"/>
  <c r="E55" i="23201"/>
  <c r="N71" i="23184"/>
  <c r="D85" i="23198"/>
  <c r="AV83" i="23184"/>
  <c r="K71" i="23200"/>
  <c r="E37" i="23199"/>
  <c r="E24" i="23199"/>
  <c r="AU71" i="23184"/>
  <c r="D87" i="23198"/>
  <c r="C37" i="23199"/>
  <c r="F350" i="23198"/>
  <c r="F341" i="23198"/>
  <c r="F71" i="23184"/>
  <c r="D83" i="23198"/>
  <c r="Q71" i="23184"/>
  <c r="G59" i="23184"/>
  <c r="M59" i="23184"/>
  <c r="Z59" i="23184"/>
  <c r="AN59" i="23184"/>
  <c r="K59" i="23184"/>
  <c r="R59" i="23184"/>
  <c r="O59" i="23184"/>
  <c r="L59" i="23184"/>
  <c r="P59" i="23184"/>
  <c r="X59" i="23184"/>
  <c r="U59" i="23184"/>
  <c r="AS59" i="23184"/>
  <c r="Y59" i="23184"/>
  <c r="S59" i="23184"/>
  <c r="AJ59" i="23184"/>
  <c r="H59" i="23184"/>
  <c r="N59" i="23184"/>
  <c r="D143" i="23198"/>
  <c r="F69" i="23200"/>
  <c r="F70" i="23200"/>
  <c r="E70" i="23200"/>
  <c r="G70" i="23200"/>
  <c r="L70" i="23200"/>
  <c r="H70" i="23200"/>
  <c r="M70" i="23200"/>
  <c r="C70" i="23200"/>
  <c r="I70" i="23200"/>
  <c r="N70" i="23200"/>
  <c r="O70" i="23200"/>
  <c r="K70" i="23200"/>
  <c r="J70" i="23200"/>
  <c r="D70" i="23200"/>
  <c r="F42" i="23201"/>
  <c r="E42" i="23201"/>
  <c r="D216" i="23198"/>
  <c r="D142" i="23198"/>
  <c r="G69" i="23200"/>
  <c r="I59" i="23184"/>
  <c r="C46" i="23200"/>
  <c r="F46" i="23200"/>
  <c r="I46" i="23200"/>
  <c r="L46" i="23200"/>
  <c r="D46" i="23200"/>
  <c r="N46" i="23200"/>
  <c r="J46" i="23200"/>
  <c r="M46" i="23200"/>
  <c r="E46" i="23200"/>
  <c r="O46" i="23200"/>
  <c r="K46" i="23200"/>
  <c r="G46" i="23200"/>
  <c r="H46" i="23200"/>
  <c r="C25" i="23199"/>
  <c r="D141" i="23198"/>
  <c r="E69" i="23200"/>
  <c r="AU59" i="23184"/>
  <c r="AV62" i="23184"/>
  <c r="J62" i="23184"/>
  <c r="Q62" i="23184"/>
  <c r="R62" i="23184"/>
  <c r="P62" i="23184"/>
  <c r="H62" i="23184"/>
  <c r="G62" i="23184"/>
  <c r="AP62" i="23184"/>
  <c r="AJ62" i="23184"/>
  <c r="S62" i="23184"/>
  <c r="F62" i="23184"/>
  <c r="AS62" i="23184"/>
  <c r="O62" i="23184"/>
  <c r="M62" i="23184"/>
  <c r="T62" i="23184"/>
  <c r="E62" i="23184"/>
  <c r="AU62" i="23184"/>
  <c r="B61" i="23184"/>
  <c r="AA62" i="23184"/>
  <c r="L62" i="23184"/>
  <c r="K62" i="23184"/>
  <c r="X62" i="23184"/>
  <c r="I62" i="23184"/>
  <c r="U62" i="23184"/>
  <c r="N62" i="23184"/>
  <c r="V62" i="23184"/>
  <c r="AN62" i="23184"/>
  <c r="E61" i="23201"/>
  <c r="F61" i="23201"/>
  <c r="D139" i="23198"/>
  <c r="D69" i="23200"/>
  <c r="B31" i="23184"/>
  <c r="Q59" i="23184"/>
  <c r="T59" i="23209"/>
  <c r="C28" i="23198"/>
  <c r="F294" i="23198" s="1"/>
  <c r="D140" i="23198"/>
  <c r="P59" i="23209"/>
  <c r="M59" i="23209"/>
  <c r="F53" i="23198"/>
  <c r="D49" i="23199"/>
  <c r="L32" i="23184"/>
  <c r="F49" i="23199"/>
  <c r="AA59" i="23184"/>
  <c r="F48" i="23198"/>
  <c r="E63" i="23200"/>
  <c r="E32" i="23184"/>
  <c r="AP59" i="23184"/>
  <c r="AU21" i="23183"/>
  <c r="BA21" i="23183" s="1"/>
  <c r="BO21" i="23183"/>
  <c r="BQ21" i="23183" s="1"/>
  <c r="L67" i="23184"/>
  <c r="AA67" i="23184"/>
  <c r="I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U21" i="23183"/>
  <c r="DA21" i="23183" s="1"/>
  <c r="V59" i="23184"/>
  <c r="BO22" i="23183"/>
  <c r="BQ22" i="23183" s="1"/>
  <c r="BO28" i="23183"/>
  <c r="BQ28" i="23183" s="1"/>
  <c r="AT18" i="23183"/>
  <c r="AZ18" i="23183" s="1"/>
  <c r="CT21" i="23183"/>
  <c r="CZ21" i="23183" s="1"/>
  <c r="AV21" i="23183"/>
  <c r="BB21" i="23183" s="1"/>
  <c r="J59" i="23184"/>
  <c r="AV22" i="23183"/>
  <c r="BB22" i="23183" s="1"/>
  <c r="AU22" i="23183"/>
  <c r="BA22" i="23183" s="1"/>
  <c r="CS18" i="23183"/>
  <c r="CY18" i="23183" s="1"/>
  <c r="CU18" i="23183"/>
  <c r="DA18" i="23183" s="1"/>
  <c r="BO18" i="23183"/>
  <c r="BQ18" i="23183" s="1"/>
  <c r="BO24" i="23183"/>
  <c r="BQ24" i="23183" s="1"/>
  <c r="K32" i="23184"/>
  <c r="B58" i="23184"/>
  <c r="CT18" i="23183"/>
  <c r="CZ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9" i="23198"/>
  <c r="F403" i="23198"/>
  <c r="F375" i="23198"/>
  <c r="F329" i="23198"/>
  <c r="F376" i="23198"/>
  <c r="F354" i="23198"/>
  <c r="F345" i="23198"/>
  <c r="F323" i="23198"/>
  <c r="L22" i="23184"/>
  <c r="E29" i="23199"/>
  <c r="E60" i="23200"/>
  <c r="E46" i="23201"/>
  <c r="K60" i="23200"/>
  <c r="O71" i="23184"/>
  <c r="E45" i="23200"/>
  <c r="E47" i="23201"/>
  <c r="F47" i="23201"/>
  <c r="AV81" i="23184"/>
  <c r="R81" i="23184"/>
  <c r="P81" i="23184"/>
  <c r="M81" i="23184"/>
  <c r="L81" i="23184"/>
  <c r="AN81" i="23184"/>
  <c r="B80" i="23184"/>
  <c r="G81" i="23184"/>
  <c r="F346" i="23198"/>
  <c r="F398" i="23198"/>
  <c r="F404" i="23198"/>
  <c r="F389" i="23198"/>
  <c r="F370" i="23198"/>
  <c r="F338" i="23198"/>
  <c r="F169" i="23198"/>
  <c r="Z22" i="23184"/>
  <c r="F161" i="23198"/>
  <c r="E22" i="23184"/>
  <c r="G60" i="23200"/>
  <c r="S71" i="23184"/>
  <c r="J45" i="23200"/>
  <c r="D60" i="23200"/>
  <c r="AU24" i="23183"/>
  <c r="BA24" i="23183" s="1"/>
  <c r="F407" i="23198"/>
  <c r="N60" i="23200"/>
  <c r="F409" i="23198"/>
  <c r="F344" i="23198"/>
  <c r="F334" i="23198"/>
  <c r="F401" i="23198"/>
  <c r="F358" i="23198"/>
  <c r="F359" i="23198"/>
  <c r="F168" i="23198"/>
  <c r="O22" i="23184"/>
  <c r="F153" i="23198"/>
  <c r="F156"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P72" i="23184"/>
  <c r="S72" i="23184"/>
  <c r="AP72" i="23184"/>
  <c r="H72" i="23184"/>
  <c r="AJ77" i="23184"/>
  <c r="O77" i="23184"/>
  <c r="Y77" i="23184"/>
  <c r="V77" i="23184"/>
  <c r="U77" i="23184"/>
  <c r="I77" i="23184"/>
  <c r="AU77" i="23184"/>
  <c r="AP77" i="23184"/>
  <c r="P77" i="23184"/>
  <c r="G77" i="23184"/>
  <c r="E77" i="23184"/>
  <c r="AA77" i="23184"/>
  <c r="L77" i="23184"/>
  <c r="Z77" i="23184"/>
  <c r="Q77" i="23184"/>
  <c r="F77" i="23184"/>
  <c r="J77" i="23184"/>
  <c r="N77" i="23184"/>
  <c r="T77" i="23184"/>
  <c r="AN77" i="23184"/>
  <c r="B76" i="23184"/>
  <c r="S77" i="23184"/>
  <c r="R77" i="23184"/>
  <c r="AS77" i="23184"/>
  <c r="K77" i="23184"/>
  <c r="M77" i="23184"/>
  <c r="H77" i="23184"/>
  <c r="X77" i="23184"/>
  <c r="F405" i="23198"/>
  <c r="F418" i="23198"/>
  <c r="F387" i="23198"/>
  <c r="F384" i="23198"/>
  <c r="F377" i="23198"/>
  <c r="F413" i="23198"/>
  <c r="F171" i="23198"/>
  <c r="J22" i="23184"/>
  <c r="J60" i="23200"/>
  <c r="AA71" i="23184"/>
  <c r="L71" i="23184"/>
  <c r="M45" i="23200"/>
  <c r="C13" i="23199"/>
  <c r="F56" i="23199"/>
  <c r="G56" i="23199"/>
  <c r="H56" i="23199"/>
  <c r="E56" i="23199"/>
  <c r="D56" i="23199"/>
  <c r="C56" i="23199"/>
  <c r="F23" i="23201"/>
  <c r="F380" i="23198"/>
  <c r="F317" i="23198"/>
  <c r="F396" i="23198"/>
  <c r="F362" i="23198"/>
  <c r="F394" i="23198"/>
  <c r="F356" i="23198"/>
  <c r="F367" i="23198"/>
  <c r="H60" i="23200"/>
  <c r="F45" i="23200"/>
  <c r="AV77" i="23184"/>
  <c r="C21" i="23199"/>
  <c r="C44" i="23199"/>
  <c r="E44" i="23199"/>
  <c r="Y22" i="23184"/>
  <c r="F60" i="23200"/>
  <c r="M60" i="23200"/>
  <c r="AV72" i="23184"/>
  <c r="E35" i="23201"/>
  <c r="F35" i="23201"/>
  <c r="G71" i="23199"/>
  <c r="D71" i="23199"/>
  <c r="C71" i="23199"/>
  <c r="E71" i="23199"/>
  <c r="F71" i="23199"/>
  <c r="H71" i="23199"/>
  <c r="E28" i="23201"/>
  <c r="F28" i="23201"/>
  <c r="F331" i="23198"/>
  <c r="F388" i="23198"/>
  <c r="F319" i="23198"/>
  <c r="F399" i="23198"/>
  <c r="F322" i="23198"/>
  <c r="F371" i="23198"/>
  <c r="I22" i="23184"/>
  <c r="X22" i="23184"/>
  <c r="D46" i="23201"/>
  <c r="AJ71" i="23184"/>
  <c r="K71" i="23184"/>
  <c r="BO27" i="23183"/>
  <c r="BQ27" i="23183" s="1"/>
  <c r="AA72" i="23184"/>
  <c r="F31" i="23184"/>
  <c r="M31" i="23184"/>
  <c r="I31" i="23184"/>
  <c r="R31" i="23184"/>
  <c r="Z31" i="23184"/>
  <c r="J31" i="23184"/>
  <c r="P31" i="23184"/>
  <c r="B30" i="23184"/>
  <c r="L31" i="23184"/>
  <c r="G31" i="23184"/>
  <c r="O31" i="23184"/>
  <c r="Y31" i="23184"/>
  <c r="U31" i="23184"/>
  <c r="X31" i="23184"/>
  <c r="N31" i="23184"/>
  <c r="S31" i="23184"/>
  <c r="K31" i="23184"/>
  <c r="K66" i="23200"/>
  <c r="L66" i="23200"/>
  <c r="C66" i="23200"/>
  <c r="I66" i="23200"/>
  <c r="O66" i="23200"/>
  <c r="N66" i="23200"/>
  <c r="M66" i="23200"/>
  <c r="E66" i="23200"/>
  <c r="F66" i="23200"/>
  <c r="E32" i="23201"/>
  <c r="F32" i="23201"/>
  <c r="F332" i="23198"/>
  <c r="F324" i="23198"/>
  <c r="F402" i="23198"/>
  <c r="F335" i="23198"/>
  <c r="F363" i="23198"/>
  <c r="F410" i="23198"/>
  <c r="F414" i="23198"/>
  <c r="F337" i="23198"/>
  <c r="F417" i="23198"/>
  <c r="F342" i="23198"/>
  <c r="F373" i="23198"/>
  <c r="M22" i="23184"/>
  <c r="G22" i="23184"/>
  <c r="C16" i="23199"/>
  <c r="B70" i="23184"/>
  <c r="I71" i="23184"/>
  <c r="E32" i="23199"/>
  <c r="C32" i="23199"/>
  <c r="L56" i="23200"/>
  <c r="M56" i="23200"/>
  <c r="D56" i="23200"/>
  <c r="N56" i="23200"/>
  <c r="E56" i="23200"/>
  <c r="O56" i="23200"/>
  <c r="F56" i="23200"/>
  <c r="H56" i="23200"/>
  <c r="I56" i="23200"/>
  <c r="C56" i="23200"/>
  <c r="J56" i="23200"/>
  <c r="K56" i="23200"/>
  <c r="G56" i="23200"/>
  <c r="F406" i="23198"/>
  <c r="F411" i="23198"/>
  <c r="F160" i="23198"/>
  <c r="F392" i="23198"/>
  <c r="F351" i="23198"/>
  <c r="F352" i="23198"/>
  <c r="F348" i="23198"/>
  <c r="F336" i="23198"/>
  <c r="P22" i="23184"/>
  <c r="K22" i="23184"/>
  <c r="B33" i="23184"/>
  <c r="F357" i="23198"/>
  <c r="F372" i="23198"/>
  <c r="F393" i="23198"/>
  <c r="F383" i="23198"/>
  <c r="F320" i="23198"/>
  <c r="F340" i="23198"/>
  <c r="U22" i="23184"/>
  <c r="AN71" i="23184"/>
  <c r="F33" i="23201"/>
  <c r="E33" i="23201"/>
  <c r="F229" i="23198"/>
  <c r="CS21" i="23183"/>
  <c r="CY21" i="23183" s="1"/>
  <c r="AV24" i="23183"/>
  <c r="BB24" i="23183" s="1"/>
  <c r="E21" i="23201"/>
  <c r="F235" i="23198"/>
  <c r="AT24" i="23183"/>
  <c r="AZ24" i="23183" s="1"/>
  <c r="F34" i="23201"/>
  <c r="E34" i="23201"/>
  <c r="F230" i="23198"/>
  <c r="J38" i="23184"/>
  <c r="B37" i="23184"/>
  <c r="E38" i="23184"/>
  <c r="L38" i="23184"/>
  <c r="O38" i="23184"/>
  <c r="I38" i="23184"/>
  <c r="K38" i="23184"/>
  <c r="F38" i="23184"/>
  <c r="Y38" i="23184"/>
  <c r="M38" i="23184"/>
  <c r="Z38" i="23184"/>
  <c r="G38" i="23184"/>
  <c r="X38" i="23184"/>
  <c r="P38" i="23184"/>
  <c r="R38" i="23184"/>
  <c r="S38" i="23184"/>
  <c r="U38" i="23184"/>
  <c r="N38" i="23184"/>
  <c r="H49" i="23199"/>
  <c r="E49" i="23199"/>
  <c r="C49" i="23199"/>
  <c r="G58" i="23199"/>
  <c r="H58" i="23199"/>
  <c r="F58" i="23199"/>
  <c r="D58" i="23199"/>
  <c r="C58" i="23199"/>
  <c r="E58" i="23199"/>
  <c r="C41" i="23199"/>
  <c r="E41" i="23199"/>
  <c r="G36" i="23184"/>
  <c r="X36" i="23184"/>
  <c r="N36" i="23184"/>
  <c r="S36" i="23184"/>
  <c r="B35" i="23184"/>
  <c r="Y36" i="23184"/>
  <c r="U36" i="23184"/>
  <c r="M36" i="23184"/>
  <c r="I36" i="23184"/>
  <c r="J36" i="23184"/>
  <c r="R36" i="23184"/>
  <c r="K36" i="23184"/>
  <c r="E36" i="23184"/>
  <c r="Z36" i="23184"/>
  <c r="P36" i="23184"/>
  <c r="O36" i="23184"/>
  <c r="L36" i="23184"/>
  <c r="F36" i="23184"/>
  <c r="O34" i="23200"/>
  <c r="K34" i="23200"/>
  <c r="C34" i="23200"/>
  <c r="J34" i="23200"/>
  <c r="F65" i="23201"/>
  <c r="E65" i="23201"/>
  <c r="N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I32" i="23184"/>
  <c r="Z32" i="23184"/>
  <c r="M32" i="23184"/>
  <c r="R32" i="23184"/>
  <c r="S32" i="23184"/>
  <c r="P32" i="23184"/>
  <c r="U32" i="23184"/>
  <c r="BO26" i="23183"/>
  <c r="BQ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S20" i="23183"/>
  <c r="CY20" i="23183" s="1"/>
  <c r="AT26" i="23183"/>
  <c r="AZ26" i="23183" s="1"/>
  <c r="AV26" i="23183"/>
  <c r="BB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Y60" i="23184"/>
  <c r="G60" i="23184"/>
  <c r="V60" i="23184"/>
  <c r="L60" i="23184"/>
  <c r="K60" i="23184"/>
  <c r="H60" i="23184"/>
  <c r="I60" i="23184"/>
  <c r="AU60" i="23184"/>
  <c r="S60" i="23184"/>
  <c r="P60" i="23184"/>
  <c r="AS60" i="23184"/>
  <c r="U60" i="23184"/>
  <c r="AN60" i="23184"/>
  <c r="T60" i="23184"/>
  <c r="AP60" i="23184"/>
  <c r="C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8" i="23198"/>
  <c r="BO23" i="23183"/>
  <c r="BQ23" i="23183" s="1"/>
  <c r="M14" i="23184"/>
  <c r="E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Z18" i="23184"/>
  <c r="K18" i="23184"/>
  <c r="S18" i="23184"/>
  <c r="R18" i="23184"/>
  <c r="J18" i="23184"/>
  <c r="X18" i="23184"/>
  <c r="U18" i="23184"/>
  <c r="P18" i="23184"/>
  <c r="M18" i="23184"/>
  <c r="F29" i="23201"/>
  <c r="E29" i="23201"/>
  <c r="N30" i="23184"/>
  <c r="L30" i="23184"/>
  <c r="R30" i="23184"/>
  <c r="F231" i="23198"/>
  <c r="I26" i="23184"/>
  <c r="E26" i="23184"/>
  <c r="L26" i="23184"/>
  <c r="F26" i="23184"/>
  <c r="K26" i="23184"/>
  <c r="P26" i="23184"/>
  <c r="J26" i="23184"/>
  <c r="Z26" i="23184"/>
  <c r="B25" i="23184"/>
  <c r="R26" i="23184"/>
  <c r="G26" i="23184"/>
  <c r="Y26" i="23184"/>
  <c r="N26" i="23184"/>
  <c r="O26" i="23184"/>
  <c r="S26" i="23184"/>
  <c r="X26" i="23184"/>
  <c r="M26" i="23184"/>
  <c r="U26" i="23184"/>
  <c r="F70" i="23199"/>
  <c r="G70" i="23199"/>
  <c r="D70" i="23199"/>
  <c r="H70" i="23199"/>
  <c r="E70" i="23199"/>
  <c r="C70" i="23199"/>
  <c r="P41" i="23184"/>
  <c r="B40" i="23184"/>
  <c r="Y41" i="23184"/>
  <c r="U41" i="23184"/>
  <c r="Z41" i="23184"/>
  <c r="S41" i="23184"/>
  <c r="J41" i="23184"/>
  <c r="L41" i="23184"/>
  <c r="N41" i="23184"/>
  <c r="E41" i="23184"/>
  <c r="G41" i="23184"/>
  <c r="F41" i="23184"/>
  <c r="O41" i="23184"/>
  <c r="X41" i="23184"/>
  <c r="I41" i="23184"/>
  <c r="K41" i="23184"/>
  <c r="R41" i="23184"/>
  <c r="F42" i="23184"/>
  <c r="I42" i="23184"/>
  <c r="U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M17" i="23184"/>
  <c r="E17" i="23184"/>
  <c r="B12" i="23199"/>
  <c r="BR17" i="23183"/>
  <c r="CE17" i="23183"/>
  <c r="CL17" i="23183"/>
  <c r="BH17" i="23183"/>
  <c r="Z17" i="23183"/>
  <c r="AN17" i="23183"/>
  <c r="G17" i="23183"/>
  <c r="BV17" i="23183"/>
  <c r="T17" i="23183"/>
  <c r="C17" i="23183"/>
  <c r="AH17" i="23183"/>
  <c r="CR17" i="23183"/>
  <c r="CF17" i="23183"/>
  <c r="AD17" i="23183"/>
  <c r="BT17" i="23183"/>
  <c r="CP17" i="23183"/>
  <c r="F17" i="23183"/>
  <c r="CJ17" i="23183"/>
  <c r="BF17" i="23183"/>
  <c r="AC17" i="23183"/>
  <c r="I17" i="23183"/>
  <c r="BX17" i="23183"/>
  <c r="AL17" i="23183"/>
  <c r="CX17" i="23183"/>
  <c r="BS17" i="23183"/>
  <c r="BZ17" i="23183"/>
  <c r="BE17" i="23183"/>
  <c r="AR17" i="23183"/>
  <c r="AB17" i="23183"/>
  <c r="D17" i="23183"/>
  <c r="E34" i="23211" s="1"/>
  <c r="F35" i="23211" s="1"/>
  <c r="CC17" i="23183"/>
  <c r="AW17" i="23183"/>
  <c r="AJ17" i="23183"/>
  <c r="BY17" i="23183"/>
  <c r="CK17" i="23183"/>
  <c r="L17" i="23183"/>
  <c r="BM17" i="23183"/>
  <c r="AS17" i="23183"/>
  <c r="K17" i="23183"/>
  <c r="BW17" i="23183"/>
  <c r="CA17" i="23183"/>
  <c r="BN17" i="23183"/>
  <c r="AG17" i="23183"/>
  <c r="AO17" i="23183"/>
  <c r="J17" i="23183"/>
  <c r="U17" i="23183"/>
  <c r="CH17" i="23183"/>
  <c r="CO17" i="23183"/>
  <c r="C13" i="23184"/>
  <c r="AO13" i="23184" s="1"/>
  <c r="BD17" i="23183"/>
  <c r="AF17" i="23183"/>
  <c r="AY17" i="23183"/>
  <c r="Q17" i="23183"/>
  <c r="CV17" i="23183"/>
  <c r="BI17" i="23183"/>
  <c r="AM17" i="23183"/>
  <c r="X17" i="23183"/>
  <c r="O17" i="23183"/>
  <c r="K12" i="23177" s="1"/>
  <c r="CW17" i="23183"/>
  <c r="BL17" i="23183"/>
  <c r="AE17" i="23183"/>
  <c r="W17" i="23183"/>
  <c r="CM17" i="23183"/>
  <c r="S17" i="23183"/>
  <c r="B12" i="23200"/>
  <c r="CG17" i="23183"/>
  <c r="CN17" i="23183"/>
  <c r="BJ17" i="23183"/>
  <c r="V17" i="23183"/>
  <c r="AA17" i="23183"/>
  <c r="Y17" i="23183"/>
  <c r="N17" i="23183"/>
  <c r="B12" i="23201"/>
  <c r="BU17" i="23183"/>
  <c r="CB17" i="23183"/>
  <c r="BK17" i="23183"/>
  <c r="AQ17" i="23183"/>
  <c r="AK17" i="23183"/>
  <c r="AI17" i="23183"/>
  <c r="M17" i="23183"/>
  <c r="AP17" i="23183"/>
  <c r="CI17" i="23183"/>
  <c r="CD17" i="23183"/>
  <c r="CQ17" i="23183"/>
  <c r="BG17" i="23183"/>
  <c r="AX17" i="23183"/>
  <c r="H17" i="23183"/>
  <c r="K3" i="23206"/>
  <c r="H4" i="23197"/>
  <c r="J4" i="39"/>
  <c r="K3" i="23202"/>
  <c r="H4" i="23199"/>
  <c r="J4" i="23200" s="1"/>
  <c r="I4" i="23205"/>
  <c r="F4" i="23198"/>
  <c r="Q67"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R44" i="23184"/>
  <c r="X44" i="23184"/>
  <c r="M44" i="23184"/>
  <c r="E44" i="23184"/>
  <c r="K44" i="23184"/>
  <c r="P44" i="23184"/>
  <c r="N44" i="23184"/>
  <c r="B43" i="23184"/>
  <c r="O44" i="23184"/>
  <c r="Y44" i="23184"/>
  <c r="U44" i="23184"/>
  <c r="Z44" i="23184"/>
  <c r="S44" i="23184"/>
  <c r="L44" i="23184"/>
  <c r="J44" i="23184"/>
  <c r="F44" i="23184"/>
  <c r="I44" i="23184"/>
  <c r="G44" i="23184"/>
  <c r="R55" i="23184"/>
  <c r="AV55" i="23184"/>
  <c r="G55" i="23184"/>
  <c r="AS55" i="23184"/>
  <c r="Z55" i="23184"/>
  <c r="AP55" i="23184"/>
  <c r="N55" i="23184"/>
  <c r="H55" i="23184"/>
  <c r="Q55" i="23184"/>
  <c r="E55" i="23184"/>
  <c r="F55" i="23184"/>
  <c r="I55" i="23184"/>
  <c r="Y55" i="23184"/>
  <c r="K55" i="23184"/>
  <c r="T55" i="23184"/>
  <c r="B54" i="23184"/>
  <c r="AU55" i="23184"/>
  <c r="U55" i="23184"/>
  <c r="J55" i="23184"/>
  <c r="M55" i="23184"/>
  <c r="AJ55" i="23184"/>
  <c r="P55" i="23184"/>
  <c r="O55" i="23184"/>
  <c r="S55" i="23184"/>
  <c r="AA55" i="23184"/>
  <c r="V55" i="23184"/>
  <c r="X55" i="23184"/>
  <c r="AN55" i="23184"/>
  <c r="L55" i="23184"/>
  <c r="E19" i="23201"/>
  <c r="C33" i="23199"/>
  <c r="E33" i="23199"/>
  <c r="G57" i="23199"/>
  <c r="H57" i="23199"/>
  <c r="D57" i="23199"/>
  <c r="C57" i="23199"/>
  <c r="E57" i="23199"/>
  <c r="F57" i="23199"/>
  <c r="H63" i="23199"/>
  <c r="D63" i="23199"/>
  <c r="F63" i="23199"/>
  <c r="C63" i="23199"/>
  <c r="E63" i="23199"/>
  <c r="G63" i="23199"/>
  <c r="C31" i="23199"/>
  <c r="E31" i="23199"/>
  <c r="D54" i="23200"/>
  <c r="L54" i="23200"/>
  <c r="E54" i="23200"/>
  <c r="M54" i="23200"/>
  <c r="F54" i="23200"/>
  <c r="N54" i="23200"/>
  <c r="K54" i="23200"/>
  <c r="O54" i="23200"/>
  <c r="I54" i="23200"/>
  <c r="J54" i="23200"/>
  <c r="G54" i="23200"/>
  <c r="H54" i="23200"/>
  <c r="C54" i="23200"/>
  <c r="P45" i="23184"/>
  <c r="CT28" i="23183"/>
  <c r="CZ28" i="23183" s="1"/>
  <c r="G63" i="23200"/>
  <c r="D66" i="23199"/>
  <c r="C66" i="23199"/>
  <c r="E66" i="23199"/>
  <c r="F66" i="23199"/>
  <c r="G66" i="23199"/>
  <c r="H66" i="23199"/>
  <c r="U59" i="23209"/>
  <c r="J59" i="23209"/>
  <c r="X45" i="23184"/>
  <c r="D75" i="23198"/>
  <c r="CT27" i="23183"/>
  <c r="CZ27" i="23183" s="1"/>
  <c r="M44" i="23193"/>
  <c r="I57" i="23204"/>
  <c r="D59" i="23198"/>
  <c r="D18" i="23200"/>
  <c r="O69" i="23200"/>
  <c r="N63" i="23200"/>
  <c r="D63" i="23200"/>
  <c r="AV52" i="23184"/>
  <c r="N52" i="23184"/>
  <c r="I52" i="23184"/>
  <c r="Z52" i="23184"/>
  <c r="S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N46" i="23184"/>
  <c r="AU46" i="23184"/>
  <c r="R46" i="23184"/>
  <c r="O46" i="23184"/>
  <c r="X46" i="23184"/>
  <c r="E46"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U20" i="23183"/>
  <c r="DA20" i="23183" s="1"/>
  <c r="D65" i="23198"/>
  <c r="J18" i="23200"/>
  <c r="N69" i="23200"/>
  <c r="F50" i="23201"/>
  <c r="E50" i="23201"/>
  <c r="F38" i="23201"/>
  <c r="E38" i="23201"/>
  <c r="S34" i="23184"/>
  <c r="P34" i="23184"/>
  <c r="N34" i="23184"/>
  <c r="J34" i="23184"/>
  <c r="K34" i="23184"/>
  <c r="E34" i="23184"/>
  <c r="G34" i="23184"/>
  <c r="F34" i="23184"/>
  <c r="U34" i="23184"/>
  <c r="X34" i="23184"/>
  <c r="Y34" i="23184"/>
  <c r="Z34" i="23184"/>
  <c r="M34" i="23184"/>
  <c r="R34" i="23184"/>
  <c r="I34" i="23184"/>
  <c r="F69" i="23201"/>
  <c r="E69" i="23201"/>
  <c r="D64" i="23198"/>
  <c r="K59" i="23209"/>
  <c r="Y59" i="23209"/>
  <c r="I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E20" i="23184"/>
  <c r="X20" i="23184"/>
  <c r="R20" i="23184"/>
  <c r="S20" i="23184"/>
  <c r="L20" i="23184"/>
  <c r="Z20" i="23184"/>
  <c r="K20" i="23184"/>
  <c r="B19" i="23184"/>
  <c r="Y20" i="23184"/>
  <c r="M20" i="23184"/>
  <c r="G20" i="23184"/>
  <c r="F43" i="23201"/>
  <c r="E43" i="23201"/>
  <c r="W59" i="23209"/>
  <c r="N45" i="23184"/>
  <c r="Y56" i="23184"/>
  <c r="D61" i="23198"/>
  <c r="N18" i="23200"/>
  <c r="G18" i="23200"/>
  <c r="F28" i="23184"/>
  <c r="L28" i="23184"/>
  <c r="E28" i="23184"/>
  <c r="U28" i="23184"/>
  <c r="X28" i="23184"/>
  <c r="B27" i="23184"/>
  <c r="J28" i="23184"/>
  <c r="P28" i="23184"/>
  <c r="G28" i="23184"/>
  <c r="K28" i="23184"/>
  <c r="R28" i="23184"/>
  <c r="I28" i="23184"/>
  <c r="N28" i="23184"/>
  <c r="Y28" i="23184"/>
  <c r="M28" i="23184"/>
  <c r="S28" i="23184"/>
  <c r="Z28" i="23184"/>
  <c r="O28" i="23184"/>
  <c r="AV76" i="23184"/>
  <c r="AA76" i="23184"/>
  <c r="AJ76" i="23184"/>
  <c r="T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E43" i="23199"/>
  <c r="C43" i="23199"/>
  <c r="F19" i="23184"/>
  <c r="Z19" i="23184"/>
  <c r="X19" i="23184"/>
  <c r="Y19" i="23184"/>
  <c r="K19" i="23184"/>
  <c r="E19" i="23184"/>
  <c r="J19" i="23184"/>
  <c r="P19" i="23184"/>
  <c r="N19" i="23184"/>
  <c r="U19" i="23184"/>
  <c r="R19" i="23184"/>
  <c r="M19" i="23184"/>
  <c r="S19" i="23184"/>
  <c r="O19" i="23184"/>
  <c r="G19" i="23184"/>
  <c r="L19" i="23184"/>
  <c r="B18" i="23184"/>
  <c r="I19" i="23184"/>
  <c r="M43" i="23184"/>
  <c r="F43" i="23184"/>
  <c r="U43" i="23184"/>
  <c r="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T19" i="23183"/>
  <c r="AZ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E75" i="23184"/>
  <c r="P75" i="23184"/>
  <c r="K75" i="23184"/>
  <c r="F45" i="23201"/>
  <c r="E45" i="23201"/>
  <c r="E45" i="23199"/>
  <c r="F45" i="23199"/>
  <c r="D45" i="23199"/>
  <c r="G45" i="23199"/>
  <c r="H45" i="23199"/>
  <c r="C45" i="23199"/>
  <c r="C19" i="23199"/>
  <c r="D185" i="23198"/>
  <c r="D187" i="23198"/>
  <c r="F60" i="23198"/>
  <c r="F62" i="23198"/>
  <c r="D184" i="23198"/>
  <c r="F97" i="23198"/>
  <c r="D60" i="23198"/>
  <c r="F182" i="23198"/>
  <c r="F178" i="23198"/>
  <c r="D268" i="23198"/>
  <c r="F181" i="23198"/>
  <c r="D233" i="23198"/>
  <c r="F198" i="23198"/>
  <c r="F267" i="23198"/>
  <c r="D51" i="23198"/>
  <c r="F200" i="23198"/>
  <c r="F201" i="23198"/>
  <c r="D244" i="23198"/>
  <c r="F187" i="23198"/>
  <c r="D52" i="23198"/>
  <c r="CT20" i="23183"/>
  <c r="CZ20" i="23183" s="1"/>
  <c r="AU20" i="23183"/>
  <c r="BA20" i="23183" s="1"/>
  <c r="AV20" i="23183"/>
  <c r="BB20" i="23183" s="1"/>
  <c r="AT20" i="23183"/>
  <c r="AZ20" i="23183" s="1"/>
  <c r="CS19" i="23183"/>
  <c r="CY19" i="23183" s="1"/>
  <c r="D214" i="23198"/>
  <c r="D209" i="23198"/>
  <c r="C36" i="23199"/>
  <c r="E36" i="23199"/>
  <c r="D235" i="23198"/>
  <c r="D217" i="23198"/>
  <c r="F13" i="23201"/>
  <c r="D132" i="23198"/>
  <c r="D130" i="23198"/>
  <c r="E25" i="23199"/>
  <c r="CU28" i="23183"/>
  <c r="DA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9"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8"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L61" i="23184"/>
  <c r="Y61" i="23184"/>
  <c r="B60" i="23184"/>
  <c r="AP61" i="23184"/>
  <c r="Z61" i="23184"/>
  <c r="V61" i="23184"/>
  <c r="T61" i="23184"/>
  <c r="AN61" i="23184"/>
  <c r="K61" i="23184"/>
  <c r="D215" i="23198"/>
  <c r="AN50" i="23184"/>
  <c r="O50" i="23184"/>
  <c r="AJ50" i="23184"/>
  <c r="E50" i="23184"/>
  <c r="M50" i="23184"/>
  <c r="Z50" i="23184"/>
  <c r="H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R25" i="23184"/>
  <c r="I25" i="23184"/>
  <c r="Y25" i="23184"/>
  <c r="E25" i="23184"/>
  <c r="S25" i="23184"/>
  <c r="Z37" i="23184"/>
  <c r="X37" i="23184"/>
  <c r="K37" i="23184"/>
  <c r="N37" i="23184"/>
  <c r="Y37" i="23184"/>
  <c r="E37" i="23184"/>
  <c r="B36" i="23184"/>
  <c r="R37" i="23184"/>
  <c r="L37" i="23184"/>
  <c r="O37" i="23184"/>
  <c r="G37" i="23184"/>
  <c r="J37" i="23184"/>
  <c r="F37" i="23184"/>
  <c r="S37" i="23184"/>
  <c r="M37" i="23184"/>
  <c r="U37" i="23184"/>
  <c r="P37" i="23184"/>
  <c r="I37" i="23184"/>
  <c r="D213"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11" i="23198"/>
  <c r="AV19" i="23183"/>
  <c r="BB19" i="23183" s="1"/>
  <c r="BO19" i="23183"/>
  <c r="BQ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D210" i="23198"/>
  <c r="CS28" i="23183"/>
  <c r="CY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16"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U19" i="23183"/>
  <c r="BA19" i="23183" s="1"/>
  <c r="BO20" i="23183"/>
  <c r="BQ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F72" i="23201"/>
  <c r="D72" i="23201" s="1"/>
  <c r="E72" i="23201"/>
  <c r="D155" i="23198"/>
  <c r="I15" i="23200"/>
  <c r="S49" i="23184"/>
  <c r="U49" i="23184"/>
  <c r="B48" i="23184"/>
  <c r="M49" i="23184"/>
  <c r="AN49" i="23184"/>
  <c r="F24" i="23201"/>
  <c r="E24" i="23201"/>
  <c r="F36" i="23201"/>
  <c r="E36" i="23201"/>
  <c r="X16" i="23184"/>
  <c r="Z16" i="23184"/>
  <c r="Y16" i="23184"/>
  <c r="O16" i="23184"/>
  <c r="F16" i="23184"/>
  <c r="M16" i="23184"/>
  <c r="R16" i="23184"/>
  <c r="K16" i="23184"/>
  <c r="S16" i="23184"/>
  <c r="J16" i="23184"/>
  <c r="U16" i="23184"/>
  <c r="I16" i="23184"/>
  <c r="N16" i="23184"/>
  <c r="B15" i="23184"/>
  <c r="L16" i="23184"/>
  <c r="G16" i="23184"/>
  <c r="E16" i="23184"/>
  <c r="P16" i="23184"/>
  <c r="CS25" i="23183"/>
  <c r="CY25" i="23183" s="1"/>
  <c r="J15" i="23200"/>
  <c r="C15" i="23200"/>
  <c r="H15" i="23200"/>
  <c r="K15" i="23200"/>
  <c r="F15" i="23200"/>
  <c r="E15" i="23200"/>
  <c r="N15" i="23200"/>
  <c r="L15" i="23200"/>
  <c r="M15" i="23200"/>
  <c r="C15" i="23199"/>
  <c r="CU27" i="23183"/>
  <c r="DA27" i="23183" s="1"/>
  <c r="CT25" i="23183"/>
  <c r="CZ25" i="23183" s="1"/>
  <c r="CS22" i="23183"/>
  <c r="CY22" i="23183" s="1"/>
  <c r="CU25" i="23183"/>
  <c r="DA25" i="23183" s="1"/>
  <c r="E56" i="23201"/>
  <c r="F56" i="23201"/>
  <c r="F39" i="23201"/>
  <c r="E39" i="23201"/>
  <c r="F248" i="23198"/>
  <c r="F245" i="23198"/>
  <c r="F250" i="23198"/>
  <c r="F247" i="23198"/>
  <c r="F243" i="23198"/>
  <c r="F244" i="23198"/>
  <c r="F251" i="23198"/>
  <c r="F249" i="23198"/>
  <c r="F241" i="23198"/>
  <c r="F242" i="23198"/>
  <c r="F473" i="23198"/>
  <c r="F513" i="23198"/>
  <c r="F462" i="23198"/>
  <c r="F483" i="23198"/>
  <c r="F448" i="23198"/>
  <c r="F440" i="23198"/>
  <c r="F499" i="23198"/>
  <c r="F477" i="23198"/>
  <c r="F476" i="23198"/>
  <c r="F425" i="23198"/>
  <c r="F522" i="23198"/>
  <c r="F434" i="23198"/>
  <c r="F430" i="23198"/>
  <c r="F432" i="23198"/>
  <c r="F454" i="23198"/>
  <c r="F449" i="23198"/>
  <c r="F424" i="23198"/>
  <c r="F436" i="23198"/>
  <c r="F447" i="23198"/>
  <c r="F461" i="23198"/>
  <c r="F512" i="23198"/>
  <c r="F444" i="23198"/>
  <c r="F506" i="23198"/>
  <c r="F497" i="23198"/>
  <c r="F503" i="23198"/>
  <c r="F460" i="23198"/>
  <c r="F472" i="23198"/>
  <c r="F494" i="23198"/>
  <c r="F496" i="23198"/>
  <c r="F509" i="23198"/>
  <c r="F504" i="23198"/>
  <c r="F439" i="23198"/>
  <c r="F458" i="23198"/>
  <c r="F487" i="23198"/>
  <c r="F484" i="23198"/>
  <c r="F501" i="23198"/>
  <c r="F498" i="23198"/>
  <c r="F441" i="23198"/>
  <c r="F467" i="23198"/>
  <c r="F507" i="23198"/>
  <c r="F443" i="23198"/>
  <c r="F518" i="23198"/>
  <c r="F525" i="23198"/>
  <c r="F470" i="23198"/>
  <c r="F508" i="23198"/>
  <c r="F511" i="23198"/>
  <c r="F479" i="23198"/>
  <c r="F471" i="23198"/>
  <c r="F427" i="23198"/>
  <c r="F442" i="23198"/>
  <c r="F466" i="23198"/>
  <c r="F524" i="23198"/>
  <c r="F446" i="23198"/>
  <c r="F431" i="23198"/>
  <c r="F455" i="23198"/>
  <c r="F485" i="23198"/>
  <c r="F435" i="23198"/>
  <c r="F521" i="23198"/>
  <c r="F523" i="23198"/>
  <c r="F474" i="23198"/>
  <c r="F475" i="23198"/>
  <c r="F452" i="23198"/>
  <c r="F489" i="23198"/>
  <c r="F428" i="23198"/>
  <c r="F453" i="23198"/>
  <c r="F433" i="23198"/>
  <c r="F465" i="23198"/>
  <c r="F502" i="23198"/>
  <c r="F437" i="23198"/>
  <c r="F486" i="23198"/>
  <c r="F478" i="23198"/>
  <c r="F516" i="23198"/>
  <c r="F520" i="23198"/>
  <c r="F14" i="23200"/>
  <c r="L14" i="23200"/>
  <c r="H14" i="23200"/>
  <c r="M14" i="23200"/>
  <c r="G14" i="23200"/>
  <c r="N14" i="23200"/>
  <c r="I14" i="23200"/>
  <c r="O14" i="23200"/>
  <c r="C14" i="23200"/>
  <c r="J14" i="23200"/>
  <c r="D14" i="23200"/>
  <c r="K14" i="23200"/>
  <c r="E14" i="23200"/>
  <c r="CT19" i="23183"/>
  <c r="CZ19" i="23183" s="1"/>
  <c r="CS27" i="23183"/>
  <c r="CY27" i="23183" s="1"/>
  <c r="M45" i="23184"/>
  <c r="K45" i="23184"/>
  <c r="B44" i="23184"/>
  <c r="U45" i="23184"/>
  <c r="S45" i="23184"/>
  <c r="C68" i="23199"/>
  <c r="F68" i="23199"/>
  <c r="G68" i="23199"/>
  <c r="H68" i="23199"/>
  <c r="D68" i="23199"/>
  <c r="E68" i="23199"/>
  <c r="F505" i="23198"/>
  <c r="F185" i="23198"/>
  <c r="F183" i="23198"/>
  <c r="F177" i="23198"/>
  <c r="F186" i="23198"/>
  <c r="F180" i="23198"/>
  <c r="F493" i="23198"/>
  <c r="Y15" i="23184"/>
  <c r="B14" i="23184"/>
  <c r="Z15" i="23184"/>
  <c r="O15" i="23184"/>
  <c r="G15" i="23184"/>
  <c r="X15" i="23184"/>
  <c r="M15" i="23184"/>
  <c r="R15" i="23184"/>
  <c r="F15" i="23184"/>
  <c r="L15" i="23184"/>
  <c r="J15" i="23184"/>
  <c r="S15" i="23184"/>
  <c r="E15" i="23184"/>
  <c r="N15" i="23184"/>
  <c r="P15" i="23184"/>
  <c r="U15" i="23184"/>
  <c r="I15" i="23184"/>
  <c r="K15" i="23184"/>
  <c r="C14" i="23199"/>
  <c r="CU26" i="23183"/>
  <c r="DA26" i="23183" s="1"/>
  <c r="F268" i="23198"/>
  <c r="F269" i="23198"/>
  <c r="CS26" i="23183"/>
  <c r="CY26" i="23183" s="1"/>
  <c r="J32" i="23200"/>
  <c r="M32" i="23200"/>
  <c r="N32" i="23200"/>
  <c r="O32" i="23200"/>
  <c r="C32" i="23200"/>
  <c r="E32" i="23200"/>
  <c r="F32" i="23200"/>
  <c r="G32" i="23200"/>
  <c r="H32" i="23200"/>
  <c r="K32" i="23200"/>
  <c r="L32" i="23200"/>
  <c r="D32" i="23200"/>
  <c r="I32" i="23200"/>
  <c r="F197" i="23198"/>
  <c r="F193" i="23198"/>
  <c r="F202" i="23198"/>
  <c r="F194" i="23198"/>
  <c r="F195" i="23198"/>
  <c r="F199" i="23198"/>
  <c r="F158" i="23198"/>
  <c r="F151" i="23198"/>
  <c r="F154" i="23198"/>
  <c r="F150" i="23198"/>
  <c r="F159" i="23198"/>
  <c r="F152" i="23198"/>
  <c r="F162" i="23198"/>
  <c r="F155" i="23198"/>
  <c r="F270" i="23198"/>
  <c r="X59" i="23209"/>
  <c r="O59" i="23209"/>
  <c r="J57" i="23184"/>
  <c r="AN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7" i="23198"/>
  <c r="H55" i="23193"/>
  <c r="I50" i="23193"/>
  <c r="H53" i="23193"/>
  <c r="H52" i="23193"/>
  <c r="K57" i="23193" s="1"/>
  <c r="H49" i="23193"/>
  <c r="F285" i="23198"/>
  <c r="F282" i="23198"/>
  <c r="F283" i="23198"/>
  <c r="F280" i="23198"/>
  <c r="F281" i="23198"/>
  <c r="F279" i="23198"/>
  <c r="F203" i="23198"/>
  <c r="CT24" i="23183"/>
  <c r="CZ24" i="23183" s="1"/>
  <c r="CT26" i="23183"/>
  <c r="CZ26" i="23183" s="1"/>
  <c r="E44" i="23201"/>
  <c r="F44" i="23201"/>
  <c r="D44" i="23201" s="1"/>
  <c r="E39" i="23199"/>
  <c r="C39" i="23199"/>
  <c r="F469" i="23198"/>
  <c r="F99" i="23198"/>
  <c r="F94" i="23198"/>
  <c r="F98" i="23198"/>
  <c r="F100" i="23198"/>
  <c r="F95" i="23198"/>
  <c r="D162" i="23198"/>
  <c r="D161" i="23198"/>
  <c r="D160" i="23198"/>
  <c r="D154" i="23198"/>
  <c r="D159" i="23198"/>
  <c r="D152" i="23198"/>
  <c r="D150" i="23198"/>
  <c r="D153" i="23198"/>
  <c r="D151" i="23198"/>
  <c r="D158" i="23198"/>
  <c r="D157" i="23198"/>
  <c r="F278" i="23198"/>
  <c r="O33" i="23184"/>
  <c r="R33" i="23184"/>
  <c r="Y33" i="23184"/>
  <c r="N33" i="23184"/>
  <c r="Z33" i="23184"/>
  <c r="K33" i="23184"/>
  <c r="S33" i="23184"/>
  <c r="L33" i="23184"/>
  <c r="J33" i="23184"/>
  <c r="F33" i="23184"/>
  <c r="U33" i="23184"/>
  <c r="X33" i="23184"/>
  <c r="B32" i="23184"/>
  <c r="E33" i="23184"/>
  <c r="I33" i="23184"/>
  <c r="P33" i="23184"/>
  <c r="G33" i="23184"/>
  <c r="M33" i="23184"/>
  <c r="L64" i="23184"/>
  <c r="X64" i="23184"/>
  <c r="AS64" i="23184"/>
  <c r="AA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8" i="23198"/>
  <c r="D203" i="23198"/>
  <c r="D196" i="23198"/>
  <c r="D199" i="23198"/>
  <c r="D197" i="23198"/>
  <c r="D193" i="23198"/>
  <c r="D200" i="23198"/>
  <c r="D195" i="23198"/>
  <c r="D47" i="23198"/>
  <c r="D49" i="23198"/>
  <c r="D48" i="23198"/>
  <c r="D46" i="23198"/>
  <c r="D243" i="23198"/>
  <c r="I51" i="23177"/>
  <c r="F52" i="23198"/>
  <c r="F46" i="23198"/>
  <c r="F47" i="23198"/>
  <c r="F51" i="23198"/>
  <c r="F50" i="23198"/>
  <c r="D249" i="23198"/>
  <c r="CU19" i="23183"/>
  <c r="DA19" i="23183" s="1"/>
  <c r="U40" i="23184"/>
  <c r="Z40" i="23184"/>
  <c r="I40" i="23184"/>
  <c r="P40" i="23184"/>
  <c r="N40" i="23184"/>
  <c r="B39" i="23184"/>
  <c r="O40" i="23184"/>
  <c r="L40" i="23184"/>
  <c r="R40" i="23184"/>
  <c r="S40" i="23184"/>
  <c r="E40" i="23184"/>
  <c r="K40" i="23184"/>
  <c r="Y40" i="23184"/>
  <c r="J40" i="23184"/>
  <c r="G40" i="23184"/>
  <c r="F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7" i="23198"/>
  <c r="F339" i="23198"/>
  <c r="F415" i="23198"/>
  <c r="F328" i="23198"/>
  <c r="F381" i="23198"/>
  <c r="F390" i="23198"/>
  <c r="F355" i="23198"/>
  <c r="F378" i="23198"/>
  <c r="F347" i="23198"/>
  <c r="F325" i="23198"/>
  <c r="F364" i="23198"/>
  <c r="F382" i="23198"/>
  <c r="F361" i="23198"/>
  <c r="F343" i="23198"/>
  <c r="F326" i="23198"/>
  <c r="F385" i="23198"/>
  <c r="F360" i="23198"/>
  <c r="F400" i="23198"/>
  <c r="F365" i="23198"/>
  <c r="F349" i="23198"/>
  <c r="F379" i="23198"/>
  <c r="F397" i="23198"/>
  <c r="F330" i="23198"/>
  <c r="F333" i="23198"/>
  <c r="F321" i="23198"/>
  <c r="F353" i="23198"/>
  <c r="F374" i="23198"/>
  <c r="F318" i="23198"/>
  <c r="F412" i="23198"/>
  <c r="F391" i="23198"/>
  <c r="F408" i="23198"/>
  <c r="D94" i="23198"/>
  <c r="X21" i="23184"/>
  <c r="M21" i="23184"/>
  <c r="J21" i="23184"/>
  <c r="U21" i="23184"/>
  <c r="R21" i="23184"/>
  <c r="F21" i="23184"/>
  <c r="B20" i="23184"/>
  <c r="O21" i="23184"/>
  <c r="Y21" i="23184"/>
  <c r="K21" i="23184"/>
  <c r="Z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46" i="23198"/>
  <c r="CU24" i="23183"/>
  <c r="DA24" i="23183" s="1"/>
  <c r="CU23" i="23183"/>
  <c r="DA23" i="23183" s="1"/>
  <c r="D329" i="23198"/>
  <c r="Z78" i="23184"/>
  <c r="B77" i="23184"/>
  <c r="AU78" i="23184"/>
  <c r="K78" i="23184"/>
  <c r="E78" i="23184"/>
  <c r="Y78" i="23184"/>
  <c r="T78" i="23184"/>
  <c r="S78" i="23184"/>
  <c r="H78" i="23184"/>
  <c r="U78" i="23184"/>
  <c r="AP78" i="23184"/>
  <c r="AA78" i="23184"/>
  <c r="L78" i="23184"/>
  <c r="R78" i="23184"/>
  <c r="I78" i="23184"/>
  <c r="AJ78" i="23184"/>
  <c r="J78" i="23184"/>
  <c r="M78" i="23184"/>
  <c r="AN78" i="23184"/>
  <c r="X78" i="23184"/>
  <c r="P78" i="23184"/>
  <c r="O78" i="23184"/>
  <c r="V78" i="23184"/>
  <c r="AS78" i="23184"/>
  <c r="Q78" i="23184"/>
  <c r="G78" i="23184"/>
  <c r="N78" i="23184"/>
  <c r="F78" i="23184"/>
  <c r="D285" i="23198"/>
  <c r="D279" i="23198"/>
  <c r="D277" i="23198"/>
  <c r="D283" i="23198"/>
  <c r="D282" i="23198"/>
  <c r="D284" i="23198"/>
  <c r="D286" i="23198"/>
  <c r="F26" i="23201"/>
  <c r="E26" i="23201"/>
  <c r="CU22" i="23183"/>
  <c r="DA22" i="23183" s="1"/>
  <c r="E52" i="23201"/>
  <c r="F52" i="23201"/>
  <c r="D52" i="23201" s="1"/>
  <c r="F64" i="23201"/>
  <c r="D64" i="23201" s="1"/>
  <c r="E64" i="23201"/>
  <c r="D339" i="23198"/>
  <c r="D332" i="23198"/>
  <c r="D400" i="23198"/>
  <c r="D362" i="23198"/>
  <c r="D355" i="23198"/>
  <c r="D387" i="23198"/>
  <c r="D364" i="23198"/>
  <c r="D376" i="23198"/>
  <c r="D360" i="23198"/>
  <c r="D415" i="23198"/>
  <c r="D321" i="23198"/>
  <c r="D411" i="23198"/>
  <c r="D350" i="23198"/>
  <c r="D412" i="23198"/>
  <c r="D385" i="23198"/>
  <c r="D384" i="23198"/>
  <c r="D410" i="23198"/>
  <c r="D328" i="23198"/>
  <c r="D345" i="23198"/>
  <c r="D357" i="23198"/>
  <c r="D372" i="23198"/>
  <c r="D331" i="23198"/>
  <c r="D398" i="23198"/>
  <c r="D340" i="23198"/>
  <c r="D381" i="23198"/>
  <c r="D349" i="23198"/>
  <c r="D343" i="23198"/>
  <c r="D352" i="23198"/>
  <c r="D326" i="23198"/>
  <c r="D348" i="23198"/>
  <c r="D373" i="23198"/>
  <c r="D374" i="23198"/>
  <c r="D367" i="23198"/>
  <c r="D320" i="23198"/>
  <c r="D379" i="23198"/>
  <c r="D344" i="23198"/>
  <c r="D363" i="23198"/>
  <c r="D391" i="23198"/>
  <c r="D397" i="23198"/>
  <c r="D393" i="23198"/>
  <c r="D338" i="23198"/>
  <c r="D408" i="23198"/>
  <c r="D324" i="23198"/>
  <c r="D333" i="23198"/>
  <c r="D405" i="23198"/>
  <c r="D375" i="23198"/>
  <c r="D325" i="23198"/>
  <c r="D327" i="23198"/>
  <c r="D319" i="23198"/>
  <c r="D396" i="23198"/>
  <c r="D403" i="23198"/>
  <c r="D409" i="23198"/>
  <c r="D361" i="23198"/>
  <c r="D382" i="23198"/>
  <c r="D388" i="23198"/>
  <c r="D399" i="23198"/>
  <c r="D386" i="23198"/>
  <c r="D369" i="23198"/>
  <c r="D351" i="23198"/>
  <c r="D336" i="23198"/>
  <c r="D394" i="23198"/>
  <c r="D337" i="23198"/>
  <c r="D436" i="23198"/>
  <c r="D443" i="23198"/>
  <c r="D448" i="23198"/>
  <c r="D459" i="23198"/>
  <c r="D497" i="23198"/>
  <c r="D428" i="23198"/>
  <c r="D525" i="23198"/>
  <c r="D498" i="23198"/>
  <c r="D434" i="23198"/>
  <c r="D446" i="23198"/>
  <c r="D453" i="23198"/>
  <c r="D482" i="23198"/>
  <c r="D477" i="23198"/>
  <c r="D450" i="23198"/>
  <c r="D451" i="23198"/>
  <c r="D488" i="23198"/>
  <c r="D425" i="23198"/>
  <c r="D463" i="23198"/>
  <c r="D500" i="23198"/>
  <c r="D433" i="23198"/>
  <c r="D518" i="23198"/>
  <c r="D493" i="23198"/>
  <c r="D522" i="23198"/>
  <c r="D492" i="23198"/>
  <c r="D438" i="23198"/>
  <c r="D494" i="23198"/>
  <c r="D455" i="23198"/>
  <c r="D437" i="23198"/>
  <c r="D475" i="23198"/>
  <c r="D512" i="23198"/>
  <c r="D474" i="23198"/>
  <c r="D435" i="23198"/>
  <c r="D427" i="23198"/>
  <c r="D460" i="23198"/>
  <c r="D468" i="23198"/>
  <c r="D478" i="23198"/>
  <c r="D431" i="23198"/>
  <c r="D447" i="23198"/>
  <c r="D439" i="23198"/>
  <c r="D445" i="23198"/>
  <c r="D471" i="23198"/>
  <c r="D487" i="23198"/>
  <c r="D430" i="23198"/>
  <c r="D429" i="23198"/>
  <c r="D483" i="23198"/>
  <c r="D499" i="23198"/>
  <c r="D462" i="23198"/>
  <c r="D467" i="23198"/>
  <c r="D513" i="23198"/>
  <c r="D442" i="23198"/>
  <c r="D458" i="23198"/>
  <c r="D426" i="23198"/>
  <c r="D504" i="23198"/>
  <c r="D511" i="23198"/>
  <c r="D480" i="23198"/>
  <c r="D461" i="23198"/>
  <c r="D452" i="23198"/>
  <c r="D506" i="23198"/>
  <c r="D479" i="23198"/>
  <c r="D444" i="23198"/>
  <c r="D466" i="23198"/>
  <c r="D470" i="23198"/>
  <c r="D502" i="23198"/>
  <c r="D464" i="23198"/>
  <c r="D457" i="23198"/>
  <c r="D456" i="23198"/>
  <c r="D441" i="23198"/>
  <c r="D514" i="23198"/>
  <c r="D476" i="23198"/>
  <c r="D484" i="23198"/>
  <c r="D481" i="23198"/>
  <c r="D524" i="23198"/>
  <c r="D517" i="23198"/>
  <c r="D516" i="23198"/>
  <c r="D501" i="23198"/>
  <c r="D486" i="23198"/>
  <c r="D432" i="23198"/>
  <c r="D449" i="23198"/>
  <c r="D473" i="23198"/>
  <c r="D485" i="23198"/>
  <c r="D505" i="23198"/>
  <c r="D521" i="23198"/>
  <c r="D489" i="23198"/>
  <c r="D440" i="23198"/>
  <c r="D454" i="23198"/>
  <c r="D469" i="23198"/>
  <c r="D509" i="23198"/>
  <c r="D465" i="23198"/>
  <c r="D523" i="23198"/>
  <c r="D510" i="23198"/>
  <c r="D490" i="23198"/>
  <c r="D341" i="23198"/>
  <c r="D330" i="23198"/>
  <c r="D508" i="23198"/>
  <c r="I65" i="23200"/>
  <c r="J65" i="23200"/>
  <c r="D65" i="23200"/>
  <c r="E65" i="23200"/>
  <c r="F65" i="23200"/>
  <c r="G65" i="23200"/>
  <c r="H65" i="23200"/>
  <c r="M65" i="23200"/>
  <c r="N65" i="23200"/>
  <c r="O65" i="23200"/>
  <c r="K65" i="23200"/>
  <c r="C65" i="23200"/>
  <c r="L65" i="23200"/>
  <c r="D371" i="23198"/>
  <c r="D507" i="23198"/>
  <c r="D317" i="23198"/>
  <c r="D353" i="23198"/>
  <c r="D342" i="23198"/>
  <c r="D520" i="23198"/>
  <c r="D414" i="23198"/>
  <c r="D269" i="23198"/>
  <c r="D271"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83" i="23198"/>
  <c r="D40" i="23200"/>
  <c r="E40" i="23200"/>
  <c r="K40" i="23200"/>
  <c r="F40" i="23200"/>
  <c r="L40" i="23200"/>
  <c r="G40" i="23200"/>
  <c r="M40" i="23200"/>
  <c r="H40" i="23200"/>
  <c r="O40" i="23200"/>
  <c r="I40" i="23200"/>
  <c r="N40" i="23200"/>
  <c r="J40" i="23200"/>
  <c r="C40" i="23200"/>
  <c r="D346" i="23198"/>
  <c r="D491" i="23198"/>
  <c r="CT23" i="23183"/>
  <c r="CZ23" i="23183" s="1"/>
  <c r="D365" i="23198"/>
  <c r="D354" i="23198"/>
  <c r="D323" i="23198"/>
  <c r="M29" i="23200"/>
  <c r="H29" i="23200"/>
  <c r="N29" i="23200"/>
  <c r="C29" i="23200"/>
  <c r="I29" i="23200"/>
  <c r="O29" i="23200"/>
  <c r="J29" i="23200"/>
  <c r="L29" i="23200"/>
  <c r="D29" i="23200"/>
  <c r="K29" i="23200"/>
  <c r="E29" i="23200"/>
  <c r="G29" i="23200"/>
  <c r="F29" i="23200"/>
  <c r="F41" i="23201"/>
  <c r="E41" i="23201"/>
  <c r="D270" i="23198"/>
  <c r="D407"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503" i="23198"/>
  <c r="CS24" i="23183"/>
  <c r="CY24" i="23183" s="1"/>
  <c r="D377" i="23198"/>
  <c r="D366" i="23198"/>
  <c r="D495" i="23198"/>
  <c r="D335" i="23198"/>
  <c r="D389" i="23198"/>
  <c r="D230" i="23198"/>
  <c r="D241" i="23198"/>
  <c r="D251" i="23198"/>
  <c r="D245" i="23198"/>
  <c r="D250" i="23198"/>
  <c r="D242" i="23198"/>
  <c r="D247" i="23198"/>
  <c r="L27" i="23184"/>
  <c r="N27" i="23184"/>
  <c r="E27" i="23184"/>
  <c r="O27" i="23184"/>
  <c r="J27" i="23184"/>
  <c r="Z27" i="23184"/>
  <c r="I27" i="23184"/>
  <c r="F27" i="23184"/>
  <c r="X27" i="23184"/>
  <c r="K27" i="23184"/>
  <c r="S27" i="23184"/>
  <c r="Y27" i="23184"/>
  <c r="M27" i="23184"/>
  <c r="U27" i="23184"/>
  <c r="R27" i="23184"/>
  <c r="G27" i="23184"/>
  <c r="P27" i="23184"/>
  <c r="B26" i="23184"/>
  <c r="D170" i="23198"/>
  <c r="C38" i="23198" s="1"/>
  <c r="D234" i="23198"/>
  <c r="D515" i="23198"/>
  <c r="CS23" i="23183"/>
  <c r="CY23" i="23183" s="1"/>
  <c r="D413" i="23198"/>
  <c r="D378" i="23198"/>
  <c r="D519" i="23198"/>
  <c r="D347" i="23198"/>
  <c r="F53" i="23201"/>
  <c r="D53" i="23201" s="1"/>
  <c r="E53" i="23201"/>
  <c r="D401" i="23198"/>
  <c r="D246" i="23198"/>
  <c r="D100" i="23198"/>
  <c r="J29" i="23184"/>
  <c r="Z29" i="23184"/>
  <c r="Y29" i="23184"/>
  <c r="R29" i="23184"/>
  <c r="G29" i="23184"/>
  <c r="S29" i="23184"/>
  <c r="P29" i="23184"/>
  <c r="F29" i="23184"/>
  <c r="B28" i="23184"/>
  <c r="K29" i="23184"/>
  <c r="X29" i="23184"/>
  <c r="O29" i="23184"/>
  <c r="M29" i="23184"/>
  <c r="I29" i="23184"/>
  <c r="U29" i="23184"/>
  <c r="E29" i="23184"/>
  <c r="N29" i="23184"/>
  <c r="L29" i="23184"/>
  <c r="D356" i="23198"/>
  <c r="D472" i="23198"/>
  <c r="E18" i="23201"/>
  <c r="F18" i="23201"/>
  <c r="D390" i="23198"/>
  <c r="D322" i="23198"/>
  <c r="D359" i="23198"/>
  <c r="D95" i="23198"/>
  <c r="E38" i="23199"/>
  <c r="C38" i="23199"/>
  <c r="E40" i="23199"/>
  <c r="C40" i="23199"/>
  <c r="D52" i="23199"/>
  <c r="C52" i="23199"/>
  <c r="F52" i="23199"/>
  <c r="H52" i="23199"/>
  <c r="E52" i="23199"/>
  <c r="G52" i="23199"/>
  <c r="D181" i="23198"/>
  <c r="D182" i="23198"/>
  <c r="D180" i="23198"/>
  <c r="D183" i="23198"/>
  <c r="D186" i="23198"/>
  <c r="D179" i="23198"/>
  <c r="D178" i="23198"/>
  <c r="D368" i="23198"/>
  <c r="D496" i="23198"/>
  <c r="D402" i="23198"/>
  <c r="D334" i="23198"/>
  <c r="D395"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L65" i="23184"/>
  <c r="M65" i="23184"/>
  <c r="X65" i="23184"/>
  <c r="AS65" i="23184"/>
  <c r="V65" i="23184"/>
  <c r="J65" i="23184"/>
  <c r="D169" i="23198"/>
  <c r="C41" i="23198" s="1"/>
  <c r="D380" i="23198"/>
  <c r="D226" i="23198"/>
  <c r="D225" i="23198"/>
  <c r="D231" i="23198"/>
  <c r="D228" i="23198"/>
  <c r="D227" i="23198"/>
  <c r="D229" i="23198"/>
  <c r="D358" i="23198"/>
  <c r="D281" i="23198"/>
  <c r="D99" i="23198"/>
  <c r="D417" i="23198"/>
  <c r="D370"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N54" i="23184"/>
  <c r="AU54" i="23184"/>
  <c r="AS54" i="23184"/>
  <c r="AP54" i="23184"/>
  <c r="D392" i="23198"/>
  <c r="R51" i="23184"/>
  <c r="L51" i="23184"/>
  <c r="AA51" i="23184"/>
  <c r="J51" i="23184"/>
  <c r="X51" i="23184"/>
  <c r="N51" i="23184"/>
  <c r="AS51" i="23184"/>
  <c r="O51" i="23184"/>
  <c r="M51" i="23184"/>
  <c r="G51" i="23184"/>
  <c r="AN51" i="23184"/>
  <c r="P51" i="23184"/>
  <c r="U51" i="23184"/>
  <c r="AU51" i="23184"/>
  <c r="E51" i="23184"/>
  <c r="S51" i="23184"/>
  <c r="Q51" i="23184"/>
  <c r="K51" i="23184"/>
  <c r="Y51" i="23184"/>
  <c r="H51" i="23184"/>
  <c r="AJ51" i="23184"/>
  <c r="B50" i="23184"/>
  <c r="Z51" i="23184"/>
  <c r="V51" i="23184"/>
  <c r="T51" i="23184"/>
  <c r="F51" i="23184"/>
  <c r="AP51" i="23184"/>
  <c r="I51" i="23184"/>
  <c r="CT22" i="23183"/>
  <c r="CZ22" i="23183" s="1"/>
  <c r="D406"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S66" i="23184"/>
  <c r="D404" i="23198"/>
  <c r="F40" i="2320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J53" i="23184"/>
  <c r="K53" i="23184"/>
  <c r="AU53" i="23184"/>
  <c r="AP53" i="23184"/>
  <c r="AN53" i="23184"/>
  <c r="D168" i="23198"/>
  <c r="D418"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16" i="23198"/>
  <c r="O39" i="23184"/>
  <c r="G39" i="23184"/>
  <c r="M39" i="23184"/>
  <c r="F39" i="23184"/>
  <c r="P39" i="23184"/>
  <c r="B38" i="23184"/>
  <c r="L39" i="23184"/>
  <c r="Z39" i="23184"/>
  <c r="X39" i="23184"/>
  <c r="S39" i="23184"/>
  <c r="Y39" i="23184"/>
  <c r="U39" i="23184"/>
  <c r="E39" i="23184"/>
  <c r="J39" i="23184"/>
  <c r="N39" i="23184"/>
  <c r="I39" i="23184"/>
  <c r="R39" i="23184"/>
  <c r="K39" i="23184"/>
  <c r="C28" i="23199"/>
  <c r="E28" i="23199"/>
  <c r="AA45" i="23184" l="1"/>
  <c r="D44" i="23199"/>
  <c r="D43" i="23199" s="1"/>
  <c r="D42" i="23199" s="1"/>
  <c r="D41" i="23199" s="1"/>
  <c r="D40" i="23199" s="1"/>
  <c r="D39" i="23199" s="1"/>
  <c r="D38" i="23199" s="1"/>
  <c r="D37" i="23199" s="1"/>
  <c r="D36" i="23199" s="1"/>
  <c r="D35" i="23199" s="1"/>
  <c r="D34" i="23199" s="1"/>
  <c r="D33" i="23199" s="1"/>
  <c r="D32" i="23199" s="1"/>
  <c r="D31" i="23199" s="1"/>
  <c r="D30" i="23199" s="1"/>
  <c r="D29" i="23199" s="1"/>
  <c r="D28" i="23199" s="1"/>
  <c r="D27" i="23199" s="1"/>
  <c r="D26" i="23199" s="1"/>
  <c r="D25" i="23199" s="1"/>
  <c r="D24" i="23199" s="1"/>
  <c r="D23" i="23199" s="1"/>
  <c r="D22" i="23199" s="1"/>
  <c r="D21" i="23199" s="1"/>
  <c r="D20" i="23199" s="1"/>
  <c r="D19" i="23199" s="1"/>
  <c r="D18" i="23199" s="1"/>
  <c r="D17" i="23199" s="1"/>
  <c r="D16" i="23199" s="1"/>
  <c r="D15" i="23199" s="1"/>
  <c r="D14" i="23199" s="1"/>
  <c r="D13" i="23199" s="1"/>
  <c r="H45" i="23184"/>
  <c r="AJ45" i="23184"/>
  <c r="AN45" i="23184" s="1"/>
  <c r="AP45" i="23184" s="1"/>
  <c r="Q45" i="23184"/>
  <c r="T45" i="23184" s="1"/>
  <c r="F44" i="23199"/>
  <c r="AV45" i="23184"/>
  <c r="G44" i="23199"/>
  <c r="H44" i="23199" s="1"/>
  <c r="AU45" i="23184"/>
  <c r="H44" i="23184"/>
  <c r="AU44" i="23184" s="1"/>
  <c r="F43" i="23199"/>
  <c r="F42" i="23199" s="1"/>
  <c r="F41" i="23199" s="1"/>
  <c r="F40" i="23199" s="1"/>
  <c r="F39" i="23199" s="1"/>
  <c r="F38" i="23199" s="1"/>
  <c r="F37" i="23199" s="1"/>
  <c r="F36" i="23199" s="1"/>
  <c r="F35" i="23199" s="1"/>
  <c r="F34" i="23199" s="1"/>
  <c r="F33" i="23199" s="1"/>
  <c r="F32" i="23199" s="1"/>
  <c r="F31" i="23199" s="1"/>
  <c r="F30" i="23199" s="1"/>
  <c r="F29" i="23199" s="1"/>
  <c r="F28" i="23199" s="1"/>
  <c r="F27" i="23199" s="1"/>
  <c r="F26" i="23199" s="1"/>
  <c r="F25" i="23199" s="1"/>
  <c r="F24" i="23199" s="1"/>
  <c r="F23" i="23199" s="1"/>
  <c r="F22" i="23199" s="1"/>
  <c r="F21" i="23199" s="1"/>
  <c r="F20" i="23199" s="1"/>
  <c r="F19" i="23199" s="1"/>
  <c r="F18" i="23199" s="1"/>
  <c r="F17" i="23199" s="1"/>
  <c r="F16" i="23199" s="1"/>
  <c r="F15" i="23199" s="1"/>
  <c r="F14" i="23199" s="1"/>
  <c r="F13" i="23199" s="1"/>
  <c r="AA44" i="23184"/>
  <c r="AV44" i="23184" s="1"/>
  <c r="AJ44" i="23184"/>
  <c r="Q44" i="23184"/>
  <c r="AJ43" i="23184"/>
  <c r="Q43" i="23184"/>
  <c r="H43" i="23184"/>
  <c r="AA43" i="23184"/>
  <c r="AV43" i="23184" s="1"/>
  <c r="Q42" i="23184"/>
  <c r="AJ42" i="23184"/>
  <c r="AA42" i="23184"/>
  <c r="AV42" i="23184" s="1"/>
  <c r="H42" i="23184"/>
  <c r="AU42" i="23184" s="1"/>
  <c r="AJ41" i="23184"/>
  <c r="H41" i="23184"/>
  <c r="AU41" i="23184" s="1"/>
  <c r="Q41" i="23184"/>
  <c r="AA41" i="23184"/>
  <c r="AV41" i="23184" s="1"/>
  <c r="AJ40" i="23184"/>
  <c r="H40" i="23184"/>
  <c r="AU40" i="23184" s="1"/>
  <c r="AA40" i="23184"/>
  <c r="G39" i="23199" s="1"/>
  <c r="Q40" i="23184"/>
  <c r="D38" i="23201"/>
  <c r="L5" i="23177"/>
  <c r="I27" i="23177" s="1"/>
  <c r="J27" i="23177" s="1"/>
  <c r="K27" i="23177" s="1"/>
  <c r="J4" i="23204"/>
  <c r="J3" i="23204"/>
  <c r="L4" i="23177"/>
  <c r="AA39" i="23184"/>
  <c r="G38" i="23199" s="1"/>
  <c r="H39" i="23184"/>
  <c r="AU39" i="23184" s="1"/>
  <c r="Q39" i="23184"/>
  <c r="AJ39" i="23184"/>
  <c r="H38" i="23184"/>
  <c r="AU38" i="23184" s="1"/>
  <c r="AA38" i="23184"/>
  <c r="AV38" i="23184" s="1"/>
  <c r="AJ38" i="23184"/>
  <c r="Q38" i="23184"/>
  <c r="H37" i="23184"/>
  <c r="AU37" i="23184" s="1"/>
  <c r="AA37" i="23184"/>
  <c r="G36" i="23199" s="1"/>
  <c r="AJ37" i="23184"/>
  <c r="Q37" i="23184"/>
  <c r="K23" i="23178"/>
  <c r="E32" i="23211"/>
  <c r="F33" i="23211" s="1"/>
  <c r="J3" i="23195"/>
  <c r="C5" i="23208" s="1"/>
  <c r="I3" i="23195"/>
  <c r="A3" i="23195" s="1"/>
  <c r="P17" i="23183"/>
  <c r="E12" i="23201"/>
  <c r="I11" i="23195"/>
  <c r="A11" i="23195" s="1"/>
  <c r="J11" i="23195"/>
  <c r="C13" i="23208" s="1"/>
  <c r="E12" i="23199"/>
  <c r="D12" i="23206" s="1"/>
  <c r="E16" i="23195"/>
  <c r="H16" i="23212" s="1"/>
  <c r="I54" i="23177"/>
  <c r="E17" i="23195" s="1"/>
  <c r="H36" i="23184"/>
  <c r="AU36" i="23184" s="1"/>
  <c r="AA36" i="23184"/>
  <c r="G35" i="23199" s="1"/>
  <c r="AJ36" i="23184"/>
  <c r="Q36" i="23184"/>
  <c r="AA35" i="23184"/>
  <c r="AV35" i="23184" s="1"/>
  <c r="AJ35" i="23184"/>
  <c r="H35" i="23184"/>
  <c r="Q35" i="23184"/>
  <c r="D310" i="23198"/>
  <c r="AJ34" i="23184"/>
  <c r="AA34" i="23184"/>
  <c r="AV34" i="23184" s="1"/>
  <c r="H34" i="23184"/>
  <c r="AU34" i="23184" s="1"/>
  <c r="Q34" i="23184"/>
  <c r="AA32" i="23184"/>
  <c r="G31" i="23199" s="1"/>
  <c r="AJ33" i="23184"/>
  <c r="H33" i="23184"/>
  <c r="AU33" i="23184" s="1"/>
  <c r="AA33" i="23184"/>
  <c r="AV33" i="23184" s="1"/>
  <c r="Q33" i="23184"/>
  <c r="F89" i="23198"/>
  <c r="H32" i="23184"/>
  <c r="AU32" i="23184" s="1"/>
  <c r="Q32" i="23184"/>
  <c r="AJ32" i="23184"/>
  <c r="D30" i="23201"/>
  <c r="D293" i="23198"/>
  <c r="D299" i="23198"/>
  <c r="D304" i="23198"/>
  <c r="D307" i="23198"/>
  <c r="D292" i="23198"/>
  <c r="M57" i="23193"/>
  <c r="Q31" i="23184"/>
  <c r="AJ31" i="23184"/>
  <c r="H31" i="23184"/>
  <c r="AU31" i="23184" s="1"/>
  <c r="AA31" i="23184"/>
  <c r="G30" i="23199" s="1"/>
  <c r="BO17" i="23183"/>
  <c r="C59" i="23201"/>
  <c r="D301" i="23198"/>
  <c r="D309" i="23198"/>
  <c r="D311" i="23198"/>
  <c r="D295" i="23198"/>
  <c r="D298" i="23198"/>
  <c r="D303" i="23198"/>
  <c r="D305" i="23198"/>
  <c r="D297" i="23198"/>
  <c r="D302" i="23198"/>
  <c r="D300" i="23198"/>
  <c r="D308" i="23198"/>
  <c r="D306" i="23198"/>
  <c r="D294" i="23198"/>
  <c r="D21" i="23201"/>
  <c r="AA30" i="23184"/>
  <c r="AV30" i="23184" s="1"/>
  <c r="AJ30" i="23184"/>
  <c r="Q30" i="23184"/>
  <c r="H30" i="23184"/>
  <c r="AA29" i="23184"/>
  <c r="AV29" i="23184" s="1"/>
  <c r="Q29" i="23184"/>
  <c r="AJ29" i="23184"/>
  <c r="H29" i="23184"/>
  <c r="H28" i="23184"/>
  <c r="AU28" i="23184" s="1"/>
  <c r="A3" i="23213"/>
  <c r="F17" i="23175"/>
  <c r="D17" i="23205" s="1"/>
  <c r="F262" i="23198"/>
  <c r="E3" i="23213"/>
  <c r="I12" i="23195"/>
  <c r="A12" i="23195" s="1"/>
  <c r="J14" i="23195"/>
  <c r="C16" i="23208" s="1"/>
  <c r="B22" i="23211"/>
  <c r="D22" i="23211" s="1"/>
  <c r="B6" i="23211"/>
  <c r="D6" i="23211" s="1"/>
  <c r="E23" i="23205"/>
  <c r="I7" i="23195"/>
  <c r="A7" i="23195" s="1"/>
  <c r="J9" i="23195"/>
  <c r="C11" i="23208" s="1"/>
  <c r="B23" i="23211"/>
  <c r="D23" i="23211" s="1"/>
  <c r="B12" i="23211"/>
  <c r="D12" i="23211" s="1"/>
  <c r="G6" i="23201"/>
  <c r="I17" i="23195"/>
  <c r="A17" i="23195" s="1"/>
  <c r="I2" i="23195"/>
  <c r="A2" i="23195" s="1"/>
  <c r="J5" i="23195"/>
  <c r="C7" i="23208" s="1"/>
  <c r="B13" i="23211"/>
  <c r="D13" i="23211" s="1"/>
  <c r="B26" i="23211"/>
  <c r="D26" i="23211" s="1"/>
  <c r="H6" i="23199"/>
  <c r="J6" i="23200" s="1"/>
  <c r="J17" i="23195"/>
  <c r="C19" i="23208" s="1"/>
  <c r="C20" i="23208" s="1"/>
  <c r="C21" i="23208" s="1"/>
  <c r="J15" i="23195"/>
  <c r="C17" i="23208" s="1"/>
  <c r="J4" i="23195"/>
  <c r="C6" i="23208" s="1"/>
  <c r="B25" i="23211"/>
  <c r="D25" i="23211" s="1"/>
  <c r="B17" i="23211"/>
  <c r="D17" i="23211" s="1"/>
  <c r="J10" i="23195"/>
  <c r="C12" i="23208" s="1"/>
  <c r="I13" i="23195"/>
  <c r="A13" i="23195" s="1"/>
  <c r="B5" i="23211"/>
  <c r="D5" i="23211" s="1"/>
  <c r="B7" i="23211"/>
  <c r="D7" i="23211" s="1"/>
  <c r="F6" i="23198"/>
  <c r="E17" i="23205"/>
  <c r="J6" i="23195"/>
  <c r="C8" i="23208" s="1"/>
  <c r="I14" i="23195"/>
  <c r="A14" i="23195" s="1"/>
  <c r="B27" i="23211"/>
  <c r="D27" i="23211" s="1"/>
  <c r="B19" i="23211"/>
  <c r="D19" i="23211" s="1"/>
  <c r="B20" i="23211"/>
  <c r="D20" i="23211" s="1"/>
  <c r="J16" i="23195"/>
  <c r="C18" i="23208" s="1"/>
  <c r="J13" i="23195"/>
  <c r="C15" i="23208" s="1"/>
  <c r="I9" i="23195"/>
  <c r="A9" i="23195" s="1"/>
  <c r="B29" i="23211"/>
  <c r="D29" i="23211" s="1"/>
  <c r="B14" i="23211"/>
  <c r="D14" i="23211" s="1"/>
  <c r="B15" i="23211"/>
  <c r="D15" i="23211" s="1"/>
  <c r="J12" i="23195"/>
  <c r="C14" i="23208" s="1"/>
  <c r="I15" i="23195"/>
  <c r="A15" i="23195" s="1"/>
  <c r="I5" i="23195"/>
  <c r="A5" i="23195" s="1"/>
  <c r="B28" i="23211"/>
  <c r="D28" i="23211" s="1"/>
  <c r="B4" i="23211"/>
  <c r="D4" i="23211" s="1"/>
  <c r="K5" i="23202"/>
  <c r="J7" i="23195"/>
  <c r="C9" i="23208" s="1"/>
  <c r="I10" i="23195"/>
  <c r="A10" i="23195" s="1"/>
  <c r="B30" i="23211"/>
  <c r="B16" i="23211"/>
  <c r="D16" i="23211" s="1"/>
  <c r="K5" i="23206"/>
  <c r="B12" i="23206" s="1"/>
  <c r="B24" i="23203" s="1"/>
  <c r="I6" i="23205"/>
  <c r="J2" i="23195"/>
  <c r="C4" i="23208" s="1"/>
  <c r="I6" i="23195"/>
  <c r="A6" i="23195" s="1"/>
  <c r="B9" i="23211"/>
  <c r="D9" i="23211" s="1"/>
  <c r="B18" i="23211"/>
  <c r="D18" i="23211" s="1"/>
  <c r="H6" i="23197"/>
  <c r="I8" i="23195"/>
  <c r="A8" i="23195" s="1"/>
  <c r="I4" i="23195"/>
  <c r="A4" i="23195" s="1"/>
  <c r="B21" i="23211"/>
  <c r="D21" i="23211" s="1"/>
  <c r="B8" i="23211"/>
  <c r="D8" i="23211" s="1"/>
  <c r="J6" i="39"/>
  <c r="J10" i="39" s="1"/>
  <c r="I16" i="23195"/>
  <c r="A16" i="23195" s="1"/>
  <c r="J8" i="23195"/>
  <c r="C10" i="23208" s="1"/>
  <c r="B10" i="23211"/>
  <c r="D10" i="23211" s="1"/>
  <c r="B11" i="23211"/>
  <c r="D11" i="23211" s="1"/>
  <c r="D3" i="23213"/>
  <c r="J3" i="23200"/>
  <c r="K4" i="23206"/>
  <c r="K4" i="23202"/>
  <c r="H5" i="23197"/>
  <c r="I5" i="23205"/>
  <c r="J5" i="39"/>
  <c r="F5" i="23198"/>
  <c r="G5" i="23201"/>
  <c r="H5" i="23199"/>
  <c r="J5" i="23200" s="1"/>
  <c r="Q28" i="23184"/>
  <c r="AA28" i="23184"/>
  <c r="AV28" i="23184" s="1"/>
  <c r="D26" i="23201"/>
  <c r="AJ28" i="23184"/>
  <c r="H23" i="23184"/>
  <c r="AU23" i="23184" s="1"/>
  <c r="D15" i="23201"/>
  <c r="D14" i="23201"/>
  <c r="F16" i="23178"/>
  <c r="O12" i="23178" s="1"/>
  <c r="O13" i="23178" s="1"/>
  <c r="D262" i="23198"/>
  <c r="F145"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20" i="23198"/>
  <c r="AA25" i="23184"/>
  <c r="G24" i="23199" s="1"/>
  <c r="F172" i="23198"/>
  <c r="D63" i="23201"/>
  <c r="H25" i="23184"/>
  <c r="AU25" i="23184" s="1"/>
  <c r="Q25" i="23184"/>
  <c r="F306" i="23198"/>
  <c r="D145" i="23198"/>
  <c r="AJ25" i="23184"/>
  <c r="D23" i="23201"/>
  <c r="D20" i="23201"/>
  <c r="AJ23" i="23184"/>
  <c r="AJ14" i="23184"/>
  <c r="D29" i="23201"/>
  <c r="F134" i="23198"/>
  <c r="Q24" i="23184"/>
  <c r="AA23" i="23184"/>
  <c r="Q23" i="23184"/>
  <c r="AJ24" i="23184"/>
  <c r="H24" i="23184"/>
  <c r="H17" i="23184"/>
  <c r="AU17" i="23184" s="1"/>
  <c r="C12" i="23199"/>
  <c r="AA18" i="23184"/>
  <c r="AV18" i="23184" s="1"/>
  <c r="F236" i="23198"/>
  <c r="AA22" i="23184"/>
  <c r="G21" i="23199" s="1"/>
  <c r="AJ22" i="23184"/>
  <c r="AA24" i="23184"/>
  <c r="F301" i="23198"/>
  <c r="F298" i="23198"/>
  <c r="F293" i="23198"/>
  <c r="F292" i="23198"/>
  <c r="F311" i="23198"/>
  <c r="F303" i="23198"/>
  <c r="E8" i="23211"/>
  <c r="F9" i="23211" s="1"/>
  <c r="F6" i="23211"/>
  <c r="F308" i="23198"/>
  <c r="F302" i="23198"/>
  <c r="F310" i="23198"/>
  <c r="F305" i="23198"/>
  <c r="F300" i="23198"/>
  <c r="F296" i="23198"/>
  <c r="F304" i="23198"/>
  <c r="F309" i="23198"/>
  <c r="F295" i="23198"/>
  <c r="F307" i="23198"/>
  <c r="F299" i="23198"/>
  <c r="F297" i="23198"/>
  <c r="D36" i="23201"/>
  <c r="C61" i="23201"/>
  <c r="D61" i="23201"/>
  <c r="I58" i="23204"/>
  <c r="I59" i="23204" s="1"/>
  <c r="I60" i="23204" s="1"/>
  <c r="H61" i="23204" s="1"/>
  <c r="H19" i="23204" s="1"/>
  <c r="D42" i="23201"/>
  <c r="CU17" i="23183"/>
  <c r="DA17" i="23183" s="1"/>
  <c r="Q14" i="23184"/>
  <c r="Q22" i="23184"/>
  <c r="C47" i="23201"/>
  <c r="D47" i="23201"/>
  <c r="AA14" i="23184"/>
  <c r="G13" i="23199" s="1"/>
  <c r="D33" i="23201"/>
  <c r="D32" i="23201"/>
  <c r="Q20" i="23184"/>
  <c r="H18" i="23184"/>
  <c r="AU18" i="23184" s="1"/>
  <c r="D35" i="23201"/>
  <c r="D68" i="23201"/>
  <c r="C68" i="23201"/>
  <c r="AA17" i="23184"/>
  <c r="D28" i="23201"/>
  <c r="Q17" i="23184"/>
  <c r="H20" i="23184"/>
  <c r="AU20" i="23184" s="1"/>
  <c r="CT17" i="23183"/>
  <c r="CZ17" i="23183" s="1"/>
  <c r="AJ17" i="23184"/>
  <c r="D70" i="23201"/>
  <c r="C70" i="23201"/>
  <c r="D34" i="23201"/>
  <c r="Q18" i="23184"/>
  <c r="AT17" i="23183"/>
  <c r="AZ17" i="23183" s="1"/>
  <c r="AV17" i="23183"/>
  <c r="BB17" i="23183" s="1"/>
  <c r="AU17" i="23183"/>
  <c r="BA17" i="23183" s="1"/>
  <c r="AJ18" i="23184"/>
  <c r="C65" i="23201"/>
  <c r="D65" i="23201"/>
  <c r="I30" i="23209"/>
  <c r="H14" i="23184"/>
  <c r="AU14" i="23184" s="1"/>
  <c r="AJ20" i="23184"/>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I13" i="23184"/>
  <c r="R13" i="23184"/>
  <c r="M13" i="23184"/>
  <c r="K13" i="23184"/>
  <c r="AH13" i="23184"/>
  <c r="I13" i="23184"/>
  <c r="H18" i="23204"/>
  <c r="I27" i="23209"/>
  <c r="CS17" i="23183"/>
  <c r="O12" i="23200"/>
  <c r="N12" i="23200"/>
  <c r="E12" i="23200"/>
  <c r="L12" i="23200"/>
  <c r="C12" i="23200"/>
  <c r="M12" i="23200"/>
  <c r="D12" i="23200"/>
  <c r="G12" i="23200"/>
  <c r="I12" i="23200"/>
  <c r="K12" i="23200"/>
  <c r="J12" i="23200"/>
  <c r="H12" i="23200"/>
  <c r="F12" i="23200"/>
  <c r="F12" i="23201"/>
  <c r="H19" i="23184"/>
  <c r="AU19" i="23184" s="1"/>
  <c r="D43" i="23201"/>
  <c r="D67" i="23201"/>
  <c r="C67" i="23201"/>
  <c r="Q19" i="23184"/>
  <c r="D54" i="23198"/>
  <c r="C69" i="23201"/>
  <c r="D69" i="23201"/>
  <c r="AA19" i="23184"/>
  <c r="AA20" i="23184"/>
  <c r="D67" i="23198"/>
  <c r="C50" i="23201"/>
  <c r="D50" i="23201"/>
  <c r="D31" i="23201"/>
  <c r="H16" i="23184"/>
  <c r="AU16" i="23184" s="1"/>
  <c r="C54" i="23201"/>
  <c r="D54" i="23201"/>
  <c r="C45" i="23201"/>
  <c r="D45" i="23201"/>
  <c r="D62" i="23201"/>
  <c r="C62" i="23201"/>
  <c r="AJ19" i="23184"/>
  <c r="C57" i="23201"/>
  <c r="D57" i="23201"/>
  <c r="F272" i="23198"/>
  <c r="D272" i="23198"/>
  <c r="D134" i="23198"/>
  <c r="F287" i="23198"/>
  <c r="D24" i="23201"/>
  <c r="C72" i="23201"/>
  <c r="D101" i="23198"/>
  <c r="F101" i="23198"/>
  <c r="F163" i="23198"/>
  <c r="D163" i="23198"/>
  <c r="F204" i="23198"/>
  <c r="F67" i="23198"/>
  <c r="D204" i="23198"/>
  <c r="D25" i="23201"/>
  <c r="C71" i="23201"/>
  <c r="D71" i="23201"/>
  <c r="D48" i="23201"/>
  <c r="C48" i="23201"/>
  <c r="F54" i="23198"/>
  <c r="D37" i="23201"/>
  <c r="F419" i="23198"/>
  <c r="F188" i="23198"/>
  <c r="F526" i="23198"/>
  <c r="D220" i="23198"/>
  <c r="C60" i="23201"/>
  <c r="D60" i="23201"/>
  <c r="AA16" i="23184"/>
  <c r="D49" i="23201"/>
  <c r="C49" i="23201"/>
  <c r="Q16" i="23184"/>
  <c r="AJ16" i="23184"/>
  <c r="D40" i="23201"/>
  <c r="C64" i="23201"/>
  <c r="D41" i="23201"/>
  <c r="C44" i="23201"/>
  <c r="C51" i="23201"/>
  <c r="D18" i="23201"/>
  <c r="H21" i="23184"/>
  <c r="AU21" i="23184" s="1"/>
  <c r="AA15" i="23184"/>
  <c r="D188" i="23198"/>
  <c r="Q21" i="23184"/>
  <c r="AA21" i="23184"/>
  <c r="AV21" i="23184" s="1"/>
  <c r="D39" i="23201"/>
  <c r="D27" i="23201"/>
  <c r="H15" i="23184"/>
  <c r="F252" i="23198"/>
  <c r="D56" i="23201"/>
  <c r="C56" i="23201"/>
  <c r="AJ15" i="23184"/>
  <c r="C53" i="23201"/>
  <c r="Q15" i="23184"/>
  <c r="AJ21" i="23184"/>
  <c r="C52" i="23201"/>
  <c r="D17" i="23201"/>
  <c r="D236" i="23198"/>
  <c r="D252" i="23198"/>
  <c r="C40" i="23198"/>
  <c r="D172" i="23198"/>
  <c r="D419" i="23198"/>
  <c r="D287" i="23198"/>
  <c r="D526" i="23198"/>
  <c r="C43" i="23201" l="1"/>
  <c r="T44" i="23184"/>
  <c r="AS45" i="23184"/>
  <c r="V45" i="23184"/>
  <c r="AN44" i="23184"/>
  <c r="AP44" i="23184" s="1"/>
  <c r="G43" i="23199"/>
  <c r="H43" i="23199" s="1"/>
  <c r="C42" i="23201"/>
  <c r="AS44" i="23184"/>
  <c r="V44" i="23184"/>
  <c r="AN43" i="23184"/>
  <c r="AP43" i="23184" s="1"/>
  <c r="T43" i="23184"/>
  <c r="AS43" i="23184" s="1"/>
  <c r="G42" i="23199"/>
  <c r="H42" i="23199" s="1"/>
  <c r="AU43" i="23184"/>
  <c r="C41" i="23201"/>
  <c r="G41" i="23199"/>
  <c r="T42" i="23184"/>
  <c r="AS42" i="23184" s="1"/>
  <c r="G40" i="23199"/>
  <c r="AN42" i="23184"/>
  <c r="AP42" i="23184" s="1"/>
  <c r="C40" i="23201"/>
  <c r="T41" i="23184"/>
  <c r="V41" i="23184" s="1"/>
  <c r="AV40" i="23184"/>
  <c r="C39" i="23201"/>
  <c r="AN41" i="23184"/>
  <c r="AP41" i="23184" s="1"/>
  <c r="T40" i="23184"/>
  <c r="V40" i="23184" s="1"/>
  <c r="AN40" i="23184"/>
  <c r="AP40" i="23184" s="1"/>
  <c r="C38" i="23201"/>
  <c r="AV39" i="23184"/>
  <c r="AN39" i="23184"/>
  <c r="AP39" i="23184" s="1"/>
  <c r="C13" i="23201"/>
  <c r="T39" i="23184"/>
  <c r="V39" i="23184" s="1"/>
  <c r="G13" i="23197"/>
  <c r="C37" i="23201"/>
  <c r="T38" i="23184"/>
  <c r="AS38" i="23184" s="1"/>
  <c r="G37" i="23199"/>
  <c r="AN38" i="23184"/>
  <c r="AP38" i="23184" s="1"/>
  <c r="D18" i="23208"/>
  <c r="E32" i="23208" s="1"/>
  <c r="E37" i="23208" s="1"/>
  <c r="T37" i="23184"/>
  <c r="AS37" i="23184" s="1"/>
  <c r="C36" i="23201"/>
  <c r="AN37" i="23184"/>
  <c r="AP37" i="23184" s="1"/>
  <c r="AV37" i="23184"/>
  <c r="C35" i="23201"/>
  <c r="E7" i="23211"/>
  <c r="D30" i="23211"/>
  <c r="B32" i="23211"/>
  <c r="B33" i="23211" s="1"/>
  <c r="B34" i="23211" s="1"/>
  <c r="B35" i="23211" s="1"/>
  <c r="B36" i="23211" s="1"/>
  <c r="B37" i="23211" s="1"/>
  <c r="H14" i="23197"/>
  <c r="D12" i="23199"/>
  <c r="F12" i="23199"/>
  <c r="AN36" i="23184"/>
  <c r="AP36" i="23184" s="1"/>
  <c r="AV36" i="23184"/>
  <c r="D12" i="23201"/>
  <c r="C12" i="23201" s="1"/>
  <c r="T36" i="23184"/>
  <c r="AS36" i="23184" s="1"/>
  <c r="C34" i="23201"/>
  <c r="T35" i="23184"/>
  <c r="V35" i="23184" s="1"/>
  <c r="G34" i="23199"/>
  <c r="AU35" i="23184"/>
  <c r="AN35" i="23184"/>
  <c r="AP35" i="23184" s="1"/>
  <c r="C33" i="23201"/>
  <c r="G33" i="23199"/>
  <c r="T34" i="23184"/>
  <c r="AS34" i="23184" s="1"/>
  <c r="AN34" i="23184"/>
  <c r="AP34" i="23184" s="1"/>
  <c r="C32" i="23201"/>
  <c r="T33" i="23184"/>
  <c r="V33" i="23184" s="1"/>
  <c r="AV32" i="23184"/>
  <c r="G32" i="23199"/>
  <c r="AN33" i="23184"/>
  <c r="AP33" i="23184" s="1"/>
  <c r="F15" i="23178"/>
  <c r="F14" i="23178"/>
  <c r="AN32" i="23184"/>
  <c r="AP32" i="23184" s="1"/>
  <c r="E15" i="23195"/>
  <c r="C31" i="23201"/>
  <c r="T32" i="23184"/>
  <c r="AS32" i="23184" s="1"/>
  <c r="F13" i="23214"/>
  <c r="H13" i="23214" s="1"/>
  <c r="C30" i="23201"/>
  <c r="AN31" i="23184"/>
  <c r="AP31" i="23184" s="1"/>
  <c r="AV31" i="23184"/>
  <c r="T31" i="23184"/>
  <c r="V31" i="23184" s="1"/>
  <c r="T28" i="23184"/>
  <c r="AS28" i="23184" s="1"/>
  <c r="C29" i="23201"/>
  <c r="G29" i="23199"/>
  <c r="T30" i="23184"/>
  <c r="V30" i="23184" s="1"/>
  <c r="AU30" i="23184"/>
  <c r="D312" i="23198"/>
  <c r="AN30" i="23184"/>
  <c r="AP30" i="23184" s="1"/>
  <c r="AN14" i="23184"/>
  <c r="AP14" i="23184" s="1"/>
  <c r="AN29" i="23184"/>
  <c r="AP29" i="23184" s="1"/>
  <c r="C28" i="23201"/>
  <c r="T29" i="23184"/>
  <c r="V29" i="23184" s="1"/>
  <c r="G28" i="23199"/>
  <c r="AU29" i="23184"/>
  <c r="C27" i="23201"/>
  <c r="G27" i="23199"/>
  <c r="AN28" i="23184"/>
  <c r="AP28" i="23184" s="1"/>
  <c r="I38" i="23210"/>
  <c r="F17" i="23205"/>
  <c r="H17" i="23205" s="1"/>
  <c r="I17" i="23205" s="1"/>
  <c r="D23" i="23205"/>
  <c r="F23" i="23205" s="1"/>
  <c r="J9" i="39"/>
  <c r="J11" i="39" s="1"/>
  <c r="T23" i="23184"/>
  <c r="AS23" i="23184" s="1"/>
  <c r="C26" i="23201"/>
  <c r="F43" i="23212"/>
  <c r="D19" i="23208"/>
  <c r="G35" i="23208" s="1"/>
  <c r="G26" i="23199"/>
  <c r="BQ17" i="23183"/>
  <c r="T27" i="23184"/>
  <c r="AS27" i="23184" s="1"/>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AN20" i="23184"/>
  <c r="AP20" i="23184" s="1"/>
  <c r="G17" i="23199"/>
  <c r="AN22" i="23184"/>
  <c r="AP22" i="23184" s="1"/>
  <c r="G22" i="23199"/>
  <c r="AV23" i="23184"/>
  <c r="F312" i="23198"/>
  <c r="G23" i="23199"/>
  <c r="AV24" i="23184"/>
  <c r="AN24" i="23184"/>
  <c r="AP24" i="23184" s="1"/>
  <c r="CY17" i="23183"/>
  <c r="AN18" i="23184"/>
  <c r="AP18" i="23184" s="1"/>
  <c r="AU24" i="23184"/>
  <c r="T24" i="23184"/>
  <c r="AV22" i="23184"/>
  <c r="E17" i="23211"/>
  <c r="E4" i="23211"/>
  <c r="E36" i="23211" s="1"/>
  <c r="F37" i="23211" s="1"/>
  <c r="AA13" i="23184"/>
  <c r="AN17" i="23184"/>
  <c r="AP17" i="23184" s="1"/>
  <c r="AV14" i="23184"/>
  <c r="T19" i="23184"/>
  <c r="AS19" i="23184" s="1"/>
  <c r="E64" i="39" a="1"/>
  <c r="E64" i="39" s="1"/>
  <c r="C19" i="23201"/>
  <c r="R10" i="23183"/>
  <c r="T18" i="23184"/>
  <c r="V18" i="23184" s="1"/>
  <c r="G16" i="23199"/>
  <c r="AV17" i="23184"/>
  <c r="E63" i="39" a="1"/>
  <c r="E63" i="39" s="1"/>
  <c r="G63" i="39" s="1"/>
  <c r="J63" i="39" s="1"/>
  <c r="T16" i="23184"/>
  <c r="AS16" i="23184" s="1"/>
  <c r="I11" i="23177"/>
  <c r="T14" i="23184"/>
  <c r="AJ13" i="23184"/>
  <c r="I17" i="23209" s="1"/>
  <c r="Q13" i="23184"/>
  <c r="I19" i="23209" s="1"/>
  <c r="H13" i="23184"/>
  <c r="R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61" i="23204"/>
  <c r="I62" i="23204" s="1"/>
  <c r="I63" i="23204" s="1"/>
  <c r="K22" i="23178" s="1"/>
  <c r="AU15" i="23184"/>
  <c r="T15" i="23184"/>
  <c r="C16" i="23201"/>
  <c r="C14" i="23201"/>
  <c r="C15" i="23201"/>
  <c r="V43" i="23184" l="1"/>
  <c r="H41" i="23199"/>
  <c r="H40" i="23199" s="1"/>
  <c r="H39" i="23199" s="1"/>
  <c r="H38" i="23199" s="1"/>
  <c r="H37" i="23199" s="1"/>
  <c r="H36" i="23199" s="1"/>
  <c r="H35" i="23199" s="1"/>
  <c r="H34" i="23199" s="1"/>
  <c r="H33" i="23199" s="1"/>
  <c r="H32" i="23199" s="1"/>
  <c r="H31" i="23199" s="1"/>
  <c r="H30" i="23199" s="1"/>
  <c r="H29" i="23199" s="1"/>
  <c r="H28" i="23199" s="1"/>
  <c r="H27" i="23199" s="1"/>
  <c r="H26" i="23199" s="1"/>
  <c r="H25" i="23199" s="1"/>
  <c r="H24" i="23199" s="1"/>
  <c r="H23" i="23199" s="1"/>
  <c r="H22" i="23199" s="1"/>
  <c r="H21" i="23199" s="1"/>
  <c r="H20" i="23199" s="1"/>
  <c r="H19" i="23199" s="1"/>
  <c r="H18" i="23199" s="1"/>
  <c r="H17" i="23199" s="1"/>
  <c r="H16" i="23199" s="1"/>
  <c r="H15" i="23199" s="1"/>
  <c r="V42" i="23184"/>
  <c r="G64" i="39"/>
  <c r="J64" i="39" s="1"/>
  <c r="J60" i="39"/>
  <c r="E10" i="23195" s="1"/>
  <c r="D12" i="23208" s="1"/>
  <c r="J41" i="39"/>
  <c r="G41" i="39" s="1"/>
  <c r="J40" i="39"/>
  <c r="G40" i="39" s="1"/>
  <c r="J20" i="39"/>
  <c r="J57" i="39"/>
  <c r="E9" i="23195" s="1"/>
  <c r="D11" i="23208" s="1"/>
  <c r="J50" i="39"/>
  <c r="E8" i="23195" s="1"/>
  <c r="D10" i="23208" s="1"/>
  <c r="J39" i="39"/>
  <c r="AS41" i="23184"/>
  <c r="AS40" i="23184"/>
  <c r="AS39" i="23184"/>
  <c r="V38" i="23184"/>
  <c r="V37" i="23184"/>
  <c r="V36" i="23184"/>
  <c r="I15" i="23177"/>
  <c r="H34" i="23204" s="1"/>
  <c r="H23" i="23205"/>
  <c r="I23" i="23205" s="1"/>
  <c r="I52" i="23177" s="1"/>
  <c r="J52" i="23177" s="1"/>
  <c r="K52" i="23177" s="1"/>
  <c r="F15" i="23212"/>
  <c r="H7" i="23212" s="1"/>
  <c r="E25" i="23195"/>
  <c r="G27" i="23195" s="1"/>
  <c r="AS35" i="23184"/>
  <c r="V34" i="23184"/>
  <c r="AS33" i="23184"/>
  <c r="D17" i="23208"/>
  <c r="V32" i="23184"/>
  <c r="V28" i="23184"/>
  <c r="AS31" i="23184"/>
  <c r="AS30" i="23184"/>
  <c r="AS29" i="23184"/>
  <c r="I16" i="23209"/>
  <c r="AN13" i="23184"/>
  <c r="AP13" i="23184" s="1"/>
  <c r="J48" i="39"/>
  <c r="V23" i="23184"/>
  <c r="I39" i="23210"/>
  <c r="J38" i="23210"/>
  <c r="J39" i="23210" s="1"/>
  <c r="AS22" i="23184"/>
  <c r="F5" i="23211"/>
  <c r="F25" i="23211"/>
  <c r="E26" i="23211" s="1"/>
  <c r="F21" i="23178"/>
  <c r="V27" i="23184"/>
  <c r="V26" i="23184"/>
  <c r="AS20" i="23184"/>
  <c r="V25" i="23184"/>
  <c r="AS17" i="23184"/>
  <c r="V19" i="23184"/>
  <c r="AV13" i="23184"/>
  <c r="G12" i="23199"/>
  <c r="V24" i="23184"/>
  <c r="AS24" i="23184"/>
  <c r="E13" i="23211"/>
  <c r="AS18" i="23184"/>
  <c r="V16" i="23184"/>
  <c r="AS14" i="23184"/>
  <c r="V14" i="23184"/>
  <c r="L76" i="23210"/>
  <c r="I201" i="23210" s="1"/>
  <c r="I29" i="23209"/>
  <c r="I43" i="23209"/>
  <c r="I42" i="23209"/>
  <c r="I18" i="23209"/>
  <c r="T13" i="23184"/>
  <c r="AU13" i="23184"/>
  <c r="I40" i="23209"/>
  <c r="I41" i="23209"/>
  <c r="V21" i="23184"/>
  <c r="V15" i="23184"/>
  <c r="AS15" i="23184"/>
  <c r="I46" i="23177" l="1"/>
  <c r="E14" i="23195"/>
  <c r="D16" i="23208" s="1"/>
  <c r="G31" i="23208"/>
  <c r="G28" i="23208"/>
  <c r="I28" i="23208" s="1"/>
  <c r="H25" i="23208"/>
  <c r="E7" i="23195"/>
  <c r="D9" i="23208" s="1"/>
  <c r="E6" i="23195"/>
  <c r="D8" i="23208" s="1"/>
  <c r="E15" i="23211"/>
  <c r="F16" i="23211" s="1"/>
  <c r="I49" i="23177"/>
  <c r="E5" i="23195" s="1"/>
  <c r="D7" i="23208" s="1"/>
  <c r="J76" i="39"/>
  <c r="I48" i="23177" s="1"/>
  <c r="H14" i="23199"/>
  <c r="H13" i="23199" s="1"/>
  <c r="H12" i="23199" s="1"/>
  <c r="AS13" i="23184"/>
  <c r="G14" i="23204" s="1"/>
  <c r="H14" i="23204" s="1"/>
  <c r="V13" i="23184"/>
  <c r="G32" i="23208" l="1"/>
  <c r="E12" i="23211"/>
  <c r="F14" i="23211" s="1"/>
  <c r="I14" i="23204"/>
  <c r="I16" i="23204" s="1"/>
  <c r="I17" i="23204" s="1"/>
  <c r="I18" i="23204" s="1"/>
  <c r="I19" i="23204" s="1"/>
  <c r="I33" i="23177" s="1"/>
  <c r="I20" i="23204" l="1"/>
  <c r="I21" i="23204" s="1"/>
  <c r="I22" i="23204" s="1"/>
  <c r="I23" i="23204" s="1"/>
  <c r="I34" i="23177"/>
  <c r="I37" i="23177" l="1"/>
  <c r="I44" i="23177" s="1"/>
  <c r="J44" i="23177" l="1"/>
  <c r="L44" i="23177" l="1"/>
  <c r="L45" i="23177" l="1"/>
  <c r="J46" i="23177" l="1"/>
  <c r="L46" i="23177" s="1"/>
  <c r="L47" i="23177" s="1"/>
  <c r="J48" i="23177" l="1"/>
  <c r="K46" i="23177"/>
  <c r="L48" i="23177" l="1"/>
  <c r="J49" i="23177" s="1"/>
  <c r="K48" i="23177"/>
  <c r="K49" i="23177" l="1"/>
  <c r="E12" i="23206" s="1"/>
  <c r="L49" i="23177"/>
  <c r="I24" i="23177" l="1"/>
  <c r="H47" i="23204"/>
  <c r="L50" i="23177"/>
  <c r="J51" i="23177" l="1"/>
  <c r="K51" i="23177" l="1"/>
  <c r="L51" i="23177"/>
  <c r="L52" i="23177" l="1"/>
  <c r="I53" i="23177" l="1"/>
  <c r="I16" i="23177" s="1"/>
  <c r="I17" i="23177" l="1"/>
  <c r="I23" i="23177" s="1"/>
  <c r="J53" i="23177"/>
  <c r="K53" i="23177" s="1"/>
  <c r="M26" i="23204" l="1"/>
  <c r="C12" i="23206"/>
  <c r="L53" i="23177"/>
  <c r="D20" i="23208" l="1"/>
  <c r="G34" i="23208" s="1"/>
  <c r="H25" i="23204"/>
  <c r="I18" i="23177"/>
  <c r="K12" i="23206"/>
  <c r="I65" i="23210" s="1"/>
  <c r="H12" i="23206"/>
  <c r="J65" i="23210" s="1"/>
  <c r="H35" i="23204"/>
  <c r="J54" i="23177"/>
  <c r="I34" i="23204" l="1"/>
  <c r="I35" i="23204" s="1"/>
  <c r="I36" i="23204" s="1"/>
  <c r="J23" i="23177"/>
  <c r="L23" i="23177" s="1"/>
  <c r="J24" i="23177" s="1"/>
  <c r="K24" i="23177" s="1"/>
  <c r="H24" i="23204"/>
  <c r="H46" i="23204" s="1"/>
  <c r="K54" i="23177"/>
  <c r="L54" i="23177"/>
  <c r="L55" i="23177" s="1"/>
  <c r="L24" i="23177" l="1"/>
  <c r="G24" i="23203" s="1"/>
  <c r="I24" i="23204"/>
  <c r="I25" i="23204" s="1"/>
  <c r="H26" i="23204" s="1"/>
  <c r="E4" i="23195" s="1"/>
  <c r="D6" i="23208" s="1"/>
  <c r="I46" i="23204"/>
  <c r="I47" i="23204" s="1"/>
  <c r="I48" i="23204" s="1"/>
  <c r="H49" i="23204" s="1"/>
  <c r="F10" i="23211" s="1"/>
  <c r="E11" i="23211" s="1"/>
  <c r="E27" i="23211"/>
  <c r="I56" i="23177"/>
  <c r="J24" i="23203" l="1"/>
  <c r="F24" i="23203"/>
  <c r="M25" i="23204" s="1"/>
  <c r="M27" i="23204" s="1"/>
  <c r="E13" i="23195"/>
  <c r="D15" i="23208" s="1"/>
  <c r="G26" i="23208" s="1"/>
  <c r="I49" i="23204"/>
  <c r="I50" i="23204" s="1"/>
  <c r="K76" i="23210" s="1"/>
  <c r="H24" i="23212"/>
  <c r="F5" i="23212" s="1"/>
  <c r="D4" i="23208"/>
  <c r="F28" i="23211"/>
  <c r="F20" i="23211"/>
  <c r="E21" i="23211" s="1"/>
  <c r="I25" i="23177"/>
  <c r="E12" i="23195" s="1"/>
  <c r="E18" i="23211"/>
  <c r="F19" i="23211" s="1"/>
  <c r="J56" i="23177"/>
  <c r="N63" i="23209" s="1" a="1"/>
  <c r="H24" i="23203" l="1"/>
  <c r="O24" i="23203" s="1"/>
  <c r="H27" i="23208"/>
  <c r="K19" i="23178"/>
  <c r="F22" i="23178"/>
  <c r="D23" i="23208"/>
  <c r="G33" i="23208"/>
  <c r="G37" i="23208" s="1"/>
  <c r="E24" i="23195"/>
  <c r="E29" i="23211"/>
  <c r="F30" i="23211" s="1"/>
  <c r="I26" i="23204"/>
  <c r="I27" i="23204" s="1"/>
  <c r="F23" i="23212"/>
  <c r="D14" i="23208"/>
  <c r="G27" i="23208" s="1"/>
  <c r="K56" i="23177"/>
  <c r="Q63" i="23209"/>
  <c r="Y63" i="23209"/>
  <c r="O63" i="23209"/>
  <c r="V63" i="23209"/>
  <c r="T63" i="23209"/>
  <c r="N63" i="23209"/>
  <c r="P63" i="23209"/>
  <c r="R63" i="23209"/>
  <c r="S63" i="23209"/>
  <c r="U63" i="23209"/>
  <c r="W63" i="23209"/>
  <c r="X63" i="23209"/>
  <c r="Z63" i="23209"/>
  <c r="I21" i="23209"/>
  <c r="L56" i="23177"/>
  <c r="J25" i="23177"/>
  <c r="K24" i="23203" l="1"/>
  <c r="I36" i="23210"/>
  <c r="K13" i="23178"/>
  <c r="I27" i="23208"/>
  <c r="E23" i="23195"/>
  <c r="F39" i="23208"/>
  <c r="I76" i="23210"/>
  <c r="F19" i="23178"/>
  <c r="F8" i="23212"/>
  <c r="H42" i="23212" s="1"/>
  <c r="H45" i="23212" s="1"/>
  <c r="L25" i="23177"/>
  <c r="K25" i="23177"/>
  <c r="I26" i="23177"/>
  <c r="P24" i="23203"/>
  <c r="L57" i="23177"/>
  <c r="N64" i="23209" a="1"/>
  <c r="H26" i="23208" l="1"/>
  <c r="I26" i="23208" s="1"/>
  <c r="G25" i="23208"/>
  <c r="I25" i="23208" s="1"/>
  <c r="Q64" i="23209"/>
  <c r="W64" i="23209"/>
  <c r="Y64" i="23209"/>
  <c r="T64" i="23209"/>
  <c r="N64" i="23209"/>
  <c r="P64" i="23209"/>
  <c r="U64" i="23209"/>
  <c r="O64" i="23209"/>
  <c r="V64" i="23209"/>
  <c r="S64" i="23209"/>
  <c r="R64" i="23209"/>
  <c r="Z64" i="23209"/>
  <c r="X64" i="23209"/>
  <c r="K16" i="23178"/>
  <c r="J36" i="23210"/>
  <c r="R24" i="23203"/>
  <c r="J26" i="23177"/>
  <c r="I63" i="23209" s="1" a="1"/>
  <c r="L26" i="23177" l="1"/>
  <c r="L27" i="23177" s="1"/>
  <c r="L28" i="23177" s="1"/>
  <c r="K26" i="23177"/>
  <c r="M63" i="23209"/>
  <c r="J63" i="23209"/>
  <c r="I63" i="23209"/>
  <c r="K63" i="23209"/>
  <c r="L63" i="23209"/>
  <c r="H37" i="23204"/>
  <c r="I37" i="23204" s="1"/>
  <c r="I60" i="23210"/>
  <c r="I23" i="23209"/>
  <c r="I64" i="23209" l="1" a="1"/>
  <c r="M64" i="23209" s="1"/>
  <c r="E22" i="23211"/>
  <c r="F23" i="23211" s="1"/>
  <c r="I38" i="23204"/>
  <c r="J64" i="23209" l="1"/>
  <c r="K64" i="23209"/>
  <c r="I64" i="23209"/>
  <c r="L64" i="23209"/>
  <c r="F20" i="23178"/>
  <c r="F24" i="23178" s="1"/>
  <c r="K18" i="23178" s="1"/>
  <c r="J76" i="23210"/>
  <c r="K24" i="23178" l="1"/>
  <c r="L24" i="23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61"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K19" authorId="0" shapeId="0" xr:uid="{E6684677-B801-4A79-854E-28B0A482B495}">
      <text>
        <r>
          <rPr>
            <sz val="9"/>
            <color indexed="81"/>
            <rFont val="Tahoma"/>
            <family val="2"/>
          </rPr>
          <t xml:space="preserve">Diffrence between Principal Collections and Additionnal Buffer + 
Affected Home Loans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F13" authorId="0" shapeId="0" xr:uid="{9B804190-22A9-4C07-869D-C18A52A0CD80}">
      <text>
        <r>
          <rPr>
            <b/>
            <sz val="9"/>
            <color indexed="81"/>
            <rFont val="Tahoma"/>
            <family val="2"/>
          </rPr>
          <t>Moez Lakili:</t>
        </r>
        <r>
          <rPr>
            <sz val="9"/>
            <color indexed="81"/>
            <rFont val="Tahoma"/>
            <family val="2"/>
          </rPr>
          <t xml:space="preserve">
Outstanding 30/04/2025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<sst xmlns="http://schemas.openxmlformats.org/spreadsheetml/2006/main" count="10618" uniqueCount="2625">
  <si>
    <t>Date de Paiement</t>
  </si>
  <si>
    <t xml:space="preserve"> </t>
  </si>
  <si>
    <t>Total</t>
  </si>
  <si>
    <t>Libellé</t>
  </si>
  <si>
    <t>Date d'Arrêté</t>
  </si>
  <si>
    <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</si>
  <si>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</si>
  <si>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</si>
  <si>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</si>
  <si>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</si>
  <si>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</si>
  <si>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</si>
  <si>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</si>
  <si>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</si>
  <si>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</si>
  <si>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</si>
  <si>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</si>
  <si>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</si>
  <si>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</si>
  <si>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</si>
  <si>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</si>
  <si>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</si>
  <si>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</si>
  <si>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</si>
  <si>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</si>
  <si>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</si>
  <si>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</si>
  <si>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</si>
  <si>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</si>
  <si>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</si>
  <si>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</si>
  <si>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</si>
  <si>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</si>
  <si>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</si>
  <si>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</si>
  <si>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</si>
  <si>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</si>
  <si>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</si>
  <si>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</si>
  <si>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</si>
  <si>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</si>
  <si>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</si>
  <si>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</si>
  <si>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</si>
  <si>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</si>
  <si>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</si>
  <si>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</si>
  <si>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</si>
  <si>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</si>
  <si>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</si>
  <si>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</si>
  <si>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</si>
  <si>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</si>
  <si>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</si>
  <si>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</si>
  <si>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</si>
  <si>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</si>
  <si>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</si>
  <si>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</si>
  <si>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</si>
  <si>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</si>
  <si>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</si>
  <si>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</si>
  <si>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</si>
  <si>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</si>
  <si>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</si>
  <si>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</si>
  <si>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</si>
  <si>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</si>
  <si>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</si>
  <si>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</si>
  <si>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</si>
  <si>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</si>
  <si>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</si>
  <si>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</si>
  <si>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</si>
  <si>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</si>
  <si>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</si>
  <si>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</si>
  <si>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</si>
  <si>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</si>
  <si>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</si>
  <si>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</si>
  <si>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</si>
  <si>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</si>
  <si>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</si>
  <si>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</si>
  <si>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</si>
  <si>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</si>
  <si>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</si>
  <si>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</si>
  <si>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</si>
  <si>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</si>
  <si>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</si>
  <si>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</si>
  <si>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</si>
  <si>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</si>
  <si>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</si>
  <si>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</si>
  <si>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</si>
  <si>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</si>
  <si>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</si>
  <si>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</si>
  <si>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</si>
  <si>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</si>
  <si>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</si>
  <si>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</si>
  <si>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</si>
  <si>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</si>
  <si>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</si>
  <si>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</si>
  <si>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</si>
  <si>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</si>
  <si>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</si>
  <si>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</si>
  <si>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</si>
  <si>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</si>
  <si>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</si>
  <si>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</si>
  <si>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</si>
  <si>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</si>
  <si>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</si>
  <si>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</si>
  <si>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</si>
  <si>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</si>
  <si>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</si>
  <si>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</si>
  <si>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</si>
  <si>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</si>
  <si>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</si>
  <si>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</si>
  <si>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</si>
  <si>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</si>
  <si>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</si>
  <si>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</si>
  <si>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</si>
  <si>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</si>
  <si>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</si>
  <si>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</si>
  <si>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</si>
  <si>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</si>
  <si>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</si>
  <si>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</si>
  <si>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</si>
  <si>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</si>
  <si>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</si>
  <si>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</si>
  <si>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</si>
  <si>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</si>
  <si>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</si>
  <si>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</si>
  <si>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</si>
  <si>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</si>
  <si>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</si>
  <si>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</si>
  <si>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</si>
  <si>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</si>
  <si>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</si>
  <si>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</si>
  <si>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</si>
  <si>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</si>
  <si>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</si>
  <si>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</si>
  <si>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</si>
  <si>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</si>
  <si>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</si>
  <si>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</si>
  <si>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</si>
  <si>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</si>
  <si>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</si>
  <si>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</si>
  <si>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</si>
  <si>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</si>
  <si>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</si>
  <si>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</si>
  <si>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</si>
  <si>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</si>
  <si>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</si>
  <si>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</si>
  <si>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</si>
  <si>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</si>
  <si>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</si>
  <si>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</si>
  <si>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</si>
  <si>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</si>
  <si>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</si>
  <si>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</si>
  <si>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</si>
  <si>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</si>
  <si>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</si>
  <si>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</si>
  <si>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</si>
  <si>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</si>
  <si>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</si>
  <si>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</si>
  <si>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</si>
  <si>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</si>
  <si>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</si>
  <si>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</si>
  <si>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</si>
  <si>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</si>
  <si>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</si>
  <si>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</si>
  <si>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</si>
  <si>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</si>
  <si>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</si>
  <si>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</si>
  <si>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</si>
  <si>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</si>
  <si>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</si>
  <si>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</si>
  <si>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</si>
  <si>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</si>
  <si>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</si>
  <si>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</si>
  <si>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</si>
  <si>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</si>
  <si>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</si>
  <si>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</si>
  <si>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</si>
  <si>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</si>
  <si>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</si>
  <si>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</si>
  <si>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</si>
  <si>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</si>
  <si>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</si>
  <si>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</si>
  <si>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</si>
  <si>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</si>
  <si>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</si>
  <si>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</si>
  <si>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</si>
  <si>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</si>
  <si>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</si>
  <si>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</si>
  <si>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</si>
  <si>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</si>
  <si>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</si>
  <si>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</si>
  <si>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</si>
  <si>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</si>
  <si>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</si>
  <si>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</si>
  <si>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</si>
  <si>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</si>
  <si>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</si>
  <si>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</si>
  <si>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</si>
  <si>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</si>
  <si>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</si>
  <si>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</si>
  <si>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</si>
  <si>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</si>
  <si>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</si>
  <si>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</si>
  <si>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</si>
  <si>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</si>
  <si>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</si>
  <si>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</si>
  <si>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</si>
  <si>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</si>
  <si>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</si>
  <si>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</si>
  <si>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</si>
  <si>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</si>
  <si>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</si>
  <si>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</si>
  <si>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</si>
  <si>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</si>
  <si>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</si>
  <si>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</si>
  <si>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</si>
  <si>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</si>
  <si>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</si>
  <si>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</si>
  <si>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</si>
  <si>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</si>
  <si>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</si>
  <si>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</si>
  <si>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</si>
  <si>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</si>
  <si>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</si>
  <si>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</si>
  <si>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</si>
  <si>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</si>
  <si>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</si>
  <si>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</si>
  <si>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</si>
  <si>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</si>
  <si>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</si>
  <si>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</si>
  <si>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</si>
  <si>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</si>
  <si>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</si>
  <si>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</si>
  <si>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</si>
  <si>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</si>
  <si>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</si>
  <si>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</si>
  <si>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</si>
  <si>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</si>
  <si>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</si>
  <si>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</si>
  <si>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</si>
  <si>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</si>
  <si>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</si>
  <si>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</si>
  <si>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</si>
  <si>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</si>
  <si>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</si>
  <si>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</si>
  <si>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</si>
  <si>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</si>
  <si>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</si>
  <si>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</si>
  <si>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</si>
  <si>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</si>
  <si>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</si>
  <si>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</si>
  <si>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</si>
  <si>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</si>
  <si>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</si>
  <si>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</si>
  <si>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</si>
  <si>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</si>
  <si>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</si>
  <si>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</si>
  <si>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</si>
  <si>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</si>
  <si>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</si>
  <si>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</si>
  <si>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</si>
  <si>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</si>
  <si>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</si>
  <si>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</si>
  <si>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</si>
  <si>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</si>
  <si>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</si>
  <si>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</si>
  <si>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</si>
  <si>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</si>
  <si>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</si>
  <si>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</si>
  <si>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</si>
  <si>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</si>
  <si>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</si>
  <si>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</si>
  <si>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</si>
  <si>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</si>
  <si>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</si>
  <si>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</si>
  <si>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</si>
  <si>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</si>
  <si>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</si>
  <si>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</si>
  <si>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</si>
  <si>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</si>
  <si>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</si>
  <si>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</si>
  <si>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</si>
  <si>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</si>
  <si>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</si>
  <si>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</si>
  <si>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</si>
  <si>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</si>
  <si>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</si>
  <si>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</si>
  <si>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</si>
  <si>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</si>
  <si>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</si>
  <si>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</si>
  <si>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</si>
  <si>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</si>
  <si>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</si>
  <si>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</si>
  <si>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</si>
  <si>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</si>
  <si>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</si>
  <si>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</si>
  <si>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</si>
  <si>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</si>
  <si>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</si>
  <si>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</si>
  <si>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</si>
  <si>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</si>
  <si>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</si>
  <si>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</si>
  <si>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</si>
  <si>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</si>
  <si>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</si>
  <si>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</si>
  <si>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</si>
  <si>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</si>
  <si>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</si>
  <si>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</si>
  <si>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</si>
  <si>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</si>
  <si>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</si>
  <si>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</si>
  <si>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</si>
  <si>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</si>
  <si>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</si>
  <si>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</si>
  <si>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</si>
  <si>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</si>
  <si>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</si>
  <si>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</si>
  <si>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</si>
  <si>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</si>
  <si>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</si>
  <si>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</si>
  <si>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</si>
  <si>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</si>
  <si>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</si>
  <si>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</si>
  <si>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</si>
  <si>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</si>
  <si>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</si>
  <si>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</si>
  <si>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</si>
  <si>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</si>
  <si>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</si>
  <si>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</si>
  <si>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</si>
  <si>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</si>
  <si>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</si>
  <si>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</si>
  <si>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</si>
  <si>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</si>
  <si>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</si>
  <si>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</si>
  <si>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</si>
  <si>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</si>
  <si>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</si>
  <si>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</si>
  <si>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</si>
  <si>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</si>
  <si>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</si>
  <si>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</si>
  <si>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</si>
  <si>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</si>
  <si>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</si>
  <si>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</si>
  <si>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</si>
  <si>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</si>
  <si>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</si>
  <si>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</si>
  <si>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</si>
  <si>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</si>
  <si>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</si>
  <si>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</si>
  <si>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</si>
  <si>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</si>
  <si>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</si>
  <si>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</si>
  <si>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</si>
  <si>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</si>
  <si>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</si>
  <si>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</si>
  <si>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</si>
  <si>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</si>
  <si>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</si>
  <si>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</si>
  <si>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</si>
  <si>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</si>
  <si>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</si>
  <si>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</si>
  <si>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</si>
  <si>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</si>
  <si>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</si>
  <si>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</si>
  <si>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</si>
  <si>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</si>
  <si>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</si>
  <si>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</si>
  <si>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</si>
  <si>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</si>
  <si>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</si>
  <si>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</si>
  <si>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</si>
  <si>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</si>
  <si>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</si>
  <si>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</si>
  <si>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</si>
  <si>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</si>
  <si>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</si>
  <si>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</si>
  <si>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</si>
  <si>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</si>
  <si>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</si>
  <si>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</si>
  <si>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</si>
  <si>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</si>
  <si>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</si>
  <si>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</si>
  <si>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</si>
  <si>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</si>
  <si>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</si>
  <si>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</si>
  <si>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</si>
  <si>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</si>
  <si>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</si>
  <si>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</si>
  <si>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</si>
  <si>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</si>
  <si>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</si>
  <si>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</si>
  <si>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</si>
  <si>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</si>
  <si>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</si>
  <si>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</si>
  <si>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</si>
  <si>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</si>
  <si>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</si>
  <si>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</si>
  <si>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</si>
  <si>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</si>
  <si>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</si>
  <si>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</si>
  <si>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</si>
  <si>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</si>
  <si>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</si>
  <si>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</si>
  <si>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</si>
  <si>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</si>
  <si>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</si>
  <si>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</si>
  <si>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</si>
  <si>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</si>
  <si>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</si>
  <si>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</si>
  <si>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</si>
  <si>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</si>
  <si>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</si>
  <si>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</si>
  <si>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</si>
  <si>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</si>
  <si>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</si>
  <si>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</si>
  <si>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</si>
  <si>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</si>
  <si>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</si>
  <si>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</si>
  <si>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</si>
  <si>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</si>
  <si>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</si>
  <si>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</si>
  <si>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</si>
  <si>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</si>
  <si>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</si>
  <si>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</si>
  <si>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</si>
  <si>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</si>
  <si>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</si>
  <si>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</si>
  <si>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</si>
  <si>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</si>
  <si>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</si>
  <si>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</si>
  <si>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</si>
  <si>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</si>
  <si>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</si>
  <si>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</si>
  <si>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</si>
  <si>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</si>
  <si>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</si>
  <si>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</si>
  <si>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</si>
  <si>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</si>
  <si>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</si>
  <si>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</si>
  <si>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</si>
  <si>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</si>
  <si>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</si>
  <si>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</si>
  <si>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</si>
  <si>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</si>
  <si>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</si>
  <si>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</si>
  <si>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</si>
  <si>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</si>
  <si>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</si>
  <si>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</si>
  <si>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</si>
  <si>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</si>
  <si>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</si>
  <si>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</si>
  <si>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</si>
  <si>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</si>
  <si>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</si>
  <si>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</si>
  <si>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</si>
  <si>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</si>
  <si>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</si>
  <si>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</si>
  <si>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</si>
  <si>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</si>
  <si>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</si>
  <si>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</si>
  <si>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</si>
  <si>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</si>
  <si>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</si>
  <si>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</si>
  <si>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</si>
  <si>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</si>
  <si>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</si>
  <si>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</si>
  <si>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</si>
  <si>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</si>
  <si>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</si>
  <si>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</si>
  <si>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</si>
  <si>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</si>
  <si>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</si>
  <si>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</si>
  <si>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</si>
  <si>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</si>
  <si>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</si>
  <si>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</si>
  <si>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</si>
  <si>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</si>
  <si>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</si>
  <si>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</si>
  <si>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</si>
  <si>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</si>
  <si>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</si>
  <si>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</si>
  <si>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</si>
  <si>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</si>
  <si>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</si>
  <si>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</si>
  <si>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</si>
  <si>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</si>
  <si>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</si>
  <si>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</si>
  <si>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</si>
  <si>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</si>
  <si>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</si>
  <si>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</si>
  <si>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</si>
  <si>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</si>
  <si>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</si>
  <si>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</si>
  <si>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</si>
  <si>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</si>
  <si>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</si>
  <si>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</si>
  <si>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</si>
  <si>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</si>
  <si>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</si>
  <si>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</si>
  <si>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</si>
  <si>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</si>
  <si>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</si>
  <si>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</si>
  <si>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</si>
  <si>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</si>
  <si>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</si>
  <si>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</si>
  <si>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</si>
  <si>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</si>
  <si>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</si>
  <si>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</si>
  <si>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</si>
  <si>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</si>
  <si>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</si>
  <si>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</si>
  <si>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</si>
  <si>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</si>
  <si>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</si>
  <si>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</si>
  <si>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</si>
  <si>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</si>
  <si>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</si>
  <si>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</si>
  <si>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</si>
  <si>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</si>
  <si>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</si>
  <si>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</si>
  <si>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</si>
  <si>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</si>
  <si>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</si>
  <si>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</si>
  <si>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</si>
  <si>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</si>
  <si>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</si>
  <si>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</si>
  <si>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</si>
  <si>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</si>
  <si>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</si>
  <si>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</si>
  <si>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</si>
  <si>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</si>
  <si>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</si>
  <si>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</si>
  <si>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</si>
  <si>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</si>
  <si>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</si>
  <si>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</si>
  <si>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</si>
  <si>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</si>
  <si>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</si>
  <si>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</si>
  <si>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</si>
  <si>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</si>
  <si>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</si>
  <si>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</si>
  <si>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</si>
  <si>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</si>
  <si>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</si>
  <si>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</si>
  <si>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</si>
  <si>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</si>
  <si>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</si>
  <si>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</si>
  <si>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</si>
  <si>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</si>
  <si>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</si>
  <si>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</si>
  <si>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</si>
  <si>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</si>
  <si>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</si>
  <si>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</si>
  <si>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</si>
  <si>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</si>
  <si>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</si>
  <si>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</si>
  <si>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</si>
  <si>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</si>
  <si>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</si>
  <si>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</si>
  <si>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</si>
  <si>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</si>
  <si>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</si>
  <si>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</si>
  <si>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</si>
  <si>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</si>
  <si>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</si>
  <si>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</si>
  <si>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</si>
  <si>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</si>
  <si>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</si>
  <si>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</si>
  <si>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</si>
  <si>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</si>
  <si>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</si>
  <si>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</si>
  <si>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</si>
  <si>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</si>
  <si>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</si>
  <si>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</si>
  <si>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</si>
  <si>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</si>
  <si>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</si>
  <si>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</si>
  <si>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</si>
  <si>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</si>
  <si>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</si>
  <si>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</si>
  <si>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</si>
  <si>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</si>
  <si>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</si>
  <si>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</si>
  <si>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</si>
  <si>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</si>
  <si>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</si>
  <si>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</si>
  <si>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</si>
  <si>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</si>
  <si>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</si>
  <si>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</si>
  <si>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</si>
  <si>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</si>
  <si>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</si>
  <si>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</si>
  <si>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</si>
  <si>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</si>
  <si>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</si>
  <si>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</si>
  <si>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</si>
  <si>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</si>
  <si>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</si>
  <si>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</si>
  <si>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</si>
  <si>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</si>
  <si>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</si>
  <si>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</si>
  <si>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</si>
  <si>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</si>
  <si>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</si>
  <si>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</si>
  <si>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</si>
  <si>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</si>
  <si>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</si>
  <si>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</si>
  <si>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</si>
  <si>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</si>
  <si>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</si>
  <si>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</si>
  <si>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</si>
  <si>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</si>
  <si>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</si>
  <si>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</si>
  <si>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</si>
  <si>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</si>
  <si>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</si>
  <si>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</si>
  <si>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</si>
  <si>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</si>
  <si>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</si>
  <si>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</si>
  <si>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</si>
  <si>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</si>
  <si>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</si>
  <si>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</si>
  <si>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</si>
  <si>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</si>
  <si>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</si>
  <si>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</si>
  <si>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</si>
  <si>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</si>
  <si>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</si>
  <si>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</si>
  <si>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</si>
  <si>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</si>
  <si>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</si>
  <si>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</si>
  <si>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</si>
  <si>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</si>
  <si>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</si>
  <si>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</si>
  <si>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</si>
  <si>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</si>
  <si>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</si>
  <si>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</si>
  <si>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</si>
  <si>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</si>
  <si>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</si>
  <si>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</si>
  <si>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</si>
  <si>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</si>
  <si>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</si>
  <si>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</si>
  <si>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</si>
  <si>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</si>
  <si>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</si>
  <si>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</si>
  <si>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</si>
  <si>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</si>
  <si>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</si>
  <si>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</si>
  <si>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</si>
  <si>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</si>
  <si>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</si>
  <si>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</si>
  <si>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</si>
  <si>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</si>
  <si>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</si>
  <si>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</si>
  <si>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</si>
  <si>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</si>
  <si>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</si>
  <si>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</si>
  <si>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</si>
  <si>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</si>
  <si>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OTHR</t>
  </si>
  <si>
    <t>QUTR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</si>
  <si>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</si>
  <si>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</si>
  <si>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</si>
  <si>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</si>
  <si>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</si>
  <si>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</si>
  <si>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</si>
  <si>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</si>
  <si>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</si>
  <si>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</si>
  <si>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</si>
  <si>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</si>
  <si>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</si>
  <si>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</si>
  <si>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</si>
  <si>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</si>
  <si>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 10 000 ; 50 000 ]</t>
  </si>
  <si>
    <t>] 50 000 ; 100 000 ]</t>
  </si>
  <si>
    <t>] 100 000 ; 250 000 ]</t>
  </si>
  <si>
    <t>] 250 000 ; 500 000 ]</t>
  </si>
  <si>
    <t>] 500 000 ; 1 000 000 ]</t>
  </si>
  <si>
    <t>] 1 000 000 ; 2 000 000 ]</t>
  </si>
  <si>
    <t>] 12 ; 60 ]</t>
  </si>
  <si>
    <t>] 60 ; 120 ]</t>
  </si>
  <si>
    <t>] 120 ; 180 ]</t>
  </si>
  <si>
    <t>] 180 ; 240 ]</t>
  </si>
  <si>
    <t>] 240 ; 300 ]</t>
  </si>
  <si>
    <t>06-17</t>
  </si>
  <si>
    <t>06-18</t>
  </si>
  <si>
    <t>06-19</t>
  </si>
  <si>
    <t>06-20</t>
  </si>
  <si>
    <t>06-21</t>
  </si>
  <si>
    <t>] 1,00% ; 2,00% ]</t>
  </si>
  <si>
    <t>] 2,00% ; 3,00% ]</t>
  </si>
  <si>
    <t>] 3,00% ; 4,00% ]</t>
  </si>
  <si>
    <t>] 4,00% ; 5,00% ]</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</si>
  <si>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</si>
  <si>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</si>
  <si>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</si>
  <si>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</si>
  <si>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</si>
  <si>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</si>
  <si>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</si>
  <si>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</si>
  <si>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</si>
  <si>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</si>
  <si>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17-10</t>
  </si>
  <si>
    <t>18-16</t>
  </si>
  <si>
    <t>18-17</t>
  </si>
  <si>
    <t>18-18</t>
  </si>
  <si>
    <t>18-19</t>
  </si>
  <si>
    <t>18-20</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</si>
  <si>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</si>
  <si>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</si>
  <si>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</si>
  <si>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</si>
  <si>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</si>
  <si>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</si>
  <si>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</si>
  <si>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</si>
  <si>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</si>
  <si>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</si>
  <si>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</si>
  <si>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</si>
  <si>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</si>
  <si>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</si>
  <si>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</si>
  <si>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</si>
  <si>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</si>
  <si>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</si>
  <si>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</si>
  <si>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</si>
  <si>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</si>
  <si>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</si>
  <si>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</si>
  <si>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</si>
  <si>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</si>
  <si>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</si>
  <si>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</si>
  <si>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</si>
  <si>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</si>
  <si>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</si>
  <si>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</si>
  <si>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</si>
  <si>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</si>
  <si>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</si>
  <si>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</si>
  <si>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</si>
  <si>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</si>
  <si>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</si>
  <si>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</si>
  <si>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</si>
  <si>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</si>
  <si>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</si>
  <si>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</si>
  <si>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</si>
  <si>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</si>
  <si>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</si>
  <si>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</si>
  <si>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</si>
  <si>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</si>
  <si>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</si>
  <si>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</si>
  <si>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</si>
  <si>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</si>
  <si>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</si>
  <si>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</si>
  <si>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</si>
  <si>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</si>
  <si>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</si>
  <si>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</si>
  <si>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</si>
  <si>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</si>
  <si>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</si>
  <si>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</si>
  <si>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</si>
  <si>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</si>
  <si>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</si>
  <si>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</si>
  <si>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</si>
  <si>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</si>
  <si>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</si>
  <si>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</si>
  <si>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</si>
  <si>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</si>
  <si>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</si>
  <si>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</si>
  <si>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</si>
  <si>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</si>
  <si>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</si>
  <si>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</si>
  <si>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</si>
  <si>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</si>
  <si>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</si>
  <si>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</si>
  <si>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</si>
  <si>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</si>
  <si>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</si>
  <si>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</si>
  <si>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</si>
  <si>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</si>
  <si>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</si>
  <si>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</si>
  <si>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19-100</t>
  </si>
  <si>
    <t>19-101</t>
  </si>
  <si>
    <t>19-102</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</si>
  <si>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</si>
  <si>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</si>
  <si>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</si>
  <si>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</si>
  <si>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</si>
  <si>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</si>
  <si>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</si>
  <si>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</si>
  <si>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</si>
  <si>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</si>
  <si>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</si>
  <si>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</si>
  <si>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</si>
  <si>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</si>
  <si>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</si>
  <si>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</si>
  <si>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</si>
  <si>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</si>
  <si>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</si>
  <si>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</si>
  <si>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</si>
  <si>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</si>
  <si>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</si>
  <si>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</si>
  <si>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</si>
  <si>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</si>
  <si>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</si>
  <si>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</si>
  <si>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</si>
  <si>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</si>
  <si>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</si>
  <si>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</si>
  <si>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</si>
  <si>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</si>
  <si>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</si>
  <si>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</si>
  <si>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</si>
  <si>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</si>
  <si>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</si>
  <si>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</si>
  <si>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</si>
  <si>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</si>
  <si>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</si>
  <si>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</si>
  <si>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</si>
  <si>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</si>
  <si>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</si>
  <si>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</si>
  <si>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</si>
  <si>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</si>
  <si>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</si>
  <si>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</si>
  <si>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</si>
  <si>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</si>
  <si>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</si>
  <si>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</si>
  <si>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</si>
  <si>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</si>
  <si>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</si>
  <si>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</si>
  <si>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</si>
  <si>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</si>
  <si>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</si>
  <si>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</si>
  <si>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</si>
  <si>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</si>
  <si>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</si>
  <si>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</si>
  <si>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</si>
  <si>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</si>
  <si>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</si>
  <si>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</si>
  <si>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</si>
  <si>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</si>
  <si>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</si>
  <si>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</si>
  <si>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</si>
  <si>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</si>
  <si>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</si>
  <si>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</si>
  <si>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</si>
  <si>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</si>
  <si>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</si>
  <si>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</si>
  <si>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</si>
  <si>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</si>
  <si>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</si>
  <si>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</si>
  <si>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</si>
  <si>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</si>
  <si>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</si>
  <si>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</si>
  <si>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</si>
  <si>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</si>
  <si>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</si>
  <si>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</si>
  <si>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</si>
  <si>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</si>
  <si>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</si>
  <si>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</si>
  <si>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</si>
  <si>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</si>
  <si>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</si>
  <si>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</si>
  <si>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</si>
  <si>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</si>
  <si>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</si>
  <si>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</si>
  <si>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</si>
  <si>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</si>
  <si>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</si>
  <si>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</si>
  <si>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</si>
  <si>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</si>
  <si>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</si>
  <si>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</si>
  <si>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</si>
  <si>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</si>
  <si>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</si>
  <si>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</si>
  <si>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</si>
  <si>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</si>
  <si>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</si>
  <si>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</si>
  <si>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</si>
  <si>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</si>
  <si>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</si>
  <si>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</si>
  <si>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</si>
  <si>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</si>
  <si>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</si>
  <si>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</si>
  <si>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</si>
  <si>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</si>
  <si>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</si>
  <si>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</si>
  <si>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</si>
  <si>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</si>
  <si>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</si>
  <si>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</si>
  <si>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</si>
  <si>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</si>
  <si>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</si>
  <si>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</si>
  <si>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</si>
  <si>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</si>
  <si>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</si>
  <si>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</si>
  <si>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</si>
  <si>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</si>
  <si>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</si>
  <si>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</si>
  <si>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</si>
  <si>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</si>
  <si>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</si>
  <si>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</si>
  <si>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</si>
  <si>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</si>
  <si>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</si>
  <si>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</si>
  <si>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</si>
  <si>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</si>
  <si>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</si>
  <si>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</si>
  <si>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</si>
  <si>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</si>
  <si>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</si>
  <si>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</si>
  <si>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</si>
  <si>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</si>
  <si>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</si>
  <si>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</si>
  <si>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</si>
  <si>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</si>
  <si>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</si>
  <si>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</si>
  <si>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</si>
  <si>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</si>
  <si>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</si>
  <si>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</si>
  <si>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</si>
  <si>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</si>
  <si>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</si>
  <si>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</si>
  <si>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</si>
  <si>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</si>
  <si>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</si>
  <si>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</si>
  <si>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</si>
  <si>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</si>
  <si>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</si>
  <si>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</si>
  <si>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</si>
  <si>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</si>
  <si>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</si>
  <si>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</si>
  <si>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</si>
  <si>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</si>
  <si>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</si>
  <si>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</si>
  <si>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</si>
  <si>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</si>
  <si>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</si>
  <si>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</si>
  <si>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</si>
  <si>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</si>
  <si>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</si>
  <si>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</si>
  <si>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</si>
  <si>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</si>
  <si>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</si>
  <si>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</si>
  <si>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</si>
  <si>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</si>
  <si>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</si>
  <si>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</si>
  <si>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</si>
  <si>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</si>
  <si>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</si>
  <si>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</si>
  <si>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</si>
  <si>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</si>
  <si>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</si>
  <si>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</si>
  <si>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</si>
  <si>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</si>
  <si>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</si>
  <si>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</si>
  <si>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</si>
  <si>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</si>
  <si>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</si>
  <si>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</si>
  <si>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</si>
  <si>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</si>
  <si>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</si>
  <si>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</si>
  <si>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</si>
  <si>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</si>
  <si>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</si>
  <si>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</si>
  <si>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</si>
  <si>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</si>
  <si>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</si>
  <si>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</si>
  <si>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</si>
  <si>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</si>
  <si>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</si>
  <si>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</si>
  <si>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</si>
  <si>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</si>
  <si>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</si>
  <si>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</si>
  <si>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</si>
  <si>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</si>
  <si>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</si>
  <si>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</si>
  <si>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</si>
  <si>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</si>
  <si>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</si>
  <si>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</si>
  <si>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</si>
  <si>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</si>
  <si>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</si>
  <si>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</si>
  <si>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</si>
  <si>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</si>
  <si>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</si>
  <si>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</si>
  <si>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</si>
  <si>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</si>
  <si>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</si>
  <si>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</si>
  <si>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</si>
  <si>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</si>
  <si>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</si>
  <si>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</si>
  <si>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</si>
  <si>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</si>
  <si>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</si>
  <si>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</si>
  <si>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</si>
  <si>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</si>
  <si>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</si>
  <si>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</si>
  <si>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</si>
  <si>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</si>
  <si>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</si>
  <si>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</si>
  <si>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</si>
  <si>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</si>
  <si>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</si>
  <si>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</si>
  <si>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</si>
  <si>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</si>
  <si>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</si>
  <si>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</si>
  <si>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</si>
  <si>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</si>
  <si>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</si>
  <si>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</si>
  <si>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</si>
  <si>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</si>
  <si>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</si>
  <si>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</si>
  <si>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</si>
  <si>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</si>
  <si>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</si>
  <si>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</si>
  <si>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</si>
  <si>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</si>
  <si>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</si>
  <si>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</si>
  <si>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</si>
  <si>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</si>
  <si>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</si>
  <si>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</si>
  <si>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</si>
  <si>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</si>
  <si>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</si>
  <si>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</si>
  <si>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</si>
  <si>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</si>
  <si>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</si>
  <si>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</si>
  <si>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</si>
  <si>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</si>
  <si>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</si>
  <si>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</si>
  <si>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</si>
  <si>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</si>
  <si>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</si>
  <si>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</si>
  <si>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</si>
  <si>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</si>
  <si>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</si>
  <si>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</si>
  <si>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</si>
  <si>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</si>
  <si>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</si>
  <si>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</si>
  <si>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</si>
  <si>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</si>
  <si>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</si>
  <si>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</si>
  <si>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</si>
  <si>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</si>
  <si>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</si>
  <si>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</si>
  <si>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</si>
  <si>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</si>
  <si>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</si>
  <si>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</si>
  <si>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</si>
  <si>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</si>
  <si>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</si>
  <si>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</si>
  <si>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</si>
  <si>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</si>
  <si>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</si>
  <si>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</si>
  <si>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</si>
  <si>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</si>
  <si>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</si>
  <si>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</si>
  <si>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</si>
  <si>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</si>
  <si>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</si>
  <si>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</si>
  <si>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</si>
  <si>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</si>
  <si>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</si>
  <si>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</si>
  <si>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</si>
  <si>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</si>
  <si>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</si>
  <si>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</si>
  <si>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</si>
  <si>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</si>
  <si>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</si>
  <si>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</si>
  <si>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</si>
  <si>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</si>
  <si>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</si>
  <si>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</si>
  <si>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</si>
  <si>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</si>
  <si>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</si>
  <si>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</si>
  <si>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</si>
  <si>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</si>
  <si>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</si>
  <si>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</si>
  <si>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</si>
  <si>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</si>
  <si>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</si>
  <si>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</si>
  <si>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</si>
  <si>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</si>
  <si>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</si>
  <si>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</si>
  <si>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</si>
  <si>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</si>
  <si>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</si>
  <si>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</si>
  <si>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</si>
  <si>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</si>
  <si>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</si>
  <si>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</si>
  <si>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</si>
  <si>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</si>
  <si>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</si>
  <si>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</si>
  <si>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</si>
  <si>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</si>
  <si>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</si>
  <si>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</si>
  <si>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</si>
  <si>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</si>
  <si>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</si>
  <si>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</si>
  <si>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</si>
  <si>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</si>
  <si>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</si>
  <si>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</si>
  <si>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</si>
  <si>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</si>
  <si>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</si>
  <si>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</si>
  <si>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</si>
  <si>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</si>
  <si>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</si>
  <si>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</si>
  <si>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</si>
  <si>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</si>
  <si>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</si>
  <si>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</si>
  <si>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</si>
  <si>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</si>
  <si>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</si>
  <si>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</si>
  <si>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</si>
  <si>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</si>
  <si>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</si>
  <si>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</si>
  <si>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</si>
  <si>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</si>
  <si>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</si>
  <si>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</si>
  <si>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</si>
  <si>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</si>
  <si>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</si>
  <si>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</si>
  <si>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</si>
  <si>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</si>
  <si>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</si>
  <si>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</si>
  <si>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</si>
  <si>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</si>
  <si>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</si>
  <si>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</si>
  <si>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</si>
  <si>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</si>
  <si>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</si>
  <si>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</si>
  <si>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</si>
  <si>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</si>
  <si>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</si>
  <si>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</si>
  <si>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</si>
  <si>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</si>
  <si>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</si>
  <si>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</si>
  <si>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</si>
  <si>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</si>
  <si>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</si>
  <si>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</si>
  <si>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</si>
  <si>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</si>
  <si>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</si>
  <si>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</si>
  <si>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</si>
  <si>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</si>
  <si>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</si>
  <si>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</si>
  <si>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</si>
  <si>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</si>
  <si>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</si>
  <si>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</si>
  <si>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</si>
  <si>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</si>
  <si>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</si>
  <si>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</si>
  <si>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</si>
  <si>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</si>
  <si>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</si>
  <si>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</si>
  <si>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</si>
  <si>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</si>
  <si>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</si>
  <si>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</si>
  <si>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</si>
  <si>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</si>
  <si>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</si>
  <si>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</si>
  <si>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</si>
  <si>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</si>
  <si>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</si>
  <si>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</si>
  <si>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</si>
  <si>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</si>
  <si>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</si>
  <si>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</si>
  <si>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</si>
  <si>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</si>
  <si>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</si>
  <si>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</si>
  <si>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</si>
  <si>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</si>
  <si>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</si>
  <si>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</si>
  <si>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</si>
  <si>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</si>
  <si>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</si>
  <si>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</si>
  <si>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</si>
  <si>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</si>
  <si>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</si>
  <si>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</si>
  <si>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</si>
  <si>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</si>
  <si>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</si>
  <si>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</si>
  <si>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</si>
  <si>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</si>
  <si>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</si>
  <si>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</si>
  <si>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</si>
  <si>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</si>
  <si>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</si>
  <si>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</si>
  <si>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</si>
  <si>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</si>
  <si>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</si>
  <si>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</si>
  <si>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</si>
  <si>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</si>
  <si>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</si>
  <si>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</si>
  <si>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</si>
  <si>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</si>
  <si>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</si>
  <si>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</si>
  <si>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</si>
  <si>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</si>
  <si>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</si>
  <si>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</si>
  <si>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</si>
  <si>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</si>
  <si>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</si>
  <si>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</si>
  <si>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</si>
  <si>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</si>
  <si>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</si>
  <si>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</si>
  <si>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</si>
  <si>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</si>
  <si>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</si>
  <si>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</si>
  <si>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</si>
  <si>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</si>
  <si>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</si>
  <si>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</si>
  <si>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</si>
  <si>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</si>
  <si>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</si>
  <si>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</si>
  <si>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</si>
  <si>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</si>
  <si>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</si>
  <si>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</si>
  <si>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</si>
  <si>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</si>
  <si>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</si>
  <si>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</si>
  <si>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</si>
  <si>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</si>
  <si>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</si>
  <si>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</si>
  <si>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</si>
  <si>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</si>
  <si>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</si>
  <si>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</si>
  <si>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</si>
  <si>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</si>
  <si>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</si>
  <si>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</si>
  <si>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</si>
  <si>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</si>
  <si>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</si>
  <si>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</si>
  <si>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</si>
  <si>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</si>
  <si>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</si>
  <si>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</si>
  <si>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</si>
  <si>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</si>
  <si>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</si>
  <si>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</si>
  <si>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</si>
  <si>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</si>
  <si>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</si>
  <si>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</si>
  <si>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</si>
  <si>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</si>
  <si>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</si>
  <si>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</si>
  <si>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</si>
  <si>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</si>
  <si>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</si>
  <si>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</si>
  <si>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</si>
  <si>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</si>
  <si>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</si>
  <si>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</si>
  <si>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</si>
  <si>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</si>
  <si>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</si>
  <si>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</si>
  <si>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</si>
  <si>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</si>
  <si>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</si>
  <si>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</si>
  <si>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</si>
  <si>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</si>
  <si>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</si>
  <si>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</si>
  <si>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</si>
  <si>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</si>
  <si>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</si>
  <si>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</si>
  <si>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</si>
  <si>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</si>
  <si>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</si>
  <si>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</si>
  <si>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</si>
  <si>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</si>
  <si>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</si>
  <si>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</si>
  <si>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</si>
  <si>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</si>
  <si>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</si>
  <si>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</si>
  <si>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</si>
  <si>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</si>
  <si>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</si>
  <si>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</si>
  <si>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</si>
  <si>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</si>
  <si>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</si>
  <si>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</si>
  <si>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</si>
  <si>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</si>
  <si>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</si>
  <si>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</si>
  <si>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</si>
  <si>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</si>
  <si>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</si>
  <si>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</si>
  <si>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</si>
  <si>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</si>
  <si>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</si>
  <si>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</si>
  <si>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</si>
  <si>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</si>
  <si>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</si>
  <si>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</si>
  <si>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</si>
  <si>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</si>
  <si>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</si>
  <si>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</si>
  <si>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</si>
  <si>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</si>
  <si>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</si>
  <si>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</si>
  <si>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</si>
  <si>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</si>
  <si>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</si>
  <si>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</si>
  <si>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</si>
  <si>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</si>
  <si>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</si>
  <si>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</si>
  <si>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</si>
  <si>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</si>
  <si>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</si>
  <si>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</si>
  <si>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</si>
  <si>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</si>
  <si>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</si>
  <si>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</si>
  <si>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</si>
  <si>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</si>
  <si>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</si>
  <si>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</si>
  <si>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</si>
  <si>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</si>
  <si>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</si>
  <si>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</si>
  <si>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</si>
  <si>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</si>
  <si>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</si>
  <si>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</si>
  <si>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</si>
  <si>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</si>
  <si>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</si>
  <si>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</si>
  <si>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</si>
  <si>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</si>
  <si>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</si>
  <si>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</si>
  <si>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</si>
  <si>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</si>
  <si>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</si>
  <si>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</si>
  <si>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</si>
  <si>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</si>
  <si>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</si>
  <si>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</si>
  <si>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</si>
  <si>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</si>
  <si>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</si>
  <si>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</si>
  <si>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</si>
  <si>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</si>
  <si>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</si>
  <si>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</si>
  <si>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</si>
  <si>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</si>
  <si>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</si>
  <si>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</si>
  <si>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</si>
  <si>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</si>
  <si>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</si>
  <si>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</si>
  <si>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</si>
  <si>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</si>
  <si>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</si>
  <si>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</si>
  <si>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</si>
  <si>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</si>
  <si>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</si>
  <si>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</si>
  <si>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</si>
  <si>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</si>
  <si>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</si>
  <si>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</si>
  <si>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</si>
  <si>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</si>
  <si>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</si>
  <si>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</si>
  <si>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</si>
  <si>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</si>
  <si>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</si>
  <si>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</si>
  <si>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</si>
  <si>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</si>
  <si>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</si>
  <si>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</si>
  <si>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</si>
  <si>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</si>
  <si>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</si>
  <si>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</si>
  <si>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</si>
  <si>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</si>
  <si>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</si>
  <si>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</si>
  <si>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</si>
  <si>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</si>
  <si>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</si>
  <si>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</si>
  <si>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</si>
  <si>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</si>
  <si>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</si>
  <si>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</si>
  <si>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</si>
  <si>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</si>
  <si>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</si>
  <si>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</si>
  <si>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</si>
  <si>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</si>
  <si>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</si>
  <si>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</si>
  <si>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</si>
  <si>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</si>
  <si>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</si>
  <si>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</si>
  <si>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</si>
  <si>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</si>
  <si>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</si>
  <si>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</si>
  <si>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</si>
  <si>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</si>
  <si>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</si>
  <si>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</si>
  <si>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</si>
  <si>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</si>
  <si>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</si>
  <si>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</si>
  <si>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</si>
  <si>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</si>
  <si>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</si>
  <si>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</si>
  <si>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</si>
  <si>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</si>
  <si>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</si>
  <si>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</si>
  <si>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</si>
  <si>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</si>
  <si>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</si>
  <si>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</si>
  <si>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</si>
  <si>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</si>
  <si>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</si>
  <si>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</si>
  <si>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</si>
  <si>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</si>
  <si>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</si>
  <si>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</si>
  <si>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</si>
  <si>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</si>
  <si>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</si>
  <si>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</si>
  <si>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</si>
  <si>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</si>
  <si>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</si>
  <si>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</si>
  <si>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</si>
  <si>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</si>
  <si>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</si>
  <si>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</si>
  <si>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</si>
  <si>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</si>
  <si>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</si>
  <si>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</si>
  <si>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</si>
  <si>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</si>
  <si>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</si>
  <si>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</si>
  <si>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</si>
  <si>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</si>
  <si>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</si>
  <si>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</si>
  <si>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</si>
  <si>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</si>
  <si>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</si>
  <si>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</si>
  <si>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</si>
  <si>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</si>
  <si>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</si>
  <si>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</si>
  <si>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</si>
  <si>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</si>
  <si>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</si>
  <si>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</si>
  <si>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</si>
  <si>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</si>
  <si>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</si>
  <si>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</si>
  <si>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</si>
  <si>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</si>
  <si>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</si>
  <si>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</si>
  <si>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</si>
  <si>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</si>
  <si>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</si>
  <si>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</si>
  <si>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</si>
  <si>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</si>
  <si>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</si>
  <si>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</si>
  <si>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</si>
  <si>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</si>
  <si>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</si>
  <si>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</si>
  <si>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</si>
  <si>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</si>
  <si>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</si>
  <si>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</si>
  <si>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</si>
  <si>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</si>
  <si>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</si>
  <si>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</si>
  <si>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</si>
  <si>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</si>
  <si>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</si>
  <si>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</si>
  <si>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</si>
  <si>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</si>
  <si>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</si>
  <si>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</si>
  <si>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</si>
  <si>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</si>
  <si>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</si>
  <si>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</si>
  <si>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</si>
  <si>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</si>
  <si>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</si>
  <si>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</si>
  <si>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</si>
  <si>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</si>
  <si>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</si>
  <si>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</si>
  <si>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</si>
  <si>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</si>
  <si>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</si>
  <si>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</si>
  <si>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</si>
  <si>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</si>
  <si>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</si>
  <si>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</si>
  <si>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</si>
  <si>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</si>
  <si>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</si>
  <si>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</si>
  <si>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</si>
  <si>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</si>
  <si>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</si>
  <si>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</si>
  <si>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</si>
  <si>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</si>
  <si>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</si>
  <si>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</si>
  <si>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</si>
  <si>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</si>
  <si>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</si>
  <si>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</si>
  <si>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</si>
  <si>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</si>
  <si>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</si>
  <si>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</si>
  <si>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</si>
  <si>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</si>
  <si>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</si>
  <si>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</si>
  <si>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</si>
  <si>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</si>
  <si>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</si>
  <si>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</si>
  <si>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</si>
  <si>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</si>
  <si>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</si>
  <si>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</si>
  <si>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</si>
  <si>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</si>
  <si>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</si>
  <si>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</si>
  <si>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</si>
  <si>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</si>
  <si>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</si>
  <si>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</si>
  <si>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</si>
  <si>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</si>
  <si>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</si>
  <si>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</si>
  <si>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</si>
  <si>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</si>
  <si>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</si>
  <si>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</si>
  <si>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</si>
  <si>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</si>
  <si>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</si>
  <si>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</si>
  <si>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</si>
  <si>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</si>
  <si>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</si>
  <si>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</si>
  <si>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</si>
  <si>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</si>
  <si>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</si>
  <si>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</si>
  <si>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</si>
  <si>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</si>
  <si>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</si>
  <si>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</si>
  <si>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</si>
  <si>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</si>
  <si>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</si>
  <si>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</si>
  <si>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</si>
  <si>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</si>
  <si>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</si>
  <si>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</si>
  <si>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</si>
  <si>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</si>
  <si>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</si>
  <si>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</si>
  <si>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</si>
  <si>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</si>
  <si>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</si>
  <si>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</si>
  <si>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</si>
  <si>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</si>
  <si>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</si>
  <si>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</si>
  <si>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</si>
  <si>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</si>
  <si>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</si>
  <si>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</si>
  <si>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</si>
  <si>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</si>
  <si>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</si>
  <si>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</si>
  <si>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</si>
  <si>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</si>
  <si>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</si>
  <si>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</si>
  <si>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</si>
  <si>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</si>
  <si>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</si>
  <si>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</si>
  <si>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</si>
  <si>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</si>
  <si>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</si>
  <si>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</si>
  <si>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</si>
  <si>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</si>
  <si>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</si>
  <si>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</si>
  <si>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</si>
  <si>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</si>
  <si>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</si>
  <si>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</si>
  <si>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</si>
  <si>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</si>
  <si>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</si>
  <si>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</si>
  <si>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</si>
  <si>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</si>
  <si>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</si>
  <si>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</si>
  <si>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</si>
  <si>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</si>
  <si>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</si>
  <si>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</si>
  <si>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</si>
  <si>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</si>
  <si>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</si>
  <si>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</si>
  <si>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</si>
  <si>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</si>
  <si>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</si>
  <si>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</si>
  <si>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</si>
  <si>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</si>
  <si>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</si>
  <si>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</si>
  <si>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</si>
  <si>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</si>
  <si>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</si>
  <si>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</si>
  <si>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</si>
  <si>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</si>
  <si>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</si>
  <si>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</si>
  <si>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</si>
  <si>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</si>
  <si>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</si>
  <si>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</si>
  <si>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</si>
  <si>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</si>
  <si>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</si>
  <si>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</si>
  <si>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</si>
  <si>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</si>
  <si>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</si>
  <si>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</si>
  <si>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</si>
  <si>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</si>
  <si>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</si>
  <si>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</si>
  <si>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</si>
  <si>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</si>
  <si>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</si>
  <si>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</si>
  <si>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</si>
  <si>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</si>
  <si>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</si>
  <si>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</si>
  <si>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</si>
  <si>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</si>
  <si>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</si>
  <si>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</si>
  <si>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</si>
  <si>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</si>
  <si>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</si>
  <si>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</si>
  <si>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</si>
  <si>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</si>
  <si>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</si>
  <si>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</si>
  <si>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</si>
  <si>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</si>
  <si>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</si>
  <si>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</si>
  <si>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</si>
  <si>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</si>
  <si>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</si>
  <si>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</si>
  <si>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</si>
  <si>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</si>
  <si>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</si>
  <si>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</si>
  <si>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</si>
  <si>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</si>
  <si>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</si>
  <si>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</si>
  <si>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</si>
  <si>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</si>
  <si>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</si>
  <si>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</si>
  <si>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</si>
  <si>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</si>
  <si>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</si>
  <si>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</si>
  <si>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</si>
  <si>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</si>
  <si>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</si>
  <si>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</si>
  <si>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</si>
  <si>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</si>
  <si>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</si>
  <si>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</si>
  <si>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</si>
  <si>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</si>
  <si>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</si>
  <si>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</si>
  <si>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</si>
  <si>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</si>
  <si>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</si>
  <si>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</si>
  <si>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</si>
  <si>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</si>
  <si>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</si>
  <si>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</si>
  <si>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</si>
  <si>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</si>
  <si>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</si>
  <si>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</si>
  <si>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</si>
  <si>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</si>
  <si>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</si>
  <si>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</si>
  <si>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</si>
  <si>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</si>
  <si>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</si>
  <si>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</si>
  <si>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</si>
  <si>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</si>
  <si>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</si>
  <si>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</si>
  <si>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</si>
  <si>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</si>
  <si>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</si>
  <si>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</si>
  <si>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</si>
  <si>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</si>
  <si>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</si>
  <si>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</si>
  <si>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</si>
  <si>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</si>
  <si>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</si>
  <si>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</si>
  <si>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</si>
  <si>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</si>
  <si>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</si>
  <si>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</si>
  <si>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</si>
  <si>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</si>
  <si>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</si>
  <si>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</si>
  <si>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</si>
  <si>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</si>
  <si>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</si>
  <si>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</si>
  <si>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</si>
  <si>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</si>
  <si>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</si>
  <si>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</si>
  <si>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</si>
  <si>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</si>
  <si>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</si>
  <si>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</si>
  <si>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</si>
  <si>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</si>
  <si>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</si>
  <si>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</si>
  <si>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</si>
  <si>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</si>
  <si>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</si>
  <si>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</si>
  <si>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</si>
  <si>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</si>
  <si>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</si>
  <si>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</si>
  <si>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</si>
  <si>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</si>
  <si>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</si>
  <si>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</si>
  <si>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</si>
  <si>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</si>
  <si>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</si>
  <si>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</si>
  <si>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</si>
  <si>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</si>
  <si>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</si>
  <si>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</si>
  <si>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</si>
  <si>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</si>
  <si>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</si>
  <si>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</si>
  <si>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</si>
  <si>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</si>
  <si>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</si>
  <si>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</si>
  <si>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</si>
  <si>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</si>
  <si>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</si>
  <si>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</si>
  <si>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</si>
  <si>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</si>
  <si>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</si>
  <si>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</si>
  <si>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</si>
  <si>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</si>
  <si>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</si>
  <si>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</si>
  <si>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</si>
  <si>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</si>
  <si>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</si>
  <si>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</si>
  <si>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</si>
  <si>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</si>
  <si>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</si>
  <si>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</si>
  <si>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</si>
  <si>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</si>
  <si>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</si>
  <si>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</si>
  <si>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</si>
  <si>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</si>
  <si>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</si>
  <si>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</si>
  <si>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</si>
  <si>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</si>
  <si>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</si>
  <si>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</si>
  <si>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</si>
  <si>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</si>
  <si>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</si>
  <si>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</si>
  <si>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</si>
  <si>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</si>
  <si>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</si>
  <si>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</si>
  <si>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</si>
  <si>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</si>
  <si>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</si>
  <si>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</si>
  <si>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</si>
  <si>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</si>
  <si>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</si>
  <si>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</si>
  <si>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</si>
  <si>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</si>
  <si>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</si>
  <si>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</si>
  <si>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</si>
  <si>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</si>
  <si>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</si>
  <si>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</si>
  <si>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</si>
  <si>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</si>
  <si>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</si>
  <si>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</si>
  <si>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</si>
  <si>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</si>
  <si>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</si>
  <si>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</si>
  <si>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</si>
  <si>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</si>
  <si>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</si>
  <si>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</si>
  <si>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</si>
  <si>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</si>
  <si>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</si>
  <si>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</si>
  <si>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</si>
  <si>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</si>
  <si>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</si>
  <si>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</si>
  <si>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</si>
  <si>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</si>
  <si>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</si>
  <si>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</si>
  <si>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</si>
  <si>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</si>
  <si>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</si>
  <si>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</si>
  <si>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</si>
  <si>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</si>
  <si>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</si>
  <si>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</si>
  <si>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</si>
  <si>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</si>
  <si>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</si>
  <si>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</si>
  <si>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</si>
  <si>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</si>
  <si>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</si>
  <si>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</si>
  <si>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</si>
  <si>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</si>
  <si>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</si>
  <si>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</si>
  <si>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</si>
  <si>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</si>
  <si>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</si>
  <si>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</si>
  <si>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</si>
  <si>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</si>
  <si>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</si>
  <si>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</si>
  <si>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</si>
  <si>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</si>
  <si>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</si>
  <si>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</si>
  <si>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</si>
  <si>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</si>
  <si>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</si>
  <si>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</si>
  <si>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</si>
  <si>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</si>
  <si>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</si>
  <si>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</si>
  <si>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</si>
  <si>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</si>
  <si>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</si>
  <si>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</si>
  <si>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</si>
  <si>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</si>
  <si>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</si>
  <si>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</si>
  <si>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</si>
  <si>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</si>
  <si>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</si>
  <si>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</si>
  <si>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</si>
  <si>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</si>
  <si>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</si>
  <si>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</si>
  <si>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</si>
  <si>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</si>
  <si>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</si>
  <si>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</si>
  <si>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</si>
  <si>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</si>
  <si>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</si>
  <si>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</si>
  <si>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</si>
  <si>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</si>
  <si>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</si>
  <si>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</si>
  <si>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</si>
  <si>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</si>
  <si>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</si>
  <si>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</si>
  <si>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</si>
  <si>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</si>
  <si>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</si>
  <si>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</si>
  <si>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</si>
  <si>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</si>
  <si>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</si>
  <si>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</si>
  <si>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</si>
  <si>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</si>
  <si>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</si>
  <si>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</si>
  <si>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</si>
  <si>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</si>
  <si>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</si>
  <si>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</si>
  <si>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</si>
  <si>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</si>
  <si>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</si>
  <si>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</si>
  <si>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</si>
  <si>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</si>
  <si>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</si>
  <si>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Recapitalization T-1</t>
  </si>
  <si>
    <t>Recapitalization T</t>
  </si>
  <si>
    <t>being the sum of the Notes Initial Principal Amounts allocated to the Seller as Noteholder and the amount of the Residual Units held by the Seller;</t>
  </si>
  <si>
    <t>B</t>
  </si>
  <si>
    <t>being the aggregate Outstanding Balances (as at the precedent Portfolio Cut-off Date) of the 
Performing Home Loans;</t>
  </si>
  <si>
    <t>C</t>
  </si>
  <si>
    <t>being the aggregate Outstanding Balances (as at the precedent Determination Date) of the
Re- assigned Home Loans which are Performing Home Loans on such Subsequent Purchase
Date (being also a Re-assignment Date)</t>
  </si>
  <si>
    <t>Revolving Target</t>
  </si>
  <si>
    <t>A - B + C</t>
  </si>
  <si>
    <t xml:space="preserve">Revolving Target Calculation </t>
  </si>
  <si>
    <t>Cut-off Date</t>
  </si>
  <si>
    <t>Undraw Amount</t>
  </si>
  <si>
    <t>Transfert Fee</t>
  </si>
  <si>
    <t>Overcollateralisation</t>
  </si>
  <si>
    <t>Movement on the liabilities side fee</t>
  </si>
  <si>
    <t xml:space="preserve">Drawn Amount </t>
  </si>
  <si>
    <t xml:space="preserve">Set off amount paid during the Subsequent Purchase Date </t>
  </si>
  <si>
    <t>Drawn amount</t>
  </si>
  <si>
    <t>Affected Home Loans</t>
  </si>
  <si>
    <t>Overcollaterisation BoP</t>
  </si>
  <si>
    <t>Overcollaterisation EoP</t>
  </si>
  <si>
    <t>Payment of the overcollaterilsation</t>
  </si>
  <si>
    <t>Overcollaterisation reimbursement</t>
  </si>
  <si>
    <t>Reimbursement Overcollaterisation</t>
  </si>
  <si>
    <t>général</t>
  </si>
  <si>
    <t>Reserve</t>
  </si>
  <si>
    <t>Depenses</t>
  </si>
  <si>
    <t>Reserves</t>
  </si>
  <si>
    <t>Fees</t>
  </si>
  <si>
    <t>interets</t>
  </si>
  <si>
    <t>overcall</t>
  </si>
  <si>
    <t>remb reserve milleis</t>
  </si>
  <si>
    <t>cash non reçu</t>
  </si>
  <si>
    <t>Solde du compte post paiement</t>
  </si>
  <si>
    <t>Affected Home loans</t>
  </si>
  <si>
    <t>Reload</t>
  </si>
  <si>
    <t>00-17</t>
  </si>
  <si>
    <t>Weighted Average Debt To Income Ratio</t>
  </si>
  <si>
    <t>LTE 10 000</t>
  </si>
  <si>
    <t>GT 2 000 000</t>
  </si>
  <si>
    <t>LTE 12</t>
  </si>
  <si>
    <t>GT 240</t>
  </si>
  <si>
    <t>GT 300</t>
  </si>
  <si>
    <t>06-22</t>
  </si>
  <si>
    <t>06-23</t>
  </si>
  <si>
    <t>06-24</t>
  </si>
  <si>
    <t>06-25</t>
  </si>
  <si>
    <t>06-26</t>
  </si>
  <si>
    <t>06-27</t>
  </si>
  <si>
    <t>06-28</t>
  </si>
  <si>
    <t>LTE 1,00%</t>
  </si>
  <si>
    <t>GT 5,00%</t>
  </si>
  <si>
    <t>FLIF</t>
  </si>
  <si>
    <t>FINX</t>
  </si>
  <si>
    <t>FXRL</t>
  </si>
  <si>
    <t>FXPR</t>
  </si>
  <si>
    <t>FLCF</t>
  </si>
  <si>
    <t>FLFL</t>
  </si>
  <si>
    <t>CAPP</t>
  </si>
  <si>
    <t>FLCA</t>
  </si>
  <si>
    <t>DISC</t>
  </si>
  <si>
    <t>SWIC</t>
  </si>
  <si>
    <t>OBLS</t>
  </si>
  <si>
    <t>MODE</t>
  </si>
  <si>
    <t>LTE 10%</t>
  </si>
  <si>
    <t>GT 100%</t>
  </si>
  <si>
    <t>FRXX</t>
  </si>
  <si>
    <t>DEXX</t>
  </si>
  <si>
    <t>FIXE</t>
  </si>
  <si>
    <t>BLLT</t>
  </si>
  <si>
    <t>MNTH</t>
  </si>
  <si>
    <t>SEMI</t>
  </si>
  <si>
    <t>YEAR</t>
  </si>
  <si>
    <t>EMRS</t>
  </si>
  <si>
    <t>EMBL</t>
  </si>
  <si>
    <t>EMUK</t>
  </si>
  <si>
    <t>UNEM</t>
  </si>
  <si>
    <t>SFEM</t>
  </si>
  <si>
    <t>NOEM</t>
  </si>
  <si>
    <t>STNT</t>
  </si>
  <si>
    <t>PNNR</t>
  </si>
  <si>
    <t>ND2</t>
  </si>
  <si>
    <t>FR101</t>
  </si>
  <si>
    <t>FR102</t>
  </si>
  <si>
    <t>FR103</t>
  </si>
  <si>
    <t>FR104</t>
  </si>
  <si>
    <t>FR105</t>
  </si>
  <si>
    <t>FR106</t>
  </si>
  <si>
    <t>FR107</t>
  </si>
  <si>
    <t>FR108</t>
  </si>
  <si>
    <t>FRB01</t>
  </si>
  <si>
    <t>FRB02</t>
  </si>
  <si>
    <t>FRB03</t>
  </si>
  <si>
    <t>FRB04</t>
  </si>
  <si>
    <t>FRB05</t>
  </si>
  <si>
    <t>FRB06</t>
  </si>
  <si>
    <t>FRC11</t>
  </si>
  <si>
    <t>FRC12</t>
  </si>
  <si>
    <t>FRC13</t>
  </si>
  <si>
    <t>FRC14</t>
  </si>
  <si>
    <t>FRC21</t>
  </si>
  <si>
    <t>FRC22</t>
  </si>
  <si>
    <t>FRC23</t>
  </si>
  <si>
    <t>FRC24</t>
  </si>
  <si>
    <t>FRD11</t>
  </si>
  <si>
    <t>FRD12</t>
  </si>
  <si>
    <t>FRD13</t>
  </si>
  <si>
    <t>FRD21</t>
  </si>
  <si>
    <t>FRD22</t>
  </si>
  <si>
    <t>FRE11</t>
  </si>
  <si>
    <t>FRE12</t>
  </si>
  <si>
    <t>FRE21</t>
  </si>
  <si>
    <t>FRE22</t>
  </si>
  <si>
    <t>FRE23</t>
  </si>
  <si>
    <t>FRF11</t>
  </si>
  <si>
    <t>FRF12</t>
  </si>
  <si>
    <t>FRF21</t>
  </si>
  <si>
    <t>FRF22</t>
  </si>
  <si>
    <t>FRF23</t>
  </si>
  <si>
    <t>FRF24</t>
  </si>
  <si>
    <t>FRF31</t>
  </si>
  <si>
    <t>FRF32</t>
  </si>
  <si>
    <t>FRF33</t>
  </si>
  <si>
    <t>FRF34</t>
  </si>
  <si>
    <t>FRG01</t>
  </si>
  <si>
    <t>FRG02</t>
  </si>
  <si>
    <t>FRG03</t>
  </si>
  <si>
    <t>FRG04</t>
  </si>
  <si>
    <t>FRG05</t>
  </si>
  <si>
    <t>FRH01</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</si>
  <si>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</si>
  <si>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</si>
  <si>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</si>
  <si>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</si>
  <si>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</si>
  <si>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</si>
  <si>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</si>
  <si>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</si>
  <si>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</si>
  <si>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</si>
  <si>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</si>
  <si>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</si>
  <si>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</si>
  <si>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</si>
  <si>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</si>
  <si>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</si>
  <si>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</si>
  <si>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</si>
  <si>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</si>
  <si>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</si>
  <si>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</si>
  <si>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</si>
  <si>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</si>
  <si>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</si>
  <si>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</si>
  <si>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</si>
  <si>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FRJ27</t>
  </si>
  <si>
    <t>FRJ28</t>
  </si>
  <si>
    <t>FRK11</t>
  </si>
  <si>
    <t>FRK12</t>
  </si>
  <si>
    <t>FRK13</t>
  </si>
  <si>
    <t>FRK14</t>
  </si>
  <si>
    <t>FRK21</t>
  </si>
  <si>
    <t>FRK22</t>
  </si>
  <si>
    <t>FRK23</t>
  </si>
  <si>
    <t>FRK24</t>
  </si>
  <si>
    <t>FRK25</t>
  </si>
  <si>
    <t>FRK26</t>
  </si>
  <si>
    <t>FRK27</t>
  </si>
  <si>
    <t>FRK28</t>
  </si>
  <si>
    <t>FRL01</t>
  </si>
  <si>
    <t>FRL02</t>
  </si>
  <si>
    <t>FRL03</t>
  </si>
  <si>
    <t>FRL04</t>
  </si>
  <si>
    <t>FRL05</t>
  </si>
  <si>
    <t>FRL06</t>
  </si>
  <si>
    <t>FRM01</t>
  </si>
  <si>
    <t>FRM02</t>
  </si>
  <si>
    <t>FRY10</t>
  </si>
  <si>
    <t>FRY20</t>
  </si>
  <si>
    <t>FRY30</t>
  </si>
  <si>
    <t>FRY40</t>
  </si>
  <si>
    <t>FRY50</t>
  </si>
  <si>
    <t>FRZZZ</t>
  </si>
  <si>
    <t xml:space="preserve">Fees - Statutory auditor </t>
  </si>
  <si>
    <t>PWC</t>
  </si>
  <si>
    <t>La banque postale</t>
  </si>
  <si>
    <t>PSSTFRPPPAR</t>
  </si>
  <si>
    <t xml:space="preserve"> FR76 2004 1000 0142 3100 0U02 034</t>
  </si>
  <si>
    <t>solde bancaire</t>
  </si>
  <si>
    <t>units amount</t>
  </si>
  <si>
    <t>à restituer à Milleis</t>
  </si>
  <si>
    <t>Restitution overcollaterisation juillet</t>
  </si>
  <si>
    <t>FCH PRIME CASH 23 PRIN AC</t>
  </si>
  <si>
    <t>Futher amount</t>
  </si>
  <si>
    <t>Rechargement</t>
  </si>
  <si>
    <t>Reserve Amount adjustment</t>
  </si>
  <si>
    <t>Weighted Average Current Loan-to-Value</t>
  </si>
  <si>
    <t>quantième</t>
  </si>
  <si>
    <t>Generic Address</t>
  </si>
  <si>
    <t>Key Contacts</t>
  </si>
  <si>
    <t>CHECK</t>
  </si>
  <si>
    <t>jonathan.drouet@iqeq.com</t>
  </si>
  <si>
    <t xml:space="preserve">Agios </t>
  </si>
  <si>
    <t xml:space="preserve"> Omar Ghannam/ Dimitri Bellaiche / Jonathan Drouet / Nicolas Houot</t>
  </si>
  <si>
    <t>nicolas.houot@iqeq.com</t>
  </si>
  <si>
    <t>Agios Mai</t>
  </si>
  <si>
    <t>Agios Juin</t>
  </si>
  <si>
    <t>Agios Juillet</t>
  </si>
  <si>
    <t>NRsf Fitch</t>
  </si>
  <si>
    <t>Gérant</t>
  </si>
  <si>
    <t>Head of Middle Office</t>
  </si>
  <si>
    <t>FctfrenchPrimeCash2023@iqeq.com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</si>
</sst>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7" formatCode="#,##0.00\ &quot;€&quot;;\-#,##0.00\ &quot;€&quot;"/>
    <numFmt numFmtId="41" formatCode="_-* #,##0_-;\-* #,##0_-;_-* &quot;-&quot;_-;_-@_-"/>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 numFmtId="181" formatCode="0_)"/>
    <numFmt numFmtId="182" formatCode="\£\ #,##0_);[Red]\(\£\ #,##0\)"/>
    <numFmt numFmtId="183" formatCode="\¥\ #,##0_);[Red]\(\¥\ #,##0\)"/>
    <numFmt numFmtId="184" formatCode="General_)"/>
    <numFmt numFmtId="185" formatCode="\•\ \ @"/>
    <numFmt numFmtId="186" formatCode="_(* #,##0.000000_);_(* \(#,##0.000000\);_(* &quot;-&quot;??_);_(@_)"/>
    <numFmt numFmtId="187" formatCode="#,##0.0_);\(#,##0.0\)"/>
    <numFmt numFmtId="188" formatCode="_(* #,##0.0000_);_(* \(#,##0.0000\);_(* &quot;-&quot;??_);_(@_)"/>
    <numFmt numFmtId="189" formatCode="0.0%;[Red]\(0.0%\)"/>
    <numFmt numFmtId="190" formatCode="0%;[Red]\(0%\)"/>
    <numFmt numFmtId="191" formatCode="_(&quot;$&quot;* #,##0.00_);_(&quot;$&quot;* \(#,##0.00\);_(&quot;$&quot;* &quot;-&quot;??_);_(@_)"/>
    <numFmt numFmtId="192" formatCode="0.0%;\(0.0%\)"/>
    <numFmt numFmtId="193" formatCode="0.000_)"/>
    <numFmt numFmtId="194" formatCode="_-&quot;€&quot;* #,##0.00_-;\-&quot;€&quot;* #,##0.00_-;_-&quot;€&quot;* &quot;-&quot;??_-;_-@_-"/>
    <numFmt numFmtId="195" formatCode="\ \ _•\–\ \ \ \ @"/>
    <numFmt numFmtId="196" formatCode="ddmmmyy"/>
    <numFmt numFmtId="197" formatCode="_ * #,##0_ ;_ * \-#,##0_ ;_ * &quot;-&quot;_ ;_ @_ "/>
    <numFmt numFmtId="198" formatCode="_ * #,##0.00_ ;_ * \-#,##0.00_ ;_ * &quot;-&quot;??_ ;_ @_ "/>
    <numFmt numFmtId="199" formatCode="_-* #,##0.00\ [$€-1]_-;\-* #,##0.00\ [$€-1]_-;_-* &quot;-&quot;??\ [$€-1]_-"/>
    <numFmt numFmtId="200" formatCode="_-[$€-2]* #,##0.00_-;\-[$€-2]* #,##0.00_-;_-[$€-2]* &quot;-&quot;??_-"/>
    <numFmt numFmtId="201" formatCode="_-&quot;€&quot;\ * #,##0.00_-;\-&quot;€&quot;\ * #,##0.00_-;_-&quot;€&quot;\ * &quot;-&quot;??_-;_-@_-"/>
    <numFmt numFmtId="202" formatCode="_([$€]* #,##0.00_);_([$€]* \(#,##0.00\);_([$€]* &quot;-&quot;??_);_(@_)"/>
    <numFmt numFmtId="203" formatCode="_-* #,##0.00000_-;\-* #,##0.00000_-;_-* &quot;-&quot;???_-;_-@_-"/>
    <numFmt numFmtId="204" formatCode="yyyy\-mm\-dd;@"/>
    <numFmt numFmtId="205" formatCode="0.0"/>
    <numFmt numFmtId="206" formatCode="0.00000"/>
    <numFmt numFmtId="207" formatCode="_-* #,##0.00\ _D_M_-;\-* #,##0.00\ _D_M_-;_-* &quot;-&quot;??\ _D_M_-;_-@_-"/>
    <numFmt numFmtId="208" formatCode="_-* #,##0\ _F_-;\(#,##0\)\ _F_-;_-* &quot;-&quot;??\ _F_-;_-@_-"/>
    <numFmt numFmtId="209" formatCode="#,##0.00,,&quot;m&quot;;\-#,##0.00,,&quot;m&quot;"/>
    <numFmt numFmtId="210" formatCode="_-* #,##0.00\ &quot;F&quot;_-;\-* #,##0.00\ &quot;F&quot;_-;_-* &quot;-&quot;??\ &quot;F&quot;_-;_-@_-"/>
    <numFmt numFmtId="211" formatCode="#,##0.0\x_);\(#,##0.0\x\);#,##0.0\x_);@_)"/>
    <numFmt numFmtId="212" formatCode="0000"/>
    <numFmt numFmtId="213" formatCode="0.00_)"/>
    <numFmt numFmtId="214" formatCode="[$$-409]#,##0_ ;[Red]\-[$$-409]#,##0\ "/>
    <numFmt numFmtId="215" formatCode="#,##0.00000;[Red]\-#,##0.00000"/>
    <numFmt numFmtId="216" formatCode="0%;\(0%\)"/>
    <numFmt numFmtId="217" formatCode="#,##0.0\%_);\(#,##0.0\%\);#,##0.0\%_);@_)"/>
    <numFmt numFmtId="218" formatCode="mm/dd/yy"/>
    <numFmt numFmtId="219" formatCode="&quot;Yes&quot;;[Red]&quot;No&quot;"/>
    <numFmt numFmtId="220" formatCode="[&gt;0]General"/>
    <numFmt numFmtId="221" formatCode="0.0000"/>
    <numFmt numFmtId="222" formatCode="&quot;   &quot;@"/>
    <numFmt numFmtId="223" formatCode="_(* #,##0_);_(* \(#,##0\);_(* &quot;-&quot;_)"/>
    <numFmt numFmtId="224" formatCode="_(&quot;$&quot;* #,##0_);_(&quot;$&quot;* \(#,##0\);_(&quot;$&quot;* &quot;-&quot;_);_(@_)"/>
    <numFmt numFmtId="225" formatCode="_ &quot;DEM&quot;* #,##0.00_ ;_ &quot;DEM&quot;* \-#,##0.00_ ;_ &quot;DEM&quot;* &quot;-&quot;??_ ;_ @_ "/>
    <numFmt numFmtId="226" formatCode="&quot;£&quot;#,##0.00;[Red]\-&quot;£&quot;#,##0.00"/>
    <numFmt numFmtId="227" formatCode="&quot;£&quot;#,##0;[Red]\-&quot;£&quot;#,##0"/>
  </numFmts>
  <fonts count="2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
      <sz val="9"/>
      <color indexed="81"/>
      <name val="Tahoma"/>
      <family val="2"/>
    </font>
    <font>
      <b/>
      <sz val="18"/>
      <color theme="3"/>
      <name val="Cambria"/>
      <family val="2"/>
      <scheme val="major"/>
    </font>
    <font>
      <sz val="10"/>
      <name val="CG Times (W1)"/>
    </font>
    <font>
      <sz val="12"/>
      <name val="Times New Roman"/>
      <family val="1"/>
    </font>
    <font>
      <sz val="11"/>
      <color indexed="8"/>
      <name val="Calibri"/>
      <family val="2"/>
    </font>
    <font>
      <sz val="11"/>
      <color indexed="9"/>
      <name val="Calibri"/>
      <family val="2"/>
    </font>
    <font>
      <sz val="8"/>
      <name val="Times New Roman"/>
      <family val="1"/>
    </font>
    <font>
      <sz val="10"/>
      <color indexed="8"/>
      <name val="Times New Roman"/>
      <family val="1"/>
    </font>
    <font>
      <b/>
      <sz val="11"/>
      <color indexed="63"/>
      <name val="Calibri"/>
      <family val="2"/>
    </font>
    <font>
      <sz val="11"/>
      <color indexed="10"/>
      <name val="Calibri"/>
      <family val="2"/>
    </font>
    <font>
      <sz val="11"/>
      <color indexed="20"/>
      <name val="Calibri"/>
      <family val="2"/>
    </font>
    <font>
      <b/>
      <sz val="11"/>
      <color indexed="52"/>
      <name val="Calibri"/>
      <family val="2"/>
    </font>
    <font>
      <b/>
      <sz val="12"/>
      <name val="Times New Roman"/>
      <family val="1"/>
    </font>
    <font>
      <sz val="11"/>
      <color indexed="17"/>
      <name val="Calibri"/>
      <family val="2"/>
    </font>
    <font>
      <sz val="10"/>
      <name val="Helv"/>
    </font>
    <font>
      <b/>
      <sz val="11"/>
      <color indexed="9"/>
      <name val="Calibri"/>
      <family val="2"/>
    </font>
    <font>
      <sz val="11"/>
      <color indexed="52"/>
      <name val="Calibri"/>
      <family val="2"/>
    </font>
    <font>
      <sz val="11"/>
      <name val="Tms Rmn"/>
      <family val="1"/>
    </font>
    <font>
      <sz val="11"/>
      <name val="Times"/>
      <family val="1"/>
    </font>
    <font>
      <sz val="10"/>
      <name val="MS Sans Serif"/>
      <family val="2"/>
    </font>
    <font>
      <sz val="10"/>
      <name val="MS Serif"/>
      <family val="1"/>
    </font>
    <font>
      <sz val="10"/>
      <color indexed="12"/>
      <name val="Times New Roman"/>
      <family val="1"/>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sz val="10"/>
      <name val="Arial "/>
    </font>
    <font>
      <sz val="10"/>
      <color indexed="12"/>
      <name val="Helv"/>
      <family val="2"/>
    </font>
    <font>
      <sz val="11"/>
      <color indexed="34"/>
      <name val="Calibri"/>
      <family val="2"/>
    </font>
    <font>
      <b/>
      <sz val="15"/>
      <color indexed="56"/>
      <name val="Calibri"/>
      <family val="2"/>
    </font>
    <font>
      <b/>
      <sz val="15"/>
      <color indexed="62"/>
      <name val="Calibri"/>
      <family val="2"/>
    </font>
    <font>
      <b/>
      <sz val="14"/>
      <color indexed="12"/>
      <name val="Times New Roman"/>
      <family val="1"/>
    </font>
    <font>
      <b/>
      <sz val="13"/>
      <color indexed="56"/>
      <name val="Calibri"/>
      <family val="2"/>
    </font>
    <font>
      <b/>
      <sz val="13"/>
      <color indexed="62"/>
      <name val="Calibri"/>
      <family val="2"/>
    </font>
    <font>
      <b/>
      <sz val="11"/>
      <color indexed="62"/>
      <name val="Calibri"/>
      <family val="2"/>
    </font>
    <font>
      <b/>
      <u/>
      <sz val="12"/>
      <color indexed="12"/>
      <name val="Times New Roman"/>
      <family val="1"/>
    </font>
    <font>
      <b/>
      <sz val="8"/>
      <name val="MS Sans Serif"/>
      <family val="2"/>
    </font>
    <font>
      <u/>
      <sz val="9.35"/>
      <color indexed="12"/>
      <name val="Calibri"/>
      <family val="2"/>
    </font>
    <font>
      <u/>
      <sz val="8.5"/>
      <color indexed="12"/>
      <name val="Arial"/>
      <family val="2"/>
    </font>
    <font>
      <sz val="10"/>
      <color indexed="8"/>
      <name val="MS Sans Serif"/>
      <family val="2"/>
    </font>
    <font>
      <sz val="8"/>
      <name val="Palatino"/>
      <family val="1"/>
    </font>
    <font>
      <sz val="11"/>
      <color indexed="60"/>
      <name val="Calibri"/>
      <family val="2"/>
    </font>
    <font>
      <sz val="7"/>
      <name val="Small Fonts"/>
      <family val="2"/>
    </font>
    <font>
      <b/>
      <i/>
      <sz val="16"/>
      <name val="Helv"/>
    </font>
    <font>
      <sz val="11"/>
      <name val="Calibri"/>
      <family val="2"/>
    </font>
    <font>
      <sz val="10"/>
      <color indexed="72"/>
      <name val="MS Sans Serif"/>
      <family val="2"/>
    </font>
    <font>
      <sz val="10"/>
      <color theme="1"/>
      <name val="Times New Roman"/>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26"/>
      <name val="Times New Roman"/>
      <family val="1"/>
    </font>
    <font>
      <b/>
      <sz val="18"/>
      <name val="Times New Roman"/>
      <family val="1"/>
    </font>
    <font>
      <b/>
      <sz val="10"/>
      <name val="Times New Roman"/>
      <family val="1"/>
    </font>
    <font>
      <b/>
      <sz val="8"/>
      <color indexed="9"/>
      <name val="Cambria"/>
      <family val="1"/>
    </font>
    <font>
      <b/>
      <sz val="10"/>
      <name val="MS Sans Serif"/>
      <family val="2"/>
    </font>
    <font>
      <sz val="10"/>
      <color indexed="55"/>
      <name val="Times New Roman"/>
      <family val="1"/>
    </font>
    <font>
      <sz val="8"/>
      <name val="Wingdings"/>
      <charset val="2"/>
    </font>
    <font>
      <sz val="8"/>
      <name val="Helv"/>
    </font>
    <font>
      <b/>
      <sz val="10"/>
      <color indexed="39"/>
      <name val="Arial"/>
      <family val="2"/>
    </font>
    <font>
      <b/>
      <sz val="12"/>
      <color indexed="8"/>
      <name val="Arial"/>
      <family val="2"/>
    </font>
    <font>
      <sz val="10"/>
      <color indexed="39"/>
      <name val="Arial"/>
      <family val="2"/>
    </font>
    <font>
      <sz val="19"/>
      <color indexed="48"/>
      <name val="Arial"/>
      <family val="2"/>
    </font>
    <font>
      <sz val="8"/>
      <name val="MS Sans Serif"/>
      <family val="2"/>
    </font>
    <font>
      <sz val="11"/>
      <name val="Times New Roman"/>
      <family val="1"/>
    </font>
    <font>
      <i/>
      <sz val="8"/>
      <name val="Arial"/>
      <family val="2"/>
    </font>
    <font>
      <b/>
      <sz val="8"/>
      <color indexed="8"/>
      <name val="Helv"/>
    </font>
    <font>
      <sz val="7"/>
      <name val="Times New Roman"/>
      <family val="1"/>
    </font>
    <font>
      <sz val="9"/>
      <color indexed="10"/>
      <name val="Garamond"/>
      <family val="1"/>
    </font>
    <font>
      <b/>
      <sz val="18"/>
      <color indexed="56"/>
      <name val="Cambria"/>
      <family val="2"/>
    </font>
    <font>
      <b/>
      <sz val="18"/>
      <color indexed="62"/>
      <name val="Cambria"/>
      <family val="2"/>
    </font>
    <font>
      <b/>
      <u/>
      <sz val="11"/>
      <color indexed="58"/>
      <name val="Tahoma"/>
      <family val="2"/>
    </font>
    <font>
      <sz val="10"/>
      <color theme="1"/>
      <name val="Century Gothic"/>
      <family val="2"/>
    </font>
  </fonts>
  <fills count="13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
      <patternFill patternType="solid">
        <fgColor indexed="65"/>
        <bgColor indexed="1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43"/>
      </patternFill>
    </fill>
    <fill>
      <patternFill patternType="solid">
        <fgColor indexed="41"/>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28"/>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5"/>
      </patternFill>
    </fill>
    <fill>
      <patternFill patternType="solid">
        <fgColor indexed="46"/>
        <bgColor indexed="64"/>
      </patternFill>
    </fill>
    <fill>
      <patternFill patternType="solid">
        <fgColor indexed="55"/>
      </patternFill>
    </fill>
    <fill>
      <patternFill patternType="solid">
        <fgColor indexed="26"/>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indexed="45"/>
        <bgColor indexed="64"/>
      </patternFill>
    </fill>
    <fill>
      <patternFill patternType="solid">
        <fgColor indexed="41"/>
        <bgColor indexed="64"/>
      </patternFill>
    </fill>
    <fill>
      <patternFill patternType="solid">
        <fgColor indexed="23"/>
        <bgColor indexed="64"/>
      </patternFill>
    </fill>
    <fill>
      <patternFill patternType="mediumGray">
        <fgColor indexed="22"/>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27"/>
        <bgColor indexed="64"/>
      </patternFill>
    </fill>
    <fill>
      <patternFill patternType="solid">
        <fgColor indexed="15"/>
      </patternFill>
    </fill>
    <fill>
      <patternFill patternType="solid">
        <fgColor indexed="63"/>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mediumGray">
        <fgColor indexed="45"/>
        <bgColor indexed="9"/>
      </patternFill>
    </fill>
    <fill>
      <patternFill patternType="lightGray">
        <fgColor indexed="45"/>
        <bgColor indexed="9"/>
      </patternFill>
    </fill>
    <fill>
      <patternFill patternType="solid">
        <fgColor indexed="58"/>
        <bgColor indexed="64"/>
      </patternFill>
    </fill>
  </fills>
  <borders count="39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theme="1"/>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hair">
        <color theme="1"/>
      </left>
      <right style="medium">
        <color indexed="64"/>
      </right>
      <top style="hair">
        <color theme="1"/>
      </top>
      <bottom style="hair">
        <color indexed="64"/>
      </bottom>
      <diagonal/>
    </border>
    <border>
      <left/>
      <right style="medium">
        <color indexed="64"/>
      </right>
      <top style="hair">
        <color indexed="64"/>
      </top>
      <bottom style="hair">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ashed">
        <color indexed="54"/>
      </bottom>
      <diagonal/>
    </border>
    <border>
      <left style="thin">
        <color indexed="64"/>
      </left>
      <right style="thin">
        <color indexed="64"/>
      </right>
      <top style="thin">
        <color indexed="64"/>
      </top>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4"/>
      </bottom>
      <diagonal/>
    </border>
    <border>
      <left/>
      <right/>
      <top/>
      <bottom style="thick">
        <color indexed="22"/>
      </bottom>
      <diagonal/>
    </border>
    <border>
      <left/>
      <right/>
      <top/>
      <bottom style="thick">
        <color indexed="29"/>
      </bottom>
      <diagonal/>
    </border>
    <border>
      <left/>
      <right/>
      <top/>
      <bottom style="medium">
        <color indexed="30"/>
      </bottom>
      <diagonal/>
    </border>
    <border>
      <left/>
      <right/>
      <top/>
      <bottom style="medium">
        <color indexed="29"/>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style="medium">
        <color indexed="8"/>
      </right>
      <top style="medium">
        <color indexed="8"/>
      </top>
      <bottom style="medium">
        <color indexed="5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24"/>
      </top>
      <bottom style="double">
        <color indexed="24"/>
      </bottom>
      <diagonal/>
    </border>
  </borders>
  <cellStyleXfs count="46162">
    <xf numFmtId="0" fontId="0" fillId="0" borderId="0"/>
    <xf numFmtId="2" fontId="36" fillId="0" borderId="1" applyNumberFormat="0" applyFont="0" applyFill="0" applyBorder="0" applyAlignment="0">
      <alignment horizontal="right"/>
    </xf>
    <xf numFmtId="44" fontId="32" fillId="0" borderId="0" applyFont="0" applyFill="0" applyBorder="0" applyAlignment="0" applyProtection="0"/>
    <xf numFmtId="164" fontId="38" fillId="0" borderId="0" applyFont="0" applyFill="0" applyBorder="0" applyAlignment="0" applyProtection="0"/>
    <xf numFmtId="164" fontId="40"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44" fillId="0" borderId="0" applyFont="0" applyFill="0" applyBorder="0" applyAlignment="0" applyProtection="0"/>
    <xf numFmtId="164" fontId="35" fillId="0" borderId="0" applyFont="0" applyFill="0" applyBorder="0" applyAlignment="0" applyProtection="0"/>
    <xf numFmtId="164" fontId="45"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4" fontId="49"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0" fontId="46" fillId="0" borderId="0"/>
    <xf numFmtId="9" fontId="32"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8" fillId="0" borderId="0" applyFont="0" applyFill="0" applyBorder="0" applyAlignment="0" applyProtection="0"/>
    <xf numFmtId="9" fontId="49" fillId="0" borderId="0" applyFont="0" applyFill="0" applyBorder="0" applyAlignment="0" applyProtection="0"/>
    <xf numFmtId="4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41"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50" fillId="0" borderId="0"/>
    <xf numFmtId="0" fontId="31" fillId="0" borderId="0"/>
    <xf numFmtId="4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4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0" fillId="0" borderId="0"/>
    <xf numFmtId="164" fontId="32" fillId="0" borderId="0" applyFont="0" applyFill="0" applyBorder="0" applyAlignment="0" applyProtection="0"/>
    <xf numFmtId="0" fontId="29" fillId="0" borderId="0"/>
    <xf numFmtId="164" fontId="29" fillId="0" borderId="0" applyFont="0" applyFill="0" applyBorder="0" applyAlignment="0" applyProtection="0"/>
    <xf numFmtId="0" fontId="29" fillId="0" borderId="0"/>
    <xf numFmtId="44" fontId="29"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9" fontId="29" fillId="0" borderId="0" applyFont="0" applyFill="0" applyBorder="0" applyAlignment="0" applyProtection="0"/>
    <xf numFmtId="9" fontId="32" fillId="0" borderId="0" applyFont="0" applyFill="0" applyBorder="0" applyAlignment="0" applyProtection="0"/>
    <xf numFmtId="44" fontId="109" fillId="0" borderId="0" applyFont="0" applyFill="0" applyBorder="0" applyAlignment="0" applyProtection="0"/>
    <xf numFmtId="2" fontId="36" fillId="0" borderId="73" applyNumberFormat="0" applyFont="0" applyFill="0" applyBorder="0" applyAlignment="0">
      <alignment horizontal="right"/>
    </xf>
    <xf numFmtId="44" fontId="32" fillId="0" borderId="0" applyFont="0" applyFill="0" applyBorder="0" applyAlignment="0" applyProtection="0"/>
    <xf numFmtId="44" fontId="32" fillId="0" borderId="0" applyFont="0" applyFill="0" applyBorder="0" applyAlignment="0" applyProtection="0"/>
    <xf numFmtId="0" fontId="28" fillId="0" borderId="0"/>
    <xf numFmtId="0" fontId="118" fillId="0" borderId="0" applyNumberFormat="0" applyFill="0" applyBorder="0" applyAlignment="0" applyProtection="0"/>
    <xf numFmtId="0" fontId="119" fillId="0" borderId="127" applyNumberFormat="0" applyFill="0" applyAlignment="0" applyProtection="0"/>
    <xf numFmtId="0" fontId="120" fillId="0" borderId="128" applyNumberFormat="0" applyFill="0" applyAlignment="0" applyProtection="0"/>
    <xf numFmtId="0" fontId="121" fillId="0" borderId="129" applyNumberFormat="0" applyFill="0" applyAlignment="0" applyProtection="0"/>
    <xf numFmtId="0" fontId="121" fillId="0" borderId="0" applyNumberFormat="0" applyFill="0" applyBorder="0" applyAlignment="0" applyProtection="0"/>
    <xf numFmtId="0" fontId="122" fillId="21" borderId="0" applyNumberFormat="0" applyBorder="0" applyAlignment="0" applyProtection="0"/>
    <xf numFmtId="0" fontId="123" fillId="22" borderId="0" applyNumberFormat="0" applyBorder="0" applyAlignment="0" applyProtection="0"/>
    <xf numFmtId="0" fontId="124" fillId="23" borderId="0" applyNumberFormat="0" applyBorder="0" applyAlignment="0" applyProtection="0"/>
    <xf numFmtId="0" fontId="125" fillId="24" borderId="130" applyNumberFormat="0" applyAlignment="0" applyProtection="0"/>
    <xf numFmtId="0" fontId="126" fillId="25" borderId="131" applyNumberFormat="0" applyAlignment="0" applyProtection="0"/>
    <xf numFmtId="0" fontId="127" fillId="25" borderId="130" applyNumberFormat="0" applyAlignment="0" applyProtection="0"/>
    <xf numFmtId="0" fontId="128" fillId="0" borderId="132" applyNumberFormat="0" applyFill="0" applyAlignment="0" applyProtection="0"/>
    <xf numFmtId="0" fontId="110" fillId="26" borderId="133" applyNumberFormat="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51" fillId="0" borderId="135" applyNumberFormat="0" applyFill="0" applyAlignment="0" applyProtection="0"/>
    <xf numFmtId="0" fontId="55"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55" fillId="32"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55"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55"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55" fillId="44"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55"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7" fillId="0" borderId="0"/>
    <xf numFmtId="0" fontId="27" fillId="0" borderId="0"/>
    <xf numFmtId="0" fontId="27" fillId="27" borderId="134" applyNumberFormat="0" applyFont="0" applyAlignment="0" applyProtection="0"/>
    <xf numFmtId="44" fontId="32" fillId="0" borderId="0" applyFont="0" applyFill="0" applyBorder="0" applyAlignment="0" applyProtection="0"/>
    <xf numFmtId="44" fontId="32" fillId="0" borderId="0" applyFont="0" applyFill="0" applyBorder="0" applyAlignment="0" applyProtection="0"/>
    <xf numFmtId="0" fontId="26" fillId="0" borderId="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26" fillId="0" borderId="0"/>
    <xf numFmtId="0" fontId="26" fillId="27" borderId="134" applyNumberFormat="0" applyFont="0" applyAlignment="0" applyProtection="0"/>
    <xf numFmtId="0" fontId="131" fillId="0" borderId="0" applyNumberFormat="0" applyFill="0" applyBorder="0" applyAlignment="0" applyProtection="0"/>
    <xf numFmtId="0" fontId="132" fillId="0" borderId="0"/>
    <xf numFmtId="44" fontId="32" fillId="0" borderId="0" applyFont="0" applyFill="0" applyBorder="0" applyAlignment="0" applyProtection="0"/>
    <xf numFmtId="44" fontId="32" fillId="0" borderId="0" applyFont="0" applyFill="0" applyBorder="0" applyAlignment="0" applyProtection="0"/>
    <xf numFmtId="0" fontId="25" fillId="0" borderId="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0" borderId="0"/>
    <xf numFmtId="0" fontId="25" fillId="27" borderId="134" applyNumberFormat="0" applyFont="0" applyAlignment="0" applyProtection="0"/>
    <xf numFmtId="44" fontId="32" fillId="0" borderId="0" applyFont="0" applyFill="0" applyBorder="0" applyAlignment="0" applyProtection="0"/>
    <xf numFmtId="0" fontId="24" fillId="0" borderId="0"/>
    <xf numFmtId="0" fontId="32" fillId="0" borderId="0">
      <alignment horizontal="left" wrapText="1"/>
    </xf>
    <xf numFmtId="0" fontId="23" fillId="0" borderId="0"/>
    <xf numFmtId="0" fontId="23" fillId="0" borderId="0"/>
    <xf numFmtId="0" fontId="21" fillId="0" borderId="0"/>
    <xf numFmtId="0" fontId="32" fillId="0" borderId="0"/>
    <xf numFmtId="167" fontId="32" fillId="0" borderId="0" applyFont="0" applyFill="0" applyBorder="0" applyAlignment="0" applyProtection="0"/>
    <xf numFmtId="164" fontId="21" fillId="0" borderId="0" applyFont="0" applyFill="0" applyBorder="0" applyAlignment="0" applyProtection="0"/>
    <xf numFmtId="0" fontId="32" fillId="0" borderId="0">
      <alignment horizontal="left" wrapText="1"/>
    </xf>
    <xf numFmtId="164" fontId="32" fillId="0" borderId="0" applyFont="0" applyFill="0" applyBorder="0" applyAlignment="0" applyProtection="0"/>
    <xf numFmtId="0" fontId="20" fillId="0" borderId="0"/>
    <xf numFmtId="0" fontId="32" fillId="0" borderId="0"/>
    <xf numFmtId="0" fontId="32" fillId="0" borderId="0"/>
    <xf numFmtId="0" fontId="20" fillId="0" borderId="0"/>
    <xf numFmtId="0" fontId="32" fillId="0" borderId="0"/>
    <xf numFmtId="174" fontId="20" fillId="0" borderId="0" applyFont="0" applyFill="0" applyBorder="0" applyAlignment="0" applyProtection="0"/>
    <xf numFmtId="0" fontId="18" fillId="0" borderId="0"/>
    <xf numFmtId="0" fontId="18" fillId="0" borderId="0"/>
    <xf numFmtId="0" fontId="17" fillId="0" borderId="0"/>
    <xf numFmtId="0" fontId="17" fillId="0" borderId="0"/>
    <xf numFmtId="0" fontId="17" fillId="0" borderId="0"/>
    <xf numFmtId="0" fontId="17" fillId="0" borderId="0"/>
    <xf numFmtId="0" fontId="32" fillId="0" borderId="0"/>
    <xf numFmtId="0" fontId="14" fillId="0" borderId="0"/>
    <xf numFmtId="0" fontId="14" fillId="0" borderId="0"/>
    <xf numFmtId="0" fontId="14" fillId="0" borderId="0"/>
    <xf numFmtId="0" fontId="14" fillId="0" borderId="0"/>
    <xf numFmtId="164" fontId="14" fillId="0" borderId="0" applyFont="0" applyFill="0" applyBorder="0" applyAlignment="0" applyProtection="0"/>
    <xf numFmtId="0" fontId="32" fillId="0" borderId="0"/>
    <xf numFmtId="0" fontId="32" fillId="0" borderId="0"/>
    <xf numFmtId="0" fontId="173" fillId="0" borderId="0"/>
    <xf numFmtId="0" fontId="32" fillId="0" borderId="0"/>
    <xf numFmtId="0" fontId="131" fillId="0" borderId="0" applyNumberFormat="0" applyFill="0" applyBorder="0" applyAlignment="0" applyProtection="0"/>
    <xf numFmtId="0" fontId="1" fillId="0" borderId="0"/>
    <xf numFmtId="9" fontId="32" fillId="0" borderId="0" applyFont="0" applyFill="0" applyBorder="0" applyAlignment="0" applyProtection="0"/>
    <xf numFmtId="0" fontId="32" fillId="0" borderId="0"/>
    <xf numFmtId="0" fontId="32" fillId="0" borderId="0"/>
    <xf numFmtId="0" fontId="181" fillId="78" borderId="369" applyNumberFormat="0" applyFont="0" applyFill="0" applyBorder="0" applyAlignment="0" applyProtection="0">
      <alignment horizontal="centerContinuous" vertical="justify"/>
      <protection locked="0" hidden="1"/>
    </xf>
    <xf numFmtId="0" fontId="41" fillId="0" borderId="0">
      <alignment vertical="top"/>
    </xf>
    <xf numFmtId="0" fontId="182" fillId="0" borderId="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96" fillId="0" borderId="370" applyNumberFormat="0" applyFill="0" applyAlignment="0" applyProtection="0"/>
    <xf numFmtId="181" fontId="76" fillId="0" borderId="371" applyNumberFormat="0" applyFill="0" applyProtection="0">
      <alignment horizontal="center"/>
    </xf>
    <xf numFmtId="182" fontId="182" fillId="0" borderId="0" applyFont="0" applyFill="0" applyBorder="0" applyAlignment="0" applyProtection="0"/>
    <xf numFmtId="183" fontId="182" fillId="0" borderId="0" applyFont="0" applyFill="0" applyBorder="0" applyAlignment="0" applyProtection="0"/>
    <xf numFmtId="0" fontId="183" fillId="79" borderId="0" applyNumberFormat="0" applyBorder="0" applyAlignment="0" applyProtection="0"/>
    <xf numFmtId="0" fontId="1" fillId="29" borderId="0" applyNumberFormat="0" applyBorder="0" applyAlignment="0" applyProtection="0"/>
    <xf numFmtId="0" fontId="183" fillId="80" borderId="0" applyNumberFormat="0" applyBorder="0" applyAlignment="0" applyProtection="0"/>
    <xf numFmtId="0" fontId="1" fillId="33" borderId="0" applyNumberFormat="0" applyBorder="0" applyAlignment="0" applyProtection="0"/>
    <xf numFmtId="0" fontId="183" fillId="81" borderId="0" applyNumberFormat="0" applyBorder="0" applyAlignment="0" applyProtection="0"/>
    <xf numFmtId="0" fontId="1" fillId="37" borderId="0" applyNumberFormat="0" applyBorder="0" applyAlignment="0" applyProtection="0"/>
    <xf numFmtId="0" fontId="183" fillId="82" borderId="0" applyNumberFormat="0" applyBorder="0" applyAlignment="0" applyProtection="0"/>
    <xf numFmtId="0" fontId="1" fillId="41" borderId="0" applyNumberFormat="0" applyBorder="0" applyAlignment="0" applyProtection="0"/>
    <xf numFmtId="0" fontId="183" fillId="83" borderId="0" applyNumberFormat="0" applyBorder="0" applyAlignment="0" applyProtection="0"/>
    <xf numFmtId="0" fontId="1" fillId="45" borderId="0" applyNumberFormat="0" applyBorder="0" applyAlignment="0" applyProtection="0"/>
    <xf numFmtId="0" fontId="183" fillId="84" borderId="0" applyNumberFormat="0" applyBorder="0" applyAlignment="0" applyProtection="0"/>
    <xf numFmtId="0" fontId="1" fillId="49" borderId="0" applyNumberFormat="0" applyBorder="0" applyAlignment="0" applyProtection="0"/>
    <xf numFmtId="0" fontId="183" fillId="79"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79" borderId="0" applyNumberFormat="0" applyBorder="0" applyAlignment="0" applyProtection="0"/>
    <xf numFmtId="0" fontId="183" fillId="8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83" fillId="8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0"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80" borderId="0" applyNumberFormat="0" applyBorder="0" applyAlignment="0" applyProtection="0"/>
    <xf numFmtId="0" fontId="183" fillId="7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83" fillId="7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81"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86" borderId="0" applyNumberFormat="0" applyBorder="0" applyAlignment="0" applyProtection="0"/>
    <xf numFmtId="0" fontId="183" fillId="7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83" fillId="7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82"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2" borderId="0" applyNumberFormat="0" applyBorder="0" applyAlignment="0" applyProtection="0"/>
    <xf numFmtId="0" fontId="183" fillId="85"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3" fillId="85"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5" borderId="0" applyNumberFormat="0" applyBorder="0" applyAlignment="0" applyProtection="0"/>
    <xf numFmtId="0" fontId="183" fillId="83"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3" fillId="87"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7"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3" fillId="84"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79" borderId="0" applyNumberFormat="0" applyBorder="0" applyAlignment="0" applyProtection="0"/>
    <xf numFmtId="0" fontId="183" fillId="80" borderId="0" applyNumberFormat="0" applyBorder="0" applyAlignment="0" applyProtection="0"/>
    <xf numFmtId="0" fontId="183" fillId="81" borderId="0" applyNumberFormat="0" applyBorder="0" applyAlignment="0" applyProtection="0"/>
    <xf numFmtId="0" fontId="183" fillId="82" borderId="0" applyNumberFormat="0" applyBorder="0" applyAlignment="0" applyProtection="0"/>
    <xf numFmtId="0" fontId="183" fillId="83" borderId="0" applyNumberFormat="0" applyBorder="0" applyAlignment="0" applyProtection="0"/>
    <xf numFmtId="0" fontId="183" fillId="84" borderId="0" applyNumberFormat="0" applyBorder="0" applyAlignment="0" applyProtection="0"/>
    <xf numFmtId="0" fontId="183" fillId="79" borderId="0" applyNumberFormat="0" applyBorder="0" applyAlignment="0" applyProtection="0"/>
    <xf numFmtId="0" fontId="183" fillId="80" borderId="0" applyNumberFormat="0" applyBorder="0" applyAlignment="0" applyProtection="0"/>
    <xf numFmtId="0" fontId="183" fillId="81" borderId="0" applyNumberFormat="0" applyBorder="0" applyAlignment="0" applyProtection="0"/>
    <xf numFmtId="0" fontId="183" fillId="82" borderId="0" applyNumberFormat="0" applyBorder="0" applyAlignment="0" applyProtection="0"/>
    <xf numFmtId="0" fontId="183" fillId="83" borderId="0" applyNumberFormat="0" applyBorder="0" applyAlignment="0" applyProtection="0"/>
    <xf numFmtId="0" fontId="183" fillId="84" borderId="0" applyNumberFormat="0" applyBorder="0" applyAlignment="0" applyProtection="0"/>
    <xf numFmtId="0" fontId="183" fillId="79" borderId="0" applyNumberFormat="0" applyBorder="0" applyAlignment="0" applyProtection="0"/>
    <xf numFmtId="0" fontId="183" fillId="80" borderId="0" applyNumberFormat="0" applyBorder="0" applyAlignment="0" applyProtection="0"/>
    <xf numFmtId="0" fontId="183" fillId="81" borderId="0" applyNumberFormat="0" applyBorder="0" applyAlignment="0" applyProtection="0"/>
    <xf numFmtId="0" fontId="183" fillId="82" borderId="0" applyNumberFormat="0" applyBorder="0" applyAlignment="0" applyProtection="0"/>
    <xf numFmtId="0" fontId="183" fillId="83" borderId="0" applyNumberFormat="0" applyBorder="0" applyAlignment="0" applyProtection="0"/>
    <xf numFmtId="0" fontId="183" fillId="84" borderId="0" applyNumberFormat="0" applyBorder="0" applyAlignment="0" applyProtection="0"/>
    <xf numFmtId="0" fontId="183" fillId="88" borderId="0" applyNumberFormat="0" applyBorder="0" applyAlignment="0" applyProtection="0"/>
    <xf numFmtId="0" fontId="1" fillId="30" borderId="0" applyNumberFormat="0" applyBorder="0" applyAlignment="0" applyProtection="0"/>
    <xf numFmtId="0" fontId="183" fillId="89" borderId="0" applyNumberFormat="0" applyBorder="0" applyAlignment="0" applyProtection="0"/>
    <xf numFmtId="0" fontId="1" fillId="34" borderId="0" applyNumberFormat="0" applyBorder="0" applyAlignment="0" applyProtection="0"/>
    <xf numFmtId="0" fontId="183" fillId="90" borderId="0" applyNumberFormat="0" applyBorder="0" applyAlignment="0" applyProtection="0"/>
    <xf numFmtId="0" fontId="1" fillId="38" borderId="0" applyNumberFormat="0" applyBorder="0" applyAlignment="0" applyProtection="0"/>
    <xf numFmtId="0" fontId="183" fillId="82" borderId="0" applyNumberFormat="0" applyBorder="0" applyAlignment="0" applyProtection="0"/>
    <xf numFmtId="0" fontId="1" fillId="42" borderId="0" applyNumberFormat="0" applyBorder="0" applyAlignment="0" applyProtection="0"/>
    <xf numFmtId="0" fontId="183" fillId="88" borderId="0" applyNumberFormat="0" applyBorder="0" applyAlignment="0" applyProtection="0"/>
    <xf numFmtId="0" fontId="1" fillId="46" borderId="0" applyNumberFormat="0" applyBorder="0" applyAlignment="0" applyProtection="0"/>
    <xf numFmtId="0" fontId="183" fillId="91" borderId="0" applyNumberFormat="0" applyBorder="0" applyAlignment="0" applyProtection="0"/>
    <xf numFmtId="0" fontId="1" fillId="50" borderId="0" applyNumberFormat="0" applyBorder="0" applyAlignment="0" applyProtection="0"/>
    <xf numFmtId="0" fontId="183" fillId="88"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3" fillId="9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8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90"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93" borderId="0" applyNumberFormat="0" applyBorder="0" applyAlignment="0" applyProtection="0"/>
    <xf numFmtId="0" fontId="183" fillId="7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83" fillId="7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79" borderId="0" applyNumberFormat="0" applyBorder="0" applyAlignment="0" applyProtection="0"/>
    <xf numFmtId="0" fontId="183" fillId="8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83" fillId="9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92"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83" fillId="8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88" borderId="0" applyNumberFormat="0" applyBorder="0" applyAlignment="0" applyProtection="0"/>
    <xf numFmtId="0" fontId="183" fillId="91"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83" fillId="84"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4" borderId="0" applyNumberFormat="0" applyBorder="0" applyAlignment="0" applyProtection="0"/>
    <xf numFmtId="0" fontId="183" fillId="88" borderId="0" applyNumberFormat="0" applyBorder="0" applyAlignment="0" applyProtection="0"/>
    <xf numFmtId="0" fontId="183" fillId="89" borderId="0" applyNumberFormat="0" applyBorder="0" applyAlignment="0" applyProtection="0"/>
    <xf numFmtId="0" fontId="183" fillId="90" borderId="0" applyNumberFormat="0" applyBorder="0" applyAlignment="0" applyProtection="0"/>
    <xf numFmtId="0" fontId="183" fillId="82" borderId="0" applyNumberFormat="0" applyBorder="0" applyAlignment="0" applyProtection="0"/>
    <xf numFmtId="0" fontId="183" fillId="88" borderId="0" applyNumberFormat="0" applyBorder="0" applyAlignment="0" applyProtection="0"/>
    <xf numFmtId="0" fontId="183" fillId="91" borderId="0" applyNumberFormat="0" applyBorder="0" applyAlignment="0" applyProtection="0"/>
    <xf numFmtId="0" fontId="183" fillId="88" borderId="0" applyNumberFormat="0" applyBorder="0" applyAlignment="0" applyProtection="0"/>
    <xf numFmtId="0" fontId="183" fillId="89" borderId="0" applyNumberFormat="0" applyBorder="0" applyAlignment="0" applyProtection="0"/>
    <xf numFmtId="0" fontId="183" fillId="90" borderId="0" applyNumberFormat="0" applyBorder="0" applyAlignment="0" applyProtection="0"/>
    <xf numFmtId="0" fontId="183" fillId="82" borderId="0" applyNumberFormat="0" applyBorder="0" applyAlignment="0" applyProtection="0"/>
    <xf numFmtId="0" fontId="183" fillId="88" borderId="0" applyNumberFormat="0" applyBorder="0" applyAlignment="0" applyProtection="0"/>
    <xf numFmtId="0" fontId="183" fillId="91" borderId="0" applyNumberFormat="0" applyBorder="0" applyAlignment="0" applyProtection="0"/>
    <xf numFmtId="0" fontId="183" fillId="88" borderId="0" applyNumberFormat="0" applyBorder="0" applyAlignment="0" applyProtection="0"/>
    <xf numFmtId="0" fontId="183" fillId="89" borderId="0" applyNumberFormat="0" applyBorder="0" applyAlignment="0" applyProtection="0"/>
    <xf numFmtId="0" fontId="183" fillId="90" borderId="0" applyNumberFormat="0" applyBorder="0" applyAlignment="0" applyProtection="0"/>
    <xf numFmtId="0" fontId="183" fillId="82" borderId="0" applyNumberFormat="0" applyBorder="0" applyAlignment="0" applyProtection="0"/>
    <xf numFmtId="0" fontId="183" fillId="88" borderId="0" applyNumberFormat="0" applyBorder="0" applyAlignment="0" applyProtection="0"/>
    <xf numFmtId="0" fontId="183" fillId="91" borderId="0" applyNumberFormat="0" applyBorder="0" applyAlignment="0" applyProtection="0"/>
    <xf numFmtId="0" fontId="184" fillId="94" borderId="0" applyNumberFormat="0" applyBorder="0" applyAlignment="0" applyProtection="0"/>
    <xf numFmtId="0" fontId="184" fillId="89" borderId="0" applyNumberFormat="0" applyBorder="0" applyAlignment="0" applyProtection="0"/>
    <xf numFmtId="0" fontId="184" fillId="90"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97" borderId="0" applyNumberFormat="0" applyBorder="0" applyAlignment="0" applyProtection="0"/>
    <xf numFmtId="0" fontId="184" fillId="94"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8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93"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90"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184" fillId="95"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2"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8"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6" borderId="0" applyNumberFormat="0" applyBorder="0" applyAlignment="0" applyProtection="0"/>
    <xf numFmtId="0" fontId="184" fillId="97"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84" borderId="0" applyNumberFormat="0" applyBorder="0" applyAlignment="0" applyProtection="0"/>
    <xf numFmtId="0" fontId="184" fillId="94" borderId="0" applyNumberFormat="0" applyBorder="0" applyAlignment="0" applyProtection="0"/>
    <xf numFmtId="0" fontId="184" fillId="89" borderId="0" applyNumberFormat="0" applyBorder="0" applyAlignment="0" applyProtection="0"/>
    <xf numFmtId="0" fontId="184" fillId="90"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97" borderId="0" applyNumberFormat="0" applyBorder="0" applyAlignment="0" applyProtection="0"/>
    <xf numFmtId="0" fontId="184" fillId="94" borderId="0" applyNumberFormat="0" applyBorder="0" applyAlignment="0" applyProtection="0"/>
    <xf numFmtId="0" fontId="184" fillId="89" borderId="0" applyNumberFormat="0" applyBorder="0" applyAlignment="0" applyProtection="0"/>
    <xf numFmtId="0" fontId="184" fillId="90"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97" borderId="0" applyNumberFormat="0" applyBorder="0" applyAlignment="0" applyProtection="0"/>
    <xf numFmtId="0" fontId="184" fillId="94" borderId="0" applyNumberFormat="0" applyBorder="0" applyAlignment="0" applyProtection="0"/>
    <xf numFmtId="0" fontId="184" fillId="89" borderId="0" applyNumberFormat="0" applyBorder="0" applyAlignment="0" applyProtection="0"/>
    <xf numFmtId="0" fontId="184" fillId="90"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97" borderId="0" applyNumberFormat="0" applyBorder="0" applyAlignment="0" applyProtection="0"/>
    <xf numFmtId="0" fontId="184" fillId="99" borderId="0" applyNumberFormat="0" applyBorder="0" applyAlignment="0" applyProtection="0"/>
    <xf numFmtId="0" fontId="55" fillId="28" borderId="0" applyNumberFormat="0" applyBorder="0" applyAlignment="0" applyProtection="0"/>
    <xf numFmtId="0" fontId="55" fillId="28" borderId="0" applyNumberFormat="0" applyBorder="0" applyAlignment="0" applyProtection="0"/>
    <xf numFmtId="0" fontId="55" fillId="28" borderId="0" applyNumberFormat="0" applyBorder="0" applyAlignment="0" applyProtection="0"/>
    <xf numFmtId="0" fontId="184" fillId="100" borderId="0" applyNumberFormat="0" applyBorder="0" applyAlignment="0" applyProtection="0"/>
    <xf numFmtId="0" fontId="184" fillId="101" borderId="0" applyNumberFormat="0" applyBorder="0" applyAlignment="0" applyProtection="0"/>
    <xf numFmtId="0" fontId="184" fillId="95" borderId="0" applyNumberFormat="0" applyBorder="0" applyAlignment="0" applyProtection="0"/>
    <xf numFmtId="0" fontId="184" fillId="102"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84" fillId="96" borderId="0" applyNumberFormat="0" applyBorder="0" applyAlignment="0" applyProtection="0"/>
    <xf numFmtId="0" fontId="184" fillId="103" borderId="0" applyNumberFormat="0" applyBorder="0" applyAlignment="0" applyProtection="0"/>
    <xf numFmtId="0" fontId="55" fillId="48" borderId="0" applyNumberFormat="0" applyBorder="0" applyAlignment="0" applyProtection="0"/>
    <xf numFmtId="0" fontId="184" fillId="10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84" fillId="99" borderId="0" applyNumberFormat="0" applyBorder="0" applyAlignment="0" applyProtection="0"/>
    <xf numFmtId="0" fontId="184" fillId="100" borderId="0" applyNumberFormat="0" applyBorder="0" applyAlignment="0" applyProtection="0"/>
    <xf numFmtId="0" fontId="184" fillId="101"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103" borderId="0" applyNumberFormat="0" applyBorder="0" applyAlignment="0" applyProtection="0"/>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43" fontId="32" fillId="0" borderId="0" applyFont="0" applyFill="0" applyBorder="0" applyProtection="0">
      <alignment horizontal="left"/>
    </xf>
    <xf numFmtId="0" fontId="117" fillId="0" borderId="0" applyNumberFormat="0" applyBorder="0" applyProtection="0">
      <alignment horizontal="left" vertical="center" wrapText="1"/>
      <protection locked="0"/>
    </xf>
    <xf numFmtId="0" fontId="185" fillId="0" borderId="0">
      <alignment horizontal="center" wrapText="1"/>
      <protection locked="0"/>
    </xf>
    <xf numFmtId="49" fontId="186" fillId="105" borderId="0" applyNumberFormat="0" applyFont="0" applyAlignment="0"/>
    <xf numFmtId="0" fontId="187" fillId="92" borderId="372" applyNumberFormat="0" applyAlignment="0" applyProtection="0"/>
    <xf numFmtId="0" fontId="187" fillId="92" borderId="372" applyNumberFormat="0" applyAlignment="0" applyProtection="0"/>
    <xf numFmtId="0" fontId="75" fillId="0" borderId="0" applyNumberFormat="0" applyFill="0" applyBorder="0" applyAlignment="0" applyProtection="0"/>
    <xf numFmtId="0" fontId="188" fillId="0" borderId="0" applyNumberFormat="0" applyFill="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89" fillId="80" borderId="0" applyNumberFormat="0" applyBorder="0" applyAlignment="0" applyProtection="0"/>
    <xf numFmtId="0" fontId="190" fillId="92" borderId="373" applyNumberFormat="0" applyAlignment="0" applyProtection="0"/>
    <xf numFmtId="0" fontId="190" fillId="92" borderId="373" applyNumberFormat="0" applyAlignment="0" applyProtection="0"/>
    <xf numFmtId="0" fontId="191" fillId="0" borderId="126" applyNumberFormat="0" applyFill="0" applyAlignment="0" applyProtection="0"/>
    <xf numFmtId="0" fontId="185" fillId="0" borderId="12" applyNumberFormat="0" applyFon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84" fontId="32" fillId="0" borderId="374" applyNumberFormat="0" applyFill="0" applyAlignment="0" applyProtection="0"/>
    <xf numFmtId="167" fontId="32" fillId="0" borderId="142">
      <alignment horizontal="left"/>
    </xf>
    <xf numFmtId="0" fontId="192" fillId="81" borderId="0" applyNumberFormat="0" applyBorder="0" applyAlignment="0" applyProtection="0"/>
    <xf numFmtId="185" fontId="182" fillId="0" borderId="0" applyFont="0" applyFill="0" applyBorder="0" applyAlignment="0" applyProtection="0"/>
    <xf numFmtId="186" fontId="32" fillId="0" borderId="0" applyFill="0" applyBorder="0" applyAlignment="0"/>
    <xf numFmtId="187" fontId="193" fillId="0" borderId="0" applyFill="0" applyBorder="0" applyAlignment="0"/>
    <xf numFmtId="188" fontId="193" fillId="0" borderId="0" applyFill="0" applyBorder="0" applyAlignment="0"/>
    <xf numFmtId="189" fontId="193" fillId="0" borderId="0" applyFill="0" applyBorder="0" applyAlignment="0"/>
    <xf numFmtId="190" fontId="193" fillId="0" borderId="0" applyFill="0" applyBorder="0" applyAlignment="0"/>
    <xf numFmtId="191" fontId="193" fillId="0" borderId="0" applyFill="0" applyBorder="0" applyAlignment="0"/>
    <xf numFmtId="192" fontId="193" fillId="0" borderId="0" applyFill="0" applyBorder="0" applyAlignment="0"/>
    <xf numFmtId="0" fontId="190" fillId="92" borderId="373" applyNumberFormat="0" applyAlignment="0" applyProtection="0"/>
    <xf numFmtId="0" fontId="190" fillId="92" borderId="373" applyNumberFormat="0" applyAlignment="0" applyProtection="0"/>
    <xf numFmtId="0" fontId="190" fillId="92" borderId="373" applyNumberFormat="0" applyAlignment="0" applyProtection="0"/>
    <xf numFmtId="0" fontId="190" fillId="92" borderId="373" applyNumberFormat="0" applyAlignment="0" applyProtection="0"/>
    <xf numFmtId="0" fontId="190" fillId="92"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92"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85" borderId="373" applyNumberFormat="0" applyAlignment="0" applyProtection="0"/>
    <xf numFmtId="0" fontId="190" fillId="92" borderId="373" applyNumberFormat="0" applyAlignment="0" applyProtection="0"/>
    <xf numFmtId="0" fontId="190" fillId="92" borderId="373"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4" fillId="106"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0" fontId="194" fillId="93" borderId="375" applyNumberFormat="0" applyAlignment="0" applyProtection="0"/>
    <xf numFmtId="3" fontId="78" fillId="2" borderId="289" applyFont="0" applyFill="0" applyProtection="0">
      <alignment horizontal="right"/>
    </xf>
    <xf numFmtId="0" fontId="184" fillId="99" borderId="0" applyNumberFormat="0" applyBorder="0" applyAlignment="0" applyProtection="0"/>
    <xf numFmtId="0" fontId="184" fillId="100" borderId="0" applyNumberFormat="0" applyBorder="0" applyAlignment="0" applyProtection="0"/>
    <xf numFmtId="0" fontId="184" fillId="101"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103" borderId="0" applyNumberFormat="0" applyBorder="0" applyAlignment="0" applyProtection="0"/>
    <xf numFmtId="193" fontId="196" fillId="0" borderId="0"/>
    <xf numFmtId="193" fontId="197" fillId="0" borderId="0"/>
    <xf numFmtId="193" fontId="196" fillId="0" borderId="0"/>
    <xf numFmtId="193" fontId="196" fillId="0" borderId="0"/>
    <xf numFmtId="193" fontId="196" fillId="0" borderId="0"/>
    <xf numFmtId="193" fontId="196" fillId="0" borderId="0"/>
    <xf numFmtId="193" fontId="196" fillId="0" borderId="0"/>
    <xf numFmtId="193" fontId="196" fillId="0" borderId="0"/>
    <xf numFmtId="193" fontId="196" fillId="0" borderId="0"/>
    <xf numFmtId="191" fontId="193" fillId="0" borderId="0" applyFont="0" applyFill="0" applyBorder="0" applyAlignment="0" applyProtection="0"/>
    <xf numFmtId="43" fontId="32" fillId="0" borderId="0" applyFont="0" applyFill="0" applyBorder="0" applyAlignment="0" applyProtection="0"/>
    <xf numFmtId="43" fontId="183"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7" fontId="198"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18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 fontId="32" fillId="0" borderId="0" applyFont="0" applyFill="0" applyBorder="0" applyAlignment="0" applyProtection="0"/>
    <xf numFmtId="1" fontId="32" fillId="0" borderId="0" applyFont="0" applyFill="0" applyBorder="0" applyAlignment="0" applyProtection="0"/>
    <xf numFmtId="1" fontId="32" fillId="0" borderId="0" applyFont="0" applyFill="0" applyBorder="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1" fillId="27" borderId="134" applyNumberFormat="0" applyFont="0" applyAlignment="0" applyProtection="0"/>
    <xf numFmtId="0" fontId="1" fillId="27" borderId="134" applyNumberFormat="0" applyFont="0" applyAlignment="0" applyProtection="0"/>
    <xf numFmtId="0" fontId="199" fillId="0" borderId="0" applyNumberFormat="0" applyAlignment="0">
      <alignment horizontal="left"/>
    </xf>
    <xf numFmtId="187" fontId="193"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7"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4" fontId="183" fillId="0" borderId="0" applyFont="0" applyFill="0" applyBorder="0" applyAlignment="0" applyProtection="0"/>
    <xf numFmtId="195" fontId="182" fillId="0" borderId="0" applyFont="0" applyFill="0" applyBorder="0" applyAlignment="0" applyProtection="0"/>
    <xf numFmtId="0" fontId="117" fillId="0" borderId="0" applyNumberFormat="0" applyFill="0" applyBorder="0" applyProtection="0">
      <alignment horizontal="right" vertical="center"/>
      <protection locked="0"/>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84" fontId="185" fillId="0" borderId="0" applyFont="0" applyFill="0" applyBorder="0" applyProtection="0">
      <alignment horizontal="right"/>
    </xf>
    <xf numFmtId="15" fontId="117" fillId="0" borderId="0">
      <alignment horizontal="center"/>
    </xf>
    <xf numFmtId="17" fontId="117" fillId="0" borderId="0">
      <alignment horizontal="center"/>
    </xf>
    <xf numFmtId="14" fontId="41" fillId="0" borderId="0" applyFill="0" applyBorder="0" applyAlignment="0"/>
    <xf numFmtId="196" fontId="200" fillId="0" borderId="0" applyFont="0" applyFill="0" applyBorder="0" applyAlignment="0" applyProtection="0"/>
    <xf numFmtId="197" fontId="32" fillId="0" borderId="0" applyFont="0" applyFill="0" applyBorder="0" applyAlignment="0" applyProtection="0"/>
    <xf numFmtId="198" fontId="32" fillId="0" borderId="0" applyFont="0" applyFill="0" applyBorder="0" applyAlignment="0" applyProtection="0"/>
    <xf numFmtId="0" fontId="201" fillId="84" borderId="373" applyNumberFormat="0" applyAlignment="0" applyProtection="0"/>
    <xf numFmtId="0" fontId="201" fillId="84" borderId="373" applyNumberFormat="0" applyAlignment="0" applyProtection="0"/>
    <xf numFmtId="0" fontId="202" fillId="0" borderId="0" applyNumberFormat="0" applyFill="0" applyBorder="0" applyAlignment="0" applyProtection="0"/>
    <xf numFmtId="0" fontId="184" fillId="99" borderId="0" applyNumberFormat="0" applyBorder="0" applyAlignment="0" applyProtection="0"/>
    <xf numFmtId="0" fontId="184" fillId="100" borderId="0" applyNumberFormat="0" applyBorder="0" applyAlignment="0" applyProtection="0"/>
    <xf numFmtId="0" fontId="184" fillId="101" borderId="0" applyNumberFormat="0" applyBorder="0" applyAlignment="0" applyProtection="0"/>
    <xf numFmtId="0" fontId="184" fillId="95" borderId="0" applyNumberFormat="0" applyBorder="0" applyAlignment="0" applyProtection="0"/>
    <xf numFmtId="0" fontId="184" fillId="96" borderId="0" applyNumberFormat="0" applyBorder="0" applyAlignment="0" applyProtection="0"/>
    <xf numFmtId="0" fontId="184" fillId="103" borderId="0" applyNumberFormat="0" applyBorder="0" applyAlignment="0" applyProtection="0"/>
    <xf numFmtId="0" fontId="203" fillId="0" borderId="0" applyNumberFormat="0" applyAlignment="0">
      <alignment horizontal="left"/>
    </xf>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4" fillId="0" borderId="378" applyNumberFormat="0" applyFill="0" applyAlignment="0" applyProtection="0"/>
    <xf numFmtId="0" fontId="204" fillId="0" borderId="378" applyNumberFormat="0" applyFill="0" applyAlignment="0" applyProtection="0"/>
    <xf numFmtId="0" fontId="205" fillId="0" borderId="0" applyNumberForma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199"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44" fontId="32" fillId="0" borderId="0" applyFont="0" applyFill="0" applyBorder="0" applyAlignment="0" applyProtection="0"/>
    <xf numFmtId="199" fontId="32" fillId="0" borderId="0" applyFont="0" applyFill="0" applyBorder="0" applyAlignment="0" applyProtection="0"/>
    <xf numFmtId="44" fontId="32"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196"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44" fontId="32" fillId="0" borderId="0" applyFont="0" applyFill="0" applyBorder="0" applyAlignment="0" applyProtection="0"/>
    <xf numFmtId="44" fontId="32" fillId="0" borderId="0" applyFont="0" applyFill="0" applyBorder="0" applyAlignment="0" applyProtection="0"/>
    <xf numFmtId="196" fontId="32" fillId="0" borderId="0" applyFont="0" applyFill="0" applyBorder="0" applyAlignment="0" applyProtection="0">
      <alignment horizontal="left" wrapText="1"/>
    </xf>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96"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xf numFmtId="20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44"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202" fontId="206"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0" fontId="32" fillId="0" borderId="0" applyFont="0" applyFill="0" applyBorder="0" applyAlignment="0" applyProtection="0">
      <alignment horizontal="left" wrapText="1"/>
    </xf>
    <xf numFmtId="201" fontId="32" fillId="0" borderId="0" applyFont="0" applyFill="0" applyBorder="0" applyAlignment="0" applyProtection="0"/>
    <xf numFmtId="201" fontId="32" fillId="0" borderId="0" applyFont="0" applyFill="0" applyBorder="0" applyAlignment="0" applyProtection="0"/>
    <xf numFmtId="200" fontId="32" fillId="0" borderId="0" applyFont="0" applyFill="0" applyBorder="0" applyAlignment="0" applyProtection="0">
      <alignment horizontal="left" wrapText="1"/>
    </xf>
    <xf numFmtId="199" fontId="32" fillId="0" borderId="0" applyFon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185" fillId="0" borderId="0" applyFill="0" applyBorder="0" applyProtection="0">
      <alignment horizontal="left"/>
    </xf>
    <xf numFmtId="0" fontId="207" fillId="108" borderId="0"/>
    <xf numFmtId="37" fontId="200" fillId="108" borderId="0" applyNumberFormat="0" applyBorder="0" applyAlignment="0" applyProtection="0"/>
    <xf numFmtId="0" fontId="117" fillId="0" borderId="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208"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0" fontId="192" fillId="81" borderId="0" applyNumberFormat="0" applyBorder="0" applyAlignment="0" applyProtection="0"/>
    <xf numFmtId="38" fontId="117" fillId="108" borderId="0" applyNumberFormat="0" applyBorder="0" applyAlignment="0" applyProtection="0"/>
    <xf numFmtId="0" fontId="32" fillId="108" borderId="289" applyNumberFormat="0" applyFont="0" applyBorder="0" applyAlignment="0" applyProtection="0">
      <alignment horizontal="center"/>
    </xf>
    <xf numFmtId="0" fontId="192" fillId="81" borderId="0" applyNumberFormat="0" applyBorder="0" applyAlignment="0" applyProtection="0"/>
    <xf numFmtId="0" fontId="36" fillId="0" borderId="330" applyNumberFormat="0" applyAlignment="0" applyProtection="0">
      <alignment horizontal="left" vertical="center"/>
    </xf>
    <xf numFmtId="0" fontId="36" fillId="0" borderId="243">
      <alignment horizontal="left" vertical="center"/>
    </xf>
    <xf numFmtId="38" fontId="117" fillId="109" borderId="0">
      <alignment horizontal="center" wrapText="1"/>
    </xf>
    <xf numFmtId="0" fontId="209" fillId="0" borderId="379" applyNumberFormat="0" applyFill="0" applyAlignment="0" applyProtection="0"/>
    <xf numFmtId="0" fontId="119" fillId="0" borderId="127" applyNumberFormat="0" applyFill="0" applyAlignment="0" applyProtection="0"/>
    <xf numFmtId="0" fontId="119" fillId="0" borderId="127" applyNumberFormat="0" applyFill="0" applyAlignment="0" applyProtection="0"/>
    <xf numFmtId="0" fontId="210" fillId="0" borderId="380" applyNumberFormat="0" applyFill="0" applyAlignment="0" applyProtection="0"/>
    <xf numFmtId="0" fontId="119" fillId="0" borderId="127" applyNumberFormat="0" applyFill="0" applyAlignment="0" applyProtection="0"/>
    <xf numFmtId="0" fontId="119" fillId="0" borderId="127" applyNumberFormat="0" applyFill="0" applyAlignment="0" applyProtection="0"/>
    <xf numFmtId="0" fontId="211" fillId="0" borderId="0" applyNumberFormat="0" applyFill="0" applyBorder="0" applyAlignment="0" applyProtection="0">
      <alignment vertical="center"/>
    </xf>
    <xf numFmtId="0" fontId="212" fillId="0" borderId="381" applyNumberFormat="0" applyFill="0" applyAlignment="0" applyProtection="0"/>
    <xf numFmtId="0" fontId="213" fillId="0" borderId="382" applyNumberFormat="0" applyFill="0" applyAlignment="0" applyProtection="0"/>
    <xf numFmtId="0" fontId="120" fillId="0" borderId="128" applyNumberFormat="0" applyFill="0" applyAlignment="0" applyProtection="0"/>
    <xf numFmtId="0" fontId="120" fillId="0" borderId="128" applyNumberFormat="0" applyFill="0" applyAlignment="0" applyProtection="0"/>
    <xf numFmtId="0" fontId="120" fillId="0" borderId="128" applyNumberFormat="0" applyFill="0" applyAlignment="0" applyProtection="0"/>
    <xf numFmtId="0" fontId="202" fillId="0" borderId="383" applyNumberFormat="0" applyFill="0" applyAlignment="0" applyProtection="0"/>
    <xf numFmtId="0" fontId="121" fillId="0" borderId="129" applyNumberFormat="0" applyFill="0" applyAlignment="0" applyProtection="0"/>
    <xf numFmtId="0" fontId="121" fillId="0" borderId="129" applyNumberFormat="0" applyFill="0" applyAlignment="0" applyProtection="0"/>
    <xf numFmtId="0" fontId="214" fillId="0" borderId="384" applyNumberFormat="0" applyFill="0" applyAlignment="0" applyProtection="0"/>
    <xf numFmtId="0" fontId="121" fillId="0" borderId="129" applyNumberFormat="0" applyFill="0" applyAlignment="0" applyProtection="0"/>
    <xf numFmtId="0" fontId="121" fillId="0" borderId="129" applyNumberFormat="0" applyFill="0" applyAlignment="0" applyProtection="0"/>
    <xf numFmtId="0" fontId="202"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214"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215" fillId="0" borderId="0" applyNumberFormat="0" applyFill="0" applyBorder="0" applyAlignment="0" applyProtection="0">
      <alignment vertical="center"/>
    </xf>
    <xf numFmtId="0" fontId="216" fillId="0" borderId="12">
      <alignment horizontal="center"/>
    </xf>
    <xf numFmtId="0" fontId="216" fillId="0" borderId="0">
      <alignment horizontal="center"/>
    </xf>
    <xf numFmtId="3" fontId="32" fillId="110" borderId="289" applyFont="0" applyProtection="0">
      <alignment horizontal="right"/>
    </xf>
    <xf numFmtId="10" fontId="32" fillId="110" borderId="289" applyFont="0" applyProtection="0">
      <alignment horizontal="right"/>
    </xf>
    <xf numFmtId="9" fontId="32" fillId="110" borderId="289" applyFont="0" applyProtection="0">
      <alignment horizontal="right"/>
    </xf>
    <xf numFmtId="0" fontId="32" fillId="110" borderId="242" applyNumberFormat="0" applyFont="0" applyBorder="0" applyAlignment="0" applyProtection="0">
      <alignment horizontal="left"/>
    </xf>
    <xf numFmtId="37" fontId="200" fillId="0" borderId="0" applyNumberFormat="0" applyBorder="0" applyAlignment="0" applyProtection="0"/>
    <xf numFmtId="0" fontId="217" fillId="0" borderId="0" applyNumberFormat="0" applyFill="0" applyBorder="0" applyAlignment="0" applyProtection="0">
      <alignment vertical="top"/>
      <protection locked="0"/>
    </xf>
    <xf numFmtId="0" fontId="189" fillId="80" borderId="0" applyNumberFormat="0" applyBorder="0" applyAlignment="0" applyProtection="0"/>
    <xf numFmtId="0" fontId="201" fillId="84" borderId="373" applyNumberFormat="0" applyAlignment="0" applyProtection="0"/>
    <xf numFmtId="203" fontId="32" fillId="0" borderId="0"/>
    <xf numFmtId="10" fontId="117" fillId="111" borderId="289" applyNumberFormat="0" applyBorder="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201" fillId="84" borderId="373" applyNumberFormat="0" applyAlignment="0" applyProtection="0"/>
    <xf numFmtId="0" fontId="117" fillId="0" borderId="0" applyNumberFormat="0" applyFill="0" applyBorder="0" applyAlignment="0">
      <protection locked="0"/>
    </xf>
    <xf numFmtId="204" fontId="32" fillId="112" borderId="289" applyFont="0" applyAlignment="0">
      <protection locked="0"/>
    </xf>
    <xf numFmtId="3" fontId="32" fillId="112" borderId="289" applyFont="0">
      <alignment horizontal="right"/>
      <protection locked="0"/>
    </xf>
    <xf numFmtId="205" fontId="32" fillId="112" borderId="289" applyFont="0">
      <alignment horizontal="right"/>
      <protection locked="0"/>
    </xf>
    <xf numFmtId="10" fontId="32" fillId="112" borderId="289" applyFont="0">
      <alignment horizontal="right"/>
      <protection locked="0"/>
    </xf>
    <xf numFmtId="9" fontId="32" fillId="112" borderId="368" applyFont="0">
      <alignment horizontal="right"/>
      <protection locked="0"/>
    </xf>
    <xf numFmtId="0" fontId="32" fillId="112" borderId="289" applyFont="0">
      <alignment horizontal="center" wrapText="1"/>
      <protection locked="0"/>
    </xf>
    <xf numFmtId="49" fontId="32" fillId="112" borderId="289" applyFont="0" applyAlignment="0">
      <protection locked="0"/>
    </xf>
    <xf numFmtId="0" fontId="189" fillId="80" borderId="0" applyNumberFormat="0" applyBorder="0" applyAlignment="0" applyProtection="0"/>
    <xf numFmtId="0" fontId="218" fillId="0" borderId="0" applyNumberFormat="0" applyFill="0" applyBorder="0" applyAlignment="0" applyProtection="0">
      <alignment vertical="top"/>
      <protection locked="0"/>
    </xf>
    <xf numFmtId="0" fontId="117" fillId="108" borderId="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205" fontId="200" fillId="113"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1" fontId="219"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4" fontId="183" fillId="0" borderId="0" applyFont="0" applyFill="0" applyBorder="0" applyAlignment="0" applyProtection="0"/>
    <xf numFmtId="164" fontId="18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2" fillId="0" borderId="0" applyFont="0" applyFill="0" applyBorder="0" applyAlignment="0" applyProtection="0"/>
    <xf numFmtId="43" fontId="1"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43"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4" fontId="32" fillId="0" borderId="0" applyFont="0" applyFill="0" applyBorder="0" applyAlignment="0" applyProtection="0"/>
    <xf numFmtId="207" fontId="32" fillId="0" borderId="0" applyFont="0" applyFill="0" applyBorder="0" applyAlignment="0" applyProtection="0"/>
    <xf numFmtId="207" fontId="32" fillId="0" borderId="0" applyFont="0" applyFill="0" applyBorder="0" applyAlignment="0" applyProtection="0"/>
    <xf numFmtId="207"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7"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8" fontId="32" fillId="110" borderId="0" applyFont="0" applyFill="0" applyBorder="0" applyAlignment="0" applyProtection="0"/>
    <xf numFmtId="209" fontId="117" fillId="0" borderId="0"/>
    <xf numFmtId="210" fontId="32" fillId="0" borderId="0" applyFont="0" applyFill="0" applyBorder="0" applyAlignment="0" applyProtection="0"/>
    <xf numFmtId="210" fontId="32" fillId="0" borderId="0" applyFont="0" applyFill="0" applyBorder="0" applyAlignment="0" applyProtection="0"/>
    <xf numFmtId="44" fontId="32" fillId="0" borderId="0" applyFont="0" applyFill="0" applyBorder="0" applyAlignment="0" applyProtection="0"/>
    <xf numFmtId="0" fontId="34" fillId="0" borderId="0" applyNumberFormat="0" applyFill="0" applyBorder="0" applyAlignment="0" applyProtection="0"/>
    <xf numFmtId="211" fontId="220" fillId="0" borderId="0" applyFont="0" applyFill="0" applyBorder="0" applyProtection="0">
      <alignment horizontal="right"/>
    </xf>
    <xf numFmtId="0" fontId="32" fillId="0" borderId="0" applyNumberFormat="0" applyFont="0" applyFill="0" applyBorder="0" applyAlignment="0" applyProtection="0"/>
    <xf numFmtId="0" fontId="32" fillId="0" borderId="0" applyNumberFormat="0" applyFont="0" applyFill="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0" fontId="221" fillId="86" borderId="0" applyNumberFormat="0" applyBorder="0" applyAlignment="0" applyProtection="0"/>
    <xf numFmtId="212" fontId="32" fillId="0" borderId="0" applyFont="0" applyFill="0" applyBorder="0" applyAlignment="0" applyProtection="0"/>
    <xf numFmtId="212" fontId="32" fillId="0" borderId="0" applyFont="0" applyFill="0" applyBorder="0" applyAlignment="0" applyProtection="0"/>
    <xf numFmtId="37" fontId="222" fillId="0" borderId="0"/>
    <xf numFmtId="213" fontId="223" fillId="0" borderId="0"/>
    <xf numFmtId="214" fontId="32" fillId="0" borderId="0"/>
    <xf numFmtId="215" fontId="32" fillId="0" borderId="0">
      <alignment horizontal="right"/>
    </xf>
    <xf numFmtId="0" fontId="3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38" fontId="117"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1" fillId="0" borderId="0"/>
    <xf numFmtId="0" fontId="32" fillId="0" borderId="0">
      <alignment horizontal="left" wrapText="1"/>
    </xf>
    <xf numFmtId="0" fontId="32" fillId="0" borderId="0">
      <alignment horizontal="left" wrapText="1"/>
    </xf>
    <xf numFmtId="0" fontId="32" fillId="0" borderId="0"/>
    <xf numFmtId="0" fontId="198" fillId="0" borderId="0"/>
    <xf numFmtId="0" fontId="32" fillId="0" borderId="0"/>
    <xf numFmtId="0" fontId="32" fillId="0" borderId="0"/>
    <xf numFmtId="0" fontId="32" fillId="0" borderId="0"/>
    <xf numFmtId="0" fontId="32" fillId="0" borderId="0"/>
    <xf numFmtId="0" fontId="224"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2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3"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183" fillId="0" borderId="0"/>
    <xf numFmtId="0" fontId="183" fillId="0" borderId="0"/>
    <xf numFmtId="0" fontId="32" fillId="0" borderId="0">
      <alignment horizontal="left" wrapText="1"/>
    </xf>
    <xf numFmtId="0" fontId="32" fillId="0" borderId="0">
      <alignment horizontal="left" wrapText="1"/>
    </xf>
    <xf numFmtId="0" fontId="32" fillId="0" borderId="0"/>
    <xf numFmtId="0" fontId="32" fillId="0" borderId="0"/>
    <xf numFmtId="0" fontId="1" fillId="0" borderId="0"/>
    <xf numFmtId="0" fontId="1"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225"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xf numFmtId="0" fontId="1"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xf numFmtId="0" fontId="32" fillId="0" borderId="0"/>
    <xf numFmtId="0" fontId="32" fillId="0" borderId="0"/>
    <xf numFmtId="167" fontId="32" fillId="0" borderId="322">
      <alignment horizontal="left"/>
    </xf>
    <xf numFmtId="0" fontId="41" fillId="0" borderId="0"/>
    <xf numFmtId="0" fontId="183" fillId="107" borderId="377" applyNumberFormat="0" applyFont="0" applyAlignment="0" applyProtection="0"/>
    <xf numFmtId="0" fontId="183"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117" fillId="107"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117" fillId="107" borderId="377" applyNumberFormat="0" applyFont="0" applyAlignment="0" applyProtection="0"/>
    <xf numFmtId="0" fontId="32" fillId="107" borderId="377"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32" fillId="107" borderId="377" applyNumberFormat="0" applyFont="0" applyAlignment="0" applyProtection="0"/>
    <xf numFmtId="0" fontId="32" fillId="107" borderId="377"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32" fillId="107"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183" fillId="27" borderId="134"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32" fillId="86" borderId="377" applyNumberFormat="0" applyFont="0" applyAlignment="0" applyProtection="0"/>
    <xf numFmtId="0" fontId="183" fillId="107" borderId="377" applyNumberFormat="0" applyFont="0" applyAlignment="0" applyProtection="0"/>
    <xf numFmtId="0" fontId="183" fillId="107" borderId="377" applyNumberFormat="0" applyFont="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4" fontId="32" fillId="0" borderId="0" applyFont="0" applyFill="0" applyBorder="0" applyAlignment="0" applyProtection="0"/>
    <xf numFmtId="3" fontId="32" fillId="109" borderId="289">
      <alignment horizontal="right"/>
      <protection locked="0"/>
    </xf>
    <xf numFmtId="205" fontId="32" fillId="109" borderId="289">
      <alignment horizontal="right"/>
      <protection locked="0"/>
    </xf>
    <xf numFmtId="10" fontId="32" fillId="109" borderId="289" applyFont="0">
      <alignment horizontal="right"/>
      <protection locked="0"/>
    </xf>
    <xf numFmtId="9" fontId="32" fillId="109" borderId="289">
      <alignment horizontal="right"/>
      <protection locked="0"/>
    </xf>
    <xf numFmtId="0" fontId="32" fillId="109" borderId="289">
      <alignment horizontal="center" wrapText="1"/>
    </xf>
    <xf numFmtId="0" fontId="32" fillId="109" borderId="289" applyNumberFormat="0" applyFont="0">
      <alignment horizontal="center" wrapText="1"/>
      <protection locked="0"/>
    </xf>
    <xf numFmtId="0" fontId="187" fillId="92"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92"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0" fontId="187" fillId="85" borderId="372" applyNumberFormat="0" applyAlignment="0" applyProtection="0"/>
    <xf numFmtId="40" fontId="227" fillId="2" borderId="0">
      <alignment horizontal="right"/>
    </xf>
    <xf numFmtId="0" fontId="228" fillId="2" borderId="0">
      <alignment horizontal="right"/>
    </xf>
    <xf numFmtId="0" fontId="229" fillId="2" borderId="91"/>
    <xf numFmtId="0" fontId="229" fillId="0" borderId="0" applyBorder="0">
      <alignment horizontal="centerContinuous"/>
    </xf>
    <xf numFmtId="0" fontId="230" fillId="0" borderId="0" applyBorder="0">
      <alignment horizontal="centerContinuous"/>
    </xf>
    <xf numFmtId="0" fontId="231" fillId="0" borderId="0" applyFill="0" applyBorder="0" applyProtection="0">
      <alignment horizontal="left"/>
    </xf>
    <xf numFmtId="0" fontId="232" fillId="0" borderId="0" applyFill="0" applyBorder="0" applyProtection="0">
      <alignment horizontal="left"/>
    </xf>
    <xf numFmtId="0" fontId="233" fillId="0" borderId="385" applyNumberFormat="0" applyAlignment="0" applyProtection="0"/>
    <xf numFmtId="0" fontId="75" fillId="109" borderId="0" applyNumberFormat="0" applyFont="0" applyBorder="0" applyAlignment="0" applyProtection="0"/>
    <xf numFmtId="0" fontId="117" fillId="114" borderId="142" applyNumberFormat="0" applyFont="0" applyBorder="0" applyAlignment="0" applyProtection="0">
      <alignment horizontal="center"/>
    </xf>
    <xf numFmtId="0" fontId="117" fillId="72" borderId="142" applyNumberFormat="0" applyFont="0" applyBorder="0" applyAlignment="0" applyProtection="0">
      <alignment horizontal="center"/>
    </xf>
    <xf numFmtId="0" fontId="75" fillId="0" borderId="386" applyNumberFormat="0" applyAlignment="0" applyProtection="0"/>
    <xf numFmtId="0" fontId="75" fillId="0" borderId="386" applyNumberFormat="0" applyAlignment="0" applyProtection="0"/>
    <xf numFmtId="0" fontId="75" fillId="0" borderId="386" applyNumberFormat="0" applyAlignment="0" applyProtection="0"/>
    <xf numFmtId="0" fontId="75" fillId="0" borderId="386" applyNumberFormat="0" applyAlignment="0" applyProtection="0"/>
    <xf numFmtId="0" fontId="75" fillId="0" borderId="386" applyNumberFormat="0" applyAlignment="0" applyProtection="0"/>
    <xf numFmtId="0" fontId="75" fillId="0" borderId="386"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75" fillId="0" borderId="387"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0" fontId="233" fillId="0" borderId="388" applyNumberFormat="0" applyAlignment="0" applyProtection="0"/>
    <xf numFmtId="14" fontId="185" fillId="0" borderId="0">
      <alignment horizontal="center" wrapText="1"/>
      <protection locked="0"/>
    </xf>
    <xf numFmtId="190" fontId="193" fillId="0" borderId="0" applyFont="0" applyFill="0" applyBorder="0" applyAlignment="0" applyProtection="0"/>
    <xf numFmtId="216" fontId="32" fillId="0" borderId="0" applyFont="0" applyFill="0" applyBorder="0" applyAlignment="0" applyProtection="0"/>
    <xf numFmtId="10" fontId="32" fillId="0" borderId="0" applyFont="0" applyFill="0" applyBorder="0" applyAlignment="0" applyProtection="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10" fontId="198" fillId="0" borderId="0"/>
    <xf numFmtId="9" fontId="32" fillId="0" borderId="0" applyFont="0" applyFill="0" applyBorder="0" applyAlignment="0" applyProtection="0"/>
    <xf numFmtId="9" fontId="198" fillId="0" borderId="0" applyFont="0" applyFill="0" applyBorder="0" applyAlignment="0" applyProtection="0"/>
    <xf numFmtId="9" fontId="183" fillId="0" borderId="0" applyFont="0" applyFill="0" applyBorder="0" applyAlignment="0" applyProtection="0"/>
    <xf numFmtId="0" fontId="234" fillId="115" borderId="389" applyNumberFormat="0">
      <alignment horizontal="left" vertical="center" wrapText="1" indent="2"/>
    </xf>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8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217" fontId="185" fillId="0" borderId="0" applyFont="0" applyFill="0" applyBorder="0" applyProtection="0">
      <alignment horizontal="right"/>
    </xf>
    <xf numFmtId="9" fontId="11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32" fillId="0" borderId="0" applyFont="0" applyFill="0" applyBorder="0" applyAlignment="0" applyProtection="0"/>
    <xf numFmtId="0" fontId="32" fillId="114" borderId="289" applyNumberFormat="0" applyFont="0" applyAlignment="0"/>
    <xf numFmtId="0" fontId="198" fillId="0" borderId="0" applyNumberFormat="0" applyFont="0" applyFill="0" applyBorder="0" applyAlignment="0" applyProtection="0">
      <alignment horizontal="left"/>
    </xf>
    <xf numFmtId="15" fontId="198" fillId="0" borderId="0" applyFont="0" applyFill="0" applyBorder="0" applyAlignment="0" applyProtection="0"/>
    <xf numFmtId="0" fontId="235" fillId="0" borderId="12">
      <alignment horizontal="center"/>
    </xf>
    <xf numFmtId="0" fontId="198" fillId="116" borderId="0" applyNumberFormat="0" applyFont="0" applyBorder="0" applyAlignment="0" applyProtection="0"/>
    <xf numFmtId="37" fontId="236" fillId="0" borderId="0" applyNumberFormat="0" applyFill="0" applyBorder="0" applyAlignment="0" applyProtection="0"/>
    <xf numFmtId="0" fontId="237" fillId="117" borderId="0" applyNumberFormat="0" applyFont="0" applyBorder="0" applyAlignment="0">
      <alignment horizontal="center"/>
    </xf>
    <xf numFmtId="218" fontId="238" fillId="0" borderId="0" applyNumberFormat="0" applyFill="0" applyBorder="0" applyAlignment="0" applyProtection="0">
      <alignment horizontal="left"/>
    </xf>
    <xf numFmtId="0" fontId="187" fillId="92" borderId="372" applyNumberFormat="0" applyAlignment="0" applyProtection="0"/>
    <xf numFmtId="0" fontId="187" fillId="92" borderId="372" applyNumberFormat="0" applyAlignment="0" applyProtection="0"/>
    <xf numFmtId="4" fontId="103" fillId="86" borderId="390" applyNumberFormat="0" applyProtection="0">
      <alignment vertical="center"/>
    </xf>
    <xf numFmtId="4" fontId="239" fillId="118" borderId="390" applyNumberFormat="0" applyProtection="0">
      <alignment vertical="center"/>
    </xf>
    <xf numFmtId="4" fontId="103" fillId="118" borderId="390" applyNumberFormat="0" applyProtection="0">
      <alignment horizontal="left" vertical="center" indent="1"/>
    </xf>
    <xf numFmtId="0" fontId="103" fillId="118" borderId="390" applyNumberFormat="0" applyProtection="0">
      <alignment horizontal="left" vertical="top" indent="1"/>
    </xf>
    <xf numFmtId="0" fontId="103" fillId="119" borderId="0" applyNumberFormat="0" applyProtection="0">
      <alignment horizontal="left" vertical="center" indent="1"/>
    </xf>
    <xf numFmtId="4" fontId="41" fillId="80" borderId="390" applyNumberFormat="0" applyProtection="0">
      <alignment horizontal="right" vertical="center"/>
    </xf>
    <xf numFmtId="4" fontId="41" fillId="89" borderId="390" applyNumberFormat="0" applyProtection="0">
      <alignment horizontal="right" vertical="center"/>
    </xf>
    <xf numFmtId="4" fontId="41" fillId="100" borderId="390" applyNumberFormat="0" applyProtection="0">
      <alignment horizontal="right" vertical="center"/>
    </xf>
    <xf numFmtId="4" fontId="41" fillId="91" borderId="390" applyNumberFormat="0" applyProtection="0">
      <alignment horizontal="right" vertical="center"/>
    </xf>
    <xf numFmtId="4" fontId="41" fillId="97" borderId="390" applyNumberFormat="0" applyProtection="0">
      <alignment horizontal="right" vertical="center"/>
    </xf>
    <xf numFmtId="4" fontId="41" fillId="103" borderId="390" applyNumberFormat="0" applyProtection="0">
      <alignment horizontal="right" vertical="center"/>
    </xf>
    <xf numFmtId="4" fontId="41" fillId="101" borderId="390" applyNumberFormat="0" applyProtection="0">
      <alignment horizontal="right" vertical="center"/>
    </xf>
    <xf numFmtId="4" fontId="41" fillId="120" borderId="390" applyNumberFormat="0" applyProtection="0">
      <alignment horizontal="right" vertical="center"/>
    </xf>
    <xf numFmtId="4" fontId="41" fillId="90" borderId="390" applyNumberFormat="0" applyProtection="0">
      <alignment horizontal="right" vertical="center"/>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103" fillId="121" borderId="391" applyNumberFormat="0" applyProtection="0">
      <alignment horizontal="left" vertical="center" indent="1"/>
    </xf>
    <xf numFmtId="4" fontId="41" fillId="87" borderId="0" applyNumberFormat="0" applyProtection="0">
      <alignment horizontal="left" vertical="center" indent="1"/>
    </xf>
    <xf numFmtId="4" fontId="240" fillId="122" borderId="0" applyNumberFormat="0" applyProtection="0">
      <alignment horizontal="left" vertical="center" indent="1"/>
    </xf>
    <xf numFmtId="4" fontId="41" fillId="123" borderId="390" applyNumberFormat="0" applyProtection="0">
      <alignment horizontal="right" vertical="center"/>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87"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4" fontId="41" fillId="119" borderId="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center"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22" borderId="390" applyNumberFormat="0" applyProtection="0">
      <alignment horizontal="left" vertical="top"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center"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119" borderId="390" applyNumberFormat="0" applyProtection="0">
      <alignment horizontal="left" vertical="top"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center"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72" borderId="390" applyNumberFormat="0" applyProtection="0">
      <alignment horizontal="left" vertical="top"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center"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0" fontId="32" fillId="114" borderId="390" applyNumberFormat="0" applyProtection="0">
      <alignment horizontal="left" vertical="top" indent="1"/>
    </xf>
    <xf numFmtId="4" fontId="41" fillId="111" borderId="390" applyNumberFormat="0" applyProtection="0">
      <alignment vertical="center"/>
    </xf>
    <xf numFmtId="4" fontId="241" fillId="111" borderId="390" applyNumberFormat="0" applyProtection="0">
      <alignment vertical="center"/>
    </xf>
    <xf numFmtId="4" fontId="41" fillId="111" borderId="390" applyNumberFormat="0" applyProtection="0">
      <alignment horizontal="left" vertical="center" indent="1"/>
    </xf>
    <xf numFmtId="0" fontId="41" fillId="111" borderId="390" applyNumberFormat="0" applyProtection="0">
      <alignment horizontal="left" vertical="top" indent="1"/>
    </xf>
    <xf numFmtId="0" fontId="41" fillId="124" borderId="390" applyNumberFormat="0" applyProtection="0">
      <alignment horizontal="right" vertical="center"/>
    </xf>
    <xf numFmtId="4" fontId="41" fillId="87" borderId="390" applyNumberFormat="0" applyProtection="0">
      <alignment horizontal="right" vertical="center"/>
    </xf>
    <xf numFmtId="4" fontId="241" fillId="87" borderId="390" applyNumberFormat="0" applyProtection="0">
      <alignment horizontal="right" vertical="center"/>
    </xf>
    <xf numFmtId="0" fontId="41" fillId="119" borderId="390" applyNumberFormat="0" applyProtection="0">
      <alignment horizontal="left" vertical="center" indent="1"/>
    </xf>
    <xf numFmtId="4" fontId="41" fillId="123" borderId="390" applyNumberFormat="0" applyProtection="0">
      <alignment horizontal="left" vertical="center" indent="1"/>
    </xf>
    <xf numFmtId="0" fontId="41" fillId="119" borderId="390" applyNumberFormat="0" applyProtection="0">
      <alignment horizontal="left" vertical="top" indent="1"/>
    </xf>
    <xf numFmtId="4" fontId="242" fillId="125" borderId="0" applyNumberFormat="0" applyProtection="0">
      <alignment horizontal="left" vertical="center" indent="1"/>
    </xf>
    <xf numFmtId="4" fontId="78" fillId="87" borderId="390" applyNumberFormat="0" applyProtection="0">
      <alignment horizontal="right" vertical="center"/>
    </xf>
    <xf numFmtId="0" fontId="192" fillId="81" borderId="0" applyNumberFormat="0" applyBorder="0" applyAlignment="0" applyProtection="0"/>
    <xf numFmtId="0" fontId="189" fillId="80" borderId="0" applyNumberFormat="0" applyBorder="0" applyAlignment="0" applyProtection="0"/>
    <xf numFmtId="0" fontId="107" fillId="112" borderId="126" applyFont="0">
      <alignment horizontal="left" vertical="center"/>
    </xf>
    <xf numFmtId="0" fontId="75" fillId="126" borderId="0" applyNumberFormat="0" applyFont="0" applyBorder="0" applyAlignment="0" applyProtection="0"/>
    <xf numFmtId="0" fontId="237" fillId="1" borderId="243" applyNumberFormat="0" applyFont="0" applyAlignment="0">
      <alignment horizontal="center"/>
    </xf>
    <xf numFmtId="219" fontId="32" fillId="2" borderId="289">
      <alignment horizontal="center"/>
    </xf>
    <xf numFmtId="3" fontId="32" fillId="2" borderId="289" applyFont="0">
      <alignment horizontal="right"/>
    </xf>
    <xf numFmtId="206" fontId="32" fillId="2" borderId="289" applyFont="0">
      <alignment horizontal="right"/>
    </xf>
    <xf numFmtId="205" fontId="32" fillId="2" borderId="289" applyFont="0">
      <alignment horizontal="right"/>
    </xf>
    <xf numFmtId="10" fontId="32" fillId="2" borderId="289" applyFont="0">
      <alignment horizontal="right"/>
    </xf>
    <xf numFmtId="9" fontId="32" fillId="2" borderId="289" applyFont="0">
      <alignment horizontal="right"/>
    </xf>
    <xf numFmtId="220" fontId="32" fillId="2" borderId="289" applyFont="0">
      <alignment horizontal="center" wrapText="1"/>
    </xf>
    <xf numFmtId="0" fontId="187" fillId="92" borderId="372" applyNumberFormat="0" applyAlignment="0" applyProtection="0"/>
    <xf numFmtId="0" fontId="187" fillId="92" borderId="372" applyNumberFormat="0" applyAlignment="0" applyProtection="0"/>
    <xf numFmtId="0" fontId="243" fillId="0" borderId="0" applyNumberFormat="0" applyFill="0" applyBorder="0" applyAlignment="0">
      <alignment horizontal="center"/>
    </xf>
    <xf numFmtId="0" fontId="164" fillId="127" borderId="0" applyNumberFormat="0" applyBorder="0" applyAlignment="0" applyProtection="0"/>
    <xf numFmtId="0" fontId="164" fillId="127" borderId="0" applyNumberFormat="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164" fillId="128" borderId="0" applyNumberFormat="0" applyBorder="0" applyAlignment="0" applyProtection="0"/>
    <xf numFmtId="0" fontId="164" fillId="128" borderId="0" applyNumberFormat="0" applyBorder="0" applyAlignment="0" applyProtection="0"/>
    <xf numFmtId="0" fontId="164" fillId="128" borderId="0" applyNumberFormat="0" applyBorder="0" applyAlignment="0" applyProtection="0"/>
    <xf numFmtId="0" fontId="164" fillId="128" borderId="0" applyNumberFormat="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0" fontId="164" fillId="129" borderId="0" applyNumberFormat="0" applyBorder="0" applyAlignment="0" applyProtection="0"/>
    <xf numFmtId="0" fontId="164" fillId="129" borderId="0" applyNumberFormat="0" applyBorder="0" applyAlignment="0" applyProtection="0"/>
    <xf numFmtId="0" fontId="164" fillId="129" borderId="0" applyNumberFormat="0" applyBorder="0" applyAlignment="0" applyProtection="0"/>
    <xf numFmtId="0" fontId="164" fillId="129" borderId="0" applyNumberFormat="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0" fontId="32" fillId="130" borderId="0" applyNumberFormat="0" applyBorder="0" applyAlignment="0" applyProtection="0"/>
    <xf numFmtId="0" fontId="32" fillId="130" borderId="0" applyNumberFormat="0" applyBorder="0" applyAlignment="0" applyProtection="0"/>
    <xf numFmtId="0" fontId="32" fillId="130" borderId="0" applyNumberFormat="0" applyBorder="0" applyAlignment="0" applyProtection="0"/>
    <xf numFmtId="0" fontId="32" fillId="130" borderId="0" applyNumberFormat="0" applyBorder="0" applyAlignment="0" applyProtection="0"/>
    <xf numFmtId="0" fontId="164" fillId="130" borderId="0" applyNumberFormat="0" applyBorder="0" applyAlignment="0" applyProtection="0"/>
    <xf numFmtId="0" fontId="164" fillId="130" borderId="0" applyNumberFormat="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164" fillId="131" borderId="0" applyNumberFormat="0" applyBorder="0" applyAlignment="0" applyProtection="0"/>
    <xf numFmtId="3" fontId="164" fillId="131" borderId="0" applyNumberFormat="0" applyBorder="0" applyAlignment="0" applyProtection="0"/>
    <xf numFmtId="3" fontId="164" fillId="131" borderId="0" applyNumberFormat="0" applyBorder="0" applyAlignment="0" applyProtection="0"/>
    <xf numFmtId="3" fontId="164" fillId="131" borderId="0" applyNumberFormat="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32" fillId="0" borderId="0" applyNumberFormat="0" applyFont="0" applyFill="0" applyBorder="0" applyAlignment="0" applyProtection="0"/>
    <xf numFmtId="3" fontId="164" fillId="132" borderId="0" applyNumberFormat="0" applyBorder="0" applyAlignment="0" applyProtection="0"/>
    <xf numFmtId="3" fontId="164" fillId="132" borderId="0" applyNumberFormat="0" applyBorder="0" applyAlignment="0" applyProtection="0"/>
    <xf numFmtId="3" fontId="164" fillId="132" borderId="0" applyNumberFormat="0" applyBorder="0" applyAlignment="0" applyProtection="0"/>
    <xf numFmtId="3" fontId="164" fillId="132" borderId="0" applyNumberFormat="0" applyBorder="0" applyAlignment="0" applyProtection="0"/>
    <xf numFmtId="0" fontId="32" fillId="0" borderId="0" applyFont="0" applyFill="0" applyBorder="0" applyAlignment="0" applyProtection="0"/>
    <xf numFmtId="0" fontId="32" fillId="0" borderId="0" applyFont="0" applyFill="0" applyBorder="0" applyAlignment="0" applyProtection="0"/>
    <xf numFmtId="3" fontId="32" fillId="0" borderId="0" applyFont="0" applyFill="0" applyBorder="0" applyAlignment="0" applyProtection="0"/>
    <xf numFmtId="3" fontId="32" fillId="0" borderId="0" applyFont="0" applyFill="0" applyBorder="0" applyAlignment="0" applyProtection="0"/>
    <xf numFmtId="0" fontId="32" fillId="132" borderId="0" applyNumberFormat="0" applyFont="0" applyBorder="0" applyAlignment="0" applyProtection="0"/>
    <xf numFmtId="0" fontId="32" fillId="132" borderId="0" applyNumberFormat="0" applyFont="0" applyBorder="0" applyAlignment="0" applyProtection="0"/>
    <xf numFmtId="4" fontId="32" fillId="0" borderId="0" applyFont="0" applyFill="0" applyBorder="0" applyAlignment="0" applyProtection="0"/>
    <xf numFmtId="4" fontId="32" fillId="0" borderId="0" applyFont="0" applyFill="0" applyBorder="0" applyAlignment="0" applyProtection="0"/>
    <xf numFmtId="0" fontId="244" fillId="0" borderId="0"/>
    <xf numFmtId="0" fontId="32" fillId="0" borderId="0"/>
    <xf numFmtId="0" fontId="32" fillId="0" borderId="0"/>
    <xf numFmtId="0" fontId="219"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0" fontId="32" fillId="0" borderId="0">
      <alignment horizontal="left" wrapText="1"/>
    </xf>
    <xf numFmtId="49" fontId="245" fillId="0" borderId="0" applyFill="0" applyBorder="0" applyProtection="0">
      <alignment horizontal="left" wrapText="1"/>
    </xf>
    <xf numFmtId="49" fontId="245" fillId="0" borderId="0" applyFill="0" applyBorder="0" applyProtection="0">
      <alignment horizontal="left"/>
    </xf>
    <xf numFmtId="49" fontId="117" fillId="0" borderId="0" applyFill="0" applyBorder="0" applyProtection="0">
      <alignment horizontal="left" wrapText="1"/>
    </xf>
    <xf numFmtId="49" fontId="117" fillId="0" borderId="0" applyFill="0" applyBorder="0" applyProtection="0">
      <alignment horizontal="left"/>
    </xf>
    <xf numFmtId="49" fontId="245" fillId="0" borderId="0" applyFill="0" applyBorder="0" applyProtection="0">
      <alignment horizontal="center" wrapText="1"/>
    </xf>
    <xf numFmtId="49" fontId="245" fillId="0" borderId="0" applyFill="0" applyBorder="0" applyProtection="0">
      <alignment horizontal="center"/>
    </xf>
    <xf numFmtId="49" fontId="117" fillId="0" borderId="0" applyFill="0" applyBorder="0" applyProtection="0">
      <alignment horizontal="center" wrapText="1"/>
    </xf>
    <xf numFmtId="49" fontId="117" fillId="0" borderId="0" applyFill="0" applyBorder="0" applyProtection="0">
      <alignment horizontal="center"/>
    </xf>
    <xf numFmtId="49" fontId="245" fillId="0" borderId="0" applyFill="0" applyBorder="0" applyProtection="0">
      <alignment horizontal="right" wrapText="1"/>
    </xf>
    <xf numFmtId="49" fontId="245" fillId="0" borderId="0" applyFill="0" applyBorder="0" applyProtection="0">
      <alignment horizontal="right"/>
    </xf>
    <xf numFmtId="49" fontId="117" fillId="0" borderId="0" applyFill="0" applyBorder="0" applyProtection="0">
      <alignment horizontal="right" wrapText="1"/>
    </xf>
    <xf numFmtId="49" fontId="117" fillId="0" borderId="0" applyFill="0" applyBorder="0" applyProtection="0">
      <alignment horizontal="right"/>
    </xf>
    <xf numFmtId="40" fontId="246" fillId="0" borderId="0" applyBorder="0">
      <alignment horizontal="right"/>
    </xf>
    <xf numFmtId="1" fontId="32" fillId="133" borderId="289" applyFont="0">
      <alignment horizontal="right"/>
    </xf>
    <xf numFmtId="221" fontId="32" fillId="133" borderId="289" applyFont="0"/>
    <xf numFmtId="9" fontId="32" fillId="133" borderId="289" applyFont="0">
      <alignment horizontal="right"/>
    </xf>
    <xf numFmtId="166" fontId="32" fillId="133" borderId="289" applyFont="0">
      <alignment horizontal="right"/>
    </xf>
    <xf numFmtId="10" fontId="32" fillId="133" borderId="289" applyFont="0">
      <alignment horizontal="right"/>
    </xf>
    <xf numFmtId="0" fontId="32" fillId="133" borderId="289" applyFont="0">
      <alignment horizontal="center" wrapText="1"/>
    </xf>
    <xf numFmtId="49" fontId="32" fillId="133" borderId="289" applyFont="0"/>
    <xf numFmtId="221" fontId="32" fillId="134" borderId="289" applyFont="0"/>
    <xf numFmtId="9" fontId="32" fillId="134" borderId="289" applyFont="0">
      <alignment horizontal="right"/>
    </xf>
    <xf numFmtId="221" fontId="32" fillId="113" borderId="289" applyFont="0">
      <alignment horizontal="right"/>
    </xf>
    <xf numFmtId="1" fontId="32" fillId="113" borderId="289" applyFont="0">
      <alignment horizontal="right"/>
    </xf>
    <xf numFmtId="221" fontId="32" fillId="113" borderId="289" applyFont="0"/>
    <xf numFmtId="205" fontId="32" fillId="113" borderId="289" applyFont="0"/>
    <xf numFmtId="10" fontId="32" fillId="113" borderId="289" applyFont="0">
      <alignment horizontal="right"/>
    </xf>
    <xf numFmtId="9" fontId="32" fillId="113" borderId="289" applyFont="0">
      <alignment horizontal="right"/>
    </xf>
    <xf numFmtId="166" fontId="32" fillId="113" borderId="289" applyFont="0">
      <alignment horizontal="right"/>
    </xf>
    <xf numFmtId="10" fontId="32" fillId="113" borderId="244" applyFont="0">
      <alignment horizontal="right"/>
    </xf>
    <xf numFmtId="0" fontId="32" fillId="113" borderId="289" applyFont="0">
      <alignment horizontal="center" wrapText="1"/>
      <protection locked="0"/>
    </xf>
    <xf numFmtId="49" fontId="32" fillId="113" borderId="289" applyFont="0"/>
    <xf numFmtId="0" fontId="89" fillId="0" borderId="0" applyFill="0" applyBorder="0" applyProtection="0">
      <alignment horizontal="center" vertical="center"/>
    </xf>
    <xf numFmtId="0" fontId="80" fillId="0" borderId="0" applyBorder="0" applyProtection="0">
      <alignment horizontal="left"/>
    </xf>
    <xf numFmtId="0" fontId="89" fillId="0" borderId="0" applyFill="0" applyBorder="0" applyProtection="0"/>
    <xf numFmtId="0" fontId="34" fillId="0" borderId="0" applyFill="0" applyBorder="0" applyProtection="0">
      <alignment horizontal="left"/>
    </xf>
    <xf numFmtId="0" fontId="89" fillId="0" borderId="0" applyFill="0" applyBorder="0" applyProtection="0">
      <alignment horizontal="left"/>
    </xf>
    <xf numFmtId="0" fontId="247" fillId="0" borderId="0" applyFill="0" applyBorder="0" applyProtection="0">
      <alignment horizontal="left" vertical="top"/>
    </xf>
    <xf numFmtId="0" fontId="117" fillId="0" borderId="218" applyFill="0" applyBorder="0" applyProtection="0">
      <alignment horizontal="left" vertical="top"/>
    </xf>
    <xf numFmtId="0" fontId="117" fillId="0" borderId="0" applyNumberFormat="0" applyFont="0" applyFill="0" applyBorder="0" applyAlignment="0" applyProtection="0">
      <alignment horizontal="left" vertical="top" wrapText="1"/>
      <protection locked="0"/>
    </xf>
    <xf numFmtId="0" fontId="188" fillId="0" borderId="0" applyNumberFormat="0" applyFill="0" applyBorder="0" applyAlignment="0" applyProtection="0"/>
    <xf numFmtId="0" fontId="205" fillId="0" borderId="0" applyNumberFormat="0" applyFill="0" applyBorder="0" applyAlignment="0" applyProtection="0"/>
    <xf numFmtId="49" fontId="41" fillId="0" borderId="0" applyFill="0" applyBorder="0" applyAlignment="0"/>
    <xf numFmtId="222" fontId="193" fillId="0" borderId="0" applyFill="0" applyBorder="0" applyAlignment="0"/>
    <xf numFmtId="223" fontId="193" fillId="0" borderId="0" applyFill="0" applyBorder="0" applyAlignment="0"/>
    <xf numFmtId="1" fontId="248" fillId="85" borderId="326"/>
    <xf numFmtId="0" fontId="205" fillId="0" borderId="0" applyNumberFormat="0" applyFill="0" applyBorder="0" applyAlignment="0" applyProtection="0"/>
    <xf numFmtId="0" fontId="188" fillId="0" borderId="0" applyNumberFormat="0" applyFill="0" applyBorder="0" applyAlignment="0" applyProtection="0"/>
    <xf numFmtId="0" fontId="205" fillId="0" borderId="0" applyNumberFormat="0" applyFill="0" applyBorder="0" applyAlignment="0" applyProtection="0"/>
    <xf numFmtId="0" fontId="34" fillId="0" borderId="12">
      <alignment horizontal="center" vertical="center" wrapText="1"/>
    </xf>
    <xf numFmtId="0" fontId="34" fillId="0" borderId="12">
      <alignment horizontal="center" vertical="center" wrapText="1"/>
    </xf>
    <xf numFmtId="0" fontId="24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5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49" fillId="0" borderId="0" applyNumberFormat="0" applyFill="0" applyBorder="0" applyAlignment="0" applyProtection="0"/>
    <xf numFmtId="0" fontId="209" fillId="0" borderId="379" applyNumberFormat="0" applyFill="0" applyAlignment="0" applyProtection="0"/>
    <xf numFmtId="0" fontId="212" fillId="0" borderId="381" applyNumberFormat="0" applyFill="0" applyAlignment="0" applyProtection="0"/>
    <xf numFmtId="0" fontId="202" fillId="0" borderId="383" applyNumberFormat="0" applyFill="0" applyAlignment="0" applyProtection="0"/>
    <xf numFmtId="0" fontId="202" fillId="0" borderId="0" applyNumberFormat="0" applyFill="0" applyBorder="0" applyAlignment="0" applyProtection="0"/>
    <xf numFmtId="0" fontId="249" fillId="0" borderId="0" applyNumberFormat="0" applyFill="0" applyBorder="0" applyAlignment="0" applyProtection="0"/>
    <xf numFmtId="0" fontId="209" fillId="0" borderId="379" applyNumberFormat="0" applyFill="0" applyAlignment="0" applyProtection="0"/>
    <xf numFmtId="0" fontId="212" fillId="0" borderId="381" applyNumberFormat="0" applyFill="0" applyAlignment="0" applyProtection="0"/>
    <xf numFmtId="0" fontId="202" fillId="0" borderId="383" applyNumberFormat="0" applyFill="0" applyAlignment="0" applyProtection="0"/>
    <xf numFmtId="0" fontId="202" fillId="0" borderId="0" applyNumberFormat="0" applyFill="0" applyBorder="0" applyAlignment="0" applyProtection="0"/>
    <xf numFmtId="0" fontId="249" fillId="0" borderId="0" applyNumberFormat="0" applyFill="0" applyBorder="0" applyAlignment="0" applyProtection="0"/>
    <xf numFmtId="0" fontId="209" fillId="0" borderId="379" applyNumberFormat="0" applyFill="0" applyAlignment="0" applyProtection="0"/>
    <xf numFmtId="0" fontId="212" fillId="0" borderId="381" applyNumberFormat="0" applyFill="0" applyAlignment="0" applyProtection="0"/>
    <xf numFmtId="0" fontId="202" fillId="0" borderId="383" applyNumberFormat="0" applyFill="0" applyAlignment="0" applyProtection="0"/>
    <xf numFmtId="0" fontId="204" fillId="0" borderId="378" applyNumberFormat="0" applyFill="0" applyAlignment="0" applyProtection="0"/>
    <xf numFmtId="0" fontId="204" fillId="0" borderId="378" applyNumberFormat="0" applyFill="0" applyAlignment="0" applyProtection="0"/>
    <xf numFmtId="0" fontId="204" fillId="0" borderId="392" applyNumberFormat="0" applyFill="0" applyAlignment="0" applyProtection="0"/>
    <xf numFmtId="0" fontId="51" fillId="0" borderId="135" applyNumberFormat="0" applyFill="0" applyAlignment="0" applyProtection="0"/>
    <xf numFmtId="0" fontId="51" fillId="0" borderId="135" applyNumberFormat="0" applyFill="0" applyAlignment="0" applyProtection="0"/>
    <xf numFmtId="0" fontId="51" fillId="0" borderId="135" applyNumberFormat="0" applyFill="0" applyAlignment="0" applyProtection="0"/>
    <xf numFmtId="0" fontId="204" fillId="0" borderId="378" applyNumberFormat="0" applyFill="0" applyAlignment="0" applyProtection="0"/>
    <xf numFmtId="0" fontId="204" fillId="0" borderId="378" applyNumberFormat="0" applyFill="0" applyAlignment="0" applyProtection="0"/>
    <xf numFmtId="0" fontId="249" fillId="0" borderId="0" applyNumberFormat="0" applyFill="0" applyBorder="0" applyAlignment="0" applyProtection="0"/>
    <xf numFmtId="0" fontId="209" fillId="0" borderId="379" applyNumberFormat="0" applyFill="0" applyAlignment="0" applyProtection="0"/>
    <xf numFmtId="0" fontId="212" fillId="0" borderId="381" applyNumberFormat="0" applyFill="0" applyAlignment="0" applyProtection="0"/>
    <xf numFmtId="0" fontId="202" fillId="0" borderId="383" applyNumberFormat="0" applyFill="0" applyAlignment="0" applyProtection="0"/>
    <xf numFmtId="0" fontId="202" fillId="0" borderId="0" applyNumberFormat="0" applyFill="0" applyBorder="0" applyAlignment="0" applyProtection="0"/>
    <xf numFmtId="37" fontId="75" fillId="135" borderId="289" applyNumberFormat="0" applyAlignment="0" applyProtection="0"/>
    <xf numFmtId="0" fontId="189" fillId="80" borderId="0" applyNumberFormat="0" applyBorder="0" applyAlignment="0" applyProtection="0"/>
    <xf numFmtId="0" fontId="192" fillId="81" borderId="0" applyNumberFormat="0" applyBorder="0" applyAlignment="0" applyProtection="0"/>
    <xf numFmtId="224" fontId="219" fillId="0" borderId="0" applyFont="0" applyFill="0" applyBorder="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195" fillId="0" borderId="376" applyNumberFormat="0" applyFill="0" applyAlignment="0" applyProtection="0"/>
    <xf numFmtId="0" fontId="32" fillId="0" borderId="0" applyFont="0" applyFill="0" applyBorder="0" applyAlignment="0" applyProtection="0"/>
    <xf numFmtId="225" fontId="32" fillId="0" borderId="0" applyFon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251" fillId="109" borderId="126" applyNumberFormat="0" applyProtection="0">
      <alignment vertical="center"/>
    </xf>
    <xf numFmtId="184" fontId="185" fillId="0" borderId="0" applyFont="0" applyFill="0" applyBorder="0" applyProtection="0">
      <alignment horizontal="right"/>
    </xf>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0" fontId="194" fillId="106" borderId="375" applyNumberFormat="0" applyAlignment="0" applyProtection="0"/>
    <xf numFmtId="43" fontId="32" fillId="0" borderId="0" applyFont="0" applyFill="0" applyBorder="0" applyAlignment="0" applyProtection="0"/>
    <xf numFmtId="41" fontId="32" fillId="0" borderId="0" applyFont="0" applyFill="0" applyBorder="0" applyAlignment="0" applyProtection="0"/>
    <xf numFmtId="0" fontId="198" fillId="0" borderId="0"/>
    <xf numFmtId="226" fontId="198" fillId="0" borderId="0" applyFont="0" applyFill="0" applyBorder="0" applyAlignment="0" applyProtection="0"/>
    <xf numFmtId="227" fontId="198" fillId="0" borderId="0" applyFont="0" applyFill="0" applyBorder="0" applyAlignment="0" applyProtection="0"/>
    <xf numFmtId="0" fontId="32" fillId="0" borderId="0">
      <alignment horizontal="left" wrapText="1"/>
    </xf>
    <xf numFmtId="0" fontId="1" fillId="0" borderId="0"/>
    <xf numFmtId="9" fontId="1" fillId="0" borderId="0" applyFont="0" applyFill="0" applyBorder="0" applyAlignment="0" applyProtection="0"/>
    <xf numFmtId="43" fontId="1" fillId="0" borderId="0" applyFont="0" applyFill="0" applyBorder="0" applyAlignment="0" applyProtection="0"/>
    <xf numFmtId="0" fontId="252" fillId="0" borderId="0"/>
  </cellStyleXfs>
  <cellXfs count="1367">
    <xf numFmtId="0" fontId="0" fillId="0" borderId="0" xfId="0"/>
    <xf numFmtId="0" fontId="0" fillId="0" borderId="0" xfId="0" applyAlignment="1">
      <alignment horizontal="center"/>
    </xf>
    <xf numFmtId="0" fontId="34" fillId="0" borderId="0" xfId="0" applyFont="1"/>
    <xf numFmtId="164" fontId="0" fillId="0" borderId="0" xfId="0" applyNumberFormat="1"/>
    <xf numFmtId="0" fontId="32"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9" fillId="0" borderId="0" xfId="97"/>
    <xf numFmtId="0" fontId="58" fillId="0" borderId="0" xfId="97" applyFont="1"/>
    <xf numFmtId="14" fontId="29" fillId="3" borderId="34" xfId="97" applyNumberFormat="1" applyFill="1" applyBorder="1" applyAlignment="1">
      <alignment horizontal="center" vertical="center"/>
    </xf>
    <xf numFmtId="0" fontId="29" fillId="5" borderId="0" xfId="97" applyFill="1"/>
    <xf numFmtId="0" fontId="59" fillId="5" borderId="0" xfId="97" applyFont="1" applyFill="1" applyAlignment="1">
      <alignment horizontal="right" vertical="center"/>
    </xf>
    <xf numFmtId="0" fontId="60" fillId="5" borderId="0" xfId="97" applyFont="1" applyFill="1"/>
    <xf numFmtId="0" fontId="60" fillId="0" borderId="0" xfId="97" applyFont="1"/>
    <xf numFmtId="0" fontId="61" fillId="0" borderId="0" xfId="97" applyFont="1" applyAlignment="1">
      <alignment horizontal="right"/>
    </xf>
    <xf numFmtId="14" fontId="59" fillId="0" borderId="0" xfId="97" applyNumberFormat="1" applyFont="1" applyAlignment="1">
      <alignment horizontal="right" vertical="center"/>
    </xf>
    <xf numFmtId="0" fontId="62" fillId="0" borderId="0" xfId="97" applyFont="1" applyAlignment="1">
      <alignment horizontal="left" indent="1"/>
    </xf>
    <xf numFmtId="0" fontId="62" fillId="0" borderId="0" xfId="97" applyFont="1"/>
    <xf numFmtId="0" fontId="63" fillId="0" borderId="0" xfId="97" applyFont="1" applyAlignment="1">
      <alignment vertical="center"/>
    </xf>
    <xf numFmtId="0" fontId="66" fillId="0" borderId="0" xfId="97" applyFont="1" applyAlignment="1">
      <alignment vertical="center"/>
    </xf>
    <xf numFmtId="0" fontId="67" fillId="0" borderId="40" xfId="97" applyFont="1" applyBorder="1" applyAlignment="1">
      <alignment horizontal="left" vertical="center"/>
    </xf>
    <xf numFmtId="0" fontId="67" fillId="0" borderId="41" xfId="97" applyFont="1" applyBorder="1" applyAlignment="1">
      <alignment horizontal="left" vertical="center"/>
    </xf>
    <xf numFmtId="0" fontId="68" fillId="0" borderId="0" xfId="97" applyFont="1"/>
    <xf numFmtId="0" fontId="36" fillId="0" borderId="0" xfId="97" applyFont="1" applyAlignment="1">
      <alignment horizontal="center" vertical="center"/>
    </xf>
    <xf numFmtId="0" fontId="51" fillId="0" borderId="33" xfId="97" applyFont="1" applyBorder="1" applyAlignment="1">
      <alignment horizontal="left" vertical="center" wrapText="1"/>
    </xf>
    <xf numFmtId="4" fontId="32" fillId="0" borderId="0" xfId="102" applyNumberFormat="1"/>
    <xf numFmtId="0" fontId="32" fillId="5" borderId="0" xfId="99" applyFont="1" applyFill="1"/>
    <xf numFmtId="4" fontId="69" fillId="0" borderId="0" xfId="102" applyNumberFormat="1" applyFont="1"/>
    <xf numFmtId="4" fontId="70" fillId="0" borderId="0" xfId="102" applyNumberFormat="1" applyFont="1"/>
    <xf numFmtId="4" fontId="71" fillId="0" borderId="0" xfId="102" applyNumberFormat="1" applyFont="1" applyAlignment="1">
      <alignment horizontal="center" vertical="center"/>
    </xf>
    <xf numFmtId="0" fontId="36" fillId="0" borderId="0" xfId="102" applyFont="1" applyAlignment="1">
      <alignment horizontal="center" vertical="center"/>
    </xf>
    <xf numFmtId="14" fontId="32" fillId="0" borderId="0" xfId="102" applyNumberFormat="1"/>
    <xf numFmtId="14" fontId="32" fillId="0" borderId="0" xfId="102" applyNumberFormat="1" applyAlignment="1">
      <alignment horizontal="center"/>
    </xf>
    <xf numFmtId="4" fontId="34" fillId="0" borderId="0" xfId="102" applyNumberFormat="1" applyFont="1" applyAlignment="1">
      <alignment horizontal="right"/>
    </xf>
    <xf numFmtId="3" fontId="32" fillId="0" borderId="0" xfId="102" applyNumberFormat="1"/>
    <xf numFmtId="4" fontId="73" fillId="0" borderId="0" xfId="102" applyNumberFormat="1" applyFont="1"/>
    <xf numFmtId="170" fontId="74" fillId="5" borderId="2" xfId="102" applyNumberFormat="1" applyFont="1" applyFill="1" applyBorder="1" applyAlignment="1">
      <alignment horizontal="center" vertical="center"/>
    </xf>
    <xf numFmtId="4" fontId="32" fillId="0" borderId="0" xfId="102" applyNumberFormat="1" applyAlignment="1">
      <alignment vertical="center"/>
    </xf>
    <xf numFmtId="4" fontId="75" fillId="0" borderId="0" xfId="102" applyNumberFormat="1" applyFont="1" applyAlignment="1">
      <alignment vertical="center"/>
    </xf>
    <xf numFmtId="4" fontId="76" fillId="0" borderId="43" xfId="102" applyNumberFormat="1" applyFont="1" applyBorder="1" applyAlignment="1">
      <alignment horizontal="left" vertical="center"/>
    </xf>
    <xf numFmtId="4" fontId="37" fillId="0" borderId="0" xfId="102" applyNumberFormat="1" applyFont="1" applyAlignment="1">
      <alignment horizontal="center" vertical="center"/>
    </xf>
    <xf numFmtId="164" fontId="37" fillId="0" borderId="0" xfId="98" applyFont="1" applyAlignment="1">
      <alignment horizontal="center" vertical="center"/>
    </xf>
    <xf numFmtId="164" fontId="77" fillId="0" borderId="0" xfId="98" applyFont="1" applyAlignment="1">
      <alignment horizontal="center" vertical="center"/>
    </xf>
    <xf numFmtId="4" fontId="76" fillId="0" borderId="30" xfId="102" applyNumberFormat="1" applyFont="1" applyBorder="1" applyAlignment="1">
      <alignment horizontal="left" vertical="center" indent="3"/>
    </xf>
    <xf numFmtId="4" fontId="78" fillId="0" borderId="0" xfId="102" applyNumberFormat="1" applyFont="1" applyAlignment="1">
      <alignment horizontal="center"/>
    </xf>
    <xf numFmtId="4" fontId="32" fillId="0" borderId="0" xfId="102" applyNumberFormat="1" applyAlignment="1">
      <alignment horizontal="center"/>
    </xf>
    <xf numFmtId="164" fontId="33" fillId="0" borderId="0" xfId="98" applyFont="1" applyAlignment="1">
      <alignment horizontal="center"/>
    </xf>
    <xf numFmtId="164" fontId="33" fillId="0" borderId="0" xfId="98" applyFont="1" applyBorder="1" applyAlignment="1">
      <alignment horizontal="center"/>
    </xf>
    <xf numFmtId="164" fontId="77" fillId="0" borderId="0" xfId="98" applyFont="1" applyAlignment="1">
      <alignment horizontal="center"/>
    </xf>
    <xf numFmtId="3" fontId="79" fillId="0" borderId="0" xfId="102" applyNumberFormat="1" applyFont="1" applyAlignment="1">
      <alignment horizontal="center"/>
    </xf>
    <xf numFmtId="164" fontId="32" fillId="0" borderId="0" xfId="98" applyFont="1"/>
    <xf numFmtId="4" fontId="0" fillId="0" borderId="0" xfId="102" applyNumberFormat="1" applyFont="1" applyAlignment="1">
      <alignment vertical="center"/>
    </xf>
    <xf numFmtId="164" fontId="76" fillId="0" borderId="0" xfId="98" applyFont="1" applyAlignment="1">
      <alignment horizontal="center" vertical="center"/>
    </xf>
    <xf numFmtId="164" fontId="34" fillId="0" borderId="0" xfId="98" applyFont="1" applyAlignment="1">
      <alignment horizontal="center" vertical="center"/>
    </xf>
    <xf numFmtId="4" fontId="53" fillId="0" borderId="0" xfId="102" applyNumberFormat="1" applyFont="1" applyAlignment="1">
      <alignment horizontal="left"/>
    </xf>
    <xf numFmtId="4" fontId="0" fillId="0" borderId="0" xfId="102" applyNumberFormat="1" applyFont="1"/>
    <xf numFmtId="164" fontId="0" fillId="0" borderId="0" xfId="98" applyFont="1"/>
    <xf numFmtId="4" fontId="80" fillId="0" borderId="0" xfId="104" applyNumberFormat="1" applyFont="1"/>
    <xf numFmtId="4" fontId="34" fillId="0" borderId="0" xfId="104" applyNumberFormat="1" applyFont="1"/>
    <xf numFmtId="164" fontId="37" fillId="0" borderId="0" xfId="98" applyFont="1" applyAlignment="1">
      <alignment horizontal="center"/>
    </xf>
    <xf numFmtId="164" fontId="81" fillId="0" borderId="0" xfId="98" applyFont="1" applyAlignment="1">
      <alignment horizontal="center"/>
    </xf>
    <xf numFmtId="4" fontId="0" fillId="0" borderId="0" xfId="104" applyNumberFormat="1" applyFont="1"/>
    <xf numFmtId="4" fontId="76" fillId="0" borderId="30" xfId="102" applyNumberFormat="1" applyFont="1" applyBorder="1" applyAlignment="1">
      <alignment horizontal="left" vertical="center"/>
    </xf>
    <xf numFmtId="4" fontId="76" fillId="0" borderId="44" xfId="102" applyNumberFormat="1" applyFont="1" applyBorder="1" applyAlignment="1">
      <alignment horizontal="left" vertical="center"/>
    </xf>
    <xf numFmtId="164" fontId="37" fillId="3" borderId="44" xfId="98" applyFont="1" applyFill="1" applyBorder="1" applyAlignment="1">
      <alignment horizontal="center"/>
    </xf>
    <xf numFmtId="4" fontId="0" fillId="0" borderId="0" xfId="102" applyNumberFormat="1" applyFont="1" applyAlignment="1">
      <alignment horizontal="right"/>
    </xf>
    <xf numFmtId="164" fontId="82" fillId="0" borderId="0" xfId="98" applyFont="1"/>
    <xf numFmtId="164" fontId="82" fillId="0" borderId="0" xfId="98" applyFont="1" applyAlignment="1">
      <alignment horizontal="center"/>
    </xf>
    <xf numFmtId="164" fontId="82" fillId="0" borderId="0" xfId="98" applyFont="1" applyFill="1" applyAlignment="1">
      <alignment horizontal="center"/>
    </xf>
    <xf numFmtId="164" fontId="83" fillId="0" borderId="0" xfId="98" applyFont="1" applyAlignment="1">
      <alignment horizontal="center" vertical="center"/>
    </xf>
    <xf numFmtId="164" fontId="82" fillId="0" borderId="0" xfId="98" applyFont="1" applyAlignment="1">
      <alignment vertical="center"/>
    </xf>
    <xf numFmtId="4" fontId="53" fillId="0" borderId="0" xfId="102" applyNumberFormat="1" applyFont="1"/>
    <xf numFmtId="164" fontId="52" fillId="0" borderId="0" xfId="98" applyFont="1" applyAlignment="1">
      <alignment horizontal="center"/>
    </xf>
    <xf numFmtId="4" fontId="76" fillId="0" borderId="0" xfId="102" applyNumberFormat="1" applyFont="1" applyAlignment="1">
      <alignment horizontal="left" vertical="center" indent="3"/>
    </xf>
    <xf numFmtId="4" fontId="76" fillId="0" borderId="0" xfId="102" applyNumberFormat="1" applyFont="1" applyAlignment="1">
      <alignment horizontal="left" vertical="center"/>
    </xf>
    <xf numFmtId="164" fontId="84" fillId="0" borderId="0" xfId="98" applyFont="1" applyAlignment="1">
      <alignment horizontal="center" vertical="center"/>
    </xf>
    <xf numFmtId="4" fontId="85" fillId="0" borderId="0" xfId="102" applyNumberFormat="1" applyFont="1" applyAlignment="1">
      <alignment horizontal="center" vertical="center"/>
    </xf>
    <xf numFmtId="4" fontId="0" fillId="0" borderId="0" xfId="102" applyNumberFormat="1" applyFont="1" applyAlignment="1">
      <alignment horizontal="center"/>
    </xf>
    <xf numFmtId="10" fontId="32" fillId="0" borderId="0" xfId="106" applyNumberFormat="1" applyFill="1" applyAlignment="1">
      <alignment horizontal="center"/>
    </xf>
    <xf numFmtId="164" fontId="37" fillId="3" borderId="30" xfId="106" applyNumberFormat="1" applyFont="1" applyFill="1" applyBorder="1" applyAlignment="1">
      <alignment horizontal="center"/>
    </xf>
    <xf numFmtId="10" fontId="79" fillId="0" borderId="0" xfId="106" applyNumberFormat="1" applyFont="1" applyFill="1" applyAlignment="1">
      <alignment horizontal="center"/>
    </xf>
    <xf numFmtId="10" fontId="32" fillId="0" borderId="0" xfId="106" applyNumberFormat="1" applyFont="1" applyFill="1" applyAlignment="1">
      <alignment horizontal="center"/>
    </xf>
    <xf numFmtId="164" fontId="52" fillId="3" borderId="44" xfId="102" applyNumberFormat="1" applyFont="1" applyFill="1" applyBorder="1"/>
    <xf numFmtId="4" fontId="79" fillId="0" borderId="0" xfId="102" applyNumberFormat="1" applyFont="1"/>
    <xf numFmtId="168" fontId="32" fillId="0" borderId="0" xfId="106" applyNumberFormat="1" applyFont="1"/>
    <xf numFmtId="10" fontId="32" fillId="0" borderId="0" xfId="106" applyNumberFormat="1" applyFont="1"/>
    <xf numFmtId="14" fontId="86" fillId="0" borderId="0" xfId="102" applyNumberFormat="1" applyFont="1"/>
    <xf numFmtId="168" fontId="86" fillId="0" borderId="0" xfId="106" applyNumberFormat="1" applyFont="1"/>
    <xf numFmtId="10" fontId="86" fillId="0" borderId="0" xfId="106" applyNumberFormat="1" applyFont="1"/>
    <xf numFmtId="4" fontId="86" fillId="0" borderId="0" xfId="102" applyNumberFormat="1" applyFont="1"/>
    <xf numFmtId="14" fontId="86" fillId="0" borderId="0" xfId="102" applyNumberFormat="1" applyFont="1" applyAlignment="1">
      <alignment horizontal="center" vertical="center"/>
    </xf>
    <xf numFmtId="168" fontId="86" fillId="0" borderId="0" xfId="106" applyNumberFormat="1" applyFont="1" applyAlignment="1">
      <alignment horizontal="center" vertical="center"/>
    </xf>
    <xf numFmtId="10" fontId="86" fillId="0" borderId="0" xfId="106" applyNumberFormat="1" applyFont="1" applyAlignment="1">
      <alignment horizontal="center" vertical="center"/>
    </xf>
    <xf numFmtId="4" fontId="86" fillId="0" borderId="0" xfId="102" applyNumberFormat="1" applyFont="1" applyAlignment="1">
      <alignment horizontal="center" vertical="center"/>
    </xf>
    <xf numFmtId="4" fontId="0" fillId="0" borderId="0" xfId="102" applyNumberFormat="1" applyFont="1" applyAlignment="1">
      <alignment horizontal="center" vertical="center"/>
    </xf>
    <xf numFmtId="168" fontId="86" fillId="0" borderId="0" xfId="102" applyNumberFormat="1" applyFont="1" applyAlignment="1">
      <alignment horizontal="center" vertical="center"/>
    </xf>
    <xf numFmtId="4" fontId="78" fillId="0" borderId="0" xfId="102" applyNumberFormat="1" applyFont="1"/>
    <xf numFmtId="4" fontId="32" fillId="2" borderId="0" xfId="102" applyNumberFormat="1" applyFill="1"/>
    <xf numFmtId="14" fontId="32" fillId="2" borderId="0" xfId="102" applyNumberFormat="1" applyFill="1"/>
    <xf numFmtId="4" fontId="32" fillId="0" borderId="0" xfId="102" applyNumberFormat="1" applyAlignment="1">
      <alignment horizontal="center" vertical="center"/>
    </xf>
    <xf numFmtId="14" fontId="34" fillId="0" borderId="33" xfId="103" applyNumberFormat="1" applyFont="1" applyBorder="1" applyAlignment="1">
      <alignment vertical="center"/>
    </xf>
    <xf numFmtId="4" fontId="76" fillId="0" borderId="47" xfId="102" applyNumberFormat="1" applyFont="1" applyBorder="1" applyAlignment="1">
      <alignment horizontal="left" vertical="center"/>
    </xf>
    <xf numFmtId="164" fontId="37" fillId="3" borderId="47" xfId="106" applyNumberFormat="1" applyFont="1" applyFill="1" applyBorder="1" applyAlignment="1">
      <alignment horizontal="center"/>
    </xf>
    <xf numFmtId="0" fontId="34" fillId="0" borderId="0" xfId="103" applyFont="1" applyAlignment="1">
      <alignment vertical="center"/>
    </xf>
    <xf numFmtId="0" fontId="29" fillId="0" borderId="0" xfId="99"/>
    <xf numFmtId="0" fontId="32" fillId="5" borderId="0" xfId="103" applyFill="1"/>
    <xf numFmtId="0" fontId="32" fillId="5" borderId="0" xfId="103" applyFill="1" applyAlignment="1">
      <alignment horizontal="left" vertical="center" indent="1"/>
    </xf>
    <xf numFmtId="14" fontId="34" fillId="5" borderId="0" xfId="103" applyNumberFormat="1" applyFont="1" applyFill="1" applyAlignment="1">
      <alignment horizontal="center" vertical="center"/>
    </xf>
    <xf numFmtId="4" fontId="59" fillId="0" borderId="0" xfId="103" applyNumberFormat="1" applyFont="1"/>
    <xf numFmtId="0" fontId="32" fillId="0" borderId="0" xfId="103" applyAlignment="1">
      <alignment vertical="center"/>
    </xf>
    <xf numFmtId="0" fontId="89" fillId="4" borderId="2" xfId="103" applyFont="1" applyFill="1" applyBorder="1" applyAlignment="1">
      <alignment horizontal="center" vertical="center"/>
    </xf>
    <xf numFmtId="0" fontId="34" fillId="0" borderId="0" xfId="103" applyFont="1"/>
    <xf numFmtId="49" fontId="80" fillId="13" borderId="16" xfId="103" applyNumberFormat="1" applyFont="1" applyFill="1" applyBorder="1" applyAlignment="1">
      <alignment horizontal="center" vertical="center"/>
    </xf>
    <xf numFmtId="0" fontId="91" fillId="11" borderId="48" xfId="103" applyFont="1" applyFill="1" applyBorder="1" applyAlignment="1">
      <alignment horizontal="center" vertical="center"/>
    </xf>
    <xf numFmtId="49" fontId="80" fillId="11" borderId="48" xfId="103" applyNumberFormat="1" applyFont="1" applyFill="1" applyBorder="1" applyAlignment="1">
      <alignment horizontal="center" vertical="center"/>
    </xf>
    <xf numFmtId="0" fontId="94" fillId="11" borderId="48" xfId="103" applyFont="1" applyFill="1" applyBorder="1" applyAlignment="1">
      <alignment horizontal="center" vertical="center"/>
    </xf>
    <xf numFmtId="0" fontId="34" fillId="0" borderId="0" xfId="0" applyFont="1" applyAlignment="1">
      <alignment vertical="center"/>
    </xf>
    <xf numFmtId="0" fontId="32" fillId="5" borderId="0" xfId="0" applyFont="1" applyFill="1"/>
    <xf numFmtId="0" fontId="107" fillId="5" borderId="0" xfId="0" applyFont="1" applyFill="1"/>
    <xf numFmtId="4" fontId="106" fillId="5" borderId="0" xfId="0" applyNumberFormat="1" applyFont="1" applyFill="1" applyAlignment="1">
      <alignment vertical="center"/>
    </xf>
    <xf numFmtId="0" fontId="54" fillId="0" borderId="0" xfId="0" applyFont="1" applyAlignment="1">
      <alignment vertical="center"/>
    </xf>
    <xf numFmtId="0" fontId="54" fillId="0" borderId="83" xfId="0" applyFont="1" applyBorder="1"/>
    <xf numFmtId="0" fontId="54" fillId="0" borderId="85" xfId="0" applyFont="1" applyBorder="1" applyAlignment="1">
      <alignment vertical="center"/>
    </xf>
    <xf numFmtId="0" fontId="108" fillId="0" borderId="0" xfId="0" applyFont="1" applyAlignment="1">
      <alignment vertical="center"/>
    </xf>
    <xf numFmtId="0" fontId="36" fillId="0" borderId="0" xfId="0" applyFont="1" applyAlignment="1">
      <alignment vertical="center"/>
    </xf>
    <xf numFmtId="0" fontId="108" fillId="0" borderId="90" xfId="0" applyFont="1" applyBorder="1" applyAlignment="1">
      <alignment horizontal="left" vertical="center"/>
    </xf>
    <xf numFmtId="0" fontId="0" fillId="0" borderId="91" xfId="0" applyBorder="1"/>
    <xf numFmtId="0" fontId="108" fillId="0" borderId="18" xfId="0" applyFont="1" applyBorder="1" applyAlignment="1">
      <alignment vertical="center"/>
    </xf>
    <xf numFmtId="0" fontId="62" fillId="5" borderId="73" xfId="0" applyFont="1" applyFill="1" applyBorder="1" applyAlignment="1">
      <alignment vertical="center"/>
    </xf>
    <xf numFmtId="0" fontId="36" fillId="5" borderId="74" xfId="0" applyFont="1" applyFill="1" applyBorder="1" applyAlignment="1">
      <alignment vertical="center"/>
    </xf>
    <xf numFmtId="0" fontId="54" fillId="0" borderId="96" xfId="0" applyFont="1" applyBorder="1" applyAlignment="1">
      <alignment vertical="center"/>
    </xf>
    <xf numFmtId="0" fontId="108" fillId="0" borderId="97" xfId="0" applyFont="1" applyBorder="1" applyAlignment="1">
      <alignment horizontal="left" vertical="center"/>
    </xf>
    <xf numFmtId="0" fontId="54" fillId="0" borderId="98" xfId="0" applyFont="1" applyBorder="1" applyAlignment="1">
      <alignment vertical="center"/>
    </xf>
    <xf numFmtId="167" fontId="32" fillId="0" borderId="99" xfId="0" applyNumberFormat="1" applyFont="1" applyBorder="1" applyAlignment="1">
      <alignment horizontal="right" vertical="center" indent="1"/>
    </xf>
    <xf numFmtId="0" fontId="54" fillId="0" borderId="100" xfId="0" applyFont="1" applyBorder="1" applyAlignment="1">
      <alignment vertical="center"/>
    </xf>
    <xf numFmtId="167" fontId="32" fillId="0" borderId="101" xfId="0" applyNumberFormat="1" applyFont="1" applyBorder="1" applyAlignment="1">
      <alignment horizontal="right" vertical="center" indent="1"/>
    </xf>
    <xf numFmtId="0" fontId="54" fillId="0" borderId="102" xfId="0" applyFont="1" applyBorder="1" applyAlignment="1">
      <alignment vertical="center"/>
    </xf>
    <xf numFmtId="0" fontId="54" fillId="0" borderId="103" xfId="0" applyFont="1" applyBorder="1" applyAlignment="1">
      <alignment vertical="center"/>
    </xf>
    <xf numFmtId="0" fontId="108" fillId="0" borderId="104" xfId="0" applyFont="1" applyBorder="1" applyAlignment="1">
      <alignment horizontal="left" vertical="center"/>
    </xf>
    <xf numFmtId="0" fontId="108" fillId="0" borderId="105" xfId="0" applyFont="1" applyBorder="1" applyAlignment="1">
      <alignment vertical="center"/>
    </xf>
    <xf numFmtId="167" fontId="32" fillId="0" borderId="106" xfId="0" applyNumberFormat="1" applyFont="1" applyBorder="1" applyAlignment="1">
      <alignment horizontal="right" vertical="center" indent="1"/>
    </xf>
    <xf numFmtId="0" fontId="36" fillId="5" borderId="57" xfId="0" applyFont="1" applyFill="1" applyBorder="1" applyAlignment="1">
      <alignment vertical="center"/>
    </xf>
    <xf numFmtId="0" fontId="36" fillId="5" borderId="58" xfId="0" applyFont="1" applyFill="1" applyBorder="1" applyAlignment="1">
      <alignment vertical="center"/>
    </xf>
    <xf numFmtId="14" fontId="34" fillId="0" borderId="0" xfId="103" applyNumberFormat="1" applyFont="1" applyAlignment="1">
      <alignment vertical="center"/>
    </xf>
    <xf numFmtId="0" fontId="0" fillId="0" borderId="6" xfId="0" applyBorder="1" applyAlignment="1">
      <alignment horizontal="center"/>
    </xf>
    <xf numFmtId="0" fontId="32" fillId="0" borderId="15" xfId="0" applyFont="1" applyBorder="1" applyAlignment="1">
      <alignment horizontal="center" vertical="center"/>
    </xf>
    <xf numFmtId="0" fontId="32" fillId="0" borderId="22" xfId="0" applyFont="1" applyBorder="1" applyAlignment="1">
      <alignment horizontal="center" vertical="center"/>
    </xf>
    <xf numFmtId="0" fontId="32" fillId="2" borderId="0" xfId="99" applyFont="1" applyFill="1"/>
    <xf numFmtId="0" fontId="97" fillId="0" borderId="0" xfId="0" applyFont="1"/>
    <xf numFmtId="0" fontId="97"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7" fillId="0" borderId="33" xfId="0" applyNumberFormat="1" applyFont="1" applyBorder="1" applyAlignment="1">
      <alignment horizontal="right" vertical="center" wrapText="1"/>
    </xf>
    <xf numFmtId="4" fontId="97" fillId="0" borderId="55" xfId="0" applyNumberFormat="1" applyFont="1" applyBorder="1" applyAlignment="1">
      <alignment horizontal="center" vertical="center" wrapText="1"/>
    </xf>
    <xf numFmtId="4" fontId="97" fillId="3" borderId="111" xfId="0" applyNumberFormat="1" applyFont="1" applyFill="1" applyBorder="1" applyAlignment="1">
      <alignment horizontal="center" vertical="center" wrapText="1"/>
    </xf>
    <xf numFmtId="0" fontId="56" fillId="9" borderId="58" xfId="103" applyFont="1" applyFill="1" applyBorder="1" applyAlignment="1">
      <alignment vertical="center"/>
    </xf>
    <xf numFmtId="167" fontId="0" fillId="0" borderId="0" xfId="0" applyNumberFormat="1"/>
    <xf numFmtId="164" fontId="54" fillId="0" borderId="0" xfId="0" applyNumberFormat="1" applyFont="1" applyAlignment="1">
      <alignment vertical="center"/>
    </xf>
    <xf numFmtId="164" fontId="37" fillId="3" borderId="30" xfId="98" applyFont="1" applyFill="1" applyBorder="1" applyAlignment="1">
      <alignment horizontal="center"/>
    </xf>
    <xf numFmtId="164" fontId="29" fillId="0" borderId="0" xfId="99" applyNumberFormat="1"/>
    <xf numFmtId="4" fontId="83" fillId="0" borderId="119" xfId="102" applyNumberFormat="1" applyFont="1" applyBorder="1" applyAlignment="1">
      <alignment horizontal="left" vertical="center" indent="1"/>
    </xf>
    <xf numFmtId="4" fontId="83" fillId="0" borderId="30" xfId="102" applyNumberFormat="1" applyFont="1" applyBorder="1" applyAlignment="1">
      <alignment horizontal="left" vertical="center" indent="1"/>
    </xf>
    <xf numFmtId="4" fontId="83" fillId="0" borderId="118" xfId="102" applyNumberFormat="1" applyFont="1" applyBorder="1" applyAlignment="1">
      <alignment horizontal="left" vertical="center" indent="1"/>
    </xf>
    <xf numFmtId="4" fontId="83" fillId="0" borderId="44" xfId="102" applyNumberFormat="1" applyFont="1" applyBorder="1" applyAlignment="1">
      <alignment horizontal="left" vertical="center" indent="1"/>
    </xf>
    <xf numFmtId="4" fontId="32" fillId="0" borderId="33" xfId="102" applyNumberFormat="1" applyBorder="1" applyAlignment="1">
      <alignment horizontal="center"/>
    </xf>
    <xf numFmtId="4" fontId="75" fillId="0" borderId="0" xfId="102" applyNumberFormat="1" applyFont="1" applyAlignment="1">
      <alignment horizontal="center" vertical="center"/>
    </xf>
    <xf numFmtId="0" fontId="29" fillId="0" borderId="0" xfId="99" applyAlignment="1">
      <alignment horizontal="center" vertical="center"/>
    </xf>
    <xf numFmtId="0" fontId="67" fillId="0" borderId="40" xfId="97" applyFont="1" applyBorder="1" applyAlignment="1">
      <alignment vertical="center" wrapText="1"/>
    </xf>
    <xf numFmtId="0" fontId="67" fillId="0" borderId="41" xfId="97" applyFont="1" applyBorder="1" applyAlignment="1">
      <alignment vertical="center" wrapText="1"/>
    </xf>
    <xf numFmtId="0" fontId="63" fillId="0" borderId="0" xfId="97" applyFont="1" applyAlignment="1">
      <alignment horizontal="left" vertical="center" indent="2"/>
    </xf>
    <xf numFmtId="0" fontId="64" fillId="0" borderId="0" xfId="97" applyFont="1" applyAlignment="1">
      <alignment horizontal="left" indent="2"/>
    </xf>
    <xf numFmtId="0" fontId="86" fillId="0" borderId="0" xfId="0" applyFont="1"/>
    <xf numFmtId="0" fontId="67" fillId="0" borderId="40" xfId="97" applyFont="1" applyBorder="1" applyAlignment="1">
      <alignment vertical="center"/>
    </xf>
    <xf numFmtId="0" fontId="67" fillId="0" borderId="41" xfId="97" applyFont="1" applyBorder="1" applyAlignment="1">
      <alignment vertical="center"/>
    </xf>
    <xf numFmtId="164" fontId="33" fillId="0" borderId="0" xfId="98" applyFont="1"/>
    <xf numFmtId="10" fontId="33" fillId="0" borderId="0" xfId="106" applyNumberFormat="1" applyFont="1" applyFill="1" applyAlignment="1">
      <alignment horizontal="center"/>
    </xf>
    <xf numFmtId="4" fontId="33" fillId="0" borderId="0" xfId="102" applyNumberFormat="1" applyFont="1"/>
    <xf numFmtId="164" fontId="77" fillId="3" borderId="45" xfId="98" applyFont="1" applyFill="1" applyBorder="1" applyAlignment="1">
      <alignment horizontal="center" vertical="center"/>
    </xf>
    <xf numFmtId="164" fontId="37" fillId="10" borderId="33" xfId="98" applyFont="1" applyFill="1" applyBorder="1" applyAlignment="1">
      <alignment horizontal="center"/>
    </xf>
    <xf numFmtId="0" fontId="86" fillId="5" borderId="0" xfId="99" applyFont="1" applyFill="1"/>
    <xf numFmtId="4" fontId="97" fillId="0" borderId="123" xfId="0" applyNumberFormat="1" applyFont="1" applyBorder="1" applyAlignment="1">
      <alignment horizontal="center" vertical="center" wrapText="1"/>
    </xf>
    <xf numFmtId="4" fontId="97" fillId="3" borderId="112" xfId="0" applyNumberFormat="1" applyFont="1" applyFill="1" applyBorder="1" applyAlignment="1">
      <alignment horizontal="center" vertical="center" wrapText="1"/>
    </xf>
    <xf numFmtId="4" fontId="91" fillId="3" borderId="48" xfId="103" applyNumberFormat="1" applyFont="1" applyFill="1" applyBorder="1" applyAlignment="1">
      <alignment horizontal="right" vertical="center" indent="1"/>
    </xf>
    <xf numFmtId="167" fontId="93" fillId="3" borderId="48" xfId="103" applyNumberFormat="1" applyFont="1" applyFill="1" applyBorder="1" applyAlignment="1">
      <alignment horizontal="right" vertical="center" indent="1"/>
    </xf>
    <xf numFmtId="4" fontId="94" fillId="3" borderId="48" xfId="103" applyNumberFormat="1" applyFont="1" applyFill="1" applyBorder="1" applyAlignment="1">
      <alignment horizontal="right" vertical="center" indent="1"/>
    </xf>
    <xf numFmtId="167" fontId="100" fillId="4" borderId="2" xfId="103" applyNumberFormat="1" applyFont="1" applyFill="1" applyBorder="1" applyAlignment="1">
      <alignment horizontal="right" vertical="center" indent="1"/>
    </xf>
    <xf numFmtId="167" fontId="90" fillId="4" borderId="2" xfId="103" applyNumberFormat="1" applyFont="1" applyFill="1" applyBorder="1" applyAlignment="1">
      <alignment horizontal="right" vertical="center" indent="1"/>
    </xf>
    <xf numFmtId="0" fontId="32" fillId="4" borderId="19" xfId="103" applyFill="1" applyBorder="1"/>
    <xf numFmtId="0" fontId="32" fillId="4" borderId="23" xfId="103" applyFill="1" applyBorder="1" applyAlignment="1">
      <alignment vertical="center"/>
    </xf>
    <xf numFmtId="0" fontId="32" fillId="4" borderId="23" xfId="103" applyFill="1" applyBorder="1"/>
    <xf numFmtId="0" fontId="34" fillId="4" borderId="23" xfId="103" applyFont="1" applyFill="1" applyBorder="1"/>
    <xf numFmtId="0" fontId="32" fillId="4" borderId="15" xfId="103" applyFill="1" applyBorder="1"/>
    <xf numFmtId="0" fontId="34" fillId="4" borderId="0" xfId="103" applyFont="1" applyFill="1" applyAlignment="1">
      <alignment vertical="center"/>
    </xf>
    <xf numFmtId="0" fontId="34" fillId="4" borderId="0" xfId="103" applyFont="1" applyFill="1"/>
    <xf numFmtId="0" fontId="32" fillId="4" borderId="12" xfId="103" applyFill="1" applyBorder="1"/>
    <xf numFmtId="0" fontId="80" fillId="4" borderId="12" xfId="103" applyFont="1" applyFill="1" applyBorder="1" applyAlignment="1">
      <alignment horizontal="center" vertical="center"/>
    </xf>
    <xf numFmtId="0" fontId="91" fillId="4" borderId="12" xfId="103" applyFont="1" applyFill="1" applyBorder="1" applyAlignment="1">
      <alignment horizontal="center" vertical="center"/>
    </xf>
    <xf numFmtId="0" fontId="96" fillId="4" borderId="12" xfId="103" applyFont="1" applyFill="1" applyBorder="1" applyAlignment="1">
      <alignment horizontal="left" vertical="center" indent="1"/>
    </xf>
    <xf numFmtId="0" fontId="59" fillId="4" borderId="12" xfId="103" applyFont="1" applyFill="1" applyBorder="1"/>
    <xf numFmtId="0" fontId="32" fillId="4" borderId="29" xfId="103" applyFill="1" applyBorder="1"/>
    <xf numFmtId="0" fontId="57" fillId="4" borderId="20" xfId="103" applyFont="1" applyFill="1" applyBorder="1" applyAlignment="1">
      <alignment horizontal="center" vertical="center"/>
    </xf>
    <xf numFmtId="0" fontId="32" fillId="4" borderId="28" xfId="103" applyFill="1" applyBorder="1" applyAlignment="1">
      <alignment vertical="center"/>
    </xf>
    <xf numFmtId="0" fontId="34" fillId="4" borderId="28" xfId="103" applyFont="1" applyFill="1" applyBorder="1" applyAlignment="1">
      <alignment vertical="center"/>
    </xf>
    <xf numFmtId="0" fontId="32" fillId="4" borderId="28" xfId="103" applyFill="1" applyBorder="1"/>
    <xf numFmtId="0" fontId="34" fillId="4" borderId="28" xfId="103" applyFont="1" applyFill="1" applyBorder="1"/>
    <xf numFmtId="0" fontId="57" fillId="4" borderId="21" xfId="103" applyFont="1" applyFill="1" applyBorder="1" applyAlignment="1">
      <alignment horizontal="center" vertical="center"/>
    </xf>
    <xf numFmtId="4" fontId="72" fillId="16" borderId="31" xfId="102" applyNumberFormat="1" applyFont="1" applyFill="1" applyBorder="1" applyAlignment="1">
      <alignment vertical="center"/>
    </xf>
    <xf numFmtId="4" fontId="72" fillId="16" borderId="31" xfId="102" applyNumberFormat="1" applyFont="1" applyFill="1" applyBorder="1" applyAlignment="1">
      <alignment horizontal="left" vertical="center"/>
    </xf>
    <xf numFmtId="4" fontId="34" fillId="10" borderId="47" xfId="102" applyNumberFormat="1" applyFont="1" applyFill="1" applyBorder="1" applyAlignment="1">
      <alignment horizontal="left" vertical="center"/>
    </xf>
    <xf numFmtId="4" fontId="34" fillId="10" borderId="30" xfId="102" applyNumberFormat="1" applyFont="1" applyFill="1" applyBorder="1" applyAlignment="1">
      <alignment horizontal="left" vertical="center"/>
    </xf>
    <xf numFmtId="4" fontId="34" fillId="10" borderId="44" xfId="102" applyNumberFormat="1" applyFont="1" applyFill="1" applyBorder="1" applyAlignment="1">
      <alignment horizontal="left" vertical="center"/>
    </xf>
    <xf numFmtId="4" fontId="34" fillId="10" borderId="45" xfId="102" applyNumberFormat="1" applyFont="1" applyFill="1" applyBorder="1" applyAlignment="1">
      <alignment horizontal="left" vertical="center"/>
    </xf>
    <xf numFmtId="4" fontId="34" fillId="10" borderId="120" xfId="102" applyNumberFormat="1" applyFont="1" applyFill="1" applyBorder="1" applyAlignment="1">
      <alignment horizontal="left" vertical="center"/>
    </xf>
    <xf numFmtId="4" fontId="32" fillId="5" borderId="0" xfId="99" applyNumberFormat="1" applyFont="1" applyFill="1"/>
    <xf numFmtId="14" fontId="0" fillId="0" borderId="0" xfId="0" applyNumberFormat="1"/>
    <xf numFmtId="14" fontId="34" fillId="18" borderId="33" xfId="103" applyNumberFormat="1" applyFont="1" applyFill="1" applyBorder="1" applyAlignment="1">
      <alignment vertical="center"/>
    </xf>
    <xf numFmtId="14" fontId="32" fillId="5" borderId="0" xfId="99" applyNumberFormat="1" applyFont="1" applyFill="1"/>
    <xf numFmtId="0" fontId="54" fillId="0" borderId="0" xfId="0" applyFont="1" applyAlignment="1">
      <alignment horizontal="left" vertical="center"/>
    </xf>
    <xf numFmtId="0" fontId="51" fillId="0" borderId="0" xfId="0" applyFont="1" applyAlignment="1">
      <alignment horizontal="left" vertical="center"/>
    </xf>
    <xf numFmtId="4" fontId="54" fillId="0" borderId="0" xfId="102" applyNumberFormat="1" applyFont="1" applyAlignment="1">
      <alignment horizontal="left" vertical="center"/>
    </xf>
    <xf numFmtId="0" fontId="116" fillId="0" borderId="0" xfId="0" applyFont="1"/>
    <xf numFmtId="14" fontId="0" fillId="20" borderId="0" xfId="0" applyNumberFormat="1" applyFill="1" applyAlignment="1">
      <alignment horizontal="left"/>
    </xf>
    <xf numFmtId="14" fontId="0" fillId="20" borderId="0" xfId="0" applyNumberFormat="1" applyFill="1"/>
    <xf numFmtId="49" fontId="114" fillId="20" borderId="0" xfId="0" applyNumberFormat="1" applyFont="1" applyFill="1"/>
    <xf numFmtId="49" fontId="115" fillId="20" borderId="0" xfId="0" applyNumberFormat="1" applyFont="1" applyFill="1"/>
    <xf numFmtId="44" fontId="32" fillId="20" borderId="0" xfId="107" applyFont="1" applyFill="1"/>
    <xf numFmtId="14" fontId="0" fillId="19" borderId="0" xfId="0" applyNumberFormat="1" applyFill="1" applyAlignment="1">
      <alignment horizontal="left"/>
    </xf>
    <xf numFmtId="14" fontId="0" fillId="19" borderId="0" xfId="0" applyNumberFormat="1" applyFill="1"/>
    <xf numFmtId="49" fontId="114" fillId="19" borderId="0" xfId="0" applyNumberFormat="1" applyFont="1" applyFill="1"/>
    <xf numFmtId="49" fontId="115" fillId="19" borderId="0" xfId="0" applyNumberFormat="1" applyFont="1" applyFill="1"/>
    <xf numFmtId="44" fontId="32" fillId="19" borderId="0" xfId="107" applyFont="1" applyFill="1"/>
    <xf numFmtId="14" fontId="0" fillId="5" borderId="0" xfId="0" applyNumberFormat="1" applyFill="1" applyAlignment="1">
      <alignment horizontal="left"/>
    </xf>
    <xf numFmtId="14" fontId="0" fillId="5" borderId="0" xfId="0" applyNumberFormat="1" applyFill="1"/>
    <xf numFmtId="49" fontId="114" fillId="5" borderId="0" xfId="0" applyNumberFormat="1" applyFont="1" applyFill="1"/>
    <xf numFmtId="49" fontId="115" fillId="5" borderId="0" xfId="0" applyNumberFormat="1" applyFont="1" applyFill="1"/>
    <xf numFmtId="44" fontId="32" fillId="5" borderId="0" xfId="107" applyFont="1" applyFill="1"/>
    <xf numFmtId="4" fontId="32" fillId="19" borderId="0" xfId="102" applyNumberFormat="1" applyFill="1"/>
    <xf numFmtId="4" fontId="32" fillId="20" borderId="0" xfId="102" applyNumberFormat="1" applyFill="1"/>
    <xf numFmtId="10" fontId="32"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14" fillId="19" borderId="126" xfId="0" applyNumberFormat="1" applyFont="1" applyFill="1" applyBorder="1"/>
    <xf numFmtId="49" fontId="115" fillId="19" borderId="126" xfId="0" applyNumberFormat="1" applyFont="1" applyFill="1" applyBorder="1"/>
    <xf numFmtId="44" fontId="32" fillId="19" borderId="126" xfId="107" applyFont="1" applyFill="1" applyBorder="1"/>
    <xf numFmtId="4" fontId="32" fillId="0" borderId="126" xfId="102" applyNumberFormat="1" applyBorder="1"/>
    <xf numFmtId="10" fontId="32" fillId="0" borderId="126" xfId="106" applyNumberFormat="1" applyFont="1" applyBorder="1" applyAlignment="1">
      <alignment horizontal="center" vertical="center"/>
    </xf>
    <xf numFmtId="4" fontId="32"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14" fillId="0" borderId="0" xfId="0" applyNumberFormat="1" applyFont="1"/>
    <xf numFmtId="49" fontId="115" fillId="0" borderId="0" xfId="0" applyNumberFormat="1" applyFont="1"/>
    <xf numFmtId="44" fontId="32" fillId="0" borderId="0" xfId="107" applyFont="1" applyFill="1"/>
    <xf numFmtId="168" fontId="32" fillId="0" borderId="0" xfId="102" applyNumberFormat="1" applyAlignment="1">
      <alignment horizontal="center" vertical="center"/>
    </xf>
    <xf numFmtId="44" fontId="32" fillId="0" borderId="0" xfId="107" applyFont="1" applyAlignment="1">
      <alignment horizontal="center" vertical="center"/>
    </xf>
    <xf numFmtId="0" fontId="51" fillId="0" borderId="0" xfId="103" applyFont="1" applyAlignment="1">
      <alignment horizontal="left" vertical="center"/>
    </xf>
    <xf numFmtId="4" fontId="59" fillId="0" borderId="0" xfId="0" applyNumberFormat="1" applyFont="1"/>
    <xf numFmtId="171" fontId="34" fillId="5" borderId="138" xfId="0" applyNumberFormat="1" applyFont="1" applyFill="1" applyBorder="1" applyAlignment="1">
      <alignment horizontal="left" vertical="center" indent="1"/>
    </xf>
    <xf numFmtId="167" fontId="106" fillId="0" borderId="139" xfId="0" applyNumberFormat="1" applyFont="1" applyBorder="1" applyAlignment="1">
      <alignment horizontal="center" vertical="center" wrapText="1"/>
    </xf>
    <xf numFmtId="10" fontId="80" fillId="5" borderId="140" xfId="0" applyNumberFormat="1" applyFont="1" applyFill="1" applyBorder="1" applyAlignment="1">
      <alignment horizontal="center" vertical="center"/>
    </xf>
    <xf numFmtId="4" fontId="134" fillId="5" borderId="139" xfId="0" applyNumberFormat="1" applyFont="1" applyFill="1" applyBorder="1" applyAlignment="1">
      <alignment horizontal="center" vertical="center"/>
    </xf>
    <xf numFmtId="167" fontId="34" fillId="3" borderId="141" xfId="0" applyNumberFormat="1" applyFont="1" applyFill="1" applyBorder="1" applyAlignment="1">
      <alignment horizontal="right" vertical="center" indent="2"/>
    </xf>
    <xf numFmtId="171" fontId="32" fillId="5" borderId="138" xfId="0" applyNumberFormat="1" applyFont="1" applyFill="1" applyBorder="1" applyAlignment="1">
      <alignment horizontal="left" vertical="center" indent="4"/>
    </xf>
    <xf numFmtId="44" fontId="106" fillId="0" borderId="139" xfId="205" applyFont="1" applyBorder="1" applyAlignment="1">
      <alignment horizontal="center" vertical="center" wrapText="1"/>
    </xf>
    <xf numFmtId="0" fontId="32" fillId="5" borderId="138" xfId="0" applyFont="1" applyFill="1" applyBorder="1" applyAlignment="1">
      <alignment horizontal="left" vertical="center" indent="4"/>
    </xf>
    <xf numFmtId="0" fontId="34" fillId="5" borderId="138" xfId="0" applyFont="1" applyFill="1" applyBorder="1" applyAlignment="1">
      <alignment horizontal="left" vertical="center" indent="1"/>
    </xf>
    <xf numFmtId="167" fontId="106" fillId="54" borderId="139" xfId="0" applyNumberFormat="1" applyFont="1" applyFill="1" applyBorder="1" applyAlignment="1">
      <alignment vertical="center" wrapText="1"/>
    </xf>
    <xf numFmtId="9" fontId="80" fillId="55" borderId="140" xfId="0" applyNumberFormat="1" applyFont="1" applyFill="1" applyBorder="1" applyAlignment="1">
      <alignment horizontal="center" vertical="center"/>
    </xf>
    <xf numFmtId="172" fontId="80" fillId="55" borderId="140" xfId="0" applyNumberFormat="1" applyFont="1" applyFill="1" applyBorder="1" applyAlignment="1">
      <alignment horizontal="center" vertical="center"/>
    </xf>
    <xf numFmtId="4" fontId="135" fillId="55" borderId="48" xfId="0" applyNumberFormat="1" applyFont="1" applyFill="1" applyBorder="1" applyAlignment="1">
      <alignment horizontal="center" vertical="center"/>
    </xf>
    <xf numFmtId="167" fontId="34" fillId="56" borderId="141" xfId="0" applyNumberFormat="1" applyFont="1" applyFill="1" applyBorder="1" applyAlignment="1">
      <alignment horizontal="right" vertical="center" indent="2"/>
    </xf>
    <xf numFmtId="0" fontId="32" fillId="5" borderId="138" xfId="0" applyFont="1" applyFill="1" applyBorder="1" applyAlignment="1">
      <alignment horizontal="left" vertical="center" wrapText="1" indent="4"/>
    </xf>
    <xf numFmtId="166" fontId="80" fillId="0" borderId="140" xfId="0" applyNumberFormat="1" applyFont="1" applyBorder="1" applyAlignment="1">
      <alignment horizontal="center" vertical="center"/>
    </xf>
    <xf numFmtId="0" fontId="103" fillId="0" borderId="143" xfId="0" applyFont="1" applyBorder="1" applyAlignment="1">
      <alignment horizontal="left" vertical="center" wrapText="1" indent="1"/>
    </xf>
    <xf numFmtId="0" fontId="32" fillId="0" borderId="138" xfId="0" applyFont="1" applyBorder="1" applyAlignment="1">
      <alignment horizontal="left" vertical="center" indent="4"/>
    </xf>
    <xf numFmtId="167" fontId="106" fillId="0" borderId="139" xfId="0" applyNumberFormat="1" applyFont="1" applyBorder="1" applyAlignment="1">
      <alignment vertical="center" wrapText="1"/>
    </xf>
    <xf numFmtId="4" fontId="134" fillId="55" borderId="139" xfId="0" applyNumberFormat="1" applyFont="1" applyFill="1" applyBorder="1" applyAlignment="1">
      <alignment horizontal="center" vertical="center"/>
    </xf>
    <xf numFmtId="167" fontId="106" fillId="5" borderId="139" xfId="0" applyNumberFormat="1" applyFont="1" applyFill="1" applyBorder="1" applyAlignment="1">
      <alignment vertical="center" wrapText="1"/>
    </xf>
    <xf numFmtId="0" fontId="34" fillId="5" borderId="143" xfId="0" applyFont="1" applyFill="1" applyBorder="1" applyAlignment="1">
      <alignment horizontal="left" vertical="center" indent="1"/>
    </xf>
    <xf numFmtId="3" fontId="89" fillId="3" borderId="8" xfId="0" applyNumberFormat="1" applyFont="1" applyFill="1" applyBorder="1" applyAlignment="1">
      <alignment horizontal="center" vertical="center"/>
    </xf>
    <xf numFmtId="4" fontId="89" fillId="3" borderId="8" xfId="0" applyNumberFormat="1" applyFont="1" applyFill="1" applyBorder="1" applyAlignment="1">
      <alignment horizontal="center" vertical="center"/>
    </xf>
    <xf numFmtId="4" fontId="91" fillId="3" borderId="8" xfId="0" applyNumberFormat="1" applyFont="1" applyFill="1" applyBorder="1" applyAlignment="1">
      <alignment horizontal="right" vertical="center"/>
    </xf>
    <xf numFmtId="167" fontId="34" fillId="3" borderId="22" xfId="0" applyNumberFormat="1" applyFont="1" applyFill="1" applyBorder="1" applyAlignment="1">
      <alignment horizontal="right" vertical="center" indent="2"/>
    </xf>
    <xf numFmtId="10" fontId="80" fillId="0" borderId="140" xfId="0" applyNumberFormat="1" applyFont="1" applyBorder="1" applyAlignment="1">
      <alignment horizontal="center" vertical="center"/>
    </xf>
    <xf numFmtId="14" fontId="29" fillId="3" borderId="146" xfId="97" applyNumberFormat="1" applyFill="1" applyBorder="1" applyAlignment="1">
      <alignment horizontal="center" vertical="center"/>
    </xf>
    <xf numFmtId="0" fontId="32" fillId="5" borderId="23" xfId="0" applyFont="1" applyFill="1" applyBorder="1" applyAlignment="1">
      <alignment horizontal="left" vertical="center" indent="4"/>
    </xf>
    <xf numFmtId="10" fontId="80" fillId="55" borderId="140" xfId="0" applyNumberFormat="1" applyFont="1" applyFill="1" applyBorder="1" applyAlignment="1">
      <alignment horizontal="center" vertical="center"/>
    </xf>
    <xf numFmtId="167" fontId="89" fillId="57" borderId="139" xfId="0" applyNumberFormat="1" applyFont="1" applyFill="1" applyBorder="1" applyAlignment="1">
      <alignment horizontal="center" vertical="center" wrapText="1"/>
    </xf>
    <xf numFmtId="0" fontId="51" fillId="0" borderId="0" xfId="208" applyFont="1" applyAlignment="1">
      <alignment horizontal="left" vertical="center" wrapText="1"/>
    </xf>
    <xf numFmtId="0" fontId="22" fillId="0" borderId="0" xfId="97" applyFont="1" applyAlignment="1">
      <alignment vertical="center" wrapText="1"/>
    </xf>
    <xf numFmtId="0" fontId="51" fillId="0" borderId="0" xfId="97" applyFont="1" applyAlignment="1">
      <alignment horizontal="center" vertical="center"/>
    </xf>
    <xf numFmtId="0" fontId="51" fillId="0" borderId="0" xfId="97" applyFont="1" applyAlignment="1">
      <alignment horizontal="center"/>
    </xf>
    <xf numFmtId="14" fontId="29" fillId="3" borderId="46" xfId="97" applyNumberFormat="1" applyFill="1" applyBorder="1" applyAlignment="1">
      <alignment horizontal="center" vertical="center"/>
    </xf>
    <xf numFmtId="0" fontId="32" fillId="0" borderId="0" xfId="103"/>
    <xf numFmtId="0" fontId="32" fillId="0" borderId="0" xfId="103" applyAlignment="1">
      <alignment horizontal="center"/>
    </xf>
    <xf numFmtId="4" fontId="32" fillId="0" borderId="0" xfId="103" applyNumberFormat="1"/>
    <xf numFmtId="4" fontId="97" fillId="0" borderId="56" xfId="0" applyNumberFormat="1" applyFont="1" applyBorder="1" applyAlignment="1">
      <alignment horizontal="right" vertical="center" wrapText="1"/>
    </xf>
    <xf numFmtId="4" fontId="97" fillId="0" borderId="46" xfId="0" applyNumberFormat="1" applyFont="1" applyBorder="1" applyAlignment="1">
      <alignment horizontal="right" vertical="center" wrapText="1"/>
    </xf>
    <xf numFmtId="164" fontId="72" fillId="8" borderId="22" xfId="79" applyFont="1" applyFill="1" applyBorder="1" applyAlignment="1">
      <alignment horizontal="center" vertical="center" wrapText="1"/>
    </xf>
    <xf numFmtId="4" fontId="74" fillId="4" borderId="55" xfId="0" applyNumberFormat="1" applyFont="1" applyFill="1" applyBorder="1" applyAlignment="1">
      <alignment horizontal="center" vertical="center" wrapText="1"/>
    </xf>
    <xf numFmtId="0" fontId="32" fillId="0" borderId="0" xfId="211"/>
    <xf numFmtId="0" fontId="101" fillId="0" borderId="0" xfId="211" applyFont="1" applyAlignment="1">
      <alignment horizontal="left"/>
    </xf>
    <xf numFmtId="49" fontId="72" fillId="0" borderId="0" xfId="211" applyNumberFormat="1" applyFont="1" applyAlignment="1">
      <alignment horizontal="center" vertical="center" wrapText="1"/>
    </xf>
    <xf numFmtId="14" fontId="34" fillId="0" borderId="155" xfId="211" applyNumberFormat="1" applyFont="1" applyBorder="1" applyAlignment="1">
      <alignment horizontal="left" vertical="center" indent="1"/>
    </xf>
    <xf numFmtId="14" fontId="32" fillId="0" borderId="0" xfId="211" applyNumberFormat="1" applyAlignment="1">
      <alignment horizontal="center"/>
    </xf>
    <xf numFmtId="167" fontId="32" fillId="0" borderId="156" xfId="212" applyFont="1" applyFill="1" applyBorder="1"/>
    <xf numFmtId="167" fontId="32" fillId="0" borderId="157" xfId="212" applyFont="1" applyFill="1" applyBorder="1"/>
    <xf numFmtId="14" fontId="34" fillId="0" borderId="158" xfId="211" applyNumberFormat="1" applyFont="1" applyBorder="1" applyAlignment="1">
      <alignment horizontal="left" vertical="center" indent="1"/>
    </xf>
    <xf numFmtId="167" fontId="32" fillId="0" borderId="159" xfId="212" applyFont="1" applyFill="1" applyBorder="1"/>
    <xf numFmtId="167" fontId="32" fillId="0" borderId="160" xfId="212" applyFont="1" applyFill="1" applyBorder="1"/>
    <xf numFmtId="0" fontId="72" fillId="52" borderId="7" xfId="0" applyFont="1" applyFill="1" applyBorder="1" applyAlignment="1">
      <alignment horizontal="centerContinuous" vertical="center" wrapText="1"/>
    </xf>
    <xf numFmtId="0" fontId="72" fillId="52" borderId="8" xfId="0" applyFont="1" applyFill="1" applyBorder="1" applyAlignment="1">
      <alignment horizontal="centerContinuous" vertical="center" wrapText="1"/>
    </xf>
    <xf numFmtId="0" fontId="72" fillId="52" borderId="11" xfId="0" applyFont="1" applyFill="1" applyBorder="1" applyAlignment="1">
      <alignment horizontal="centerContinuous" vertical="center" wrapText="1"/>
    </xf>
    <xf numFmtId="164" fontId="86" fillId="17" borderId="3" xfId="79" applyFont="1" applyFill="1" applyBorder="1" applyAlignment="1">
      <alignment horizontal="center" vertical="center" wrapText="1"/>
    </xf>
    <xf numFmtId="164" fontId="86" fillId="17" borderId="13" xfId="79" applyFont="1" applyFill="1" applyBorder="1" applyAlignment="1">
      <alignment horizontal="center" vertical="center" wrapText="1"/>
    </xf>
    <xf numFmtId="164" fontId="86" fillId="17" borderId="26" xfId="79" applyFont="1" applyFill="1" applyBorder="1" applyAlignment="1">
      <alignment horizontal="center" vertical="center" wrapText="1"/>
    </xf>
    <xf numFmtId="0" fontId="72" fillId="52" borderId="7" xfId="0" applyFont="1" applyFill="1" applyBorder="1" applyAlignment="1">
      <alignment horizontal="centerContinuous" vertical="center"/>
    </xf>
    <xf numFmtId="0" fontId="72" fillId="52" borderId="8" xfId="0" applyFont="1" applyFill="1" applyBorder="1" applyAlignment="1">
      <alignment horizontal="centerContinuous" vertical="center"/>
    </xf>
    <xf numFmtId="0" fontId="72" fillId="52" borderId="11" xfId="0" applyFont="1" applyFill="1" applyBorder="1" applyAlignment="1">
      <alignment horizontal="centerContinuous" vertical="center"/>
    </xf>
    <xf numFmtId="0" fontId="51" fillId="62" borderId="111" xfId="98" applyNumberFormat="1" applyFont="1" applyFill="1" applyBorder="1" applyAlignment="1">
      <alignment horizontal="center" vertical="center"/>
    </xf>
    <xf numFmtId="0" fontId="111" fillId="0" borderId="22" xfId="97" applyFont="1" applyBorder="1" applyAlignment="1">
      <alignment horizontal="center" vertical="center" wrapText="1"/>
    </xf>
    <xf numFmtId="0" fontId="140" fillId="0" borderId="0" xfId="97" applyFont="1" applyAlignment="1">
      <alignment vertical="center"/>
    </xf>
    <xf numFmtId="0" fontId="141" fillId="0" borderId="0" xfId="97" applyFont="1" applyAlignment="1">
      <alignment vertical="center"/>
    </xf>
    <xf numFmtId="0" fontId="142" fillId="0" borderId="0" xfId="97" applyFont="1" applyAlignment="1">
      <alignment vertical="center"/>
    </xf>
    <xf numFmtId="0" fontId="62" fillId="0" borderId="0" xfId="97" applyFont="1" applyAlignment="1">
      <alignment horizontal="centerContinuous"/>
    </xf>
    <xf numFmtId="0" fontId="115" fillId="0" borderId="0" xfId="97" quotePrefix="1" applyFont="1"/>
    <xf numFmtId="0" fontId="115" fillId="0" borderId="0" xfId="97" applyFont="1"/>
    <xf numFmtId="0" fontId="106" fillId="0" borderId="0" xfId="97" applyFont="1"/>
    <xf numFmtId="0" fontId="144" fillId="0" borderId="22" xfId="97" applyFont="1" applyBorder="1"/>
    <xf numFmtId="164" fontId="86" fillId="62" borderId="26" xfId="79" applyFont="1" applyFill="1" applyBorder="1" applyAlignment="1">
      <alignment horizontal="centerContinuous" vertical="center" wrapText="1"/>
    </xf>
    <xf numFmtId="164" fontId="86" fillId="62" borderId="26" xfId="79" applyFont="1" applyFill="1" applyBorder="1" applyAlignment="1">
      <alignment horizontal="center" vertical="center" wrapText="1"/>
    </xf>
    <xf numFmtId="164" fontId="86" fillId="62" borderId="3" xfId="79" applyFont="1" applyFill="1" applyBorder="1" applyAlignment="1">
      <alignment horizontal="center" vertical="center" wrapText="1"/>
    </xf>
    <xf numFmtId="164" fontId="86" fillId="62" borderId="13" xfId="79" applyFont="1" applyFill="1" applyBorder="1" applyAlignment="1">
      <alignment horizontal="center" vertical="center" wrapText="1"/>
    </xf>
    <xf numFmtId="0" fontId="51" fillId="0" borderId="0" xfId="97" applyFont="1" applyAlignment="1">
      <alignment horizontal="left" vertical="center" wrapText="1"/>
    </xf>
    <xf numFmtId="0" fontId="51" fillId="0" borderId="0" xfId="210" applyFont="1" applyAlignment="1">
      <alignment horizontal="left" vertical="center" wrapText="1"/>
    </xf>
    <xf numFmtId="0" fontId="56" fillId="0" borderId="0" xfId="103" applyFont="1" applyAlignment="1">
      <alignment vertical="center"/>
    </xf>
    <xf numFmtId="4" fontId="97" fillId="0" borderId="163" xfId="0" applyNumberFormat="1" applyFont="1" applyBorder="1" applyAlignment="1">
      <alignment horizontal="right" vertical="center" wrapText="1"/>
    </xf>
    <xf numFmtId="0" fontId="72" fillId="14" borderId="22" xfId="0" applyFont="1" applyFill="1" applyBorder="1" applyAlignment="1">
      <alignment horizontal="centerContinuous" vertical="center" wrapText="1"/>
    </xf>
    <xf numFmtId="4" fontId="74" fillId="3" borderId="111" xfId="0" applyNumberFormat="1" applyFont="1" applyFill="1" applyBorder="1" applyAlignment="1">
      <alignment horizontal="center" vertical="center" wrapText="1"/>
    </xf>
    <xf numFmtId="4" fontId="108" fillId="0" borderId="0" xfId="103" applyNumberFormat="1" applyFont="1" applyAlignment="1">
      <alignment horizontal="center"/>
    </xf>
    <xf numFmtId="3" fontId="89" fillId="0" borderId="142" xfId="0" applyNumberFormat="1" applyFont="1" applyBorder="1" applyAlignment="1">
      <alignment horizontal="center" vertical="center" wrapText="1"/>
    </xf>
    <xf numFmtId="4" fontId="32" fillId="2" borderId="0" xfId="99" applyNumberFormat="1" applyFont="1" applyFill="1"/>
    <xf numFmtId="4" fontId="0" fillId="0" borderId="0" xfId="107" applyNumberFormat="1" applyFont="1"/>
    <xf numFmtId="4" fontId="86" fillId="62" borderId="26" xfId="79" applyNumberFormat="1" applyFont="1" applyFill="1" applyBorder="1" applyAlignment="1">
      <alignment horizontal="centerContinuous" vertical="center" wrapText="1"/>
    </xf>
    <xf numFmtId="4" fontId="86" fillId="62" borderId="5" xfId="79" applyNumberFormat="1" applyFont="1" applyFill="1" applyBorder="1" applyAlignment="1">
      <alignment horizontal="centerContinuous" vertical="center" wrapText="1"/>
    </xf>
    <xf numFmtId="4" fontId="86" fillId="62" borderId="26" xfId="79" applyNumberFormat="1" applyFont="1" applyFill="1" applyBorder="1" applyAlignment="1">
      <alignment horizontal="center" vertical="center" wrapText="1"/>
    </xf>
    <xf numFmtId="4" fontId="86"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7" fillId="4" borderId="163" xfId="0" applyNumberFormat="1" applyFont="1" applyFill="1" applyBorder="1" applyAlignment="1">
      <alignment horizontal="right" vertical="center" wrapText="1"/>
    </xf>
    <xf numFmtId="0" fontId="0" fillId="0" borderId="110" xfId="0" applyBorder="1" applyAlignment="1">
      <alignment horizontal="center"/>
    </xf>
    <xf numFmtId="4" fontId="34" fillId="3" borderId="111" xfId="0" applyNumberFormat="1" applyFont="1" applyFill="1" applyBorder="1" applyAlignment="1">
      <alignment horizontal="center" vertical="center" wrapText="1"/>
    </xf>
    <xf numFmtId="4" fontId="34" fillId="0" borderId="0" xfId="0" applyNumberFormat="1" applyFont="1"/>
    <xf numFmtId="4" fontId="34" fillId="4" borderId="163" xfId="79" applyNumberFormat="1" applyFont="1" applyFill="1" applyBorder="1" applyAlignment="1">
      <alignment horizontal="center" vertical="center" wrapText="1"/>
    </xf>
    <xf numFmtId="4" fontId="34" fillId="0" borderId="33" xfId="0" applyNumberFormat="1" applyFont="1" applyBorder="1" applyAlignment="1">
      <alignment horizontal="center" vertical="center" wrapText="1"/>
    </xf>
    <xf numFmtId="4" fontId="34" fillId="4" borderId="33" xfId="0" applyNumberFormat="1" applyFont="1" applyFill="1" applyBorder="1" applyAlignment="1">
      <alignment horizontal="center" vertical="center" wrapText="1"/>
    </xf>
    <xf numFmtId="4" fontId="34" fillId="4" borderId="34" xfId="0" applyNumberFormat="1" applyFont="1" applyFill="1" applyBorder="1" applyAlignment="1">
      <alignment horizontal="center" vertical="center" wrapText="1"/>
    </xf>
    <xf numFmtId="0" fontId="34" fillId="0" borderId="0" xfId="0" applyFont="1" applyAlignment="1">
      <alignment horizontal="right"/>
    </xf>
    <xf numFmtId="0" fontId="32" fillId="0" borderId="0" xfId="0" applyFont="1" applyAlignment="1">
      <alignment horizontal="center"/>
    </xf>
    <xf numFmtId="167" fontId="90" fillId="4" borderId="107" xfId="103" applyNumberFormat="1" applyFont="1" applyFill="1" applyBorder="1" applyAlignment="1">
      <alignment horizontal="right" vertical="center" indent="1"/>
    </xf>
    <xf numFmtId="0" fontId="32" fillId="0" borderId="107" xfId="0" applyFont="1" applyBorder="1"/>
    <xf numFmtId="4" fontId="34" fillId="58" borderId="107" xfId="0" applyNumberFormat="1" applyFont="1" applyFill="1" applyBorder="1"/>
    <xf numFmtId="0" fontId="86" fillId="0" borderId="0" xfId="103" applyFont="1"/>
    <xf numFmtId="0" fontId="86"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45" fillId="17" borderId="26" xfId="79" applyFont="1" applyFill="1" applyBorder="1" applyAlignment="1">
      <alignment horizontal="centerContinuous" vertical="center" wrapText="1"/>
    </xf>
    <xf numFmtId="164" fontId="145" fillId="17" borderId="4" xfId="79" applyFont="1" applyFill="1" applyBorder="1" applyAlignment="1">
      <alignment horizontal="centerContinuous" vertical="center" wrapText="1"/>
    </xf>
    <xf numFmtId="164" fontId="145" fillId="17" borderId="8" xfId="79" applyFont="1" applyFill="1" applyBorder="1" applyAlignment="1">
      <alignment horizontal="centerContinuous" vertical="center" wrapText="1"/>
    </xf>
    <xf numFmtId="164" fontId="145" fillId="17" borderId="5" xfId="79" applyFont="1" applyFill="1" applyBorder="1" applyAlignment="1">
      <alignment horizontal="centerContinuous" vertical="center" wrapText="1"/>
    </xf>
    <xf numFmtId="164" fontId="145" fillId="17" borderId="26" xfId="79" applyFont="1" applyFill="1" applyBorder="1" applyAlignment="1">
      <alignment horizontal="center" vertical="center" wrapText="1"/>
    </xf>
    <xf numFmtId="164" fontId="145" fillId="17" borderId="4" xfId="79" applyFont="1" applyFill="1" applyBorder="1" applyAlignment="1">
      <alignment horizontal="center" vertical="center" wrapText="1"/>
    </xf>
    <xf numFmtId="164" fontId="145" fillId="17" borderId="8" xfId="79" applyFont="1" applyFill="1" applyBorder="1" applyAlignment="1">
      <alignment horizontal="center" vertical="center" wrapText="1"/>
    </xf>
    <xf numFmtId="164" fontId="145" fillId="17" borderId="5" xfId="79" applyFont="1" applyFill="1" applyBorder="1" applyAlignment="1">
      <alignment horizontal="center" vertical="center" wrapText="1"/>
    </xf>
    <xf numFmtId="164" fontId="86" fillId="63" borderId="22" xfId="79" applyFont="1" applyFill="1" applyBorder="1" applyAlignment="1">
      <alignment horizontal="center" vertical="center" wrapText="1"/>
    </xf>
    <xf numFmtId="0" fontId="72" fillId="63" borderId="22" xfId="0" applyFont="1" applyFill="1" applyBorder="1" applyAlignment="1">
      <alignment horizontal="centerContinuous" vertical="center" wrapText="1"/>
    </xf>
    <xf numFmtId="0" fontId="32" fillId="64" borderId="0" xfId="103" applyFill="1"/>
    <xf numFmtId="0" fontId="99" fillId="12" borderId="76" xfId="0" applyFont="1" applyFill="1" applyBorder="1" applyAlignment="1">
      <alignment horizontal="center" vertical="center" wrapText="1"/>
    </xf>
    <xf numFmtId="0" fontId="131" fillId="0" borderId="0" xfId="180" applyAlignment="1">
      <alignment vertical="center"/>
    </xf>
    <xf numFmtId="49" fontId="20" fillId="0" borderId="0" xfId="216" applyNumberFormat="1"/>
    <xf numFmtId="0" fontId="20" fillId="0" borderId="0" xfId="216"/>
    <xf numFmtId="0" fontId="148" fillId="0" borderId="27" xfId="216" applyFont="1" applyBorder="1" applyAlignment="1">
      <alignment horizontal="justify" vertical="center" wrapText="1"/>
    </xf>
    <xf numFmtId="4" fontId="148" fillId="0" borderId="29" xfId="216" applyNumberFormat="1" applyFont="1" applyBorder="1" applyAlignment="1">
      <alignment vertical="center" wrapText="1"/>
    </xf>
    <xf numFmtId="3" fontId="148" fillId="0" borderId="29" xfId="216" applyNumberFormat="1" applyFont="1" applyBorder="1" applyAlignment="1">
      <alignment vertical="center" wrapText="1"/>
    </xf>
    <xf numFmtId="0" fontId="148" fillId="0" borderId="0" xfId="216" applyFont="1" applyAlignment="1">
      <alignment horizontal="justify" vertical="center" wrapText="1"/>
    </xf>
    <xf numFmtId="0" fontId="148" fillId="0" borderId="0" xfId="216" applyFont="1" applyAlignment="1">
      <alignment vertical="center" wrapText="1"/>
    </xf>
    <xf numFmtId="0" fontId="147" fillId="0" borderId="0" xfId="216" applyFont="1" applyAlignment="1">
      <alignment vertical="center"/>
    </xf>
    <xf numFmtId="0" fontId="147" fillId="0" borderId="0" xfId="216" applyFont="1" applyAlignment="1">
      <alignment horizontal="justify" vertical="center"/>
    </xf>
    <xf numFmtId="0" fontId="147" fillId="0" borderId="0" xfId="216" applyFont="1" applyAlignment="1">
      <alignment horizontal="center" vertical="center" wrapText="1"/>
    </xf>
    <xf numFmtId="0" fontId="148" fillId="0" borderId="0" xfId="216" applyFont="1" applyAlignment="1">
      <alignment horizontal="justify" vertical="center"/>
    </xf>
    <xf numFmtId="4" fontId="148" fillId="0" borderId="0" xfId="216" applyNumberFormat="1" applyFont="1" applyAlignment="1">
      <alignment horizontal="right" vertical="center"/>
    </xf>
    <xf numFmtId="10" fontId="20" fillId="0" borderId="0" xfId="216" applyNumberFormat="1" applyAlignment="1">
      <alignment horizontal="center" vertical="center"/>
    </xf>
    <xf numFmtId="3" fontId="20" fillId="0" borderId="0" xfId="216" applyNumberFormat="1" applyAlignment="1">
      <alignment horizontal="center" vertical="center"/>
    </xf>
    <xf numFmtId="0" fontId="147" fillId="0" borderId="0" xfId="216" applyFont="1" applyAlignment="1">
      <alignment horizontal="right" vertical="center"/>
    </xf>
    <xf numFmtId="49" fontId="55" fillId="0" borderId="0" xfId="216" applyNumberFormat="1" applyFont="1"/>
    <xf numFmtId="49" fontId="86" fillId="0" borderId="0" xfId="207" applyNumberFormat="1" applyFont="1" applyAlignment="1"/>
    <xf numFmtId="0" fontId="32" fillId="0" borderId="0" xfId="217"/>
    <xf numFmtId="4" fontId="79" fillId="0" borderId="169" xfId="218" applyNumberFormat="1" applyFont="1" applyBorder="1" applyAlignment="1">
      <alignment horizontal="right" vertical="center" indent="1"/>
    </xf>
    <xf numFmtId="4" fontId="79" fillId="0" borderId="170" xfId="218" applyNumberFormat="1" applyFont="1" applyBorder="1" applyAlignment="1">
      <alignment horizontal="right" vertical="center" indent="1"/>
    </xf>
    <xf numFmtId="4" fontId="79" fillId="0" borderId="171" xfId="218" applyNumberFormat="1" applyFont="1" applyBorder="1" applyAlignment="1">
      <alignment horizontal="right" vertical="center" indent="1"/>
    </xf>
    <xf numFmtId="4" fontId="32" fillId="0" borderId="171" xfId="218" applyNumberFormat="1" applyBorder="1" applyAlignment="1">
      <alignment horizontal="right" vertical="center" indent="1"/>
    </xf>
    <xf numFmtId="4" fontId="32" fillId="0" borderId="172" xfId="218" applyNumberFormat="1" applyBorder="1" applyAlignment="1">
      <alignment horizontal="right" vertical="center" indent="1"/>
    </xf>
    <xf numFmtId="4" fontId="20" fillId="0" borderId="0" xfId="216" applyNumberFormat="1"/>
    <xf numFmtId="173" fontId="149" fillId="0" borderId="0" xfId="220" applyNumberFormat="1" applyFont="1" applyAlignment="1" applyProtection="1">
      <alignment horizontal="left" vertical="center"/>
      <protection locked="0"/>
    </xf>
    <xf numFmtId="173" fontId="150" fillId="0" borderId="0" xfId="220" applyNumberFormat="1" applyFont="1" applyAlignment="1" applyProtection="1">
      <alignment horizontal="left" vertical="center"/>
      <protection locked="0"/>
    </xf>
    <xf numFmtId="0" fontId="80" fillId="0" borderId="176" xfId="220" applyFont="1" applyBorder="1" applyAlignment="1" applyProtection="1">
      <alignment horizontal="center" vertical="center" wrapText="1"/>
      <protection locked="0"/>
    </xf>
    <xf numFmtId="0" fontId="80" fillId="0" borderId="177" xfId="216" applyFont="1" applyBorder="1" applyAlignment="1">
      <alignment horizontal="center" vertical="center" wrapText="1"/>
    </xf>
    <xf numFmtId="173" fontId="36" fillId="0" borderId="179" xfId="220" applyNumberFormat="1" applyFont="1" applyBorder="1" applyAlignment="1" applyProtection="1">
      <alignment horizontal="left" vertical="center"/>
      <protection locked="0"/>
    </xf>
    <xf numFmtId="173" fontId="36" fillId="0" borderId="180" xfId="220" applyNumberFormat="1" applyFont="1" applyBorder="1" applyAlignment="1" applyProtection="1">
      <alignment horizontal="left" vertical="center"/>
      <protection locked="0"/>
    </xf>
    <xf numFmtId="4" fontId="20" fillId="0" borderId="181" xfId="216" applyNumberFormat="1" applyBorder="1" applyAlignment="1">
      <alignment vertical="center"/>
    </xf>
    <xf numFmtId="3" fontId="20" fillId="0" borderId="182" xfId="216" applyNumberFormat="1" applyBorder="1" applyAlignment="1">
      <alignment vertical="center"/>
    </xf>
    <xf numFmtId="4" fontId="20" fillId="0" borderId="183" xfId="216" applyNumberFormat="1" applyBorder="1" applyAlignment="1">
      <alignment vertical="center"/>
    </xf>
    <xf numFmtId="3" fontId="20" fillId="0" borderId="184" xfId="216" applyNumberFormat="1" applyBorder="1" applyAlignment="1">
      <alignment vertical="center"/>
    </xf>
    <xf numFmtId="3" fontId="20" fillId="0" borderId="0" xfId="216" applyNumberFormat="1"/>
    <xf numFmtId="173" fontId="65" fillId="0" borderId="178" xfId="220" applyNumberFormat="1" applyFont="1" applyBorder="1" applyAlignment="1" applyProtection="1">
      <alignment horizontal="left" vertical="center"/>
      <protection locked="0"/>
    </xf>
    <xf numFmtId="4" fontId="34" fillId="3" borderId="178" xfId="221" applyNumberFormat="1" applyFont="1" applyFill="1" applyBorder="1" applyAlignment="1">
      <alignment horizontal="center" vertical="center"/>
    </xf>
    <xf numFmtId="4" fontId="34" fillId="3" borderId="177" xfId="221" applyNumberFormat="1" applyFont="1" applyFill="1" applyBorder="1" applyAlignment="1">
      <alignment horizontal="center" vertical="center"/>
    </xf>
    <xf numFmtId="0" fontId="80" fillId="0" borderId="183" xfId="220" applyFont="1" applyBorder="1" applyAlignment="1" applyProtection="1">
      <alignment horizontal="center" vertical="center" wrapText="1"/>
      <protection locked="0"/>
    </xf>
    <xf numFmtId="0" fontId="80" fillId="0" borderId="184" xfId="216" applyFont="1" applyBorder="1" applyAlignment="1">
      <alignment horizontal="center" vertical="center" wrapText="1"/>
    </xf>
    <xf numFmtId="0" fontId="32" fillId="0" borderId="0" xfId="216" applyFont="1"/>
    <xf numFmtId="0" fontId="80" fillId="0" borderId="185" xfId="220" applyFont="1" applyBorder="1" applyAlignment="1" applyProtection="1">
      <alignment horizontal="center" vertical="center"/>
      <protection locked="0"/>
    </xf>
    <xf numFmtId="4" fontId="20" fillId="1" borderId="186" xfId="216" applyNumberFormat="1" applyFill="1" applyBorder="1" applyAlignment="1">
      <alignment vertical="center"/>
    </xf>
    <xf numFmtId="4" fontId="20" fillId="1" borderId="182" xfId="216" applyNumberFormat="1" applyFill="1" applyBorder="1" applyAlignment="1">
      <alignment vertical="center"/>
    </xf>
    <xf numFmtId="0" fontId="80" fillId="0" borderId="189" xfId="220" applyFont="1" applyBorder="1" applyAlignment="1" applyProtection="1">
      <alignment horizontal="center" vertical="center"/>
      <protection locked="0"/>
    </xf>
    <xf numFmtId="3" fontId="20" fillId="0" borderId="192" xfId="216" applyNumberFormat="1" applyBorder="1" applyAlignment="1">
      <alignment vertical="center"/>
    </xf>
    <xf numFmtId="4" fontId="20" fillId="0" borderId="193" xfId="216" applyNumberFormat="1" applyBorder="1" applyAlignment="1">
      <alignment vertical="center"/>
    </xf>
    <xf numFmtId="3" fontId="20" fillId="0" borderId="194" xfId="216" applyNumberFormat="1" applyBorder="1" applyAlignment="1">
      <alignment vertical="center"/>
    </xf>
    <xf numFmtId="4" fontId="20" fillId="1" borderId="190" xfId="216" applyNumberFormat="1" applyFill="1" applyBorder="1" applyAlignment="1">
      <alignment vertical="center"/>
    </xf>
    <xf numFmtId="4" fontId="20" fillId="1" borderId="194" xfId="216" applyNumberFormat="1" applyFill="1" applyBorder="1" applyAlignment="1">
      <alignment vertical="center"/>
    </xf>
    <xf numFmtId="3" fontId="20" fillId="1" borderId="194" xfId="216" applyNumberFormat="1" applyFill="1" applyBorder="1" applyAlignment="1">
      <alignment vertical="center"/>
    </xf>
    <xf numFmtId="4" fontId="20" fillId="1" borderId="196" xfId="216" applyNumberFormat="1" applyFill="1" applyBorder="1" applyAlignment="1">
      <alignment vertical="center"/>
    </xf>
    <xf numFmtId="3" fontId="20" fillId="1" borderId="199" xfId="216" applyNumberFormat="1" applyFill="1" applyBorder="1" applyAlignment="1">
      <alignment vertical="center"/>
    </xf>
    <xf numFmtId="4" fontId="20" fillId="1" borderId="199" xfId="216" applyNumberFormat="1" applyFill="1" applyBorder="1" applyAlignment="1">
      <alignment vertical="center"/>
    </xf>
    <xf numFmtId="4" fontId="20" fillId="0" borderId="0" xfId="216" applyNumberFormat="1" applyAlignment="1">
      <alignment vertical="center"/>
    </xf>
    <xf numFmtId="0" fontId="80" fillId="0" borderId="200" xfId="220" quotePrefix="1" applyFont="1" applyBorder="1" applyAlignment="1">
      <alignment horizontal="center" vertical="center"/>
    </xf>
    <xf numFmtId="4" fontId="20" fillId="0" borderId="181" xfId="216" applyNumberFormat="1" applyBorder="1" applyAlignment="1">
      <alignment horizontal="right" vertical="center"/>
    </xf>
    <xf numFmtId="3" fontId="20" fillId="0" borderId="182" xfId="216" applyNumberFormat="1" applyBorder="1" applyAlignment="1">
      <alignment horizontal="right" vertical="center"/>
    </xf>
    <xf numFmtId="0" fontId="80" fillId="0" borderId="189" xfId="220" quotePrefix="1" applyFont="1" applyBorder="1" applyAlignment="1">
      <alignment horizontal="center" vertical="center"/>
    </xf>
    <xf numFmtId="0" fontId="80" fillId="0" borderId="195" xfId="220" quotePrefix="1" applyFont="1" applyBorder="1" applyAlignment="1">
      <alignment horizontal="center" vertical="center"/>
    </xf>
    <xf numFmtId="0" fontId="86" fillId="0" borderId="0" xfId="216" applyFont="1"/>
    <xf numFmtId="14" fontId="20" fillId="0" borderId="0" xfId="216" applyNumberFormat="1"/>
    <xf numFmtId="4" fontId="20" fillId="0" borderId="208" xfId="216" applyNumberFormat="1" applyBorder="1" applyAlignment="1">
      <alignment horizontal="right" vertical="center"/>
    </xf>
    <xf numFmtId="3" fontId="20" fillId="0" borderId="192" xfId="216" applyNumberFormat="1" applyBorder="1" applyAlignment="1">
      <alignment horizontal="right" vertical="center"/>
    </xf>
    <xf numFmtId="0" fontId="80"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52" fillId="0" borderId="0" xfId="0" applyFont="1"/>
    <xf numFmtId="0" fontId="0" fillId="0" borderId="214" xfId="0" applyBorder="1"/>
    <xf numFmtId="0" fontId="152" fillId="0" borderId="215" xfId="0" applyFont="1" applyBorder="1"/>
    <xf numFmtId="0" fontId="152" fillId="0" borderId="216" xfId="0" applyFont="1" applyBorder="1"/>
    <xf numFmtId="0" fontId="0" fillId="0" borderId="217" xfId="0" applyBorder="1"/>
    <xf numFmtId="0" fontId="131" fillId="0" borderId="213" xfId="180" applyBorder="1"/>
    <xf numFmtId="0" fontId="19" fillId="0" borderId="0" xfId="216" applyFont="1"/>
    <xf numFmtId="0" fontId="131" fillId="0" borderId="0" xfId="180"/>
    <xf numFmtId="0" fontId="131" fillId="0" borderId="0" xfId="180" applyBorder="1"/>
    <xf numFmtId="14" fontId="18" fillId="3" borderId="146" xfId="97" applyNumberFormat="1" applyFont="1" applyFill="1" applyBorder="1" applyAlignment="1">
      <alignment horizontal="center" vertical="center"/>
    </xf>
    <xf numFmtId="14" fontId="51" fillId="0" borderId="0" xfId="97" applyNumberFormat="1" applyFont="1" applyAlignment="1">
      <alignment horizontal="center" vertical="center"/>
    </xf>
    <xf numFmtId="14" fontId="51" fillId="0" borderId="218" xfId="97" applyNumberFormat="1" applyFont="1" applyBorder="1" applyAlignment="1">
      <alignment horizontal="center" vertical="center"/>
    </xf>
    <xf numFmtId="0" fontId="54" fillId="0" borderId="89" xfId="0" applyFont="1" applyBorder="1" applyAlignment="1">
      <alignment horizontal="left" vertical="center"/>
    </xf>
    <xf numFmtId="0" fontId="54" fillId="0" borderId="0" xfId="0" applyFont="1"/>
    <xf numFmtId="173" fontId="54" fillId="0" borderId="178" xfId="220" applyNumberFormat="1" applyFont="1" applyBorder="1" applyAlignment="1" applyProtection="1">
      <alignment horizontal="left" vertical="center"/>
      <protection locked="0"/>
    </xf>
    <xf numFmtId="173" fontId="54" fillId="0" borderId="179" xfId="220" applyNumberFormat="1" applyFont="1" applyBorder="1" applyAlignment="1" applyProtection="1">
      <alignment horizontal="left" vertical="center"/>
      <protection locked="0"/>
    </xf>
    <xf numFmtId="173" fontId="54" fillId="0" borderId="180" xfId="220" applyNumberFormat="1" applyFont="1" applyBorder="1" applyAlignment="1" applyProtection="1">
      <alignment horizontal="left" vertical="center"/>
      <protection locked="0"/>
    </xf>
    <xf numFmtId="0" fontId="34" fillId="0" borderId="0" xfId="217" applyFont="1" applyAlignment="1">
      <alignment vertical="center"/>
    </xf>
    <xf numFmtId="0" fontId="102" fillId="0" borderId="0" xfId="217" applyFont="1" applyAlignment="1">
      <alignment vertical="center"/>
    </xf>
    <xf numFmtId="0" fontId="103" fillId="7" borderId="124" xfId="217" applyFont="1" applyFill="1" applyBorder="1" applyAlignment="1">
      <alignment horizontal="left" vertical="center" indent="1"/>
    </xf>
    <xf numFmtId="3" fontId="76" fillId="5" borderId="125" xfId="217" applyNumberFormat="1" applyFont="1" applyFill="1" applyBorder="1" applyAlignment="1">
      <alignment horizontal="center" vertical="center"/>
    </xf>
    <xf numFmtId="44" fontId="34" fillId="0" borderId="0" xfId="205" applyFont="1" applyAlignment="1">
      <alignment vertical="center"/>
    </xf>
    <xf numFmtId="44" fontId="102" fillId="0" borderId="0" xfId="205" applyFont="1" applyAlignment="1">
      <alignment vertical="center"/>
    </xf>
    <xf numFmtId="0" fontId="103" fillId="7" borderId="223" xfId="205" applyNumberFormat="1" applyFont="1" applyFill="1" applyBorder="1" applyAlignment="1">
      <alignment horizontal="left" vertical="center" indent="1"/>
    </xf>
    <xf numFmtId="175" fontId="104" fillId="5" borderId="224" xfId="205" applyNumberFormat="1" applyFont="1" applyFill="1" applyBorder="1" applyAlignment="1">
      <alignment horizontal="center" vertical="center"/>
    </xf>
    <xf numFmtId="44" fontId="32" fillId="0" borderId="0" xfId="205" applyFont="1"/>
    <xf numFmtId="0" fontId="103" fillId="7" borderId="223" xfId="217" applyFont="1" applyFill="1" applyBorder="1" applyAlignment="1">
      <alignment horizontal="left" vertical="center" indent="1"/>
    </xf>
    <xf numFmtId="9" fontId="104" fillId="5" borderId="224" xfId="16" applyFont="1" applyFill="1" applyBorder="1" applyAlignment="1">
      <alignment horizontal="center" vertical="center"/>
    </xf>
    <xf numFmtId="4" fontId="34" fillId="0" borderId="0" xfId="217" applyNumberFormat="1" applyFont="1" applyAlignment="1">
      <alignment vertical="center"/>
    </xf>
    <xf numFmtId="0" fontId="103" fillId="7" borderId="225" xfId="217" applyFont="1" applyFill="1" applyBorder="1" applyAlignment="1">
      <alignment horizontal="left" vertical="center" indent="1"/>
    </xf>
    <xf numFmtId="4" fontId="102" fillId="0" borderId="0" xfId="217" applyNumberFormat="1" applyFont="1" applyAlignment="1">
      <alignment vertical="center"/>
    </xf>
    <xf numFmtId="176" fontId="34" fillId="0" borderId="0" xfId="96" applyNumberFormat="1" applyFont="1" applyAlignment="1">
      <alignment vertical="center"/>
    </xf>
    <xf numFmtId="0" fontId="34" fillId="0" borderId="0" xfId="217" applyFont="1" applyAlignment="1">
      <alignment horizontal="center" vertical="center"/>
    </xf>
    <xf numFmtId="0" fontId="57" fillId="0" borderId="0" xfId="217" applyFont="1" applyAlignment="1">
      <alignment horizontal="center"/>
    </xf>
    <xf numFmtId="0" fontId="89" fillId="0" borderId="0" xfId="217" applyFont="1" applyAlignment="1">
      <alignment horizontal="center" vertical="center" wrapText="1"/>
    </xf>
    <xf numFmtId="0" fontId="98" fillId="0" borderId="0" xfId="217" applyFont="1" applyAlignment="1">
      <alignment horizontal="center" vertical="center"/>
    </xf>
    <xf numFmtId="14" fontId="89" fillId="6" borderId="79" xfId="217" applyNumberFormat="1" applyFont="1" applyFill="1" applyBorder="1" applyAlignment="1">
      <alignment horizontal="center" vertical="center"/>
    </xf>
    <xf numFmtId="14" fontId="89" fillId="0" borderId="0" xfId="217" applyNumberFormat="1" applyFont="1" applyAlignment="1">
      <alignment horizontal="center" vertical="center"/>
    </xf>
    <xf numFmtId="4" fontId="89" fillId="6" borderId="66" xfId="217" applyNumberFormat="1" applyFont="1" applyFill="1" applyBorder="1" applyAlignment="1">
      <alignment horizontal="center" vertical="center"/>
    </xf>
    <xf numFmtId="4" fontId="89" fillId="6" borderId="67" xfId="217" applyNumberFormat="1" applyFont="1" applyFill="1" applyBorder="1" applyAlignment="1">
      <alignment horizontal="center" vertical="center"/>
    </xf>
    <xf numFmtId="3" fontId="89" fillId="6" borderId="227" xfId="217" applyNumberFormat="1" applyFont="1" applyFill="1" applyBorder="1" applyAlignment="1">
      <alignment horizontal="center" vertical="center"/>
    </xf>
    <xf numFmtId="4" fontId="89" fillId="6" borderId="68" xfId="217" applyNumberFormat="1" applyFont="1" applyFill="1" applyBorder="1" applyAlignment="1">
      <alignment horizontal="center" vertical="center"/>
    </xf>
    <xf numFmtId="3" fontId="89" fillId="6" borderId="67" xfId="217" applyNumberFormat="1" applyFont="1" applyFill="1" applyBorder="1" applyAlignment="1">
      <alignment horizontal="center" vertical="center"/>
    </xf>
    <xf numFmtId="0" fontId="80" fillId="0" borderId="0" xfId="217" applyFont="1" applyAlignment="1">
      <alignment horizontal="center" vertical="center"/>
    </xf>
    <xf numFmtId="0" fontId="113" fillId="0" borderId="0" xfId="217" applyFont="1" applyAlignment="1">
      <alignment horizontal="center" vertical="center"/>
    </xf>
    <xf numFmtId="14" fontId="105" fillId="0" borderId="80" xfId="217" applyNumberFormat="1" applyFont="1" applyBorder="1" applyAlignment="1">
      <alignment horizontal="center" vertical="center"/>
    </xf>
    <xf numFmtId="14" fontId="105" fillId="0" borderId="0" xfId="217" applyNumberFormat="1" applyFont="1" applyAlignment="1">
      <alignment horizontal="center" vertical="center"/>
    </xf>
    <xf numFmtId="4" fontId="97" fillId="0" borderId="69" xfId="217" applyNumberFormat="1" applyFont="1" applyBorder="1" applyAlignment="1">
      <alignment horizontal="center" vertical="center"/>
    </xf>
    <xf numFmtId="4" fontId="105" fillId="0" borderId="166" xfId="217" applyNumberFormat="1" applyFont="1" applyBorder="1" applyAlignment="1">
      <alignment horizontal="center" vertical="center"/>
    </xf>
    <xf numFmtId="4" fontId="97" fillId="6" borderId="166" xfId="217" applyNumberFormat="1" applyFont="1" applyFill="1" applyBorder="1" applyAlignment="1">
      <alignment horizontal="center" vertical="center"/>
    </xf>
    <xf numFmtId="3" fontId="97" fillId="0" borderId="228" xfId="217" applyNumberFormat="1" applyFont="1" applyBorder="1" applyAlignment="1">
      <alignment horizontal="center" vertical="center"/>
    </xf>
    <xf numFmtId="4" fontId="105" fillId="0" borderId="70" xfId="217" applyNumberFormat="1" applyFont="1" applyBorder="1" applyAlignment="1">
      <alignment horizontal="center" vertical="center"/>
    </xf>
    <xf numFmtId="4" fontId="105" fillId="0" borderId="0" xfId="217" applyNumberFormat="1" applyFont="1" applyAlignment="1">
      <alignment horizontal="center" vertical="center"/>
    </xf>
    <xf numFmtId="4" fontId="105" fillId="0" borderId="69" xfId="217" applyNumberFormat="1" applyFont="1" applyBorder="1" applyAlignment="1">
      <alignment horizontal="center" vertical="center"/>
    </xf>
    <xf numFmtId="0" fontId="106" fillId="0" borderId="0" xfId="217" applyFont="1" applyAlignment="1">
      <alignment horizontal="center" vertical="center"/>
    </xf>
    <xf numFmtId="0" fontId="86" fillId="0" borderId="0" xfId="217" applyFont="1"/>
    <xf numFmtId="11" fontId="105" fillId="0" borderId="65" xfId="217" applyNumberFormat="1" applyFont="1" applyBorder="1" applyAlignment="1">
      <alignment horizontal="center" vertical="center"/>
    </xf>
    <xf numFmtId="14" fontId="97" fillId="0" borderId="0" xfId="217" applyNumberFormat="1" applyFont="1" applyAlignment="1">
      <alignment horizontal="center" vertical="center"/>
    </xf>
    <xf numFmtId="4" fontId="97" fillId="0" borderId="0" xfId="217" applyNumberFormat="1" applyFont="1" applyAlignment="1">
      <alignment horizontal="center" vertical="center"/>
    </xf>
    <xf numFmtId="4" fontId="97" fillId="0" borderId="166" xfId="217" applyNumberFormat="1" applyFont="1" applyBorder="1" applyAlignment="1">
      <alignment horizontal="center" vertical="center"/>
    </xf>
    <xf numFmtId="4" fontId="97" fillId="0" borderId="70" xfId="217" applyNumberFormat="1" applyFont="1" applyBorder="1" applyAlignment="1">
      <alignment horizontal="center" vertical="center"/>
    </xf>
    <xf numFmtId="4" fontId="153" fillId="0" borderId="69" xfId="217" applyNumberFormat="1" applyFont="1" applyBorder="1" applyAlignment="1">
      <alignment horizontal="center" vertical="center"/>
    </xf>
    <xf numFmtId="14" fontId="105" fillId="0" borderId="81" xfId="217" applyNumberFormat="1" applyFont="1" applyBorder="1" applyAlignment="1">
      <alignment horizontal="center" vertical="center"/>
    </xf>
    <xf numFmtId="4" fontId="105" fillId="0" borderId="71" xfId="217" applyNumberFormat="1" applyFont="1" applyBorder="1" applyAlignment="1">
      <alignment horizontal="center" vertical="center"/>
    </xf>
    <xf numFmtId="4" fontId="97" fillId="0" borderId="167" xfId="217" applyNumberFormat="1" applyFont="1" applyBorder="1" applyAlignment="1">
      <alignment horizontal="center" vertical="center"/>
    </xf>
    <xf numFmtId="4" fontId="97" fillId="6" borderId="167" xfId="217" applyNumberFormat="1" applyFont="1" applyFill="1" applyBorder="1" applyAlignment="1">
      <alignment horizontal="center" vertical="center"/>
    </xf>
    <xf numFmtId="3" fontId="97" fillId="0" borderId="229" xfId="217" applyNumberFormat="1" applyFont="1" applyBorder="1" applyAlignment="1">
      <alignment horizontal="center" vertical="center"/>
    </xf>
    <xf numFmtId="4" fontId="97" fillId="0" borderId="72" xfId="217" applyNumberFormat="1" applyFont="1" applyBorder="1" applyAlignment="1">
      <alignment horizontal="center" vertical="center"/>
    </xf>
    <xf numFmtId="14" fontId="34" fillId="0" borderId="0" xfId="217" applyNumberFormat="1" applyFont="1" applyAlignment="1">
      <alignment vertical="center"/>
    </xf>
    <xf numFmtId="3" fontId="34" fillId="0" borderId="0" xfId="217" applyNumberFormat="1" applyFont="1" applyAlignment="1">
      <alignment vertical="center"/>
    </xf>
    <xf numFmtId="0" fontId="32" fillId="11" borderId="88" xfId="103" applyFill="1" applyBorder="1"/>
    <xf numFmtId="0" fontId="57" fillId="11" borderId="230" xfId="103" applyFont="1" applyFill="1" applyBorder="1" applyAlignment="1">
      <alignment horizontal="center" vertical="center"/>
    </xf>
    <xf numFmtId="0" fontId="57" fillId="11" borderId="231" xfId="103" applyFont="1" applyFill="1" applyBorder="1" applyAlignment="1">
      <alignment horizontal="center" vertical="center"/>
    </xf>
    <xf numFmtId="0" fontId="18" fillId="0" borderId="0" xfId="223"/>
    <xf numFmtId="0" fontId="32" fillId="11" borderId="218" xfId="103" applyFill="1" applyBorder="1" applyAlignment="1">
      <alignment vertical="center"/>
    </xf>
    <xf numFmtId="0" fontId="89" fillId="3" borderId="107" xfId="103" applyFont="1" applyFill="1" applyBorder="1" applyAlignment="1">
      <alignment horizontal="center" vertical="center"/>
    </xf>
    <xf numFmtId="0" fontId="32" fillId="11" borderId="142" xfId="103" applyFill="1" applyBorder="1" applyAlignment="1">
      <alignment vertical="center"/>
    </xf>
    <xf numFmtId="0" fontId="32" fillId="11" borderId="218" xfId="103" applyFill="1" applyBorder="1"/>
    <xf numFmtId="0" fontId="34" fillId="11" borderId="0" xfId="103" applyFont="1" applyFill="1" applyAlignment="1">
      <alignment vertical="center"/>
    </xf>
    <xf numFmtId="167" fontId="90" fillId="65" borderId="107" xfId="103" applyNumberFormat="1" applyFont="1" applyFill="1" applyBorder="1" applyAlignment="1">
      <alignment horizontal="right" vertical="center" indent="1"/>
    </xf>
    <xf numFmtId="0" fontId="34" fillId="11" borderId="142" xfId="103" applyFont="1" applyFill="1" applyBorder="1" applyAlignment="1">
      <alignment vertical="center"/>
    </xf>
    <xf numFmtId="167" fontId="32" fillId="0" borderId="0" xfId="217" applyNumberFormat="1"/>
    <xf numFmtId="0" fontId="91" fillId="5" borderId="48" xfId="103" applyFont="1" applyFill="1" applyBorder="1" applyAlignment="1">
      <alignment horizontal="center" vertical="center"/>
    </xf>
    <xf numFmtId="4" fontId="154" fillId="3" borderId="48" xfId="103" applyNumberFormat="1" applyFont="1" applyFill="1" applyBorder="1" applyAlignment="1">
      <alignment horizontal="right" vertical="center" indent="1"/>
    </xf>
    <xf numFmtId="167" fontId="155" fillId="3" borderId="48" xfId="103" applyNumberFormat="1" applyFont="1" applyFill="1" applyBorder="1" applyAlignment="1">
      <alignment horizontal="right" vertical="center" indent="1"/>
    </xf>
    <xf numFmtId="0" fontId="94" fillId="5" borderId="48" xfId="103" applyFont="1" applyFill="1" applyBorder="1" applyAlignment="1">
      <alignment horizontal="center" vertical="center"/>
    </xf>
    <xf numFmtId="0" fontId="32" fillId="11" borderId="142" xfId="103" applyFill="1" applyBorder="1"/>
    <xf numFmtId="4" fontId="32" fillId="0" borderId="0" xfId="217" applyNumberFormat="1"/>
    <xf numFmtId="4" fontId="18" fillId="0" borderId="0" xfId="205" applyNumberFormat="1" applyFont="1"/>
    <xf numFmtId="0" fontId="32" fillId="11" borderId="18" xfId="103" applyFill="1" applyBorder="1"/>
    <xf numFmtId="0" fontId="34" fillId="11" borderId="126" xfId="103" applyFont="1" applyFill="1" applyBorder="1" applyAlignment="1">
      <alignment vertical="center"/>
    </xf>
    <xf numFmtId="0" fontId="34" fillId="11" borderId="114" xfId="103" applyFont="1" applyFill="1" applyBorder="1" applyAlignment="1">
      <alignment vertical="center"/>
    </xf>
    <xf numFmtId="0" fontId="32" fillId="11" borderId="232" xfId="103" applyFill="1" applyBorder="1"/>
    <xf numFmtId="0" fontId="32" fillId="6" borderId="88" xfId="103" applyFill="1" applyBorder="1"/>
    <xf numFmtId="0" fontId="57" fillId="6" borderId="230" xfId="103" applyFont="1" applyFill="1" applyBorder="1" applyAlignment="1">
      <alignment horizontal="center" vertical="center"/>
    </xf>
    <xf numFmtId="0" fontId="57" fillId="6" borderId="231" xfId="103" applyFont="1" applyFill="1" applyBorder="1" applyAlignment="1">
      <alignment horizontal="center" vertical="center"/>
    </xf>
    <xf numFmtId="0" fontId="32" fillId="6" borderId="218" xfId="103" applyFill="1" applyBorder="1" applyAlignment="1">
      <alignment vertical="center"/>
    </xf>
    <xf numFmtId="0" fontId="32" fillId="6" borderId="142" xfId="103" applyFill="1" applyBorder="1" applyAlignment="1">
      <alignment vertical="center"/>
    </xf>
    <xf numFmtId="0" fontId="32" fillId="6" borderId="218" xfId="103" applyFill="1" applyBorder="1"/>
    <xf numFmtId="0" fontId="34" fillId="6" borderId="0" xfId="103" applyFont="1" applyFill="1" applyAlignment="1">
      <alignment vertical="center"/>
    </xf>
    <xf numFmtId="0" fontId="34" fillId="6" borderId="142" xfId="103" applyFont="1" applyFill="1" applyBorder="1" applyAlignment="1">
      <alignment vertical="center"/>
    </xf>
    <xf numFmtId="0" fontId="32" fillId="6" borderId="142" xfId="103" applyFill="1" applyBorder="1"/>
    <xf numFmtId="0" fontId="32" fillId="6" borderId="18" xfId="103" applyFill="1" applyBorder="1"/>
    <xf numFmtId="0" fontId="34" fillId="6" borderId="126" xfId="103" applyFont="1" applyFill="1" applyBorder="1" applyAlignment="1">
      <alignment vertical="center"/>
    </xf>
    <xf numFmtId="0" fontId="34" fillId="6" borderId="114" xfId="103" applyFont="1" applyFill="1" applyBorder="1" applyAlignment="1">
      <alignment vertical="center"/>
    </xf>
    <xf numFmtId="0" fontId="32" fillId="6" borderId="232" xfId="103" applyFill="1" applyBorder="1"/>
    <xf numFmtId="0" fontId="29" fillId="5" borderId="0" xfId="99" applyFill="1"/>
    <xf numFmtId="0" fontId="98" fillId="5" borderId="0" xfId="103" applyFont="1" applyFill="1" applyAlignment="1">
      <alignment vertical="center"/>
    </xf>
    <xf numFmtId="167" fontId="100" fillId="5" borderId="0" xfId="103" applyNumberFormat="1" applyFont="1" applyFill="1" applyAlignment="1">
      <alignment horizontal="right" vertical="center" indent="1"/>
    </xf>
    <xf numFmtId="4" fontId="29" fillId="5" borderId="0" xfId="99" applyNumberFormat="1" applyFill="1"/>
    <xf numFmtId="0" fontId="156" fillId="66" borderId="39" xfId="97" applyFont="1" applyFill="1" applyBorder="1" applyAlignment="1">
      <alignment horizontal="left" indent="2"/>
    </xf>
    <xf numFmtId="0" fontId="156" fillId="66" borderId="162" xfId="97" applyFont="1" applyFill="1" applyBorder="1" applyAlignment="1">
      <alignment horizontal="left" indent="2"/>
    </xf>
    <xf numFmtId="0" fontId="156" fillId="66" borderId="42" xfId="97" applyFont="1" applyFill="1" applyBorder="1" applyAlignment="1">
      <alignment horizontal="left" indent="2"/>
    </xf>
    <xf numFmtId="169" fontId="156" fillId="66" borderId="42" xfId="97" applyNumberFormat="1" applyFont="1" applyFill="1" applyBorder="1" applyAlignment="1">
      <alignment horizontal="left" indent="2"/>
    </xf>
    <xf numFmtId="0" fontId="139" fillId="66" borderId="52" xfId="103" applyFont="1" applyFill="1" applyBorder="1" applyAlignment="1">
      <alignment horizontal="left" vertical="center" indent="1"/>
    </xf>
    <xf numFmtId="0" fontId="56" fillId="66" borderId="52" xfId="103" applyFont="1" applyFill="1" applyBorder="1" applyAlignment="1">
      <alignment vertical="center"/>
    </xf>
    <xf numFmtId="0" fontId="56" fillId="66" borderId="53" xfId="103" applyFont="1" applyFill="1" applyBorder="1"/>
    <xf numFmtId="0" fontId="56" fillId="66" borderId="116" xfId="103" applyFont="1" applyFill="1" applyBorder="1" applyAlignment="1">
      <alignment vertical="center"/>
    </xf>
    <xf numFmtId="0" fontId="56" fillId="66" borderId="117" xfId="103" applyFont="1" applyFill="1" applyBorder="1" applyAlignment="1">
      <alignment vertical="center"/>
    </xf>
    <xf numFmtId="0" fontId="89" fillId="67" borderId="173" xfId="0" applyFont="1" applyFill="1" applyBorder="1" applyAlignment="1">
      <alignment horizontal="center" vertical="center" wrapText="1"/>
    </xf>
    <xf numFmtId="0" fontId="103" fillId="7" borderId="233" xfId="217" applyFont="1" applyFill="1" applyBorder="1" applyAlignment="1">
      <alignment horizontal="left" vertical="center" indent="1"/>
    </xf>
    <xf numFmtId="9" fontId="104" fillId="5" borderId="234" xfId="16" applyFont="1" applyFill="1" applyBorder="1" applyAlignment="1">
      <alignment horizontal="center" vertical="center"/>
    </xf>
    <xf numFmtId="0" fontId="34" fillId="67" borderId="3" xfId="0" applyFont="1" applyFill="1" applyBorder="1" applyAlignment="1">
      <alignment horizontal="center" vertical="center" wrapText="1"/>
    </xf>
    <xf numFmtId="0" fontId="34" fillId="67" borderId="4" xfId="0" applyFont="1" applyFill="1" applyBorder="1" applyAlignment="1">
      <alignment horizontal="center" vertical="center" wrapText="1"/>
    </xf>
    <xf numFmtId="4" fontId="34" fillId="67" borderId="8" xfId="0" applyNumberFormat="1" applyFont="1" applyFill="1" applyBorder="1" applyAlignment="1">
      <alignment horizontal="center" vertical="center" wrapText="1"/>
    </xf>
    <xf numFmtId="4" fontId="34" fillId="67" borderId="4" xfId="0" applyNumberFormat="1" applyFont="1" applyFill="1" applyBorder="1" applyAlignment="1">
      <alignment horizontal="center" vertical="center" wrapText="1"/>
    </xf>
    <xf numFmtId="4" fontId="34" fillId="67" borderId="26" xfId="0" applyNumberFormat="1" applyFont="1" applyFill="1" applyBorder="1" applyAlignment="1">
      <alignment horizontal="center" vertical="center" wrapText="1"/>
    </xf>
    <xf numFmtId="0" fontId="34" fillId="67" borderId="22" xfId="0" applyFont="1" applyFill="1" applyBorder="1" applyAlignment="1">
      <alignment horizontal="center" vertical="center" wrapText="1"/>
    </xf>
    <xf numFmtId="4" fontId="135" fillId="0" borderId="48" xfId="0" applyNumberFormat="1" applyFont="1" applyBorder="1" applyAlignment="1">
      <alignment horizontal="left" vertical="center"/>
    </xf>
    <xf numFmtId="4" fontId="135" fillId="55" borderId="48" xfId="0" applyNumberFormat="1" applyFont="1" applyFill="1" applyBorder="1" applyAlignment="1">
      <alignment horizontal="left" vertical="center"/>
    </xf>
    <xf numFmtId="0" fontId="136" fillId="18" borderId="7" xfId="0" applyFont="1" applyFill="1" applyBorder="1" applyAlignment="1">
      <alignment horizontal="left" vertical="center" indent="1"/>
    </xf>
    <xf numFmtId="4" fontId="32" fillId="0" borderId="236" xfId="218" applyNumberFormat="1" applyBorder="1" applyAlignment="1">
      <alignment horizontal="right" vertical="center" indent="1"/>
    </xf>
    <xf numFmtId="4" fontId="32" fillId="0" borderId="237" xfId="218" applyNumberFormat="1" applyBorder="1" applyAlignment="1">
      <alignment horizontal="right" vertical="center" indent="1"/>
    </xf>
    <xf numFmtId="4" fontId="32" fillId="0" borderId="238" xfId="218" applyNumberFormat="1" applyBorder="1" applyAlignment="1">
      <alignment horizontal="right" vertical="center" indent="1"/>
    </xf>
    <xf numFmtId="0" fontId="159" fillId="67" borderId="239" xfId="0" applyFont="1" applyFill="1" applyBorder="1" applyAlignment="1">
      <alignment horizontal="center" vertical="center" wrapText="1"/>
    </xf>
    <xf numFmtId="0" fontId="159" fillId="67" borderId="240" xfId="0" applyFont="1" applyFill="1" applyBorder="1" applyAlignment="1">
      <alignment horizontal="center" vertical="center" wrapText="1"/>
    </xf>
    <xf numFmtId="0" fontId="159" fillId="67" borderId="241" xfId="0" applyFont="1" applyFill="1" applyBorder="1" applyAlignment="1">
      <alignment horizontal="center" vertical="center" wrapText="1"/>
    </xf>
    <xf numFmtId="0" fontId="56" fillId="66" borderId="58" xfId="103" applyFont="1" applyFill="1" applyBorder="1" applyAlignment="1">
      <alignment vertical="center"/>
    </xf>
    <xf numFmtId="4" fontId="56" fillId="66" borderId="58" xfId="103" applyNumberFormat="1" applyFont="1" applyFill="1" applyBorder="1" applyAlignment="1">
      <alignment vertical="center"/>
    </xf>
    <xf numFmtId="4" fontId="56" fillId="66" borderId="53" xfId="103" applyNumberFormat="1" applyFont="1" applyFill="1" applyBorder="1"/>
    <xf numFmtId="0" fontId="56" fillId="66" borderId="58" xfId="103" applyFont="1" applyFill="1" applyBorder="1"/>
    <xf numFmtId="0" fontId="56" fillId="66" borderId="117" xfId="103" applyFont="1" applyFill="1" applyBorder="1"/>
    <xf numFmtId="0" fontId="34" fillId="67" borderId="12" xfId="0" applyFont="1" applyFill="1" applyBorder="1" applyAlignment="1">
      <alignment horizontal="centerContinuous" vertical="center"/>
    </xf>
    <xf numFmtId="4" fontId="34" fillId="67" borderId="12" xfId="0" applyNumberFormat="1" applyFont="1" applyFill="1" applyBorder="1" applyAlignment="1">
      <alignment horizontal="centerContinuous" vertical="center"/>
    </xf>
    <xf numFmtId="0" fontId="34" fillId="67" borderId="7" xfId="0" applyFont="1" applyFill="1" applyBorder="1" applyAlignment="1">
      <alignment horizontal="centerContinuous" vertical="center"/>
    </xf>
    <xf numFmtId="0" fontId="34" fillId="67" borderId="8" xfId="0" applyFont="1" applyFill="1" applyBorder="1" applyAlignment="1">
      <alignment horizontal="centerContinuous" vertical="center"/>
    </xf>
    <xf numFmtId="0" fontId="34" fillId="67" borderId="11" xfId="0" applyFont="1" applyFill="1" applyBorder="1" applyAlignment="1">
      <alignment horizontal="centerContinuous" vertical="center"/>
    </xf>
    <xf numFmtId="4" fontId="34" fillId="67" borderId="8" xfId="0" applyNumberFormat="1" applyFont="1" applyFill="1" applyBorder="1" applyAlignment="1">
      <alignment horizontal="centerContinuous" vertical="center"/>
    </xf>
    <xf numFmtId="0" fontId="56" fillId="66" borderId="57" xfId="103" applyFont="1" applyFill="1" applyBorder="1" applyAlignment="1">
      <alignment vertical="center"/>
    </xf>
    <xf numFmtId="0" fontId="34" fillId="67" borderId="7" xfId="0" applyFont="1" applyFill="1" applyBorder="1" applyAlignment="1">
      <alignment horizontal="centerContinuous" vertical="center" wrapText="1"/>
    </xf>
    <xf numFmtId="0" fontId="34" fillId="67" borderId="8" xfId="0" applyFont="1" applyFill="1" applyBorder="1" applyAlignment="1">
      <alignment horizontal="centerContinuous" vertical="center" wrapText="1"/>
    </xf>
    <xf numFmtId="0" fontId="34" fillId="67" borderId="11" xfId="0" applyFont="1" applyFill="1" applyBorder="1" applyAlignment="1">
      <alignment horizontal="centerContinuous" vertical="center" wrapText="1"/>
    </xf>
    <xf numFmtId="0" fontId="89" fillId="67" borderId="76" xfId="0" applyFont="1" applyFill="1" applyBorder="1" applyAlignment="1">
      <alignment horizontal="center" vertical="center" wrapText="1"/>
    </xf>
    <xf numFmtId="0" fontId="34" fillId="66" borderId="0" xfId="103" applyFont="1" applyFill="1" applyAlignment="1">
      <alignment horizontal="left" vertical="center" indent="1"/>
    </xf>
    <xf numFmtId="0" fontId="54" fillId="66" borderId="0" xfId="103" applyFont="1" applyFill="1" applyAlignment="1">
      <alignment horizontal="left" vertical="center" indent="1"/>
    </xf>
    <xf numFmtId="0" fontId="36" fillId="66" borderId="0" xfId="103" applyFont="1" applyFill="1" applyAlignment="1">
      <alignment vertical="center"/>
    </xf>
    <xf numFmtId="0" fontId="36" fillId="66" borderId="0" xfId="103" applyFont="1" applyFill="1"/>
    <xf numFmtId="0" fontId="56" fillId="66" borderId="136" xfId="222" applyFont="1" applyFill="1" applyBorder="1"/>
    <xf numFmtId="0" fontId="56" fillId="66" borderId="137" xfId="222" applyFont="1" applyFill="1" applyBorder="1"/>
    <xf numFmtId="0" fontId="56" fillId="66" borderId="53" xfId="103" applyFont="1" applyFill="1" applyBorder="1" applyAlignment="1">
      <alignment vertical="center"/>
    </xf>
    <xf numFmtId="14" fontId="56" fillId="66" borderId="53" xfId="103" applyNumberFormat="1" applyFont="1" applyFill="1" applyBorder="1" applyAlignment="1">
      <alignment horizontal="center" vertical="center"/>
    </xf>
    <xf numFmtId="0" fontId="56" fillId="66" borderId="53" xfId="103" applyFont="1" applyFill="1" applyBorder="1" applyAlignment="1">
      <alignment horizontal="center" vertical="center"/>
    </xf>
    <xf numFmtId="0" fontId="56" fillId="66" borderId="54" xfId="103" applyFont="1" applyFill="1" applyBorder="1" applyAlignment="1">
      <alignment horizontal="center" vertical="center"/>
    </xf>
    <xf numFmtId="0" fontId="139" fillId="66" borderId="52" xfId="103" applyFont="1" applyFill="1" applyBorder="1" applyAlignment="1">
      <alignment vertical="center"/>
    </xf>
    <xf numFmtId="0" fontId="139" fillId="66" borderId="53" xfId="103" applyFont="1" applyFill="1" applyBorder="1"/>
    <xf numFmtId="0" fontId="139" fillId="66" borderId="82" xfId="0" applyFont="1" applyFill="1" applyBorder="1" applyAlignment="1">
      <alignment horizontal="left" vertical="center" indent="1"/>
    </xf>
    <xf numFmtId="0" fontId="108" fillId="66" borderId="93" xfId="0" applyFont="1" applyFill="1" applyBorder="1" applyAlignment="1">
      <alignment vertical="center"/>
    </xf>
    <xf numFmtId="0" fontId="62" fillId="66" borderId="94" xfId="0" applyFont="1" applyFill="1" applyBorder="1"/>
    <xf numFmtId="0" fontId="62" fillId="66" borderId="95" xfId="0" applyFont="1" applyFill="1" applyBorder="1"/>
    <xf numFmtId="0" fontId="89" fillId="67" borderId="219" xfId="97" applyFont="1" applyFill="1" applyBorder="1" applyAlignment="1">
      <alignment vertical="center"/>
    </xf>
    <xf numFmtId="0" fontId="89" fillId="67" borderId="220" xfId="97" applyFont="1" applyFill="1" applyBorder="1" applyAlignment="1">
      <alignment vertical="center"/>
    </xf>
    <xf numFmtId="0" fontId="89" fillId="67" borderId="221" xfId="97" applyFont="1" applyFill="1" applyBorder="1" applyAlignment="1">
      <alignment vertical="center"/>
    </xf>
    <xf numFmtId="0" fontId="89" fillId="67" borderId="222" xfId="97" applyFont="1" applyFill="1" applyBorder="1" applyAlignment="1">
      <alignment vertical="center"/>
    </xf>
    <xf numFmtId="0" fontId="89" fillId="67" borderId="31" xfId="97" applyFont="1" applyFill="1" applyBorder="1" applyAlignment="1">
      <alignment vertical="center"/>
    </xf>
    <xf numFmtId="0" fontId="34" fillId="67" borderId="22" xfId="97" applyFont="1" applyFill="1" applyBorder="1" applyAlignment="1">
      <alignment horizontal="center" vertical="center" wrapText="1"/>
    </xf>
    <xf numFmtId="0" fontId="34" fillId="67" borderId="5" xfId="97" applyFont="1" applyFill="1" applyBorder="1" applyAlignment="1">
      <alignment horizontal="center" vertical="center" wrapText="1"/>
    </xf>
    <xf numFmtId="0" fontId="34" fillId="67" borderId="7" xfId="97" applyFont="1" applyFill="1" applyBorder="1" applyAlignment="1">
      <alignment horizontal="center" vertical="center" wrapText="1"/>
    </xf>
    <xf numFmtId="0" fontId="89" fillId="67" borderId="107" xfId="103" applyFont="1" applyFill="1" applyBorder="1" applyAlignment="1">
      <alignment horizontal="center" vertical="center"/>
    </xf>
    <xf numFmtId="164" fontId="37" fillId="67" borderId="45" xfId="98" applyFont="1" applyFill="1" applyBorder="1" applyAlignment="1">
      <alignment horizontal="center"/>
    </xf>
    <xf numFmtId="0" fontId="87" fillId="5" borderId="0" xfId="103" applyFont="1" applyFill="1" applyAlignment="1">
      <alignment horizontal="center" vertical="center"/>
    </xf>
    <xf numFmtId="4" fontId="111" fillId="67" borderId="2" xfId="102" applyNumberFormat="1" applyFont="1" applyFill="1" applyBorder="1" applyAlignment="1">
      <alignment horizontal="left" vertical="center"/>
    </xf>
    <xf numFmtId="4" fontId="111" fillId="67" borderId="2" xfId="102" applyNumberFormat="1" applyFont="1" applyFill="1" applyBorder="1" applyAlignment="1">
      <alignment vertical="center"/>
    </xf>
    <xf numFmtId="0" fontId="161" fillId="67" borderId="2" xfId="103" applyFont="1" applyFill="1" applyBorder="1" applyAlignment="1">
      <alignment horizontal="center" vertical="center"/>
    </xf>
    <xf numFmtId="0" fontId="162" fillId="67" borderId="14" xfId="103" applyFont="1" applyFill="1" applyBorder="1" applyAlignment="1">
      <alignment horizontal="right" vertical="center"/>
    </xf>
    <xf numFmtId="0" fontId="29" fillId="0" borderId="0" xfId="97" applyAlignment="1">
      <alignment horizontal="left" vertical="center" wrapText="1"/>
    </xf>
    <xf numFmtId="0" fontId="58" fillId="0" borderId="0" xfId="97" applyFont="1" applyAlignment="1">
      <alignment horizontal="center" vertical="center"/>
    </xf>
    <xf numFmtId="9" fontId="104" fillId="5" borderId="226" xfId="16" applyFont="1" applyFill="1" applyBorder="1" applyAlignment="1">
      <alignment horizontal="center" vertical="center"/>
    </xf>
    <xf numFmtId="0" fontId="72" fillId="66" borderId="52" xfId="103" applyFont="1" applyFill="1" applyBorder="1" applyAlignment="1">
      <alignment horizontal="left" vertical="center" indent="1"/>
    </xf>
    <xf numFmtId="0" fontId="32" fillId="5" borderId="0" xfId="217" applyFill="1" applyAlignment="1">
      <alignment horizontal="center" vertical="center"/>
    </xf>
    <xf numFmtId="0" fontId="32" fillId="0" borderId="0" xfId="217" applyAlignment="1">
      <alignment horizontal="center" vertical="center"/>
    </xf>
    <xf numFmtId="0" fontId="117" fillId="2" borderId="0" xfId="217" applyFont="1" applyFill="1" applyAlignment="1">
      <alignment horizontal="center" vertical="center"/>
    </xf>
    <xf numFmtId="0" fontId="32" fillId="5" borderId="0" xfId="217" applyFill="1"/>
    <xf numFmtId="177" fontId="106" fillId="0" borderId="246" xfId="217" applyNumberFormat="1" applyFont="1" applyBorder="1" applyAlignment="1">
      <alignment horizontal="center" vertical="center"/>
    </xf>
    <xf numFmtId="4" fontId="106" fillId="0" borderId="246" xfId="217" applyNumberFormat="1" applyFont="1" applyBorder="1" applyAlignment="1">
      <alignment horizontal="center" vertical="center"/>
    </xf>
    <xf numFmtId="1" fontId="106" fillId="2" borderId="246" xfId="217" applyNumberFormat="1" applyFont="1" applyFill="1" applyBorder="1" applyAlignment="1">
      <alignment horizontal="center" vertical="center"/>
    </xf>
    <xf numFmtId="168" fontId="106" fillId="0" borderId="246" xfId="217" applyNumberFormat="1" applyFont="1" applyBorder="1" applyAlignment="1">
      <alignment horizontal="center" vertical="center"/>
    </xf>
    <xf numFmtId="4" fontId="89" fillId="5" borderId="246" xfId="217" applyNumberFormat="1" applyFont="1" applyFill="1" applyBorder="1" applyAlignment="1">
      <alignment horizontal="right" vertical="center"/>
    </xf>
    <xf numFmtId="177" fontId="32" fillId="0" borderId="0" xfId="217" applyNumberFormat="1"/>
    <xf numFmtId="0" fontId="164" fillId="0" borderId="0" xfId="217" applyFont="1"/>
    <xf numFmtId="167" fontId="32" fillId="5" borderId="0" xfId="217" applyNumberFormat="1" applyFill="1"/>
    <xf numFmtId="4" fontId="106" fillId="0" borderId="0" xfId="217" applyNumberFormat="1" applyFont="1" applyAlignment="1">
      <alignment horizontal="right" vertical="center"/>
    </xf>
    <xf numFmtId="178" fontId="163" fillId="2" borderId="0" xfId="217" applyNumberFormat="1" applyFont="1" applyFill="1" applyAlignment="1">
      <alignment horizontal="center" vertical="center"/>
    </xf>
    <xf numFmtId="1" fontId="106" fillId="2" borderId="0" xfId="217" applyNumberFormat="1" applyFont="1" applyFill="1" applyAlignment="1">
      <alignment horizontal="center" vertical="center"/>
    </xf>
    <xf numFmtId="168" fontId="89" fillId="2" borderId="0" xfId="217" applyNumberFormat="1" applyFont="1" applyFill="1" applyAlignment="1">
      <alignment horizontal="center" vertical="center"/>
    </xf>
    <xf numFmtId="0" fontId="36" fillId="67" borderId="60" xfId="217" applyFont="1" applyFill="1" applyBorder="1" applyAlignment="1">
      <alignment horizontal="left" vertical="center" indent="1"/>
    </xf>
    <xf numFmtId="0" fontId="36" fillId="67" borderId="61" xfId="217" applyFont="1" applyFill="1" applyBorder="1" applyAlignment="1">
      <alignment horizontal="left" vertical="center" indent="1"/>
    </xf>
    <xf numFmtId="49" fontId="34" fillId="67" borderId="61" xfId="217" applyNumberFormat="1" applyFont="1" applyFill="1" applyBorder="1" applyAlignment="1">
      <alignment horizontal="center" vertical="center"/>
    </xf>
    <xf numFmtId="0" fontId="34" fillId="67" borderId="61" xfId="217" applyFont="1" applyFill="1" applyBorder="1"/>
    <xf numFmtId="4" fontId="34" fillId="67" borderId="61" xfId="217" applyNumberFormat="1" applyFont="1" applyFill="1" applyBorder="1" applyAlignment="1">
      <alignment horizontal="right" vertical="center"/>
    </xf>
    <xf numFmtId="4" fontId="34" fillId="67" borderId="61" xfId="217" applyNumberFormat="1" applyFont="1" applyFill="1" applyBorder="1" applyAlignment="1">
      <alignment horizontal="center" vertical="center"/>
    </xf>
    <xf numFmtId="164" fontId="160" fillId="3" borderId="45" xfId="98" applyFont="1" applyFill="1" applyBorder="1" applyAlignment="1">
      <alignment horizontal="center"/>
    </xf>
    <xf numFmtId="0" fontId="87" fillId="5" borderId="0" xfId="103" applyFont="1" applyFill="1" applyAlignment="1">
      <alignment vertical="center"/>
    </xf>
    <xf numFmtId="0" fontId="51" fillId="0" borderId="107" xfId="97" applyFont="1" applyBorder="1" applyAlignment="1">
      <alignment horizontal="left" vertical="center" wrapText="1"/>
    </xf>
    <xf numFmtId="0" fontId="34" fillId="67" borderId="22" xfId="0" applyFont="1" applyFill="1" applyBorder="1" applyAlignment="1">
      <alignment horizontal="centerContinuous" vertical="center" wrapText="1"/>
    </xf>
    <xf numFmtId="0" fontId="87" fillId="0" borderId="0" xfId="103" applyFont="1" applyAlignment="1">
      <alignment vertical="center"/>
    </xf>
    <xf numFmtId="14" fontId="34" fillId="0" borderId="0" xfId="103" applyNumberFormat="1" applyFont="1"/>
    <xf numFmtId="4" fontId="79" fillId="0" borderId="247" xfId="218" applyNumberFormat="1" applyFont="1" applyBorder="1" applyAlignment="1">
      <alignment horizontal="right" vertical="center" indent="1"/>
    </xf>
    <xf numFmtId="4" fontId="32" fillId="0" borderId="248" xfId="218" applyNumberFormat="1" applyBorder="1" applyAlignment="1">
      <alignment horizontal="right" vertical="center" indent="1"/>
    </xf>
    <xf numFmtId="0" fontId="159" fillId="67" borderId="249" xfId="0" applyFont="1" applyFill="1" applyBorder="1" applyAlignment="1">
      <alignment horizontal="center" vertical="center" wrapText="1"/>
    </xf>
    <xf numFmtId="0" fontId="159" fillId="67" borderId="250" xfId="0" applyFont="1" applyFill="1" applyBorder="1" applyAlignment="1">
      <alignment horizontal="center" vertical="center" wrapText="1"/>
    </xf>
    <xf numFmtId="0" fontId="159" fillId="67" borderId="251" xfId="0" applyFont="1" applyFill="1" applyBorder="1" applyAlignment="1">
      <alignment horizontal="center" vertical="center" wrapText="1"/>
    </xf>
    <xf numFmtId="14" fontId="34" fillId="3" borderId="138" xfId="217" applyNumberFormat="1" applyFont="1" applyFill="1" applyBorder="1" applyAlignment="1">
      <alignment horizontal="center" vertical="center"/>
    </xf>
    <xf numFmtId="4" fontId="32" fillId="0" borderId="252" xfId="218" applyNumberFormat="1" applyBorder="1" applyAlignment="1">
      <alignment horizontal="right" vertical="center" indent="1"/>
    </xf>
    <xf numFmtId="14" fontId="74" fillId="3" borderId="143" xfId="217" applyNumberFormat="1" applyFont="1" applyFill="1" applyBorder="1" applyAlignment="1">
      <alignment horizontal="center" vertical="center"/>
    </xf>
    <xf numFmtId="4" fontId="79" fillId="0" borderId="253" xfId="218" applyNumberFormat="1" applyFont="1" applyBorder="1" applyAlignment="1">
      <alignment horizontal="right" vertical="center" indent="1"/>
    </xf>
    <xf numFmtId="14" fontId="74" fillId="3" borderId="254" xfId="217" applyNumberFormat="1" applyFont="1" applyFill="1" applyBorder="1" applyAlignment="1">
      <alignment horizontal="center" vertical="center"/>
    </xf>
    <xf numFmtId="4" fontId="79" fillId="0" borderId="255" xfId="218" applyNumberFormat="1" applyFont="1" applyBorder="1" applyAlignment="1">
      <alignment horizontal="right" vertical="center" indent="1"/>
    </xf>
    <xf numFmtId="4" fontId="79" fillId="0" borderId="256" xfId="218" applyNumberFormat="1" applyFont="1" applyBorder="1" applyAlignment="1">
      <alignment horizontal="right" vertical="center" indent="1"/>
    </xf>
    <xf numFmtId="4" fontId="32" fillId="0" borderId="257" xfId="218" applyNumberFormat="1" applyBorder="1" applyAlignment="1">
      <alignment horizontal="right" vertical="center" indent="1"/>
    </xf>
    <xf numFmtId="4" fontId="79" fillId="0" borderId="258" xfId="218" applyNumberFormat="1" applyFont="1" applyBorder="1" applyAlignment="1">
      <alignment horizontal="right" vertical="center" indent="1"/>
    </xf>
    <xf numFmtId="4" fontId="79" fillId="0" borderId="259" xfId="218" applyNumberFormat="1" applyFont="1" applyBorder="1" applyAlignment="1">
      <alignment horizontal="right" vertical="center" indent="1"/>
    </xf>
    <xf numFmtId="0" fontId="159" fillId="67" borderId="260" xfId="0" applyFont="1" applyFill="1" applyBorder="1" applyAlignment="1">
      <alignment horizontal="center" vertical="center" wrapText="1"/>
    </xf>
    <xf numFmtId="4" fontId="32" fillId="0" borderId="261" xfId="218" applyNumberFormat="1" applyBorder="1" applyAlignment="1">
      <alignment horizontal="right" vertical="center" indent="1"/>
    </xf>
    <xf numFmtId="4" fontId="79" fillId="0" borderId="262" xfId="218" applyNumberFormat="1" applyFont="1" applyBorder="1" applyAlignment="1">
      <alignment horizontal="right" vertical="center" indent="1"/>
    </xf>
    <xf numFmtId="4" fontId="79" fillId="0" borderId="263" xfId="218" applyNumberFormat="1" applyFont="1" applyBorder="1" applyAlignment="1">
      <alignment horizontal="right" vertical="center" indent="1"/>
    </xf>
    <xf numFmtId="0" fontId="159" fillId="67" borderId="7" xfId="0" applyFont="1" applyFill="1" applyBorder="1" applyAlignment="1">
      <alignment horizontal="center" vertical="center" wrapText="1"/>
    </xf>
    <xf numFmtId="0" fontId="148" fillId="0" borderId="0" xfId="0" applyFont="1" applyAlignment="1">
      <alignment horizontal="justify" vertical="center"/>
    </xf>
    <xf numFmtId="4" fontId="166" fillId="0" borderId="8" xfId="207" applyNumberFormat="1" applyFont="1" applyBorder="1" applyAlignment="1">
      <alignment horizontal="centerContinuous" vertical="center"/>
    </xf>
    <xf numFmtId="4" fontId="166" fillId="0" borderId="11" xfId="207" applyNumberFormat="1" applyFont="1" applyBorder="1" applyAlignment="1">
      <alignment horizontal="centerContinuous" vertical="center"/>
    </xf>
    <xf numFmtId="0" fontId="32" fillId="0" borderId="0" xfId="207" applyAlignment="1"/>
    <xf numFmtId="4" fontId="0" fillId="0" borderId="270" xfId="215" applyNumberFormat="1" applyFont="1" applyBorder="1" applyAlignment="1">
      <alignment horizontal="center" vertical="center" wrapText="1"/>
    </xf>
    <xf numFmtId="4" fontId="32" fillId="0" borderId="271" xfId="207" applyNumberFormat="1" applyBorder="1" applyAlignment="1">
      <alignment horizontal="center" vertical="center"/>
    </xf>
    <xf numFmtId="4" fontId="32" fillId="0" borderId="270" xfId="207" applyNumberFormat="1" applyBorder="1" applyAlignment="1">
      <alignment horizontal="center" vertical="center"/>
    </xf>
    <xf numFmtId="4" fontId="32" fillId="0" borderId="272" xfId="207" applyNumberFormat="1" applyBorder="1" applyAlignment="1">
      <alignment horizontal="center" vertical="center"/>
    </xf>
    <xf numFmtId="14" fontId="32" fillId="0" borderId="0" xfId="207" applyNumberFormat="1" applyAlignment="1"/>
    <xf numFmtId="4" fontId="0" fillId="0" borderId="0" xfId="215" applyNumberFormat="1" applyFont="1" applyAlignment="1"/>
    <xf numFmtId="4" fontId="32" fillId="0" borderId="0" xfId="207" applyNumberFormat="1" applyAlignment="1"/>
    <xf numFmtId="3" fontId="32" fillId="0" borderId="0" xfId="207" applyNumberFormat="1" applyAlignment="1"/>
    <xf numFmtId="14" fontId="166" fillId="0" borderId="7" xfId="207" applyNumberFormat="1" applyFont="1" applyBorder="1" applyAlignment="1">
      <alignment horizontal="centerContinuous" vertical="center"/>
    </xf>
    <xf numFmtId="3" fontId="0" fillId="0" borderId="0" xfId="0" applyNumberFormat="1"/>
    <xf numFmtId="14" fontId="97" fillId="0" borderId="113" xfId="228" applyNumberFormat="1" applyFont="1" applyBorder="1" applyAlignment="1">
      <alignment horizontal="center" vertical="center"/>
    </xf>
    <xf numFmtId="14" fontId="97" fillId="0" borderId="274" xfId="228" applyNumberFormat="1" applyFont="1" applyBorder="1" applyAlignment="1">
      <alignment horizontal="center" vertical="center"/>
    </xf>
    <xf numFmtId="164" fontId="86" fillId="62" borderId="264" xfId="79" applyFont="1" applyFill="1" applyBorder="1" applyAlignment="1">
      <alignment horizontal="center" vertical="center" wrapText="1"/>
    </xf>
    <xf numFmtId="164" fontId="86" fillId="62" borderId="266" xfId="79" applyFont="1" applyFill="1" applyBorder="1" applyAlignment="1">
      <alignment horizontal="center" vertical="center" wrapText="1"/>
    </xf>
    <xf numFmtId="164" fontId="86" fillId="62" borderId="275" xfId="79" applyFont="1" applyFill="1" applyBorder="1" applyAlignment="1">
      <alignment horizontal="center" vertical="center" wrapText="1"/>
    </xf>
    <xf numFmtId="4" fontId="74" fillId="4" borderId="35" xfId="0" applyNumberFormat="1" applyFont="1" applyFill="1" applyBorder="1" applyAlignment="1">
      <alignment horizontal="right" vertical="center" wrapText="1"/>
    </xf>
    <xf numFmtId="4" fontId="74" fillId="4" borderId="163" xfId="0" applyNumberFormat="1" applyFont="1" applyFill="1" applyBorder="1" applyAlignment="1">
      <alignment horizontal="right" vertical="center" wrapText="1"/>
    </xf>
    <xf numFmtId="4" fontId="74" fillId="0" borderId="33" xfId="0" applyNumberFormat="1" applyFont="1" applyBorder="1" applyAlignment="1">
      <alignment horizontal="right" vertical="center" wrapText="1"/>
    </xf>
    <xf numFmtId="165" fontId="74" fillId="4" borderId="46" xfId="0" applyNumberFormat="1" applyFont="1" applyFill="1" applyBorder="1" applyAlignment="1">
      <alignment horizontal="right" vertical="center" wrapText="1"/>
    </xf>
    <xf numFmtId="165" fontId="74" fillId="4" borderId="34" xfId="0" applyNumberFormat="1" applyFont="1" applyFill="1" applyBorder="1" applyAlignment="1">
      <alignment horizontal="right" vertical="center" wrapText="1"/>
    </xf>
    <xf numFmtId="4" fontId="74" fillId="4" borderId="38" xfId="0" applyNumberFormat="1" applyFont="1" applyFill="1" applyBorder="1" applyAlignment="1">
      <alignment horizontal="right" vertical="center" wrapText="1"/>
    </xf>
    <xf numFmtId="4" fontId="74" fillId="4" borderId="273" xfId="0" applyNumberFormat="1" applyFont="1" applyFill="1" applyBorder="1" applyAlignment="1">
      <alignment horizontal="right" vertical="center" wrapText="1"/>
    </xf>
    <xf numFmtId="4" fontId="74" fillId="0" borderId="36" xfId="0" applyNumberFormat="1" applyFont="1" applyBorder="1" applyAlignment="1">
      <alignment horizontal="right" vertical="center" wrapText="1"/>
    </xf>
    <xf numFmtId="165" fontId="74" fillId="4" borderId="277" xfId="0" applyNumberFormat="1" applyFont="1" applyFill="1" applyBorder="1" applyAlignment="1">
      <alignment horizontal="right" vertical="center" wrapText="1"/>
    </xf>
    <xf numFmtId="165" fontId="74" fillId="4" borderId="37" xfId="0" applyNumberFormat="1" applyFont="1" applyFill="1" applyBorder="1" applyAlignment="1">
      <alignment horizontal="right" vertical="center" wrapText="1"/>
    </xf>
    <xf numFmtId="4" fontId="74" fillId="0" borderId="46" xfId="0" applyNumberFormat="1" applyFont="1" applyBorder="1" applyAlignment="1">
      <alignment horizontal="right" vertical="center" wrapText="1"/>
    </xf>
    <xf numFmtId="4" fontId="74" fillId="4" borderId="46" xfId="0" applyNumberFormat="1" applyFont="1" applyFill="1" applyBorder="1" applyAlignment="1">
      <alignment horizontal="right" vertical="center" wrapText="1"/>
    </xf>
    <xf numFmtId="4" fontId="74" fillId="4" borderId="33" xfId="0" applyNumberFormat="1" applyFont="1" applyFill="1" applyBorder="1" applyAlignment="1">
      <alignment horizontal="right" vertical="center" wrapText="1"/>
    </xf>
    <xf numFmtId="4" fontId="74" fillId="4" borderId="154" xfId="0" applyNumberFormat="1" applyFont="1" applyFill="1" applyBorder="1" applyAlignment="1">
      <alignment horizontal="right" vertical="center" wrapText="1"/>
    </xf>
    <xf numFmtId="4" fontId="32" fillId="0" borderId="56" xfId="0" applyNumberFormat="1" applyFont="1" applyBorder="1" applyAlignment="1">
      <alignment horizontal="right" vertical="center" wrapText="1"/>
    </xf>
    <xf numFmtId="4" fontId="32" fillId="0" borderId="163" xfId="0" applyNumberFormat="1" applyFont="1" applyBorder="1" applyAlignment="1">
      <alignment horizontal="right" vertical="center" wrapText="1"/>
    </xf>
    <xf numFmtId="4" fontId="74" fillId="4" borderId="161" xfId="0" applyNumberFormat="1" applyFont="1" applyFill="1" applyBorder="1" applyAlignment="1">
      <alignment horizontal="right" vertical="center" wrapText="1"/>
    </xf>
    <xf numFmtId="4" fontId="97" fillId="0" borderId="36" xfId="0" applyNumberFormat="1" applyFont="1" applyBorder="1" applyAlignment="1">
      <alignment horizontal="right" vertical="center" wrapText="1"/>
    </xf>
    <xf numFmtId="4" fontId="97" fillId="0" borderId="273" xfId="0" applyNumberFormat="1" applyFont="1" applyBorder="1" applyAlignment="1">
      <alignment horizontal="right" vertical="center" wrapText="1"/>
    </xf>
    <xf numFmtId="4" fontId="74" fillId="4" borderId="278" xfId="0" applyNumberFormat="1" applyFont="1" applyFill="1" applyBorder="1" applyAlignment="1">
      <alignment horizontal="right" vertical="center" wrapText="1"/>
    </xf>
    <xf numFmtId="4" fontId="74" fillId="4" borderId="279" xfId="0" applyNumberFormat="1" applyFont="1" applyFill="1" applyBorder="1" applyAlignment="1">
      <alignment horizontal="right" vertical="center" wrapText="1"/>
    </xf>
    <xf numFmtId="4" fontId="32" fillId="0" borderId="33" xfId="0" applyNumberFormat="1" applyFont="1" applyBorder="1" applyAlignment="1">
      <alignment horizontal="right" vertical="center" wrapText="1"/>
    </xf>
    <xf numFmtId="4" fontId="74" fillId="4" borderId="56" xfId="0" applyNumberFormat="1" applyFont="1" applyFill="1" applyBorder="1" applyAlignment="1">
      <alignment horizontal="right" vertical="center" wrapText="1"/>
    </xf>
    <xf numFmtId="4" fontId="74" fillId="4" borderId="34" xfId="0" applyNumberFormat="1" applyFont="1" applyFill="1" applyBorder="1" applyAlignment="1">
      <alignment horizontal="right" vertical="center" wrapText="1"/>
    </xf>
    <xf numFmtId="4" fontId="97" fillId="0" borderId="35" xfId="79" applyNumberFormat="1" applyFont="1" applyFill="1" applyBorder="1" applyAlignment="1">
      <alignment horizontal="center" vertical="center" wrapText="1"/>
    </xf>
    <xf numFmtId="4" fontId="32" fillId="0" borderId="35" xfId="79" applyNumberFormat="1" applyFont="1" applyFill="1" applyBorder="1" applyAlignment="1">
      <alignment horizontal="center" vertical="center" wrapText="1"/>
    </xf>
    <xf numFmtId="4" fontId="97" fillId="0" borderId="38" xfId="79" applyNumberFormat="1" applyFont="1" applyFill="1" applyBorder="1" applyAlignment="1">
      <alignment horizontal="center" vertical="center" wrapText="1"/>
    </xf>
    <xf numFmtId="14" fontId="34" fillId="0" borderId="146" xfId="0" applyNumberFormat="1" applyFont="1" applyBorder="1" applyAlignment="1">
      <alignment horizontal="center" vertical="center"/>
    </xf>
    <xf numFmtId="14" fontId="97" fillId="0" borderId="148" xfId="228" applyNumberFormat="1" applyFont="1" applyBorder="1" applyAlignment="1">
      <alignment horizontal="center" vertical="center"/>
    </xf>
    <xf numFmtId="14" fontId="97" fillId="0" borderId="280" xfId="228" applyNumberFormat="1" applyFont="1" applyBorder="1" applyAlignment="1">
      <alignment horizontal="center" vertical="center"/>
    </xf>
    <xf numFmtId="14" fontId="34" fillId="0" borderId="32" xfId="0" applyNumberFormat="1" applyFont="1" applyBorder="1" applyAlignment="1">
      <alignment horizontal="center" vertical="center"/>
    </xf>
    <xf numFmtId="14" fontId="97" fillId="0" borderId="281" xfId="228" applyNumberFormat="1" applyFont="1" applyBorder="1" applyAlignment="1">
      <alignment horizontal="center" vertical="center"/>
    </xf>
    <xf numFmtId="14" fontId="97" fillId="0" borderId="282" xfId="228" applyNumberFormat="1" applyFont="1" applyBorder="1" applyAlignment="1">
      <alignment horizontal="center" vertical="center"/>
    </xf>
    <xf numFmtId="4" fontId="32" fillId="0" borderId="146" xfId="79" applyNumberFormat="1" applyFont="1" applyFill="1" applyBorder="1" applyAlignment="1">
      <alignment horizontal="center" vertical="center" wrapText="1"/>
    </xf>
    <xf numFmtId="4" fontId="32" fillId="0" borderId="163" xfId="79" applyNumberFormat="1" applyFont="1" applyFill="1" applyBorder="1" applyAlignment="1">
      <alignment horizontal="center" vertical="center" wrapText="1"/>
    </xf>
    <xf numFmtId="4" fontId="32" fillId="0" borderId="283" xfId="79" applyNumberFormat="1" applyFont="1" applyFill="1" applyBorder="1" applyAlignment="1">
      <alignment horizontal="center" vertical="center" wrapText="1"/>
    </xf>
    <xf numFmtId="4" fontId="97" fillId="0" borderId="163" xfId="79" applyNumberFormat="1" applyFont="1" applyFill="1" applyBorder="1" applyAlignment="1">
      <alignment horizontal="center" vertical="center" wrapText="1"/>
    </xf>
    <xf numFmtId="4" fontId="74" fillId="4" borderId="163" xfId="79" applyNumberFormat="1" applyFont="1" applyFill="1" applyBorder="1" applyAlignment="1">
      <alignment horizontal="center" vertical="center" wrapText="1"/>
    </xf>
    <xf numFmtId="4" fontId="74" fillId="4" borderId="115" xfId="79" applyNumberFormat="1" applyFont="1" applyFill="1" applyBorder="1" applyAlignment="1">
      <alignment horizontal="center" vertical="center" wrapText="1"/>
    </xf>
    <xf numFmtId="4" fontId="74" fillId="4" borderId="145" xfId="79" applyNumberFormat="1" applyFont="1" applyFill="1" applyBorder="1" applyAlignment="1">
      <alignment horizontal="center" vertical="center" wrapText="1"/>
    </xf>
    <xf numFmtId="4" fontId="97" fillId="0" borderId="36" xfId="79" applyNumberFormat="1" applyFont="1" applyFill="1" applyBorder="1" applyAlignment="1">
      <alignment horizontal="center" vertical="center" wrapText="1"/>
    </xf>
    <xf numFmtId="4" fontId="97" fillId="0" borderId="273" xfId="79" applyNumberFormat="1" applyFont="1" applyFill="1" applyBorder="1" applyAlignment="1">
      <alignment horizontal="center" vertical="center" wrapText="1"/>
    </xf>
    <xf numFmtId="4" fontId="74" fillId="4" borderId="33" xfId="0" applyNumberFormat="1" applyFont="1" applyFill="1" applyBorder="1" applyAlignment="1">
      <alignment horizontal="center" vertical="center" wrapText="1"/>
    </xf>
    <xf numFmtId="4" fontId="32" fillId="0" borderId="33" xfId="0" applyNumberFormat="1" applyFont="1" applyBorder="1" applyAlignment="1">
      <alignment horizontal="center" vertical="center" wrapText="1"/>
    </xf>
    <xf numFmtId="4" fontId="97" fillId="0" borderId="33" xfId="0" applyNumberFormat="1" applyFont="1" applyBorder="1" applyAlignment="1">
      <alignment horizontal="center" vertical="center" wrapText="1"/>
    </xf>
    <xf numFmtId="4" fontId="74" fillId="4" borderId="36" xfId="0" applyNumberFormat="1" applyFont="1" applyFill="1" applyBorder="1" applyAlignment="1">
      <alignment horizontal="center" vertical="center" wrapText="1"/>
    </xf>
    <xf numFmtId="4" fontId="97" fillId="0" borderId="36" xfId="0" applyNumberFormat="1" applyFont="1" applyBorder="1" applyAlignment="1">
      <alignment horizontal="center" vertical="center" wrapText="1"/>
    </xf>
    <xf numFmtId="4" fontId="74" fillId="4" borderId="34" xfId="0" applyNumberFormat="1" applyFont="1" applyFill="1" applyBorder="1" applyAlignment="1">
      <alignment horizontal="center" vertical="center" wrapText="1"/>
    </xf>
    <xf numFmtId="4" fontId="74" fillId="4" borderId="37" xfId="0" applyNumberFormat="1" applyFont="1" applyFill="1" applyBorder="1" applyAlignment="1">
      <alignment horizontal="center" vertical="center" wrapText="1"/>
    </xf>
    <xf numFmtId="4" fontId="74" fillId="4" borderId="36" xfId="79" applyNumberFormat="1" applyFont="1" applyFill="1" applyBorder="1" applyAlignment="1">
      <alignment horizontal="center" vertical="center" wrapText="1"/>
    </xf>
    <xf numFmtId="4" fontId="74" fillId="4" borderId="123" xfId="0" applyNumberFormat="1" applyFont="1" applyFill="1" applyBorder="1" applyAlignment="1">
      <alignment horizontal="center" vertical="center" wrapText="1"/>
    </xf>
    <xf numFmtId="4" fontId="74" fillId="3" borderId="276" xfId="0" applyNumberFormat="1" applyFont="1" applyFill="1" applyBorder="1" applyAlignment="1">
      <alignment horizontal="center" vertical="center" wrapText="1"/>
    </xf>
    <xf numFmtId="4" fontId="34" fillId="58" borderId="270" xfId="0" applyNumberFormat="1" applyFont="1" applyFill="1" applyBorder="1"/>
    <xf numFmtId="14" fontId="97" fillId="3" borderId="284" xfId="228" applyNumberFormat="1" applyFont="1" applyFill="1" applyBorder="1" applyAlignment="1">
      <alignment horizontal="center" vertical="center"/>
    </xf>
    <xf numFmtId="14" fontId="34" fillId="3" borderId="284" xfId="228" applyNumberFormat="1" applyFont="1" applyFill="1" applyBorder="1" applyAlignment="1">
      <alignment horizontal="center" vertical="center"/>
    </xf>
    <xf numFmtId="4" fontId="97" fillId="0" borderId="172" xfId="218" applyNumberFormat="1" applyFont="1" applyBorder="1" applyAlignment="1">
      <alignment horizontal="right" vertical="center" indent="1"/>
    </xf>
    <xf numFmtId="4" fontId="97" fillId="0" borderId="171" xfId="218" applyNumberFormat="1" applyFont="1" applyBorder="1" applyAlignment="1">
      <alignment horizontal="right" vertical="center" indent="1"/>
    </xf>
    <xf numFmtId="10" fontId="32" fillId="0" borderId="172" xfId="16" applyNumberFormat="1" applyBorder="1" applyAlignment="1">
      <alignment horizontal="right" vertical="center" indent="1"/>
    </xf>
    <xf numFmtId="10" fontId="97" fillId="0" borderId="172" xfId="16" applyNumberFormat="1" applyFont="1" applyBorder="1" applyAlignment="1">
      <alignment horizontal="right" vertical="center" indent="1"/>
    </xf>
    <xf numFmtId="14" fontId="138" fillId="0" borderId="0" xfId="97" applyNumberFormat="1" applyFont="1" applyAlignment="1">
      <alignment horizontal="left" vertical="center" indent="2"/>
    </xf>
    <xf numFmtId="14" fontId="74" fillId="3" borderId="284" xfId="228" applyNumberFormat="1" applyFont="1" applyFill="1" applyBorder="1" applyAlignment="1">
      <alignment horizontal="center" vertical="center"/>
    </xf>
    <xf numFmtId="14" fontId="34" fillId="3" borderId="285" xfId="228" applyNumberFormat="1" applyFont="1" applyFill="1" applyBorder="1" applyAlignment="1">
      <alignment horizontal="center" vertical="center"/>
    </xf>
    <xf numFmtId="4" fontId="32" fillId="0" borderId="286" xfId="218" applyNumberFormat="1" applyBorder="1" applyAlignment="1">
      <alignment horizontal="right" vertical="center" indent="1"/>
    </xf>
    <xf numFmtId="4" fontId="79" fillId="0" borderId="287" xfId="218" applyNumberFormat="1" applyFont="1" applyBorder="1" applyAlignment="1">
      <alignment horizontal="right" vertical="center" indent="1"/>
    </xf>
    <xf numFmtId="0" fontId="139" fillId="66" borderId="288" xfId="103" applyFont="1" applyFill="1" applyBorder="1" applyAlignment="1">
      <alignment horizontal="left" vertical="center" indent="1"/>
    </xf>
    <xf numFmtId="4" fontId="97" fillId="0" borderId="236" xfId="218" applyNumberFormat="1" applyFont="1" applyBorder="1" applyAlignment="1">
      <alignment horizontal="right" vertical="center" indent="1"/>
    </xf>
    <xf numFmtId="4" fontId="148" fillId="0" borderId="0" xfId="0" applyNumberFormat="1" applyFont="1" applyAlignment="1">
      <alignment horizontal="right" vertical="center"/>
    </xf>
    <xf numFmtId="10" fontId="16" fillId="0" borderId="0" xfId="0" applyNumberFormat="1" applyFont="1" applyAlignment="1">
      <alignment horizontal="center" vertical="center"/>
    </xf>
    <xf numFmtId="3" fontId="16" fillId="0" borderId="0" xfId="0" applyNumberFormat="1" applyFont="1" applyAlignment="1">
      <alignment horizontal="center" vertical="center"/>
    </xf>
    <xf numFmtId="10" fontId="16" fillId="0" borderId="0" xfId="216" applyNumberFormat="1" applyFont="1" applyAlignment="1">
      <alignment horizontal="center" vertical="center"/>
    </xf>
    <xf numFmtId="3" fontId="16" fillId="0" borderId="0" xfId="216" applyNumberFormat="1" applyFont="1" applyAlignment="1">
      <alignment horizontal="center" vertical="center"/>
    </xf>
    <xf numFmtId="10" fontId="148" fillId="0" borderId="29" xfId="216" applyNumberFormat="1" applyFont="1" applyBorder="1" applyAlignment="1">
      <alignment vertical="center" wrapText="1"/>
    </xf>
    <xf numFmtId="0" fontId="131" fillId="0" borderId="0" xfId="180" applyBorder="1" applyAlignment="1"/>
    <xf numFmtId="10" fontId="15" fillId="0" borderId="0" xfId="0" applyNumberFormat="1" applyFont="1" applyAlignment="1">
      <alignment horizontal="center" vertical="center"/>
    </xf>
    <xf numFmtId="3" fontId="15" fillId="0" borderId="0" xfId="0" applyNumberFormat="1" applyFont="1" applyAlignment="1">
      <alignment horizontal="center" vertical="center"/>
    </xf>
    <xf numFmtId="0" fontId="14" fillId="0" borderId="0" xfId="229"/>
    <xf numFmtId="0" fontId="169" fillId="0" borderId="0" xfId="229" applyFont="1" applyAlignment="1">
      <alignment horizontal="left" indent="2"/>
    </xf>
    <xf numFmtId="0" fontId="103" fillId="7" borderId="290" xfId="205" applyNumberFormat="1" applyFont="1" applyFill="1" applyBorder="1" applyAlignment="1">
      <alignment horizontal="left" vertical="center" indent="1"/>
    </xf>
    <xf numFmtId="175" fontId="104" fillId="5" borderId="291" xfId="205" applyNumberFormat="1" applyFont="1" applyFill="1" applyBorder="1" applyAlignment="1">
      <alignment vertical="center"/>
    </xf>
    <xf numFmtId="175" fontId="104" fillId="5" borderId="291" xfId="205" applyNumberFormat="1" applyFont="1" applyFill="1" applyBorder="1" applyAlignment="1">
      <alignment horizontal="center" vertical="center"/>
    </xf>
    <xf numFmtId="0" fontId="103" fillId="7" borderId="290" xfId="217" applyFont="1" applyFill="1" applyBorder="1" applyAlignment="1">
      <alignment horizontal="left" vertical="center" indent="1"/>
    </xf>
    <xf numFmtId="9" fontId="104" fillId="5" borderId="291" xfId="16" applyFont="1" applyFill="1" applyBorder="1" applyAlignment="1">
      <alignment horizontal="center" vertical="center"/>
    </xf>
    <xf numFmtId="0" fontId="103" fillId="7" borderId="292" xfId="217" applyFont="1" applyFill="1" applyBorder="1" applyAlignment="1">
      <alignment horizontal="left" vertical="center" indent="1"/>
    </xf>
    <xf numFmtId="164" fontId="104" fillId="5" borderId="293" xfId="101" applyFont="1" applyFill="1" applyBorder="1" applyAlignment="1">
      <alignment horizontal="center" vertical="center"/>
    </xf>
    <xf numFmtId="164" fontId="104" fillId="0" borderId="293" xfId="101" applyFont="1" applyFill="1" applyBorder="1" applyAlignment="1">
      <alignment horizontal="center" vertical="center"/>
    </xf>
    <xf numFmtId="164" fontId="170" fillId="0" borderId="293" xfId="101" applyFont="1" applyFill="1" applyBorder="1" applyAlignment="1">
      <alignment horizontal="center" vertical="center"/>
    </xf>
    <xf numFmtId="14" fontId="34" fillId="0" borderId="295" xfId="103" applyNumberFormat="1" applyFont="1" applyBorder="1" applyAlignment="1">
      <alignment vertical="center"/>
    </xf>
    <xf numFmtId="4" fontId="111" fillId="67" borderId="294" xfId="217" applyNumberFormat="1" applyFont="1" applyFill="1" applyBorder="1" applyAlignment="1">
      <alignment horizontal="center" vertical="center"/>
    </xf>
    <xf numFmtId="14" fontId="115" fillId="2" borderId="246" xfId="217" applyNumberFormat="1" applyFont="1" applyFill="1" applyBorder="1" applyAlignment="1">
      <alignment horizontal="center" vertical="center"/>
    </xf>
    <xf numFmtId="167" fontId="90" fillId="4" borderId="289" xfId="103" applyNumberFormat="1" applyFont="1" applyFill="1" applyBorder="1" applyAlignment="1">
      <alignment horizontal="right" vertical="center" indent="1"/>
    </xf>
    <xf numFmtId="0" fontId="89" fillId="67" borderId="219" xfId="229" applyFont="1" applyFill="1" applyBorder="1" applyAlignment="1">
      <alignment vertical="center"/>
    </xf>
    <xf numFmtId="0" fontId="89" fillId="67" borderId="221" xfId="229" applyFont="1" applyFill="1" applyBorder="1" applyAlignment="1">
      <alignment vertical="center"/>
    </xf>
    <xf numFmtId="0" fontId="89" fillId="67" borderId="222" xfId="229" applyFont="1" applyFill="1" applyBorder="1" applyAlignment="1">
      <alignment vertical="center"/>
    </xf>
    <xf numFmtId="0" fontId="51" fillId="62" borderId="276" xfId="233" applyNumberFormat="1" applyFont="1" applyFill="1" applyBorder="1" applyAlignment="1">
      <alignment horizontal="center" vertical="center"/>
    </xf>
    <xf numFmtId="14" fontId="14" fillId="3" borderId="306" xfId="229" applyNumberFormat="1" applyFill="1" applyBorder="1" applyAlignment="1">
      <alignment horizontal="center" vertical="center"/>
    </xf>
    <xf numFmtId="14" fontId="14" fillId="3" borderId="277" xfId="229" applyNumberFormat="1" applyFill="1" applyBorder="1" applyAlignment="1">
      <alignment horizontal="center" vertical="center"/>
    </xf>
    <xf numFmtId="14" fontId="14" fillId="3" borderId="36" xfId="229" applyNumberFormat="1" applyFill="1" applyBorder="1" applyAlignment="1">
      <alignment horizontal="center" vertical="center"/>
    </xf>
    <xf numFmtId="0" fontId="14" fillId="3" borderId="37" xfId="229" applyFill="1" applyBorder="1" applyAlignment="1">
      <alignment horizontal="center" vertical="center"/>
    </xf>
    <xf numFmtId="10" fontId="104" fillId="5" borderId="234" xfId="16" applyNumberFormat="1" applyFont="1" applyFill="1" applyBorder="1" applyAlignment="1">
      <alignment horizontal="center" vertical="center"/>
    </xf>
    <xf numFmtId="0" fontId="54" fillId="0" borderId="297" xfId="0" applyFont="1" applyBorder="1" applyAlignment="1">
      <alignment horizontal="left" vertical="center"/>
    </xf>
    <xf numFmtId="0" fontId="54" fillId="0" borderId="298" xfId="0" applyFont="1" applyBorder="1" applyAlignment="1">
      <alignment horizontal="left" vertical="center"/>
    </xf>
    <xf numFmtId="164" fontId="54" fillId="15" borderId="296" xfId="0" applyNumberFormat="1" applyFont="1" applyFill="1" applyBorder="1" applyAlignment="1">
      <alignment vertical="center"/>
    </xf>
    <xf numFmtId="164" fontId="54" fillId="11" borderId="244" xfId="0" applyNumberFormat="1" applyFont="1" applyFill="1" applyBorder="1" applyAlignment="1">
      <alignment vertical="center"/>
    </xf>
    <xf numFmtId="0" fontId="115" fillId="0" borderId="302" xfId="229" applyFont="1" applyBorder="1" applyAlignment="1">
      <alignment horizontal="left" vertical="center" wrapText="1"/>
    </xf>
    <xf numFmtId="0" fontId="115" fillId="0" borderId="303" xfId="229" applyFont="1" applyBorder="1" applyAlignment="1">
      <alignment horizontal="left" vertical="center" wrapText="1"/>
    </xf>
    <xf numFmtId="0" fontId="115" fillId="0" borderId="306" xfId="229" applyFont="1" applyBorder="1" applyAlignment="1">
      <alignment horizontal="left" vertical="center" wrapText="1"/>
    </xf>
    <xf numFmtId="0" fontId="115" fillId="0" borderId="279" xfId="229" applyFont="1" applyBorder="1" applyAlignment="1">
      <alignment horizontal="left" vertical="center" wrapText="1"/>
    </xf>
    <xf numFmtId="14" fontId="106" fillId="0" borderId="80" xfId="217" applyNumberFormat="1" applyFont="1" applyBorder="1" applyAlignment="1">
      <alignment horizontal="center" vertical="center"/>
    </xf>
    <xf numFmtId="4" fontId="32" fillId="0" borderId="69" xfId="217" applyNumberFormat="1" applyBorder="1" applyAlignment="1">
      <alignment horizontal="center" vertical="center"/>
    </xf>
    <xf numFmtId="4" fontId="106" fillId="0" borderId="166" xfId="217" applyNumberFormat="1" applyFont="1" applyBorder="1" applyAlignment="1">
      <alignment horizontal="center" vertical="center"/>
    </xf>
    <xf numFmtId="4" fontId="32" fillId="6" borderId="166" xfId="217" applyNumberFormat="1" applyFill="1" applyBorder="1" applyAlignment="1">
      <alignment horizontal="center" vertical="center"/>
    </xf>
    <xf numFmtId="3" fontId="32" fillId="0" borderId="228" xfId="217" applyNumberFormat="1" applyBorder="1" applyAlignment="1">
      <alignment horizontal="center" vertical="center"/>
    </xf>
    <xf numFmtId="4" fontId="106" fillId="0" borderId="70" xfId="217" applyNumberFormat="1" applyFont="1" applyBorder="1" applyAlignment="1">
      <alignment horizontal="center" vertical="center"/>
    </xf>
    <xf numFmtId="4" fontId="32" fillId="0" borderId="166" xfId="217" applyNumberFormat="1" applyBorder="1" applyAlignment="1">
      <alignment horizontal="center" vertical="center"/>
    </xf>
    <xf numFmtId="4" fontId="32" fillId="0" borderId="70" xfId="217" applyNumberFormat="1" applyBorder="1" applyAlignment="1">
      <alignment horizontal="center" vertical="center"/>
    </xf>
    <xf numFmtId="4" fontId="106" fillId="0" borderId="69" xfId="217" applyNumberFormat="1" applyFont="1" applyBorder="1" applyAlignment="1">
      <alignment horizontal="center" vertical="center"/>
    </xf>
    <xf numFmtId="4" fontId="106" fillId="0" borderId="71" xfId="217" applyNumberFormat="1" applyFont="1" applyBorder="1" applyAlignment="1">
      <alignment horizontal="center" vertical="center"/>
    </xf>
    <xf numFmtId="4" fontId="32" fillId="0" borderId="167" xfId="217" applyNumberFormat="1" applyBorder="1" applyAlignment="1">
      <alignment horizontal="center" vertical="center"/>
    </xf>
    <xf numFmtId="4" fontId="32" fillId="6" borderId="167" xfId="217" applyNumberFormat="1" applyFill="1" applyBorder="1" applyAlignment="1">
      <alignment horizontal="center" vertical="center"/>
    </xf>
    <xf numFmtId="3" fontId="32" fillId="0" borderId="229" xfId="217" applyNumberFormat="1" applyBorder="1" applyAlignment="1">
      <alignment horizontal="center" vertical="center"/>
    </xf>
    <xf numFmtId="4" fontId="32" fillId="0" borderId="72" xfId="217" applyNumberFormat="1" applyBorder="1" applyAlignment="1">
      <alignment horizontal="center" vertical="center"/>
    </xf>
    <xf numFmtId="4" fontId="91" fillId="56" borderId="48" xfId="103" applyNumberFormat="1" applyFont="1" applyFill="1" applyBorder="1" applyAlignment="1">
      <alignment horizontal="right" vertical="center" indent="1"/>
    </xf>
    <xf numFmtId="0" fontId="89" fillId="59" borderId="246" xfId="217" applyFont="1" applyFill="1" applyBorder="1" applyAlignment="1">
      <alignment horizontal="center" vertical="center" wrapText="1"/>
    </xf>
    <xf numFmtId="164" fontId="170" fillId="0" borderId="0" xfId="101" applyFont="1" applyFill="1" applyBorder="1" applyAlignment="1">
      <alignment horizontal="center" vertical="center"/>
    </xf>
    <xf numFmtId="0" fontId="51" fillId="0" borderId="289" xfId="97" applyFont="1" applyBorder="1" applyAlignment="1">
      <alignment horizontal="left" vertical="center" wrapText="1"/>
    </xf>
    <xf numFmtId="0" fontId="89" fillId="68" borderId="246" xfId="217" applyFont="1" applyFill="1" applyBorder="1" applyAlignment="1">
      <alignment horizontal="center" vertical="center" wrapText="1"/>
    </xf>
    <xf numFmtId="167" fontId="34" fillId="18" borderId="141" xfId="0" applyNumberFormat="1" applyFont="1" applyFill="1" applyBorder="1" applyAlignment="1">
      <alignment horizontal="right" vertical="center" indent="2"/>
    </xf>
    <xf numFmtId="0" fontId="32" fillId="4" borderId="289" xfId="103" applyFill="1" applyBorder="1"/>
    <xf numFmtId="4" fontId="94" fillId="18" borderId="48" xfId="103" applyNumberFormat="1" applyFont="1" applyFill="1" applyBorder="1" applyAlignment="1">
      <alignment horizontal="right" vertical="center" indent="1"/>
    </xf>
    <xf numFmtId="0" fontId="32" fillId="5" borderId="289" xfId="103" applyFill="1" applyBorder="1"/>
    <xf numFmtId="0" fontId="32" fillId="5" borderId="289" xfId="103" applyFill="1" applyBorder="1" applyAlignment="1">
      <alignment wrapText="1"/>
    </xf>
    <xf numFmtId="0" fontId="34" fillId="5" borderId="289" xfId="103" applyFont="1" applyFill="1" applyBorder="1"/>
    <xf numFmtId="4" fontId="32" fillId="5" borderId="289" xfId="103" applyNumberFormat="1" applyFill="1" applyBorder="1"/>
    <xf numFmtId="4" fontId="32" fillId="4" borderId="289" xfId="103" applyNumberFormat="1" applyFill="1" applyBorder="1"/>
    <xf numFmtId="10" fontId="12" fillId="0" borderId="0" xfId="216" applyNumberFormat="1" applyFont="1" applyAlignment="1">
      <alignment horizontal="center" vertical="center"/>
    </xf>
    <xf numFmtId="3" fontId="12" fillId="0" borderId="0" xfId="216" applyNumberFormat="1" applyFont="1" applyAlignment="1">
      <alignment horizontal="center" vertical="center"/>
    </xf>
    <xf numFmtId="10" fontId="12" fillId="0" borderId="0" xfId="0" applyNumberFormat="1" applyFont="1" applyAlignment="1">
      <alignment horizontal="center" vertical="center"/>
    </xf>
    <xf numFmtId="3" fontId="12" fillId="0" borderId="0" xfId="0" applyNumberFormat="1" applyFont="1" applyAlignment="1">
      <alignment horizontal="center" vertical="center"/>
    </xf>
    <xf numFmtId="4" fontId="11" fillId="0" borderId="0" xfId="205" applyNumberFormat="1" applyFont="1"/>
    <xf numFmtId="0" fontId="32" fillId="0" borderId="168" xfId="0" applyFont="1" applyBorder="1" applyAlignment="1">
      <alignment wrapText="1"/>
    </xf>
    <xf numFmtId="175" fontId="0" fillId="0" borderId="168" xfId="0" applyNumberFormat="1" applyBorder="1"/>
    <xf numFmtId="10" fontId="0" fillId="0" borderId="168" xfId="0" applyNumberFormat="1" applyBorder="1"/>
    <xf numFmtId="0" fontId="32" fillId="3" borderId="168" xfId="0" applyFont="1" applyFill="1" applyBorder="1" applyAlignment="1">
      <alignment wrapText="1"/>
    </xf>
    <xf numFmtId="175" fontId="34" fillId="3" borderId="168" xfId="0" applyNumberFormat="1" applyFont="1" applyFill="1" applyBorder="1"/>
    <xf numFmtId="0" fontId="86" fillId="69" borderId="0" xfId="217" applyFont="1" applyFill="1" applyAlignment="1">
      <alignment horizontal="center" vertical="center" wrapText="1"/>
    </xf>
    <xf numFmtId="3" fontId="32" fillId="0" borderId="313" xfId="217" applyNumberFormat="1" applyBorder="1" applyAlignment="1">
      <alignment horizontal="center" vertical="center"/>
    </xf>
    <xf numFmtId="3" fontId="32" fillId="0" borderId="314" xfId="217" applyNumberFormat="1" applyBorder="1" applyAlignment="1">
      <alignment horizontal="center" vertical="center"/>
    </xf>
    <xf numFmtId="179" fontId="32" fillId="0" borderId="0" xfId="217" applyNumberFormat="1"/>
    <xf numFmtId="177" fontId="32" fillId="5" borderId="0" xfId="217" applyNumberFormat="1" applyFill="1"/>
    <xf numFmtId="164" fontId="32" fillId="0" borderId="0" xfId="217" applyNumberFormat="1"/>
    <xf numFmtId="4" fontId="29" fillId="0" borderId="0" xfId="99" applyNumberFormat="1"/>
    <xf numFmtId="167" fontId="32" fillId="0" borderId="315" xfId="0" applyNumberFormat="1" applyFont="1" applyBorder="1" applyAlignment="1">
      <alignment horizontal="right" vertical="center" indent="1"/>
    </xf>
    <xf numFmtId="0" fontId="54" fillId="0" borderId="317" xfId="0" applyFont="1" applyBorder="1" applyAlignment="1">
      <alignment horizontal="left" vertical="center"/>
    </xf>
    <xf numFmtId="167" fontId="32" fillId="0" borderId="318" xfId="0" applyNumberFormat="1" applyFont="1" applyBorder="1" applyAlignment="1">
      <alignment horizontal="right" vertical="center" indent="1"/>
    </xf>
    <xf numFmtId="0" fontId="108" fillId="0" borderId="319" xfId="0" applyFont="1" applyBorder="1" applyAlignment="1">
      <alignment horizontal="left" vertical="center"/>
    </xf>
    <xf numFmtId="0" fontId="108" fillId="0" borderId="320" xfId="0" applyFont="1" applyBorder="1" applyAlignment="1">
      <alignment horizontal="left" vertical="center"/>
    </xf>
    <xf numFmtId="165" fontId="32" fillId="0" borderId="321" xfId="0" applyNumberFormat="1" applyFont="1" applyBorder="1" applyAlignment="1">
      <alignment horizontal="right" vertical="center" indent="1"/>
    </xf>
    <xf numFmtId="0" fontId="54" fillId="0" borderId="322" xfId="0" applyFont="1" applyBorder="1" applyAlignment="1">
      <alignment vertical="center"/>
    </xf>
    <xf numFmtId="0" fontId="108" fillId="0" borderId="323" xfId="0" applyFont="1" applyBorder="1" applyAlignment="1">
      <alignment vertical="center"/>
    </xf>
    <xf numFmtId="0" fontId="108" fillId="0" borderId="316" xfId="0" applyFont="1" applyBorder="1" applyAlignment="1">
      <alignment vertical="center"/>
    </xf>
    <xf numFmtId="0" fontId="10" fillId="0" borderId="0" xfId="223" applyFo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32" fillId="0" borderId="138" xfId="0" applyFont="1" applyBorder="1" applyAlignment="1">
      <alignment horizontal="left" vertical="center" wrapText="1" indent="4"/>
    </xf>
    <xf numFmtId="4" fontId="134" fillId="5" borderId="140" xfId="0" applyNumberFormat="1" applyFont="1" applyFill="1" applyBorder="1" applyAlignment="1">
      <alignment horizontal="center" vertical="center"/>
    </xf>
    <xf numFmtId="167" fontId="32" fillId="0" borderId="91" xfId="0" applyNumberFormat="1" applyFont="1" applyBorder="1" applyAlignment="1">
      <alignment horizontal="right" vertical="center" indent="1"/>
    </xf>
    <xf numFmtId="167" fontId="33" fillId="0" borderId="101" xfId="0" applyNumberFormat="1" applyFont="1" applyBorder="1" applyAlignment="1">
      <alignment horizontal="right" vertical="center" indent="1"/>
    </xf>
    <xf numFmtId="0" fontId="34" fillId="0" borderId="83" xfId="0" applyFont="1" applyBorder="1"/>
    <xf numFmtId="4" fontId="34" fillId="6" borderId="142" xfId="103" applyNumberFormat="1" applyFont="1" applyFill="1" applyBorder="1" applyAlignment="1">
      <alignment vertical="center"/>
    </xf>
    <xf numFmtId="167" fontId="18" fillId="0" borderId="0" xfId="223" applyNumberFormat="1"/>
    <xf numFmtId="0" fontId="55" fillId="0" borderId="0" xfId="223" applyFont="1"/>
    <xf numFmtId="0" fontId="92" fillId="0" borderId="51" xfId="103" applyFont="1" applyBorder="1" applyAlignment="1">
      <alignment horizontal="left" vertical="center" wrapText="1" indent="1"/>
    </xf>
    <xf numFmtId="0" fontId="95" fillId="0" borderId="49" xfId="103" applyFont="1" applyBorder="1" applyAlignment="1">
      <alignment horizontal="left" vertical="center" wrapText="1" indent="1"/>
    </xf>
    <xf numFmtId="0" fontId="95" fillId="0" borderId="50" xfId="103" applyFont="1" applyBorder="1" applyAlignment="1">
      <alignment horizontal="left" vertical="center" wrapText="1" indent="1"/>
    </xf>
    <xf numFmtId="0" fontId="92" fillId="0" borderId="49" xfId="103" applyFont="1" applyBorder="1" applyAlignment="1">
      <alignment horizontal="left" vertical="center" wrapText="1" indent="1"/>
    </xf>
    <xf numFmtId="0" fontId="92" fillId="0" borderId="50" xfId="103" applyFont="1" applyBorder="1" applyAlignment="1">
      <alignment horizontal="left" vertical="center" wrapText="1" indent="1"/>
    </xf>
    <xf numFmtId="4" fontId="18" fillId="0" borderId="0" xfId="223" applyNumberFormat="1"/>
    <xf numFmtId="4" fontId="13" fillId="0" borderId="0" xfId="223" applyNumberFormat="1" applyFont="1"/>
    <xf numFmtId="4" fontId="129" fillId="0" borderId="0" xfId="223" applyNumberFormat="1" applyFont="1"/>
    <xf numFmtId="4" fontId="8" fillId="0" borderId="0" xfId="223" applyNumberFormat="1" applyFont="1"/>
    <xf numFmtId="167" fontId="32" fillId="57" borderId="22" xfId="217" applyNumberFormat="1" applyFill="1" applyBorder="1"/>
    <xf numFmtId="164" fontId="18" fillId="0" borderId="0" xfId="223" applyNumberFormat="1"/>
    <xf numFmtId="0" fontId="7" fillId="0" borderId="0" xfId="223" applyFont="1"/>
    <xf numFmtId="4" fontId="32" fillId="5" borderId="0" xfId="103" applyNumberFormat="1" applyFill="1" applyAlignment="1">
      <alignment horizontal="left" vertical="center" indent="1"/>
    </xf>
    <xf numFmtId="43" fontId="129" fillId="0" borderId="0" xfId="223" applyNumberFormat="1" applyFont="1"/>
    <xf numFmtId="4" fontId="172" fillId="0" borderId="51" xfId="103" applyNumberFormat="1" applyFont="1" applyBorder="1" applyAlignment="1">
      <alignment horizontal="right" vertical="center" wrapText="1" indent="1"/>
    </xf>
    <xf numFmtId="4" fontId="166" fillId="0" borderId="12" xfId="207" applyNumberFormat="1" applyFont="1" applyBorder="1" applyAlignment="1">
      <alignment horizontal="centerContinuous" vertical="center"/>
    </xf>
    <xf numFmtId="4" fontId="32" fillId="0" borderId="0" xfId="0" applyNumberFormat="1" applyFont="1"/>
    <xf numFmtId="4" fontId="32" fillId="11" borderId="142" xfId="103" applyNumberFormat="1" applyFill="1" applyBorder="1"/>
    <xf numFmtId="4" fontId="172" fillId="8" borderId="51" xfId="103" applyNumberFormat="1" applyFont="1" applyFill="1" applyBorder="1" applyAlignment="1">
      <alignment horizontal="right" vertical="center" wrapText="1"/>
    </xf>
    <xf numFmtId="4" fontId="32" fillId="5" borderId="289" xfId="103" applyNumberFormat="1" applyFill="1" applyBorder="1" applyAlignment="1">
      <alignment vertical="center"/>
    </xf>
    <xf numFmtId="164" fontId="55" fillId="0" borderId="0" xfId="223" applyNumberFormat="1" applyFont="1"/>
    <xf numFmtId="0" fontId="0" fillId="0" borderId="289" xfId="0" applyBorder="1" applyAlignment="1">
      <alignment vertical="center"/>
    </xf>
    <xf numFmtId="0" fontId="32" fillId="0" borderId="289" xfId="0" applyFont="1" applyBorder="1" applyAlignment="1">
      <alignment vertical="center"/>
    </xf>
    <xf numFmtId="0" fontId="32" fillId="0" borderId="289" xfId="0" quotePrefix="1" applyFont="1" applyBorder="1" applyAlignment="1">
      <alignment vertical="center"/>
    </xf>
    <xf numFmtId="14" fontId="32" fillId="0" borderId="289" xfId="0" applyNumberFormat="1" applyFont="1" applyBorder="1" applyAlignment="1">
      <alignment vertical="center"/>
    </xf>
    <xf numFmtId="167" fontId="0" fillId="0" borderId="0" xfId="0" applyNumberFormat="1" applyAlignment="1">
      <alignment horizontal="center"/>
    </xf>
    <xf numFmtId="167" fontId="51" fillId="0" borderId="0" xfId="97" applyNumberFormat="1" applyFont="1" applyAlignment="1">
      <alignment horizontal="left" vertical="center" wrapText="1"/>
    </xf>
    <xf numFmtId="167" fontId="34" fillId="0" borderId="0" xfId="103" applyNumberFormat="1" applyFont="1" applyAlignment="1">
      <alignment horizontal="right"/>
    </xf>
    <xf numFmtId="167" fontId="34" fillId="0" borderId="0" xfId="0" applyNumberFormat="1" applyFont="1" applyAlignment="1">
      <alignment vertical="center"/>
    </xf>
    <xf numFmtId="167" fontId="34" fillId="67" borderId="22" xfId="0" applyNumberFormat="1" applyFont="1" applyFill="1" applyBorder="1" applyAlignment="1">
      <alignment horizontal="center" vertical="center" wrapText="1"/>
    </xf>
    <xf numFmtId="0" fontId="32" fillId="0" borderId="0" xfId="234"/>
    <xf numFmtId="0" fontId="32" fillId="0" borderId="326" xfId="235" applyBorder="1" applyAlignment="1">
      <alignment horizontal="left"/>
    </xf>
    <xf numFmtId="0" fontId="32" fillId="0" borderId="326" xfId="235" applyBorder="1" applyAlignment="1">
      <alignment horizontal="center"/>
    </xf>
    <xf numFmtId="0" fontId="32" fillId="0" borderId="326" xfId="234" applyBorder="1" applyAlignment="1">
      <alignment horizontal="center"/>
    </xf>
    <xf numFmtId="14" fontId="32" fillId="0" borderId="326" xfId="234" applyNumberFormat="1" applyBorder="1" applyAlignment="1">
      <alignment horizontal="center"/>
    </xf>
    <xf numFmtId="0" fontId="32" fillId="0" borderId="326" xfId="234" applyBorder="1" applyAlignment="1">
      <alignment horizontal="left"/>
    </xf>
    <xf numFmtId="0" fontId="32" fillId="0" borderId="289" xfId="234" applyBorder="1" applyAlignment="1">
      <alignment horizontal="center" vertical="center"/>
    </xf>
    <xf numFmtId="0" fontId="32" fillId="0" borderId="326" xfId="234" applyBorder="1" applyAlignment="1">
      <alignment horizontal="right"/>
    </xf>
    <xf numFmtId="0" fontId="33" fillId="0" borderId="326" xfId="234" applyFont="1" applyBorder="1"/>
    <xf numFmtId="0" fontId="166" fillId="0" borderId="0" xfId="234" applyFont="1"/>
    <xf numFmtId="0" fontId="174" fillId="0" borderId="327" xfId="236" applyFont="1" applyBorder="1"/>
    <xf numFmtId="0" fontId="173" fillId="0" borderId="289" xfId="236" applyBorder="1" applyAlignment="1">
      <alignment horizontal="left"/>
    </xf>
    <xf numFmtId="0" fontId="173" fillId="0" borderId="168" xfId="236" applyBorder="1" applyAlignment="1">
      <alignment horizontal="left"/>
    </xf>
    <xf numFmtId="0" fontId="111" fillId="0" borderId="328" xfId="0" applyFont="1" applyBorder="1" applyAlignment="1">
      <alignment horizontal="center" vertical="center" wrapText="1"/>
    </xf>
    <xf numFmtId="0" fontId="34" fillId="0" borderId="328" xfId="0" applyFont="1" applyBorder="1" applyAlignment="1">
      <alignment horizontal="center" vertical="center" wrapText="1"/>
    </xf>
    <xf numFmtId="0" fontId="160" fillId="0" borderId="328" xfId="0" applyFont="1" applyBorder="1" applyAlignment="1">
      <alignment horizontal="center" vertical="center" wrapText="1"/>
    </xf>
    <xf numFmtId="0" fontId="111" fillId="70" borderId="328" xfId="0" applyFont="1" applyFill="1" applyBorder="1" applyAlignment="1">
      <alignment horizontal="left" vertical="center" wrapText="1"/>
    </xf>
    <xf numFmtId="0" fontId="34" fillId="18" borderId="329" xfId="0" applyFont="1" applyFill="1" applyBorder="1" applyAlignment="1">
      <alignment vertical="center"/>
    </xf>
    <xf numFmtId="0" fontId="34" fillId="18" borderId="330" xfId="0" applyFont="1" applyFill="1" applyBorder="1" applyAlignment="1">
      <alignment vertical="center" wrapText="1"/>
    </xf>
    <xf numFmtId="0" fontId="34" fillId="18" borderId="330" xfId="0" applyFont="1" applyFill="1" applyBorder="1" applyAlignment="1">
      <alignment horizontal="left" vertical="center" wrapText="1"/>
    </xf>
    <xf numFmtId="0" fontId="32" fillId="18" borderId="330" xfId="0" applyFont="1" applyFill="1" applyBorder="1" applyAlignment="1">
      <alignment vertical="center" wrapText="1"/>
    </xf>
    <xf numFmtId="0" fontId="34" fillId="18" borderId="331" xfId="0" applyFont="1" applyFill="1" applyBorder="1" applyAlignment="1">
      <alignment vertical="center" wrapText="1"/>
    </xf>
    <xf numFmtId="0" fontId="175" fillId="18" borderId="328" xfId="0" applyFont="1" applyFill="1" applyBorder="1" applyAlignment="1">
      <alignment horizontal="center" vertical="center" wrapText="1"/>
    </xf>
    <xf numFmtId="0" fontId="145" fillId="71" borderId="328" xfId="0" applyFont="1" applyFill="1" applyBorder="1" applyAlignment="1">
      <alignment horizontal="left" vertical="center" wrapText="1"/>
    </xf>
    <xf numFmtId="0" fontId="145" fillId="0" borderId="328" xfId="0" applyFont="1" applyBorder="1" applyAlignment="1">
      <alignment horizontal="left" vertical="center" wrapText="1"/>
    </xf>
    <xf numFmtId="0" fontId="32" fillId="0" borderId="328" xfId="0" applyFont="1" applyBorder="1" applyAlignment="1">
      <alignment horizontal="center" vertical="center" wrapText="1"/>
    </xf>
    <xf numFmtId="0" fontId="145" fillId="0" borderId="328" xfId="0" applyFont="1" applyBorder="1" applyAlignment="1">
      <alignment horizontal="center" vertical="center" wrapText="1"/>
    </xf>
    <xf numFmtId="0" fontId="32" fillId="72" borderId="328" xfId="0" applyFont="1" applyFill="1" applyBorder="1" applyAlignment="1">
      <alignment horizontal="left" vertical="center" wrapText="1"/>
    </xf>
    <xf numFmtId="0" fontId="111" fillId="59" borderId="328" xfId="0" applyFont="1" applyFill="1" applyBorder="1" applyAlignment="1">
      <alignment horizontal="left" vertical="center" wrapText="1"/>
    </xf>
    <xf numFmtId="0" fontId="32" fillId="0" borderId="330" xfId="0" applyFont="1" applyBorder="1" applyAlignment="1">
      <alignment horizontal="center" vertical="center" wrapText="1"/>
    </xf>
    <xf numFmtId="0" fontId="32" fillId="18" borderId="328" xfId="0" applyFont="1" applyFill="1" applyBorder="1" applyAlignment="1">
      <alignment vertical="center" wrapText="1"/>
    </xf>
    <xf numFmtId="0" fontId="32" fillId="0" borderId="328" xfId="0" applyFont="1" applyBorder="1" applyAlignment="1">
      <alignment horizontal="left" vertical="center" wrapText="1"/>
    </xf>
    <xf numFmtId="0" fontId="32" fillId="73" borderId="328" xfId="0" applyFont="1" applyFill="1" applyBorder="1" applyAlignment="1">
      <alignment horizontal="left" vertical="center" wrapText="1"/>
    </xf>
    <xf numFmtId="14" fontId="145" fillId="0" borderId="328" xfId="0" applyNumberFormat="1" applyFont="1" applyBorder="1" applyAlignment="1">
      <alignment horizontal="center" vertical="center" wrapText="1"/>
    </xf>
    <xf numFmtId="168" fontId="145" fillId="0" borderId="328" xfId="16" applyNumberFormat="1" applyFont="1" applyBorder="1" applyAlignment="1">
      <alignment horizontal="center" vertical="center" wrapText="1"/>
    </xf>
    <xf numFmtId="0" fontId="177" fillId="0" borderId="328" xfId="0" applyFont="1" applyBorder="1" applyAlignment="1">
      <alignment horizontal="center" vertical="center" wrapText="1"/>
    </xf>
    <xf numFmtId="0" fontId="178" fillId="0" borderId="328" xfId="0" applyFont="1" applyBorder="1" applyAlignment="1">
      <alignment horizontal="center" vertical="center" wrapText="1"/>
    </xf>
    <xf numFmtId="4" fontId="178" fillId="0" borderId="328" xfId="0" applyNumberFormat="1" applyFont="1" applyBorder="1" applyAlignment="1">
      <alignment horizontal="center" vertical="center" wrapText="1"/>
    </xf>
    <xf numFmtId="4" fontId="177" fillId="0" borderId="328" xfId="0" applyNumberFormat="1" applyFont="1" applyBorder="1" applyAlignment="1">
      <alignment horizontal="center" vertical="center" wrapText="1"/>
    </xf>
    <xf numFmtId="3" fontId="145" fillId="0" borderId="328" xfId="0" applyNumberFormat="1" applyFont="1" applyBorder="1" applyAlignment="1">
      <alignment horizontal="left" vertical="center" wrapText="1"/>
    </xf>
    <xf numFmtId="14" fontId="145" fillId="0" borderId="328" xfId="0" applyNumberFormat="1" applyFont="1" applyBorder="1" applyAlignment="1">
      <alignment horizontal="left" vertical="center" wrapText="1"/>
    </xf>
    <xf numFmtId="4" fontId="145" fillId="0" borderId="328" xfId="0" applyNumberFormat="1" applyFont="1" applyBorder="1" applyAlignment="1">
      <alignment horizontal="left" vertical="center" wrapText="1"/>
    </xf>
    <xf numFmtId="168" fontId="145" fillId="0" borderId="328" xfId="16" applyNumberFormat="1" applyFont="1" applyBorder="1" applyAlignment="1">
      <alignment horizontal="left" vertical="center" wrapText="1"/>
    </xf>
    <xf numFmtId="0" fontId="145" fillId="0" borderId="25" xfId="0" applyFont="1" applyBorder="1" applyAlignment="1">
      <alignment horizontal="center" vertical="center" wrapText="1"/>
    </xf>
    <xf numFmtId="0" fontId="145" fillId="0" borderId="328" xfId="181" applyFont="1" applyBorder="1" applyAlignment="1">
      <alignment horizontal="center" vertical="center" wrapText="1"/>
    </xf>
    <xf numFmtId="168" fontId="32"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45" fillId="0" borderId="328" xfId="16" applyNumberFormat="1" applyFont="1" applyFill="1" applyBorder="1" applyAlignment="1">
      <alignment horizontal="center" vertical="center" wrapText="1"/>
    </xf>
    <xf numFmtId="4" fontId="145" fillId="0" borderId="328" xfId="0" applyNumberFormat="1" applyFont="1" applyBorder="1" applyAlignment="1">
      <alignment horizontal="center" vertical="center" wrapText="1"/>
    </xf>
    <xf numFmtId="10" fontId="145" fillId="0" borderId="328" xfId="16" applyNumberFormat="1" applyFont="1" applyBorder="1" applyAlignment="1">
      <alignment horizontal="center" vertical="center" wrapText="1"/>
    </xf>
    <xf numFmtId="9" fontId="145" fillId="0" borderId="328" xfId="0" applyNumberFormat="1" applyFont="1" applyBorder="1" applyAlignment="1">
      <alignment horizontal="center" vertical="center" wrapText="1"/>
    </xf>
    <xf numFmtId="9" fontId="145" fillId="0" borderId="328" xfId="0" applyNumberFormat="1" applyFont="1" applyBorder="1" applyAlignment="1">
      <alignment horizontal="left" vertical="center" wrapText="1"/>
    </xf>
    <xf numFmtId="10" fontId="145" fillId="0" borderId="328" xfId="16" applyNumberFormat="1" applyFont="1" applyFill="1" applyBorder="1" applyAlignment="1">
      <alignment horizontal="left" vertical="center" wrapText="1"/>
    </xf>
    <xf numFmtId="168" fontId="145" fillId="0" borderId="328" xfId="0" applyNumberFormat="1" applyFont="1" applyBorder="1" applyAlignment="1">
      <alignment horizontal="left" vertical="center" wrapText="1"/>
    </xf>
    <xf numFmtId="4" fontId="166" fillId="0" borderId="330" xfId="207" applyNumberFormat="1" applyFont="1" applyBorder="1" applyAlignment="1">
      <alignment horizontal="centerContinuous" vertical="center"/>
    </xf>
    <xf numFmtId="0" fontId="139" fillId="66" borderId="334" xfId="103" applyFont="1" applyFill="1" applyBorder="1" applyAlignment="1">
      <alignment vertical="center"/>
    </xf>
    <xf numFmtId="0" fontId="139" fillId="66" borderId="334" xfId="103" applyFont="1" applyFill="1" applyBorder="1"/>
    <xf numFmtId="4" fontId="32" fillId="0" borderId="289" xfId="103" applyNumberFormat="1" applyBorder="1" applyAlignment="1">
      <alignment vertical="center"/>
    </xf>
    <xf numFmtId="0" fontId="174" fillId="0" borderId="335" xfId="0" applyFont="1" applyBorder="1"/>
    <xf numFmtId="0" fontId="0" fillId="18" borderId="168" xfId="0" applyFill="1" applyBorder="1" applyAlignment="1">
      <alignment horizontal="left"/>
    </xf>
    <xf numFmtId="0" fontId="0" fillId="0" borderId="168" xfId="0" applyBorder="1" applyAlignment="1">
      <alignment horizontal="left"/>
    </xf>
    <xf numFmtId="0" fontId="72" fillId="74" borderId="339" xfId="234" applyFont="1" applyFill="1" applyBorder="1"/>
    <xf numFmtId="0" fontId="72" fillId="74" borderId="340" xfId="234" applyFont="1" applyFill="1" applyBorder="1"/>
    <xf numFmtId="0" fontId="72" fillId="74" borderId="341" xfId="234" applyFont="1" applyFill="1" applyBorder="1"/>
    <xf numFmtId="0" fontId="145" fillId="75" borderId="339" xfId="234" applyFont="1" applyFill="1" applyBorder="1"/>
    <xf numFmtId="0" fontId="145" fillId="75" borderId="340" xfId="234" applyFont="1" applyFill="1" applyBorder="1"/>
    <xf numFmtId="4" fontId="145" fillId="75" borderId="340" xfId="234" applyNumberFormat="1" applyFont="1" applyFill="1" applyBorder="1"/>
    <xf numFmtId="4" fontId="145" fillId="75" borderId="341" xfId="234" applyNumberFormat="1" applyFont="1" applyFill="1" applyBorder="1"/>
    <xf numFmtId="0" fontId="145" fillId="0" borderId="339" xfId="234" applyFont="1" applyBorder="1"/>
    <xf numFmtId="0" fontId="145" fillId="0" borderId="340" xfId="234" applyFont="1" applyBorder="1"/>
    <xf numFmtId="4" fontId="145" fillId="0" borderId="341" xfId="234" applyNumberFormat="1" applyFont="1" applyBorder="1"/>
    <xf numFmtId="0" fontId="145" fillId="0" borderId="336" xfId="234" applyFont="1" applyBorder="1"/>
    <xf numFmtId="0" fontId="145" fillId="0" borderId="337" xfId="234" applyFont="1" applyBorder="1"/>
    <xf numFmtId="4" fontId="145" fillId="0" borderId="338" xfId="234" applyNumberFormat="1" applyFont="1" applyBorder="1"/>
    <xf numFmtId="4" fontId="97" fillId="0" borderId="313" xfId="217" applyNumberFormat="1" applyFont="1" applyBorder="1" applyAlignment="1">
      <alignment horizontal="center" vertical="center"/>
    </xf>
    <xf numFmtId="3" fontId="97" fillId="0" borderId="313" xfId="217" applyNumberFormat="1" applyFont="1" applyBorder="1" applyAlignment="1">
      <alignment horizontal="center" vertical="center"/>
    </xf>
    <xf numFmtId="14" fontId="32" fillId="0" borderId="25" xfId="0" applyNumberFormat="1" applyFont="1" applyBorder="1" applyAlignment="1">
      <alignment horizontal="center"/>
    </xf>
    <xf numFmtId="4" fontId="32" fillId="4" borderId="35" xfId="0" applyNumberFormat="1" applyFont="1" applyFill="1" applyBorder="1" applyAlignment="1">
      <alignment horizontal="right" vertical="center" wrapText="1"/>
    </xf>
    <xf numFmtId="4" fontId="32" fillId="4" borderId="163" xfId="0" applyNumberFormat="1" applyFont="1" applyFill="1" applyBorder="1" applyAlignment="1">
      <alignment horizontal="right" vertical="center" wrapText="1"/>
    </xf>
    <xf numFmtId="165" fontId="32" fillId="4" borderId="46" xfId="0" applyNumberFormat="1" applyFont="1" applyFill="1" applyBorder="1" applyAlignment="1">
      <alignment horizontal="right" vertical="center" wrapText="1"/>
    </xf>
    <xf numFmtId="165" fontId="32" fillId="4" borderId="34" xfId="0" applyNumberFormat="1" applyFont="1" applyFill="1" applyBorder="1" applyAlignment="1">
      <alignment horizontal="right" vertical="center" wrapText="1"/>
    </xf>
    <xf numFmtId="4" fontId="32" fillId="0" borderId="46" xfId="0" applyNumberFormat="1" applyFont="1" applyBorder="1" applyAlignment="1">
      <alignment horizontal="right" vertical="center" wrapText="1"/>
    </xf>
    <xf numFmtId="4" fontId="32" fillId="4" borderId="46" xfId="0" applyNumberFormat="1" applyFont="1" applyFill="1" applyBorder="1" applyAlignment="1">
      <alignment horizontal="right" vertical="center" wrapText="1"/>
    </xf>
    <xf numFmtId="4" fontId="32" fillId="4" borderId="33" xfId="0" applyNumberFormat="1" applyFont="1" applyFill="1" applyBorder="1" applyAlignment="1">
      <alignment horizontal="right" vertical="center" wrapText="1"/>
    </xf>
    <xf numFmtId="4" fontId="32" fillId="4" borderId="154" xfId="0" applyNumberFormat="1" applyFont="1" applyFill="1" applyBorder="1" applyAlignment="1">
      <alignment horizontal="right" vertical="center" wrapText="1"/>
    </xf>
    <xf numFmtId="0" fontId="32" fillId="0" borderId="0" xfId="0" applyFont="1" applyAlignment="1">
      <alignment horizontal="right"/>
    </xf>
    <xf numFmtId="4" fontId="32" fillId="4" borderId="161" xfId="0" applyNumberFormat="1" applyFont="1" applyFill="1" applyBorder="1" applyAlignment="1">
      <alignment horizontal="right" vertical="center" wrapText="1"/>
    </xf>
    <xf numFmtId="4" fontId="32" fillId="4" borderId="56" xfId="0" applyNumberFormat="1" applyFont="1" applyFill="1" applyBorder="1" applyAlignment="1">
      <alignment horizontal="right" vertical="center" wrapText="1"/>
    </xf>
    <xf numFmtId="4" fontId="32" fillId="4" borderId="34" xfId="0" applyNumberFormat="1" applyFont="1" applyFill="1" applyBorder="1" applyAlignment="1">
      <alignment horizontal="right" vertical="center" wrapText="1"/>
    </xf>
    <xf numFmtId="4" fontId="97" fillId="4" borderId="35" xfId="0" applyNumberFormat="1" applyFont="1" applyFill="1" applyBorder="1" applyAlignment="1">
      <alignment horizontal="right" vertical="center" wrapText="1"/>
    </xf>
    <xf numFmtId="165" fontId="97" fillId="4" borderId="46" xfId="0" applyNumberFormat="1" applyFont="1" applyFill="1" applyBorder="1" applyAlignment="1">
      <alignment horizontal="right" vertical="center" wrapText="1"/>
    </xf>
    <xf numFmtId="165" fontId="97" fillId="4" borderId="34" xfId="0" applyNumberFormat="1" applyFont="1" applyFill="1" applyBorder="1" applyAlignment="1">
      <alignment horizontal="right" vertical="center" wrapText="1"/>
    </xf>
    <xf numFmtId="4" fontId="97" fillId="4" borderId="46" xfId="0" applyNumberFormat="1" applyFont="1" applyFill="1" applyBorder="1" applyAlignment="1">
      <alignment horizontal="right" vertical="center" wrapText="1"/>
    </xf>
    <xf numFmtId="4" fontId="97" fillId="4" borderId="33" xfId="0" applyNumberFormat="1" applyFont="1" applyFill="1" applyBorder="1" applyAlignment="1">
      <alignment horizontal="right" vertical="center" wrapText="1"/>
    </xf>
    <xf numFmtId="4" fontId="97" fillId="4" borderId="154" xfId="0" applyNumberFormat="1" applyFont="1" applyFill="1" applyBorder="1" applyAlignment="1">
      <alignment horizontal="right" vertical="center" wrapText="1"/>
    </xf>
    <xf numFmtId="4" fontId="97" fillId="4" borderId="161" xfId="0" applyNumberFormat="1" applyFont="1" applyFill="1" applyBorder="1" applyAlignment="1">
      <alignment horizontal="right" vertical="center" wrapText="1"/>
    </xf>
    <xf numFmtId="4" fontId="97" fillId="4" borderId="56" xfId="0" applyNumberFormat="1" applyFont="1" applyFill="1" applyBorder="1" applyAlignment="1">
      <alignment horizontal="right" vertical="center" wrapText="1"/>
    </xf>
    <xf numFmtId="4" fontId="97" fillId="4" borderId="34" xfId="0" applyNumberFormat="1" applyFont="1" applyFill="1" applyBorder="1" applyAlignment="1">
      <alignment horizontal="right" vertical="center" wrapText="1"/>
    </xf>
    <xf numFmtId="4" fontId="89" fillId="6" borderId="227" xfId="217" applyNumberFormat="1" applyFont="1" applyFill="1" applyBorder="1" applyAlignment="1">
      <alignment horizontal="center" vertical="center"/>
    </xf>
    <xf numFmtId="4" fontId="32"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2" xfId="0" applyNumberFormat="1" applyBorder="1"/>
    <xf numFmtId="0" fontId="0" fillId="0" borderId="343" xfId="0" applyBorder="1"/>
    <xf numFmtId="0" fontId="32" fillId="0" borderId="343" xfId="0" applyFont="1" applyBorder="1"/>
    <xf numFmtId="4" fontId="0" fillId="0" borderId="344" xfId="0" applyNumberFormat="1" applyBorder="1"/>
    <xf numFmtId="4" fontId="0" fillId="0" borderId="343" xfId="0" applyNumberFormat="1" applyBorder="1"/>
    <xf numFmtId="0" fontId="32" fillId="0" borderId="344" xfId="0" applyFont="1" applyBorder="1"/>
    <xf numFmtId="14" fontId="0" fillId="0" borderId="23" xfId="0" applyNumberFormat="1" applyBorder="1"/>
    <xf numFmtId="4" fontId="0" fillId="0" borderId="25" xfId="0" applyNumberFormat="1" applyBorder="1"/>
    <xf numFmtId="0" fontId="32" fillId="0" borderId="25" xfId="0" applyFont="1" applyBorder="1"/>
    <xf numFmtId="14" fontId="0" fillId="0" borderId="15" xfId="0" applyNumberFormat="1" applyBorder="1"/>
    <xf numFmtId="0" fontId="0" fillId="0" borderId="12" xfId="0" applyBorder="1"/>
    <xf numFmtId="0" fontId="32" fillId="0" borderId="12" xfId="0" applyFont="1" applyBorder="1"/>
    <xf numFmtId="4" fontId="0" fillId="0" borderId="27" xfId="0" applyNumberFormat="1" applyBorder="1"/>
    <xf numFmtId="4" fontId="0" fillId="0" borderId="12" xfId="0" applyNumberFormat="1" applyBorder="1"/>
    <xf numFmtId="0" fontId="32" fillId="0" borderId="27" xfId="0" applyFont="1" applyBorder="1"/>
    <xf numFmtId="180" fontId="0" fillId="0" borderId="25" xfId="0" applyNumberFormat="1" applyBorder="1"/>
    <xf numFmtId="180" fontId="0" fillId="0" borderId="343" xfId="0" applyNumberFormat="1" applyBorder="1"/>
    <xf numFmtId="180" fontId="0" fillId="0" borderId="0" xfId="0" applyNumberFormat="1"/>
    <xf numFmtId="180" fontId="0" fillId="0" borderId="344" xfId="0" applyNumberFormat="1" applyBorder="1"/>
    <xf numFmtId="180" fontId="0" fillId="0" borderId="27" xfId="0" applyNumberFormat="1" applyBorder="1"/>
    <xf numFmtId="180" fontId="0" fillId="0" borderId="12" xfId="0" applyNumberFormat="1" applyBorder="1"/>
    <xf numFmtId="0" fontId="54" fillId="0" borderId="345" xfId="0" applyFont="1" applyBorder="1" applyAlignment="1">
      <alignment vertical="center"/>
    </xf>
    <xf numFmtId="0" fontId="54" fillId="0" borderId="346" xfId="0" applyFont="1" applyBorder="1"/>
    <xf numFmtId="167" fontId="32" fillId="0" borderId="347"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32" fillId="0" borderId="0" xfId="217" applyNumberFormat="1" applyAlignment="1">
      <alignment horizontal="center" vertical="center"/>
    </xf>
    <xf numFmtId="167" fontId="106" fillId="57" borderId="139" xfId="0" applyNumberFormat="1" applyFont="1" applyFill="1" applyBorder="1" applyAlignment="1">
      <alignment vertical="center" wrapText="1"/>
    </xf>
    <xf numFmtId="164" fontId="32" fillId="0" borderId="0" xfId="0" applyNumberFormat="1" applyFont="1"/>
    <xf numFmtId="0" fontId="32" fillId="59" borderId="289" xfId="103" applyFill="1" applyBorder="1" applyAlignment="1">
      <alignment horizontal="center" vertical="center"/>
    </xf>
    <xf numFmtId="4" fontId="32" fillId="59" borderId="289" xfId="103" applyNumberFormat="1" applyFill="1" applyBorder="1" applyAlignment="1">
      <alignment horizontal="center" vertical="center"/>
    </xf>
    <xf numFmtId="0" fontId="32" fillId="53" borderId="289" xfId="103" applyFill="1" applyBorder="1" applyAlignment="1">
      <alignment horizontal="center" vertical="center"/>
    </xf>
    <xf numFmtId="0" fontId="32" fillId="53" borderId="289" xfId="103" applyFill="1" applyBorder="1" applyAlignment="1">
      <alignment horizontal="center" vertical="center" wrapText="1"/>
    </xf>
    <xf numFmtId="0" fontId="32" fillId="60" borderId="289" xfId="103" applyFill="1" applyBorder="1" applyAlignment="1">
      <alignment horizontal="center" vertical="center"/>
    </xf>
    <xf numFmtId="0" fontId="32" fillId="61" borderId="289" xfId="103" applyFill="1" applyBorder="1" applyAlignment="1">
      <alignment horizontal="center" vertical="center"/>
    </xf>
    <xf numFmtId="0" fontId="32" fillId="0" borderId="289" xfId="103" applyBorder="1" applyAlignment="1">
      <alignment vertical="center"/>
    </xf>
    <xf numFmtId="4" fontId="32" fillId="57" borderId="289" xfId="103" applyNumberFormat="1" applyFill="1" applyBorder="1" applyAlignment="1">
      <alignment vertical="center"/>
    </xf>
    <xf numFmtId="4" fontId="32" fillId="0" borderId="289" xfId="103" applyNumberFormat="1" applyBorder="1" applyAlignment="1">
      <alignment horizontal="center" vertical="center"/>
    </xf>
    <xf numFmtId="0" fontId="32" fillId="0" borderId="289" xfId="103" applyBorder="1" applyAlignment="1">
      <alignment horizontal="left" vertical="center"/>
    </xf>
    <xf numFmtId="14" fontId="32" fillId="57" borderId="289" xfId="103" applyNumberFormat="1" applyFill="1" applyBorder="1" applyAlignment="1">
      <alignment vertical="center"/>
    </xf>
    <xf numFmtId="0" fontId="131" fillId="0" borderId="289" xfId="180" applyBorder="1" applyAlignment="1">
      <alignment vertical="center"/>
    </xf>
    <xf numFmtId="0" fontId="32" fillId="0" borderId="289" xfId="103" quotePrefix="1" applyBorder="1" applyAlignment="1">
      <alignment vertical="center"/>
    </xf>
    <xf numFmtId="0" fontId="32" fillId="0" borderId="289" xfId="103" applyBorder="1"/>
    <xf numFmtId="0" fontId="32" fillId="0" borderId="289" xfId="103" applyBorder="1" applyAlignment="1">
      <alignment horizontal="left"/>
    </xf>
    <xf numFmtId="4" fontId="0" fillId="76" borderId="0" xfId="0" applyNumberFormat="1" applyFill="1"/>
    <xf numFmtId="4" fontId="32" fillId="70" borderId="326" xfId="234" applyNumberFormat="1" applyFill="1" applyBorder="1" applyAlignment="1">
      <alignment horizontal="right"/>
    </xf>
    <xf numFmtId="4" fontId="32" fillId="5" borderId="326" xfId="234" applyNumberFormat="1" applyFill="1" applyBorder="1" applyAlignment="1">
      <alignment horizontal="right"/>
    </xf>
    <xf numFmtId="167" fontId="90" fillId="57" borderId="289" xfId="103" applyNumberFormat="1" applyFont="1" applyFill="1" applyBorder="1" applyAlignment="1">
      <alignment horizontal="right" vertical="center" indent="1"/>
    </xf>
    <xf numFmtId="0" fontId="34" fillId="67" borderId="33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351" xfId="0" applyFont="1" applyBorder="1" applyAlignment="1">
      <alignment horizontal="center" vertical="center" wrapText="1"/>
    </xf>
    <xf numFmtId="0" fontId="34" fillId="67" borderId="350" xfId="0" applyFont="1" applyFill="1" applyBorder="1" applyAlignment="1">
      <alignment horizontal="center" vertical="center" wrapText="1"/>
    </xf>
    <xf numFmtId="14" fontId="34" fillId="0" borderId="0" xfId="0" applyNumberFormat="1" applyFont="1" applyAlignment="1">
      <alignment horizontal="center" vertical="center"/>
    </xf>
    <xf numFmtId="14" fontId="97" fillId="0" borderId="0" xfId="228" applyNumberFormat="1" applyFont="1" applyAlignment="1">
      <alignment horizontal="center" vertical="center"/>
    </xf>
    <xf numFmtId="0" fontId="34" fillId="67" borderId="351" xfId="0" applyFont="1" applyFill="1" applyBorder="1" applyAlignment="1">
      <alignment horizontal="center" vertical="center" wrapText="1"/>
    </xf>
    <xf numFmtId="0" fontId="32" fillId="0" borderId="349" xfId="0" applyFont="1" applyBorder="1" applyAlignment="1">
      <alignment horizontal="center" vertical="center" wrapText="1"/>
    </xf>
    <xf numFmtId="4" fontId="34" fillId="6" borderId="355" xfId="218" applyNumberFormat="1" applyFont="1" applyFill="1" applyBorder="1" applyAlignment="1">
      <alignment horizontal="center" vertical="center"/>
    </xf>
    <xf numFmtId="4" fontId="34" fillId="57" borderId="356" xfId="218" applyNumberFormat="1" applyFont="1" applyFill="1" applyBorder="1" applyAlignment="1">
      <alignment horizontal="center" vertical="center"/>
    </xf>
    <xf numFmtId="4" fontId="34" fillId="6" borderId="356" xfId="218" applyNumberFormat="1" applyFont="1" applyFill="1" applyBorder="1" applyAlignment="1">
      <alignment horizontal="center" vertical="center"/>
    </xf>
    <xf numFmtId="4" fontId="34" fillId="6" borderId="357" xfId="218" applyNumberFormat="1" applyFont="1" applyFill="1" applyBorder="1" applyAlignment="1">
      <alignment horizontal="center" vertical="center"/>
    </xf>
    <xf numFmtId="4" fontId="97" fillId="0" borderId="358" xfId="218" applyNumberFormat="1" applyFont="1" applyBorder="1" applyAlignment="1">
      <alignment horizontal="right" vertical="center" indent="1"/>
    </xf>
    <xf numFmtId="4" fontId="79" fillId="0" borderId="359" xfId="218" applyNumberFormat="1" applyFont="1" applyBorder="1" applyAlignment="1">
      <alignment horizontal="right" vertical="center" indent="1"/>
    </xf>
    <xf numFmtId="14" fontId="97" fillId="0" borderId="360" xfId="228" applyNumberFormat="1" applyFont="1" applyBorder="1" applyAlignment="1">
      <alignment horizontal="center" vertical="center"/>
    </xf>
    <xf numFmtId="14" fontId="97" fillId="0" borderId="361" xfId="228" applyNumberFormat="1" applyFont="1" applyBorder="1" applyAlignment="1">
      <alignment horizontal="center" vertical="center"/>
    </xf>
    <xf numFmtId="0" fontId="56" fillId="66" borderId="334" xfId="103" applyFont="1" applyFill="1" applyBorder="1" applyAlignment="1">
      <alignment vertical="center"/>
    </xf>
    <xf numFmtId="0" fontId="34" fillId="67" borderId="330" xfId="0" applyFont="1" applyFill="1" applyBorder="1" applyAlignment="1">
      <alignment horizontal="centerContinuous" vertical="center"/>
    </xf>
    <xf numFmtId="4" fontId="105" fillId="0" borderId="363" xfId="217" applyNumberFormat="1" applyFont="1" applyBorder="1" applyAlignment="1">
      <alignment horizontal="center" vertical="center"/>
    </xf>
    <xf numFmtId="4" fontId="106" fillId="0" borderId="363" xfId="217" applyNumberFormat="1" applyFont="1" applyBorder="1" applyAlignment="1">
      <alignment horizontal="center" vertical="center"/>
    </xf>
    <xf numFmtId="4" fontId="32" fillId="0" borderId="363" xfId="217" applyNumberFormat="1" applyBorder="1" applyAlignment="1">
      <alignment horizontal="center" vertical="center"/>
    </xf>
    <xf numFmtId="4" fontId="32" fillId="0" borderId="364" xfId="217" applyNumberFormat="1" applyBorder="1" applyAlignment="1">
      <alignment horizontal="center" vertical="center"/>
    </xf>
    <xf numFmtId="3" fontId="76" fillId="5" borderId="0" xfId="217" applyNumberFormat="1" applyFont="1" applyFill="1" applyAlignment="1">
      <alignment horizontal="center" vertical="center"/>
    </xf>
    <xf numFmtId="175" fontId="104" fillId="5" borderId="0" xfId="205" applyNumberFormat="1" applyFont="1" applyFill="1" applyBorder="1" applyAlignment="1">
      <alignment vertical="center"/>
    </xf>
    <xf numFmtId="9" fontId="104" fillId="5" borderId="0" xfId="16" applyFont="1" applyFill="1" applyBorder="1" applyAlignment="1">
      <alignment horizontal="center" vertical="center"/>
    </xf>
    <xf numFmtId="10" fontId="104" fillId="5" borderId="0" xfId="16" applyNumberFormat="1" applyFont="1" applyFill="1" applyBorder="1" applyAlignment="1">
      <alignment horizontal="center" vertical="center"/>
    </xf>
    <xf numFmtId="164" fontId="104" fillId="5" borderId="0" xfId="101" applyFont="1" applyFill="1" applyBorder="1" applyAlignment="1">
      <alignment horizontal="center" vertical="center"/>
    </xf>
    <xf numFmtId="167" fontId="106" fillId="57" borderId="139" xfId="0" applyNumberFormat="1" applyFont="1" applyFill="1" applyBorder="1" applyAlignment="1">
      <alignment horizontal="center" vertical="center" wrapText="1"/>
    </xf>
    <xf numFmtId="0" fontId="32" fillId="57" borderId="168" xfId="0" applyFont="1" applyFill="1" applyBorder="1" applyAlignment="1">
      <alignment horizontal="left"/>
    </xf>
    <xf numFmtId="167" fontId="34" fillId="52" borderId="141" xfId="0" applyNumberFormat="1" applyFont="1" applyFill="1" applyBorder="1" applyAlignment="1">
      <alignment horizontal="right" vertical="center" indent="2"/>
    </xf>
    <xf numFmtId="4" fontId="32" fillId="5" borderId="286" xfId="218" applyNumberFormat="1" applyFill="1" applyBorder="1" applyAlignment="1">
      <alignment horizontal="right" vertical="center" indent="1"/>
    </xf>
    <xf numFmtId="4" fontId="32" fillId="5" borderId="0" xfId="103" applyNumberFormat="1" applyFill="1"/>
    <xf numFmtId="0" fontId="6" fillId="0" borderId="0" xfId="99" applyFont="1"/>
    <xf numFmtId="167" fontId="32" fillId="0" borderId="353" xfId="212" applyFont="1" applyFill="1" applyBorder="1"/>
    <xf numFmtId="167" fontId="32" fillId="0" borderId="365" xfId="212" applyFont="1" applyFill="1" applyBorder="1"/>
    <xf numFmtId="167" fontId="32" fillId="0" borderId="366" xfId="212" applyFont="1" applyFill="1" applyBorder="1"/>
    <xf numFmtId="167" fontId="32" fillId="0" borderId="367" xfId="212" applyFont="1" applyFill="1" applyBorder="1"/>
    <xf numFmtId="4" fontId="32" fillId="0" borderId="0" xfId="234" applyNumberFormat="1"/>
    <xf numFmtId="4" fontId="34" fillId="0" borderId="0" xfId="103" applyNumberFormat="1" applyFont="1" applyAlignment="1">
      <alignment vertical="center"/>
    </xf>
    <xf numFmtId="10" fontId="5" fillId="0" borderId="0" xfId="0" applyNumberFormat="1" applyFont="1" applyAlignment="1">
      <alignment horizontal="center" vertical="center"/>
    </xf>
    <xf numFmtId="3" fontId="5" fillId="0" borderId="0" xfId="0" applyNumberFormat="1" applyFont="1" applyAlignment="1">
      <alignment horizontal="center" vertical="center"/>
    </xf>
    <xf numFmtId="10" fontId="4" fillId="0" borderId="0" xfId="216" applyNumberFormat="1" applyFont="1" applyAlignment="1">
      <alignment horizontal="center" vertical="center"/>
    </xf>
    <xf numFmtId="3" fontId="4" fillId="0" borderId="0" xfId="216" applyNumberFormat="1" applyFont="1" applyAlignment="1">
      <alignment horizontal="center" vertical="center"/>
    </xf>
    <xf numFmtId="10" fontId="4" fillId="0" borderId="0" xfId="0" applyNumberFormat="1" applyFont="1" applyAlignment="1">
      <alignment horizontal="center" vertical="center"/>
    </xf>
    <xf numFmtId="3" fontId="4" fillId="0" borderId="0" xfId="0" applyNumberFormat="1" applyFont="1" applyAlignment="1">
      <alignment horizontal="center" vertical="center"/>
    </xf>
    <xf numFmtId="4" fontId="32" fillId="57" borderId="289" xfId="103" applyNumberFormat="1" applyFill="1" applyBorder="1"/>
    <xf numFmtId="167" fontId="34" fillId="57" borderId="141" xfId="0" applyNumberFormat="1" applyFont="1" applyFill="1" applyBorder="1" applyAlignment="1">
      <alignment horizontal="right" vertical="center" indent="2"/>
    </xf>
    <xf numFmtId="4" fontId="3" fillId="0" borderId="0" xfId="223" applyNumberFormat="1" applyFont="1"/>
    <xf numFmtId="164" fontId="86" fillId="0" borderId="0" xfId="103" applyNumberFormat="1" applyFont="1"/>
    <xf numFmtId="0" fontId="32" fillId="0" borderId="242" xfId="234" applyBorder="1" applyAlignment="1">
      <alignment horizontal="center" vertical="center"/>
    </xf>
    <xf numFmtId="0" fontId="32" fillId="0" borderId="244" xfId="234" applyBorder="1" applyAlignment="1">
      <alignment horizontal="center" vertical="center"/>
    </xf>
    <xf numFmtId="0" fontId="34" fillId="0" borderId="242" xfId="234" applyFont="1" applyBorder="1" applyAlignment="1">
      <alignment vertical="center"/>
    </xf>
    <xf numFmtId="0" fontId="34" fillId="0" borderId="243" xfId="234" applyFont="1" applyBorder="1" applyAlignment="1">
      <alignment vertical="center"/>
    </xf>
    <xf numFmtId="0" fontId="34" fillId="0" borderId="244" xfId="234" applyFont="1" applyBorder="1" applyAlignment="1">
      <alignment vertical="center"/>
    </xf>
    <xf numFmtId="4" fontId="154" fillId="57" borderId="48" xfId="103" applyNumberFormat="1" applyFont="1" applyFill="1" applyBorder="1" applyAlignment="1">
      <alignment horizontal="right" vertical="center" indent="1"/>
    </xf>
    <xf numFmtId="0" fontId="29" fillId="0" borderId="289" xfId="99" applyBorder="1"/>
    <xf numFmtId="164" fontId="178" fillId="0" borderId="0" xfId="103" applyNumberFormat="1" applyFont="1"/>
    <xf numFmtId="0" fontId="2" fillId="0" borderId="289" xfId="99" applyFont="1" applyBorder="1"/>
    <xf numFmtId="4" fontId="134" fillId="0" borderId="139" xfId="0" applyNumberFormat="1" applyFont="1" applyBorder="1" applyAlignment="1">
      <alignment horizontal="center" vertical="center"/>
    </xf>
    <xf numFmtId="0" fontId="169" fillId="0" borderId="289" xfId="229" applyFont="1" applyBorder="1" applyAlignment="1">
      <alignment horizontal="left" indent="2"/>
    </xf>
    <xf numFmtId="0" fontId="169" fillId="0" borderId="218" xfId="229" applyFont="1" applyBorder="1" applyAlignment="1">
      <alignment horizontal="left" indent="2"/>
    </xf>
    <xf numFmtId="0" fontId="169" fillId="0" borderId="91" xfId="229" applyFont="1" applyBorder="1" applyAlignment="1">
      <alignment horizontal="left" indent="2"/>
    </xf>
    <xf numFmtId="14" fontId="138" fillId="0" borderId="289" xfId="97" applyNumberFormat="1" applyFont="1" applyBorder="1" applyAlignment="1">
      <alignment horizontal="left" vertical="center" indent="2"/>
    </xf>
    <xf numFmtId="14" fontId="138" fillId="0" borderId="289" xfId="97" applyNumberFormat="1" applyFont="1" applyBorder="1" applyAlignment="1">
      <alignment horizontal="left" vertical="center" indent="4"/>
    </xf>
    <xf numFmtId="164" fontId="178" fillId="0" borderId="351" xfId="213" applyFont="1" applyBorder="1" applyAlignment="1">
      <alignment horizontal="left" vertical="center" indent="1"/>
    </xf>
    <xf numFmtId="165" fontId="86" fillId="0" borderId="0" xfId="0" applyNumberFormat="1" applyFont="1"/>
    <xf numFmtId="49" fontId="32" fillId="0" borderId="0" xfId="207" applyNumberFormat="1" applyAlignment="1"/>
    <xf numFmtId="0" fontId="146" fillId="0" borderId="0" xfId="97" applyFont="1" applyAlignment="1">
      <alignment horizontal="center"/>
    </xf>
    <xf numFmtId="0" fontId="131" fillId="0" borderId="0" xfId="180" applyAlignment="1">
      <alignment horizontal="left" vertical="top" wrapText="1"/>
    </xf>
    <xf numFmtId="0" fontId="143" fillId="0" borderId="0" xfId="97" applyFont="1" applyAlignment="1">
      <alignment horizontal="left" vertical="top" wrapText="1"/>
    </xf>
    <xf numFmtId="0" fontId="143" fillId="0" borderId="0" xfId="97" applyFont="1" applyAlignment="1">
      <alignment vertical="center" wrapText="1"/>
    </xf>
    <xf numFmtId="0" fontId="56" fillId="9" borderId="57" xfId="103" applyFont="1" applyFill="1" applyBorder="1" applyAlignment="1">
      <alignment horizontal="left" vertical="center"/>
    </xf>
    <xf numFmtId="0" fontId="56" fillId="9" borderId="58" xfId="103" applyFont="1" applyFill="1" applyBorder="1" applyAlignment="1">
      <alignment horizontal="left" vertical="center"/>
    </xf>
    <xf numFmtId="0" fontId="56" fillId="9" borderId="59" xfId="103" applyFont="1" applyFill="1" applyBorder="1" applyAlignment="1">
      <alignment horizontal="left" vertical="center"/>
    </xf>
    <xf numFmtId="4" fontId="0" fillId="0" borderId="0" xfId="102" applyNumberFormat="1" applyFont="1" applyAlignment="1">
      <alignment horizontal="right"/>
    </xf>
    <xf numFmtId="4" fontId="89" fillId="67" borderId="2" xfId="102" applyNumberFormat="1" applyFont="1" applyFill="1" applyBorder="1" applyAlignment="1">
      <alignment horizontal="center" vertical="center"/>
    </xf>
    <xf numFmtId="0" fontId="139" fillId="66" borderId="57" xfId="103" applyFont="1" applyFill="1" applyBorder="1" applyAlignment="1">
      <alignment horizontal="left" vertical="center"/>
    </xf>
    <xf numFmtId="0" fontId="139" fillId="66" borderId="58" xfId="103" applyFont="1" applyFill="1" applyBorder="1" applyAlignment="1">
      <alignment horizontal="left" vertical="center"/>
    </xf>
    <xf numFmtId="0" fontId="139" fillId="66" borderId="59" xfId="103" applyFont="1" applyFill="1" applyBorder="1" applyAlignment="1">
      <alignment horizontal="left" vertical="center"/>
    </xf>
    <xf numFmtId="0" fontId="93" fillId="0" borderId="190" xfId="220" applyFont="1" applyBorder="1" applyAlignment="1">
      <alignment horizontal="left" vertical="center" wrapText="1"/>
    </xf>
    <xf numFmtId="0" fontId="93" fillId="0" borderId="84" xfId="220" applyFont="1" applyBorder="1" applyAlignment="1">
      <alignment horizontal="left" vertical="center" wrapText="1"/>
    </xf>
    <xf numFmtId="0" fontId="93" fillId="0" borderId="191" xfId="220" applyFont="1" applyBorder="1" applyAlignment="1">
      <alignment horizontal="left" vertical="center" wrapText="1"/>
    </xf>
    <xf numFmtId="0" fontId="87" fillId="5" borderId="0" xfId="103" applyFont="1" applyFill="1" applyAlignment="1">
      <alignment horizontal="center" vertical="center"/>
    </xf>
    <xf numFmtId="0" fontId="151" fillId="0" borderId="186" xfId="220" applyFont="1" applyBorder="1" applyAlignment="1">
      <alignment horizontal="left" vertical="center" wrapText="1"/>
    </xf>
    <xf numFmtId="0" fontId="151" fillId="0" borderId="187" xfId="220" applyFont="1" applyBorder="1" applyAlignment="1">
      <alignment horizontal="left" vertical="center" wrapText="1"/>
    </xf>
    <xf numFmtId="0" fontId="151" fillId="0" borderId="188" xfId="220" applyFont="1" applyBorder="1" applyAlignment="1">
      <alignment horizontal="left" vertical="center" wrapText="1"/>
    </xf>
    <xf numFmtId="0" fontId="151" fillId="0" borderId="202" xfId="220" applyFont="1" applyBorder="1" applyAlignment="1">
      <alignment horizontal="left" vertical="center" wrapText="1"/>
    </xf>
    <xf numFmtId="0" fontId="151" fillId="0" borderId="203" xfId="220" applyFont="1" applyBorder="1" applyAlignment="1">
      <alignment horizontal="left" vertical="center" wrapText="1"/>
    </xf>
    <xf numFmtId="0" fontId="151" fillId="0" borderId="204" xfId="220" applyFont="1" applyBorder="1" applyAlignment="1">
      <alignment horizontal="left" vertical="center" wrapText="1"/>
    </xf>
    <xf numFmtId="0" fontId="151" fillId="0" borderId="190" xfId="220" applyFont="1" applyBorder="1" applyAlignment="1">
      <alignment horizontal="left" vertical="center" wrapText="1"/>
    </xf>
    <xf numFmtId="0" fontId="151" fillId="0" borderId="84" xfId="220" applyFont="1" applyBorder="1" applyAlignment="1">
      <alignment horizontal="left" vertical="center" wrapText="1"/>
    </xf>
    <xf numFmtId="0" fontId="151" fillId="0" borderId="191" xfId="220" applyFont="1" applyBorder="1" applyAlignment="1">
      <alignment horizontal="left" vertical="center" wrapText="1"/>
    </xf>
    <xf numFmtId="0" fontId="151" fillId="0" borderId="196" xfId="220" applyFont="1" applyBorder="1" applyAlignment="1">
      <alignment horizontal="left" vertical="center" wrapText="1"/>
    </xf>
    <xf numFmtId="0" fontId="151" fillId="0" borderId="197" xfId="220" applyFont="1" applyBorder="1" applyAlignment="1">
      <alignment horizontal="left" vertical="center" wrapText="1"/>
    </xf>
    <xf numFmtId="0" fontId="151" fillId="0" borderId="198" xfId="220" applyFont="1" applyBorder="1" applyAlignment="1">
      <alignment horizontal="left" vertical="center" wrapText="1"/>
    </xf>
    <xf numFmtId="0" fontId="99" fillId="66" borderId="209" xfId="0" applyFont="1" applyFill="1" applyBorder="1" applyAlignment="1">
      <alignment horizontal="left" vertical="center" wrapText="1"/>
    </xf>
    <xf numFmtId="0" fontId="99" fillId="66" borderId="179" xfId="0" applyFont="1" applyFill="1" applyBorder="1" applyAlignment="1">
      <alignment horizontal="left" vertical="center" wrapText="1"/>
    </xf>
    <xf numFmtId="0" fontId="99" fillId="66" borderId="180" xfId="0" applyFont="1" applyFill="1" applyBorder="1" applyAlignment="1">
      <alignment horizontal="left" vertical="center" wrapText="1"/>
    </xf>
    <xf numFmtId="0" fontId="93" fillId="0" borderId="186" xfId="220" applyFont="1" applyBorder="1" applyAlignment="1">
      <alignment horizontal="left" vertical="center" wrapText="1"/>
    </xf>
    <xf numFmtId="0" fontId="93" fillId="0" borderId="187" xfId="220" applyFont="1" applyBorder="1" applyAlignment="1">
      <alignment horizontal="left" vertical="center" wrapText="1"/>
    </xf>
    <xf numFmtId="0" fontId="93" fillId="0" borderId="188" xfId="220" applyFont="1" applyBorder="1" applyAlignment="1">
      <alignment horizontal="left" vertical="center" wrapText="1"/>
    </xf>
    <xf numFmtId="0" fontId="151" fillId="0" borderId="205" xfId="220" applyFont="1" applyBorder="1" applyAlignment="1">
      <alignment horizontal="left" vertical="center" wrapText="1"/>
    </xf>
    <xf numFmtId="0" fontId="151" fillId="0" borderId="206" xfId="220" applyFont="1" applyBorder="1" applyAlignment="1">
      <alignment horizontal="left" vertical="center" wrapText="1"/>
    </xf>
    <xf numFmtId="0" fontId="151" fillId="0" borderId="207" xfId="220" applyFont="1" applyBorder="1" applyAlignment="1">
      <alignment horizontal="left" vertical="center" wrapText="1"/>
    </xf>
    <xf numFmtId="173" fontId="54" fillId="0" borderId="178" xfId="220" applyNumberFormat="1" applyFont="1" applyBorder="1" applyAlignment="1" applyProtection="1">
      <alignment horizontal="left" vertical="center"/>
      <protection locked="0"/>
    </xf>
    <xf numFmtId="173" fontId="54" fillId="0" borderId="179" xfId="220" applyNumberFormat="1" applyFont="1" applyBorder="1" applyAlignment="1" applyProtection="1">
      <alignment horizontal="left" vertical="center"/>
      <protection locked="0"/>
    </xf>
    <xf numFmtId="173" fontId="54" fillId="0" borderId="180" xfId="220" applyNumberFormat="1" applyFont="1" applyBorder="1" applyAlignment="1" applyProtection="1">
      <alignment horizontal="left" vertical="center"/>
      <protection locked="0"/>
    </xf>
    <xf numFmtId="164" fontId="86" fillId="62" borderId="10" xfId="79" applyFont="1" applyFill="1" applyBorder="1" applyAlignment="1">
      <alignment horizontal="center" vertical="center" wrapText="1"/>
    </xf>
    <xf numFmtId="164" fontId="86" fillId="62" borderId="152" xfId="79" applyFont="1" applyFill="1" applyBorder="1" applyAlignment="1">
      <alignment horizontal="center" vertical="center" wrapText="1"/>
    </xf>
    <xf numFmtId="164" fontId="145" fillId="17" borderId="10" xfId="79" applyFont="1" applyFill="1" applyBorder="1" applyAlignment="1">
      <alignment horizontal="center" vertical="center" wrapText="1"/>
    </xf>
    <xf numFmtId="164" fontId="145" fillId="17" borderId="152" xfId="79" applyFont="1" applyFill="1" applyBorder="1" applyAlignment="1">
      <alignment horizontal="center" vertical="center" wrapText="1"/>
    </xf>
    <xf numFmtId="164" fontId="86" fillId="62" borderId="264" xfId="79" applyFont="1" applyFill="1" applyBorder="1" applyAlignment="1">
      <alignment horizontal="center" vertical="center" wrapText="1"/>
    </xf>
    <xf numFmtId="164" fontId="86" fillId="62" borderId="265" xfId="79" applyFont="1" applyFill="1" applyBorder="1" applyAlignment="1">
      <alignment horizontal="center" vertical="center" wrapText="1"/>
    </xf>
    <xf numFmtId="164" fontId="86" fillId="62" borderId="266" xfId="79" applyFont="1" applyFill="1" applyBorder="1" applyAlignment="1">
      <alignment horizontal="center" vertical="center" wrapText="1"/>
    </xf>
    <xf numFmtId="164" fontId="145" fillId="17" borderId="149" xfId="79" applyFont="1" applyFill="1" applyBorder="1" applyAlignment="1">
      <alignment horizontal="center" vertical="center" wrapText="1"/>
    </xf>
    <xf numFmtId="164" fontId="145" fillId="17" borderId="151" xfId="79" applyFont="1" applyFill="1" applyBorder="1" applyAlignment="1">
      <alignment horizontal="center" vertical="center" wrapText="1"/>
    </xf>
    <xf numFmtId="164" fontId="86" fillId="62" borderId="150" xfId="79" applyFont="1" applyFill="1" applyBorder="1" applyAlignment="1">
      <alignment horizontal="center" vertical="center" wrapText="1"/>
    </xf>
    <xf numFmtId="164" fontId="86" fillId="62" borderId="153" xfId="79" applyFont="1" applyFill="1" applyBorder="1" applyAlignment="1">
      <alignment horizontal="center" vertical="center" wrapText="1"/>
    </xf>
    <xf numFmtId="164" fontId="145" fillId="17" borderId="26" xfId="79" applyFont="1" applyFill="1" applyBorder="1" applyAlignment="1">
      <alignment horizontal="center" vertical="center" wrapText="1"/>
    </xf>
    <xf numFmtId="164" fontId="145" fillId="17" borderId="8" xfId="79" applyFont="1" applyFill="1" applyBorder="1" applyAlignment="1">
      <alignment horizontal="center" vertical="center" wrapText="1"/>
    </xf>
    <xf numFmtId="164" fontId="145" fillId="17" borderId="13" xfId="79" applyFont="1" applyFill="1" applyBorder="1" applyAlignment="1">
      <alignment horizontal="center" vertical="center" wrapText="1"/>
    </xf>
    <xf numFmtId="164" fontId="145" fillId="17" borderId="150" xfId="79" applyFont="1" applyFill="1" applyBorder="1" applyAlignment="1">
      <alignment horizontal="center" vertical="center" wrapText="1"/>
    </xf>
    <xf numFmtId="164" fontId="145" fillId="17" borderId="153" xfId="79" applyFont="1" applyFill="1" applyBorder="1" applyAlignment="1">
      <alignment horizontal="center" vertical="center" wrapText="1"/>
    </xf>
    <xf numFmtId="164" fontId="32" fillId="0" borderId="24" xfId="79" applyFont="1" applyBorder="1" applyAlignment="1">
      <alignment horizontal="center" vertical="center" wrapText="1"/>
    </xf>
    <xf numFmtId="164" fontId="32" fillId="0" borderId="27" xfId="79" applyFont="1" applyBorder="1" applyAlignment="1">
      <alignment horizontal="center" vertical="center" wrapText="1"/>
    </xf>
    <xf numFmtId="164" fontId="86" fillId="62" borderId="149" xfId="79" applyFont="1" applyFill="1" applyBorder="1" applyAlignment="1">
      <alignment horizontal="center" vertical="center" wrapText="1"/>
    </xf>
    <xf numFmtId="164" fontId="86" fillId="62" borderId="151" xfId="79" applyFont="1" applyFill="1" applyBorder="1" applyAlignment="1">
      <alignment horizontal="center" vertical="center" wrapText="1"/>
    </xf>
    <xf numFmtId="164" fontId="86" fillId="62" borderId="164" xfId="79" applyFont="1" applyFill="1" applyBorder="1" applyAlignment="1">
      <alignment horizontal="center" vertical="center" wrapText="1"/>
    </xf>
    <xf numFmtId="164" fontId="86" fillId="62" borderId="165" xfId="79" applyFont="1" applyFill="1" applyBorder="1" applyAlignment="1">
      <alignment horizontal="center" vertical="center" wrapText="1"/>
    </xf>
    <xf numFmtId="164" fontId="145" fillId="17" borderId="164" xfId="79" applyFont="1" applyFill="1" applyBorder="1" applyAlignment="1">
      <alignment horizontal="center" vertical="center" wrapText="1"/>
    </xf>
    <xf numFmtId="164" fontId="145" fillId="17" borderId="165" xfId="79" applyFont="1" applyFill="1" applyBorder="1" applyAlignment="1">
      <alignment horizontal="center" vertical="center" wrapText="1"/>
    </xf>
    <xf numFmtId="0" fontId="89" fillId="67" borderId="24" xfId="0" applyFont="1" applyFill="1" applyBorder="1" applyAlignment="1">
      <alignment horizontal="center" vertical="center" wrapText="1"/>
    </xf>
    <xf numFmtId="0" fontId="89" fillId="67" borderId="25" xfId="0" applyFont="1" applyFill="1" applyBorder="1" applyAlignment="1">
      <alignment horizontal="center" vertical="center" wrapText="1"/>
    </xf>
    <xf numFmtId="0" fontId="89" fillId="67" borderId="27" xfId="0" applyFont="1" applyFill="1" applyBorder="1" applyAlignment="1">
      <alignment horizontal="center" vertical="center" wrapText="1"/>
    </xf>
    <xf numFmtId="0" fontId="99" fillId="12" borderId="174" xfId="0" applyFont="1" applyFill="1" applyBorder="1" applyAlignment="1">
      <alignment horizontal="center" vertical="center" wrapText="1"/>
    </xf>
    <xf numFmtId="0" fontId="99" fillId="12" borderId="175" xfId="0" applyFont="1" applyFill="1" applyBorder="1" applyAlignment="1">
      <alignment horizontal="center" vertical="center" wrapText="1"/>
    </xf>
    <xf numFmtId="0" fontId="139" fillId="66" borderId="116" xfId="103" applyFont="1" applyFill="1" applyBorder="1" applyAlignment="1">
      <alignment horizontal="left" vertical="center"/>
    </xf>
    <xf numFmtId="0" fontId="139" fillId="66" borderId="117" xfId="103" applyFont="1" applyFill="1" applyBorder="1" applyAlignment="1">
      <alignment horizontal="left" vertical="center"/>
    </xf>
    <xf numFmtId="0" fontId="103" fillId="7" borderId="308" xfId="217" applyFont="1" applyFill="1" applyBorder="1" applyAlignment="1">
      <alignment horizontal="left" vertical="center" indent="1"/>
    </xf>
    <xf numFmtId="0" fontId="103" fillId="7" borderId="309" xfId="217" applyFont="1" applyFill="1" applyBorder="1" applyAlignment="1">
      <alignment horizontal="left" vertical="center" indent="1"/>
    </xf>
    <xf numFmtId="0" fontId="56" fillId="66" borderId="235" xfId="222" applyFont="1" applyFill="1" applyBorder="1" applyAlignment="1">
      <alignment horizontal="left"/>
    </xf>
    <xf numFmtId="0" fontId="56" fillId="66" borderId="0" xfId="222" applyFont="1" applyFill="1" applyAlignment="1">
      <alignment horizontal="left"/>
    </xf>
    <xf numFmtId="0" fontId="36" fillId="67" borderId="60" xfId="217" applyFont="1" applyFill="1" applyBorder="1" applyAlignment="1">
      <alignment horizontal="center" vertical="center"/>
    </xf>
    <xf numFmtId="0" fontId="36" fillId="67" borderId="61" xfId="217" applyFont="1" applyFill="1" applyBorder="1" applyAlignment="1">
      <alignment horizontal="center" vertical="center"/>
    </xf>
    <xf numFmtId="0" fontId="36" fillId="67" borderId="62" xfId="217" applyFont="1" applyFill="1" applyBorder="1" applyAlignment="1">
      <alignment horizontal="center" vertical="center"/>
    </xf>
    <xf numFmtId="0" fontId="89" fillId="11" borderId="63" xfId="217" applyFont="1" applyFill="1" applyBorder="1" applyAlignment="1">
      <alignment horizontal="center" vertical="center" wrapText="1"/>
    </xf>
    <xf numFmtId="0" fontId="89" fillId="11" borderId="64" xfId="217" applyFont="1" applyFill="1" applyBorder="1" applyAlignment="1">
      <alignment horizontal="center" vertical="center" wrapText="1"/>
    </xf>
    <xf numFmtId="0" fontId="89" fillId="67" borderId="173" xfId="217" applyFont="1" applyFill="1" applyBorder="1" applyAlignment="1">
      <alignment horizontal="center" vertical="center" wrapText="1"/>
    </xf>
    <xf numFmtId="0" fontId="89" fillId="67" borderId="77" xfId="217" applyFont="1" applyFill="1" applyBorder="1" applyAlignment="1">
      <alignment horizontal="center" vertical="center" wrapText="1"/>
    </xf>
    <xf numFmtId="0" fontId="89" fillId="67" borderId="78" xfId="217" applyFont="1" applyFill="1" applyBorder="1" applyAlignment="1">
      <alignment horizontal="center" vertical="center" wrapText="1"/>
    </xf>
    <xf numFmtId="0" fontId="36" fillId="67" borderId="312" xfId="217" applyFont="1" applyFill="1" applyBorder="1" applyAlignment="1">
      <alignment horizontal="center" vertical="center"/>
    </xf>
    <xf numFmtId="0" fontId="89" fillId="11" borderId="173" xfId="217" applyFont="1" applyFill="1" applyBorder="1" applyAlignment="1">
      <alignment horizontal="center" vertical="center" wrapText="1"/>
    </xf>
    <xf numFmtId="0" fontId="89" fillId="11" borderId="78" xfId="217" applyFont="1" applyFill="1" applyBorder="1" applyAlignment="1">
      <alignment horizontal="center" vertical="center" wrapText="1"/>
    </xf>
    <xf numFmtId="0" fontId="56" fillId="66" borderId="136" xfId="225" applyFont="1" applyFill="1" applyBorder="1" applyAlignment="1">
      <alignment horizontal="left"/>
    </xf>
    <xf numFmtId="0" fontId="56" fillId="66" borderId="137" xfId="225" applyFont="1" applyFill="1" applyBorder="1" applyAlignment="1">
      <alignment horizontal="left"/>
    </xf>
    <xf numFmtId="0" fontId="34" fillId="5" borderId="0" xfId="217" applyFont="1" applyFill="1" applyAlignment="1">
      <alignment horizontal="center" vertical="center" wrapText="1"/>
    </xf>
    <xf numFmtId="0" fontId="34" fillId="5" borderId="245" xfId="217" applyFont="1" applyFill="1" applyBorder="1" applyAlignment="1">
      <alignment horizontal="center" vertical="center" wrapText="1"/>
    </xf>
    <xf numFmtId="0" fontId="89" fillId="68" borderId="246" xfId="217" applyFont="1" applyFill="1" applyBorder="1" applyAlignment="1">
      <alignment horizontal="center" vertical="center" wrapText="1"/>
    </xf>
    <xf numFmtId="0" fontId="89" fillId="68" borderId="246" xfId="217" applyFont="1" applyFill="1" applyBorder="1" applyAlignment="1">
      <alignment horizontal="center" vertical="center"/>
    </xf>
    <xf numFmtId="0" fontId="34" fillId="68" borderId="246" xfId="217" applyFont="1" applyFill="1" applyBorder="1" applyAlignment="1">
      <alignment horizontal="center" vertical="center"/>
    </xf>
    <xf numFmtId="0" fontId="89" fillId="59" borderId="246" xfId="217" applyFont="1" applyFill="1" applyBorder="1" applyAlignment="1">
      <alignment horizontal="center" vertical="center" wrapText="1"/>
    </xf>
    <xf numFmtId="0" fontId="89" fillId="59" borderId="246" xfId="217" applyFont="1" applyFill="1" applyBorder="1" applyAlignment="1">
      <alignment horizontal="center" vertical="center"/>
    </xf>
    <xf numFmtId="0" fontId="34" fillId="59" borderId="246" xfId="217" applyFont="1" applyFill="1" applyBorder="1" applyAlignment="1">
      <alignment horizontal="center" vertical="center"/>
    </xf>
    <xf numFmtId="0" fontId="95" fillId="5" borderId="49" xfId="103" applyFont="1" applyFill="1" applyBorder="1" applyAlignment="1">
      <alignment horizontal="left" vertical="center" wrapText="1" indent="1"/>
    </xf>
    <xf numFmtId="0" fontId="95" fillId="5" borderId="50" xfId="103" applyFont="1" applyFill="1" applyBorder="1" applyAlignment="1">
      <alignment horizontal="left" vertical="center" wrapText="1" indent="1"/>
    </xf>
    <xf numFmtId="0" fontId="95" fillId="5" borderId="51" xfId="103" applyFont="1" applyFill="1" applyBorder="1" applyAlignment="1">
      <alignment horizontal="left" vertical="center" wrapText="1" indent="1"/>
    </xf>
    <xf numFmtId="0" fontId="95" fillId="0" borderId="49" xfId="103" applyFont="1" applyBorder="1" applyAlignment="1">
      <alignment horizontal="left" vertical="center" wrapText="1" indent="1"/>
    </xf>
    <xf numFmtId="0" fontId="95" fillId="0" borderId="50" xfId="103" applyFont="1" applyBorder="1" applyAlignment="1">
      <alignment horizontal="left" vertical="center" wrapText="1" indent="1"/>
    </xf>
    <xf numFmtId="0" fontId="95" fillId="0" borderId="51" xfId="103" applyFont="1" applyBorder="1" applyAlignment="1">
      <alignment horizontal="left" vertical="center" wrapText="1" indent="1"/>
    </xf>
    <xf numFmtId="0" fontId="80" fillId="67" borderId="242" xfId="103" applyFont="1" applyFill="1" applyBorder="1" applyAlignment="1">
      <alignment horizontal="right" vertical="center"/>
    </xf>
    <xf numFmtId="0" fontId="80" fillId="67" borderId="243" xfId="103" applyFont="1" applyFill="1" applyBorder="1" applyAlignment="1">
      <alignment horizontal="right" vertical="center"/>
    </xf>
    <xf numFmtId="0" fontId="80" fillId="67" borderId="244" xfId="103" applyFont="1" applyFill="1" applyBorder="1" applyAlignment="1">
      <alignment horizontal="right" vertical="center"/>
    </xf>
    <xf numFmtId="0" fontId="92" fillId="0" borderId="49" xfId="103" applyFont="1" applyBorder="1" applyAlignment="1">
      <alignment horizontal="left" vertical="center" wrapText="1" indent="1"/>
    </xf>
    <xf numFmtId="0" fontId="92" fillId="0" borderId="50" xfId="103" applyFont="1" applyBorder="1" applyAlignment="1">
      <alignment horizontal="left" vertical="center" wrapText="1" indent="1"/>
    </xf>
    <xf numFmtId="0" fontId="92" fillId="0" borderId="51" xfId="103" applyFont="1" applyBorder="1" applyAlignment="1">
      <alignment horizontal="left" vertical="center" wrapText="1" indent="1"/>
    </xf>
    <xf numFmtId="0" fontId="88" fillId="6" borderId="230" xfId="103" applyFont="1" applyFill="1" applyBorder="1" applyAlignment="1">
      <alignment horizontal="left" vertical="center" indent="1"/>
    </xf>
    <xf numFmtId="0" fontId="88" fillId="6" borderId="0" xfId="103" applyFont="1" applyFill="1" applyAlignment="1">
      <alignment horizontal="left" vertical="center" indent="1"/>
    </xf>
    <xf numFmtId="0" fontId="88" fillId="11" borderId="230" xfId="103" applyFont="1" applyFill="1" applyBorder="1" applyAlignment="1">
      <alignment horizontal="left" vertical="center" indent="1"/>
    </xf>
    <xf numFmtId="0" fontId="88" fillId="11" borderId="0" xfId="103" applyFont="1" applyFill="1" applyAlignment="1">
      <alignment horizontal="left" vertical="center" indent="1"/>
    </xf>
    <xf numFmtId="0" fontId="91" fillId="5" borderId="325" xfId="103" applyFont="1" applyFill="1" applyBorder="1" applyAlignment="1">
      <alignment horizontal="center" vertical="center"/>
    </xf>
    <xf numFmtId="0" fontId="91" fillId="5" borderId="139" xfId="103" applyFont="1" applyFill="1" applyBorder="1" applyAlignment="1">
      <alignment horizontal="center" vertical="center"/>
    </xf>
    <xf numFmtId="167" fontId="32" fillId="0" borderId="24" xfId="217" applyNumberFormat="1" applyBorder="1" applyAlignment="1">
      <alignment horizontal="center" vertical="center" wrapText="1"/>
    </xf>
    <xf numFmtId="167" fontId="32" fillId="0" borderId="25" xfId="217" applyNumberFormat="1" applyBorder="1" applyAlignment="1">
      <alignment horizontal="center" vertical="center" wrapText="1"/>
    </xf>
    <xf numFmtId="167" fontId="155" fillId="3" borderId="325" xfId="103" applyNumberFormat="1" applyFont="1" applyFill="1" applyBorder="1" applyAlignment="1">
      <alignment horizontal="center" vertical="center"/>
    </xf>
    <xf numFmtId="167" fontId="155" fillId="3" borderId="139" xfId="103" applyNumberFormat="1" applyFont="1" applyFill="1" applyBorder="1" applyAlignment="1">
      <alignment horizontal="center" vertical="center"/>
    </xf>
    <xf numFmtId="0" fontId="92" fillId="0" borderId="49" xfId="103" applyFont="1" applyBorder="1" applyAlignment="1">
      <alignment horizontal="center" vertical="center" wrapText="1"/>
    </xf>
    <xf numFmtId="0" fontId="92" fillId="0" borderId="50" xfId="103" applyFont="1" applyBorder="1" applyAlignment="1">
      <alignment horizontal="center" vertical="center" wrapText="1"/>
    </xf>
    <xf numFmtId="4" fontId="154" fillId="3" borderId="325" xfId="103" applyNumberFormat="1" applyFont="1" applyFill="1" applyBorder="1" applyAlignment="1">
      <alignment horizontal="right" vertical="center"/>
    </xf>
    <xf numFmtId="4" fontId="154" fillId="3" borderId="139" xfId="103" applyNumberFormat="1" applyFont="1" applyFill="1" applyBorder="1" applyAlignment="1">
      <alignment horizontal="right" vertical="center"/>
    </xf>
    <xf numFmtId="14" fontId="34" fillId="4" borderId="310" xfId="103" applyNumberFormat="1" applyFont="1" applyFill="1" applyBorder="1" applyAlignment="1">
      <alignment horizontal="center" vertical="center"/>
    </xf>
    <xf numFmtId="14" fontId="34" fillId="4" borderId="311" xfId="103" applyNumberFormat="1" applyFont="1" applyFill="1" applyBorder="1" applyAlignment="1">
      <alignment horizontal="center" vertical="center"/>
    </xf>
    <xf numFmtId="3" fontId="89" fillId="0" borderId="144" xfId="0" applyNumberFormat="1" applyFont="1" applyBorder="1" applyAlignment="1">
      <alignment horizontal="center" vertical="center" wrapText="1"/>
    </xf>
    <xf numFmtId="3" fontId="89" fillId="0" borderId="142" xfId="0" applyNumberFormat="1" applyFont="1" applyBorder="1" applyAlignment="1">
      <alignment horizontal="center" vertical="center" wrapText="1"/>
    </xf>
    <xf numFmtId="0" fontId="139" fillId="66" borderId="136" xfId="206" applyFont="1" applyFill="1" applyBorder="1" applyAlignment="1">
      <alignment horizontal="left"/>
    </xf>
    <xf numFmtId="0" fontId="139" fillId="66" borderId="137" xfId="206" applyFont="1" applyFill="1" applyBorder="1" applyAlignment="1">
      <alignment horizontal="left"/>
    </xf>
    <xf numFmtId="3" fontId="89" fillId="5" borderId="10" xfId="0" applyNumberFormat="1" applyFont="1" applyFill="1" applyBorder="1" applyAlignment="1">
      <alignment horizontal="center" vertical="center" wrapText="1"/>
    </xf>
    <xf numFmtId="3" fontId="89" fillId="5" borderId="142" xfId="0" applyNumberFormat="1" applyFont="1" applyFill="1" applyBorder="1" applyAlignment="1">
      <alignment horizontal="center" vertical="center" wrapText="1"/>
    </xf>
    <xf numFmtId="167" fontId="89" fillId="0" borderId="307" xfId="0" applyNumberFormat="1" applyFont="1" applyBorder="1" applyAlignment="1">
      <alignment horizontal="center" vertical="center" wrapText="1"/>
    </xf>
    <xf numFmtId="167" fontId="89" fillId="0" borderId="142" xfId="0" applyNumberFormat="1" applyFont="1" applyBorder="1" applyAlignment="1">
      <alignment horizontal="center" vertical="center" wrapText="1"/>
    </xf>
    <xf numFmtId="167" fontId="89" fillId="0" borderId="324" xfId="0" applyNumberFormat="1" applyFont="1" applyBorder="1" applyAlignment="1">
      <alignment horizontal="center" vertical="center" wrapText="1"/>
    </xf>
    <xf numFmtId="3" fontId="89" fillId="0" borderId="324" xfId="0" applyNumberFormat="1" applyFont="1" applyBorder="1" applyAlignment="1">
      <alignment horizontal="center" vertical="center" wrapText="1"/>
    </xf>
    <xf numFmtId="0" fontId="162" fillId="67" borderId="1" xfId="103" applyFont="1" applyFill="1" applyBorder="1" applyAlignment="1">
      <alignment horizontal="right" vertical="center"/>
    </xf>
    <xf numFmtId="0" fontId="162" fillId="67" borderId="9" xfId="103" applyFont="1" applyFill="1" applyBorder="1" applyAlignment="1">
      <alignment horizontal="right" vertical="center"/>
    </xf>
    <xf numFmtId="0" fontId="162" fillId="67" borderId="14" xfId="103" applyFont="1" applyFill="1" applyBorder="1" applyAlignment="1">
      <alignment horizontal="right" vertical="center"/>
    </xf>
    <xf numFmtId="0" fontId="88" fillId="4" borderId="21" xfId="103" applyFont="1" applyFill="1" applyBorder="1" applyAlignment="1">
      <alignment horizontal="left" vertical="center" indent="1"/>
    </xf>
    <xf numFmtId="0" fontId="53" fillId="4" borderId="21" xfId="103" applyFont="1" applyFill="1" applyBorder="1" applyAlignment="1">
      <alignment horizontal="left" vertical="center" indent="1"/>
    </xf>
    <xf numFmtId="0" fontId="88" fillId="4" borderId="0" xfId="103" applyFont="1" applyFill="1" applyAlignment="1">
      <alignment horizontal="left" vertical="center" indent="1"/>
    </xf>
    <xf numFmtId="0" fontId="53" fillId="4" borderId="0" xfId="103" applyFont="1" applyFill="1" applyAlignment="1">
      <alignment horizontal="left" vertical="center" indent="1"/>
    </xf>
    <xf numFmtId="0" fontId="161" fillId="67" borderId="17" xfId="103" applyFont="1" applyFill="1" applyBorder="1" applyAlignment="1">
      <alignment horizontal="right" vertical="center"/>
    </xf>
    <xf numFmtId="0" fontId="161" fillId="67" borderId="9" xfId="103" applyFont="1" applyFill="1" applyBorder="1" applyAlignment="1">
      <alignment horizontal="right" vertical="center"/>
    </xf>
    <xf numFmtId="0" fontId="161" fillId="67" borderId="14" xfId="103" applyFont="1" applyFill="1" applyBorder="1" applyAlignment="1">
      <alignment horizontal="right" vertical="center"/>
    </xf>
    <xf numFmtId="0" fontId="54" fillId="67" borderId="57" xfId="0" applyFont="1" applyFill="1" applyBorder="1" applyAlignment="1">
      <alignment horizontal="center" vertical="center"/>
    </xf>
    <xf numFmtId="0" fontId="108" fillId="67" borderId="58" xfId="0" applyFont="1" applyFill="1" applyBorder="1" applyAlignment="1">
      <alignment horizontal="center" vertical="center"/>
    </xf>
    <xf numFmtId="0" fontId="108" fillId="67" borderId="59" xfId="0" applyFont="1" applyFill="1" applyBorder="1" applyAlignment="1">
      <alignment horizontal="center" vertical="center"/>
    </xf>
    <xf numFmtId="0" fontId="54" fillId="67" borderId="86" xfId="0" applyFont="1" applyFill="1" applyBorder="1" applyAlignment="1">
      <alignment horizontal="center" vertical="center"/>
    </xf>
    <xf numFmtId="0" fontId="108" fillId="67" borderId="87" xfId="0" applyFont="1" applyFill="1" applyBorder="1" applyAlignment="1">
      <alignment horizontal="center" vertical="center"/>
    </xf>
    <xf numFmtId="0" fontId="108" fillId="67" borderId="92" xfId="0" applyFont="1" applyFill="1" applyBorder="1" applyAlignment="1">
      <alignment horizontal="center" vertical="center"/>
    </xf>
    <xf numFmtId="0" fontId="115" fillId="0" borderId="109" xfId="229" applyFont="1" applyBorder="1" applyAlignment="1">
      <alignment vertical="center" wrapText="1"/>
    </xf>
    <xf numFmtId="0" fontId="115" fillId="0" borderId="110" xfId="229" applyFont="1" applyBorder="1" applyAlignment="1">
      <alignment vertical="center" wrapText="1"/>
    </xf>
    <xf numFmtId="0" fontId="115" fillId="0" borderId="147" xfId="229" applyFont="1" applyBorder="1" applyAlignment="1">
      <alignment vertical="center" wrapText="1"/>
    </xf>
    <xf numFmtId="14" fontId="115" fillId="0" borderId="299" xfId="229" applyNumberFormat="1" applyFont="1" applyBorder="1" applyAlignment="1">
      <alignment horizontal="left" vertical="center" wrapText="1"/>
    </xf>
    <xf numFmtId="0" fontId="115" fillId="0" borderId="299" xfId="229" applyFont="1" applyBorder="1" applyAlignment="1">
      <alignment horizontal="left" vertical="center" wrapText="1"/>
    </xf>
    <xf numFmtId="0" fontId="115" fillId="0" borderId="73" xfId="97" applyFont="1" applyBorder="1" applyAlignment="1">
      <alignment horizontal="left" vertical="center" wrapText="1"/>
    </xf>
    <xf numFmtId="0" fontId="115" fillId="0" borderId="75" xfId="97" applyFont="1" applyBorder="1" applyAlignment="1">
      <alignment horizontal="left" vertical="center" wrapText="1"/>
    </xf>
    <xf numFmtId="0" fontId="115" fillId="0" borderId="299" xfId="229" applyFont="1" applyBorder="1" applyAlignment="1">
      <alignment vertical="center" wrapText="1"/>
    </xf>
    <xf numFmtId="0" fontId="115" fillId="0" borderId="304" xfId="229" applyFont="1" applyBorder="1" applyAlignment="1">
      <alignment vertical="center" wrapText="1"/>
    </xf>
    <xf numFmtId="0" fontId="115" fillId="0" borderId="305" xfId="229" applyFont="1" applyBorder="1" applyAlignment="1">
      <alignment vertical="center" wrapText="1"/>
    </xf>
    <xf numFmtId="0" fontId="115" fillId="0" borderId="300" xfId="229" applyFont="1" applyBorder="1" applyAlignment="1">
      <alignment vertical="center" wrapText="1"/>
    </xf>
    <xf numFmtId="0" fontId="115" fillId="0" borderId="301" xfId="229" applyFont="1" applyBorder="1" applyAlignment="1">
      <alignment vertical="center" wrapText="1"/>
    </xf>
    <xf numFmtId="0" fontId="139" fillId="66" borderId="288" xfId="103" applyFont="1" applyFill="1" applyBorder="1" applyAlignment="1">
      <alignment horizontal="left" vertical="center"/>
    </xf>
    <xf numFmtId="0" fontId="139" fillId="66" borderId="334" xfId="103" applyFont="1" applyFill="1" applyBorder="1" applyAlignment="1">
      <alignment horizontal="left" vertical="center"/>
    </xf>
    <xf numFmtId="0" fontId="34" fillId="67" borderId="352" xfId="0" applyFont="1" applyFill="1" applyBorder="1" applyAlignment="1">
      <alignment horizontal="center" vertical="center" wrapText="1"/>
    </xf>
    <xf numFmtId="0" fontId="34" fillId="67" borderId="353" xfId="0" applyFont="1" applyFill="1" applyBorder="1" applyAlignment="1">
      <alignment horizontal="center" vertical="center" wrapText="1"/>
    </xf>
    <xf numFmtId="0" fontId="34" fillId="67" borderId="15" xfId="0" applyFont="1" applyFill="1" applyBorder="1" applyAlignment="1">
      <alignment horizontal="center" vertical="center" wrapText="1"/>
    </xf>
    <xf numFmtId="0" fontId="34" fillId="67" borderId="29" xfId="0" applyFont="1" applyFill="1" applyBorder="1" applyAlignment="1">
      <alignment horizontal="center" vertical="center" wrapText="1"/>
    </xf>
    <xf numFmtId="14" fontId="34" fillId="6" borderId="108" xfId="0" applyNumberFormat="1" applyFont="1" applyFill="1" applyBorder="1" applyAlignment="1">
      <alignment horizontal="center" vertical="center"/>
    </xf>
    <xf numFmtId="14" fontId="34" fillId="6" borderId="110" xfId="0" applyNumberFormat="1" applyFont="1" applyFill="1" applyBorder="1" applyAlignment="1">
      <alignment horizontal="center" vertical="center"/>
    </xf>
    <xf numFmtId="14" fontId="97" fillId="0" borderId="354" xfId="228" applyNumberFormat="1" applyFont="1" applyBorder="1" applyAlignment="1">
      <alignment horizontal="center" vertical="center"/>
    </xf>
    <xf numFmtId="14" fontId="97" fillId="0" borderId="362" xfId="228" applyNumberFormat="1" applyFont="1" applyBorder="1" applyAlignment="1">
      <alignment horizontal="center" vertical="center"/>
    </xf>
    <xf numFmtId="0" fontId="166" fillId="0" borderId="326" xfId="234" applyFont="1" applyBorder="1"/>
    <xf numFmtId="0" fontId="34" fillId="0" borderId="289" xfId="234" applyFont="1" applyBorder="1" applyAlignment="1">
      <alignment vertical="center"/>
    </xf>
    <xf numFmtId="0" fontId="32" fillId="0" borderId="242" xfId="234" applyBorder="1" applyAlignment="1">
      <alignment horizontal="center" vertical="center"/>
    </xf>
    <xf numFmtId="0" fontId="32" fillId="0" borderId="244" xfId="234" applyBorder="1" applyAlignment="1">
      <alignment horizontal="center" vertical="center"/>
    </xf>
    <xf numFmtId="0" fontId="34" fillId="0" borderId="242" xfId="234" applyFont="1" applyBorder="1" applyAlignment="1">
      <alignment vertical="center"/>
    </xf>
    <xf numFmtId="0" fontId="34" fillId="0" borderId="243" xfId="234" applyFont="1" applyBorder="1" applyAlignment="1">
      <alignment vertical="center"/>
    </xf>
    <xf numFmtId="0" fontId="34" fillId="0" borderId="244" xfId="234" applyFont="1" applyBorder="1" applyAlignment="1">
      <alignment vertical="center"/>
    </xf>
    <xf numFmtId="4" fontId="32" fillId="0" borderId="10" xfId="215" applyNumberFormat="1" applyFont="1" applyBorder="1" applyAlignment="1">
      <alignment horizontal="center" vertical="center" wrapText="1"/>
    </xf>
    <xf numFmtId="4" fontId="32" fillId="0" borderId="152" xfId="215" applyNumberFormat="1" applyFont="1" applyBorder="1" applyAlignment="1">
      <alignment horizontal="center" vertical="center" wrapText="1"/>
    </xf>
    <xf numFmtId="4" fontId="32" fillId="0" borderId="20" xfId="207" applyNumberFormat="1" applyBorder="1" applyAlignment="1">
      <alignment horizontal="center" vertical="center" wrapText="1"/>
    </xf>
    <xf numFmtId="4" fontId="32" fillId="0" borderId="29" xfId="207" applyNumberFormat="1" applyBorder="1" applyAlignment="1">
      <alignment horizontal="center" vertical="center" wrapText="1"/>
    </xf>
    <xf numFmtId="14" fontId="32" fillId="0" borderId="10" xfId="207" applyNumberFormat="1" applyBorder="1" applyAlignment="1">
      <alignment horizontal="center" vertical="center" wrapText="1"/>
    </xf>
    <xf numFmtId="14" fontId="32" fillId="0" borderId="152" xfId="207" applyNumberFormat="1" applyBorder="1" applyAlignment="1">
      <alignment horizontal="center" vertical="center" wrapText="1"/>
    </xf>
    <xf numFmtId="14" fontId="32" fillId="0" borderId="149" xfId="207" applyNumberFormat="1" applyBorder="1" applyAlignment="1">
      <alignment horizontal="center" vertical="center" wrapText="1"/>
    </xf>
    <xf numFmtId="14" fontId="32" fillId="0" borderId="151" xfId="207" applyNumberFormat="1" applyBorder="1" applyAlignment="1">
      <alignment horizontal="center" vertical="center" wrapText="1"/>
    </xf>
    <xf numFmtId="49" fontId="32" fillId="0" borderId="10" xfId="207" applyNumberFormat="1" applyBorder="1" applyAlignment="1">
      <alignment horizontal="center" vertical="center" wrapText="1"/>
    </xf>
    <xf numFmtId="49" fontId="32" fillId="0" borderId="152" xfId="207" applyNumberFormat="1" applyBorder="1" applyAlignment="1">
      <alignment horizontal="center" vertical="center" wrapText="1"/>
    </xf>
    <xf numFmtId="4" fontId="32" fillId="0" borderId="10" xfId="207" applyNumberFormat="1" applyBorder="1" applyAlignment="1">
      <alignment horizontal="center" vertical="center" wrapText="1"/>
    </xf>
    <xf numFmtId="4" fontId="32" fillId="0" borderId="152" xfId="207" applyNumberFormat="1" applyBorder="1" applyAlignment="1">
      <alignment horizontal="center" vertical="center" wrapText="1"/>
    </xf>
    <xf numFmtId="4" fontId="32" fillId="0" borderId="24" xfId="207" applyNumberFormat="1" applyBorder="1" applyAlignment="1">
      <alignment horizontal="center" vertical="center" wrapText="1"/>
    </xf>
    <xf numFmtId="4" fontId="32" fillId="0" borderId="27" xfId="207" applyNumberFormat="1" applyBorder="1" applyAlignment="1">
      <alignment horizontal="center" vertical="center" wrapText="1"/>
    </xf>
    <xf numFmtId="3" fontId="32" fillId="0" borderId="10" xfId="207" applyNumberFormat="1" applyBorder="1" applyAlignment="1">
      <alignment horizontal="center" vertical="center" wrapText="1"/>
    </xf>
    <xf numFmtId="3" fontId="32" fillId="0" borderId="152" xfId="207" applyNumberFormat="1" applyBorder="1" applyAlignment="1">
      <alignment horizontal="center" vertical="center" wrapText="1"/>
    </xf>
    <xf numFmtId="14" fontId="32" fillId="0" borderId="332" xfId="207" applyNumberFormat="1" applyBorder="1" applyAlignment="1">
      <alignment horizontal="center" vertical="center" wrapText="1"/>
    </xf>
    <xf numFmtId="14" fontId="32" fillId="0" borderId="333" xfId="207" applyNumberFormat="1" applyBorder="1" applyAlignment="1">
      <alignment horizontal="center" vertical="center" wrapText="1"/>
    </xf>
    <xf numFmtId="4" fontId="32" fillId="0" borderId="268" xfId="207" applyNumberFormat="1" applyBorder="1" applyAlignment="1">
      <alignment horizontal="center" vertical="center" wrapText="1"/>
    </xf>
    <xf numFmtId="4" fontId="0" fillId="0" borderId="152" xfId="215" applyNumberFormat="1" applyFon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32" fillId="0" borderId="267" xfId="207" applyNumberFormat="1" applyBorder="1" applyAlignment="1">
      <alignment horizontal="center" vertical="center" wrapText="1"/>
    </xf>
    <xf numFmtId="4" fontId="32" fillId="0" borderId="265" xfId="207" applyNumberFormat="1" applyBorder="1" applyAlignment="1">
      <alignment horizontal="center" vertical="center" wrapText="1"/>
    </xf>
    <xf numFmtId="4" fontId="32" fillId="0" borderId="266" xfId="207" applyNumberFormat="1" applyBorder="1" applyAlignment="1">
      <alignment horizontal="center" vertical="center" wrapText="1"/>
    </xf>
    <xf numFmtId="14" fontId="166" fillId="0" borderId="15" xfId="207" applyNumberFormat="1" applyFont="1" applyBorder="1" applyAlignment="1">
      <alignment horizontal="center" vertical="center"/>
    </xf>
    <xf numFmtId="14" fontId="166" fillId="0" borderId="12" xfId="207" applyNumberFormat="1" applyFont="1" applyBorder="1" applyAlignment="1">
      <alignment horizontal="center" vertical="center"/>
    </xf>
    <xf numFmtId="14" fontId="166" fillId="0" borderId="29" xfId="207" applyNumberFormat="1" applyFont="1" applyBorder="1" applyAlignment="1">
      <alignment horizontal="center" vertical="center"/>
    </xf>
    <xf numFmtId="0" fontId="32" fillId="0" borderId="24" xfId="207" applyBorder="1" applyAlignment="1">
      <alignment horizontal="center" vertical="center" wrapText="1"/>
    </xf>
    <xf numFmtId="0" fontId="32"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32"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14" fontId="32" fillId="0" borderId="24" xfId="207" applyNumberFormat="1" applyBorder="1" applyAlignment="1">
      <alignment horizontal="center" vertical="center" wrapText="1"/>
    </xf>
    <xf numFmtId="14" fontId="32" fillId="0" borderId="27" xfId="207" applyNumberFormat="1" applyBorder="1" applyAlignment="1">
      <alignment horizontal="center" vertical="center" wrapText="1"/>
    </xf>
    <xf numFmtId="0" fontId="166" fillId="0" borderId="7" xfId="207" applyFont="1" applyBorder="1" applyAlignment="1">
      <alignment horizontal="center" vertical="center"/>
    </xf>
    <xf numFmtId="0" fontId="166" fillId="0" borderId="8" xfId="207" applyFont="1" applyBorder="1" applyAlignment="1">
      <alignment horizontal="center" vertical="center"/>
    </xf>
    <xf numFmtId="0" fontId="166" fillId="0" borderId="330" xfId="207" applyFont="1" applyBorder="1" applyAlignment="1">
      <alignment horizontal="center" vertical="center"/>
    </xf>
    <xf numFmtId="0" fontId="166"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32" fillId="0" borderId="269" xfId="207" applyNumberFormat="1" applyBorder="1" applyAlignment="1">
      <alignment horizontal="center" vertical="center" wrapText="1"/>
    </xf>
    <xf numFmtId="4" fontId="166" fillId="0" borderId="7" xfId="207" applyNumberFormat="1" applyFont="1" applyBorder="1" applyAlignment="1">
      <alignment horizontal="center" vertical="center"/>
    </xf>
    <xf numFmtId="4" fontId="166" fillId="0" borderId="8" xfId="207" applyNumberFormat="1" applyFont="1" applyBorder="1" applyAlignment="1">
      <alignment horizontal="center" vertical="center"/>
    </xf>
    <xf numFmtId="4" fontId="166" fillId="0" borderId="11" xfId="207" applyNumberFormat="1" applyFont="1" applyBorder="1" applyAlignment="1">
      <alignment horizontal="center" vertical="center"/>
    </xf>
    <xf numFmtId="4" fontId="32" fillId="0" borderId="272" xfId="207" applyNumberFormat="1" applyBorder="1" applyAlignment="1">
      <alignment horizontal="center" vertical="center" wrapText="1"/>
    </xf>
    <xf numFmtId="14" fontId="32" fillId="0" borderId="19" xfId="207" applyNumberFormat="1" applyBorder="1" applyAlignment="1">
      <alignment horizontal="center" vertical="center" wrapText="1"/>
    </xf>
    <xf numFmtId="14" fontId="32" fillId="0" borderId="15" xfId="207" applyNumberFormat="1" applyBorder="1" applyAlignment="1">
      <alignment horizontal="center" vertical="center" wrapText="1"/>
    </xf>
    <xf numFmtId="4" fontId="112" fillId="67" borderId="0" xfId="102" applyNumberFormat="1" applyFont="1" applyFill="1" applyAlignment="1">
      <alignment horizontal="left" vertical="center" wrapText="1"/>
    </xf>
    <xf numFmtId="4" fontId="112" fillId="67" borderId="0" xfId="102" applyNumberFormat="1" applyFont="1" applyFill="1" applyAlignment="1">
      <alignment horizontal="left" vertical="center"/>
    </xf>
    <xf numFmtId="4" fontId="70" fillId="0" borderId="121" xfId="102" applyNumberFormat="1" applyFont="1" applyBorder="1" applyAlignment="1">
      <alignment horizontal="left" vertical="center" wrapText="1"/>
    </xf>
    <xf numFmtId="4" fontId="70" fillId="0" borderId="122" xfId="102" applyNumberFormat="1" applyFont="1" applyBorder="1" applyAlignment="1">
      <alignment horizontal="left" vertical="center" wrapText="1"/>
    </xf>
    <xf numFmtId="0" fontId="72" fillId="77" borderId="348" xfId="0" applyFont="1" applyFill="1" applyBorder="1" applyAlignment="1">
      <alignment horizontal="center" vertical="center"/>
    </xf>
    <xf numFmtId="0" fontId="72" fillId="77" borderId="126" xfId="0" applyFont="1" applyFill="1" applyBorder="1" applyAlignment="1">
      <alignment horizontal="center" vertical="center"/>
    </xf>
    <xf numFmtId="0" fontId="56" fillId="9" borderId="116" xfId="103" applyFont="1" applyFill="1" applyBorder="1" applyAlignment="1">
      <alignment horizontal="left" vertical="center"/>
    </xf>
    <xf numFmtId="0" fontId="56" fillId="9" borderId="117" xfId="103" applyFont="1" applyFill="1" applyBorder="1" applyAlignment="1">
      <alignment horizontal="left" vertical="center"/>
    </xf>
    <xf numFmtId="2" fontId="34" fillId="0" borderId="295" xfId="103" applyNumberFormat="1" applyFont="1" applyBorder="1" applyAlignment="1">
      <alignment vertical="center"/>
    </xf>
    <xf numFmtId="14" fontId="34" fillId="0" borderId="289" xfId="103" applyNumberFormat="1" applyFont="1" applyBorder="1" applyAlignment="1">
      <alignment vertical="center"/>
    </xf>
    <xf numFmtId="14" fontId="34" fillId="0" borderId="289" xfId="103" applyNumberFormat="1" applyFont="1" applyBorder="1"/>
    <xf numFmtId="14" fontId="34" fillId="0" borderId="289" xfId="103" applyNumberFormat="1" applyFont="1" applyBorder="1" applyAlignment="1">
      <alignment horizontal="left"/>
    </xf>
    <xf numFmtId="14" fontId="34" fillId="5" borderId="289" xfId="103" applyNumberFormat="1" applyFont="1" applyFill="1" applyBorder="1" applyAlignment="1">
      <alignment vertical="center"/>
    </xf>
    <xf numFmtId="0" fontId="32" fillId="0" borderId="0" xfId="97" applyFont="1" applyAlignment="1">
      <alignment horizontal="right"/>
    </xf>
  </cellXfs>
  <cellStyles count="46162">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鹎%U龡&amp;H?_x0008__x001c__x001c_?_x0007__x0001__x0001_ 3" xfId="241" xr:uid="{281E1C95-2451-49AB-B95E-4088E71BE515}"/>
    <cellStyle name="?鹎%U龡&amp;H?_x0008__x001c__x001c_?_x0007__x0001__x0001__FCT CALF" xfId="242" xr:uid="{17112490-1E79-4399-BA6A-71468552FA0B}"/>
    <cellStyle name="_Bond Profile Data Control" xfId="243" xr:uid="{48CB4313-6EC8-44EE-B7ED-3BAD6D78F7C7}"/>
    <cellStyle name="_Data Control" xfId="244" xr:uid="{01150FEC-F3D1-4938-BC7A-2CDBCB82D7F0}"/>
    <cellStyle name="_reporting 2008 Avoirs Fixe Globaux" xfId="245" xr:uid="{23E1C2E3-E1CA-4670-A1F3-81169E098896}"/>
    <cellStyle name="_Table" xfId="246" xr:uid="{A0979BB3-5C23-4A9D-9480-C7701953C49F}"/>
    <cellStyle name="_Table 2" xfId="247" xr:uid="{88E95A18-AD60-46DF-A04F-210D81385D2A}"/>
    <cellStyle name="_Table 2 2" xfId="248" xr:uid="{1B42309F-BF5E-428E-A72D-BBCB91A44D7E}"/>
    <cellStyle name="_Table 2 2 2" xfId="249" xr:uid="{C93F8F89-D658-4C99-9E0C-48AE35B06C70}"/>
    <cellStyle name="_Table 2 2 2 2" xfId="250" xr:uid="{516A93A2-3CBD-4338-9DA7-12235A0ABC2D}"/>
    <cellStyle name="_Table 2 3" xfId="251" xr:uid="{413C8FFC-7F8F-4563-BD7C-164977B323BA}"/>
    <cellStyle name="_Table 2 3 2" xfId="252" xr:uid="{D165BEEB-CFA9-4DCD-8604-F846F5D37A37}"/>
    <cellStyle name="_Table 3" xfId="253" xr:uid="{0C7A55BC-2409-4927-8C41-A8CF55D19E52}"/>
    <cellStyle name="_Table 3 2" xfId="254" xr:uid="{05F78402-EE4F-4B2C-B773-7FBABC5BE9DE}"/>
    <cellStyle name="_Table 3 2 2" xfId="255" xr:uid="{548BFE9F-F186-4CE6-816D-539B8358BFAA}"/>
    <cellStyle name="_Table 4" xfId="256" xr:uid="{DC22542C-CBC4-4BCA-A15F-473E12274607}"/>
    <cellStyle name="_Table 4 2" xfId="257" xr:uid="{92A243EC-D9EF-4310-B172-BE6981FA7F5C}"/>
    <cellStyle name="_TableHead" xfId="258" xr:uid="{A25EB08C-BFBF-441F-9F8E-B6FBC68F04AF}"/>
    <cellStyle name="£ BP" xfId="259" xr:uid="{A579424F-7659-428C-A33A-A9C21262EB3F}"/>
    <cellStyle name="¥ JY" xfId="260" xr:uid="{67EC6F6D-70C0-42E2-9991-4ADAEF34E4D9}"/>
    <cellStyle name="20 % - Accent1 2" xfId="261" xr:uid="{22CECB85-47C9-4C11-B71B-CD3F75B39A67}"/>
    <cellStyle name="20 % - Accent1 3" xfId="262" xr:uid="{DC15FB1B-2982-407C-8CD9-AB47F13E159B}"/>
    <cellStyle name="20 % - Accent2 2" xfId="263" xr:uid="{C5499F7D-E79A-46B3-8884-6165E5F4115C}"/>
    <cellStyle name="20 % - Accent2 3" xfId="264" xr:uid="{A1382C3B-378E-450F-A2D7-A060FCC1F025}"/>
    <cellStyle name="20 % - Accent3 2" xfId="265" xr:uid="{611FBC93-4651-4CCE-9655-24C892764DEB}"/>
    <cellStyle name="20 % - Accent3 3" xfId="266" xr:uid="{FC02CB05-33BC-4839-AD13-1F575C53D45F}"/>
    <cellStyle name="20 % - Accent4 2" xfId="267" xr:uid="{4DFDC918-B9B8-42D8-8F88-26C6F6D80612}"/>
    <cellStyle name="20 % - Accent4 3" xfId="268" xr:uid="{0CA32AF9-2CD5-47B4-8187-22D82AD8E3DA}"/>
    <cellStyle name="20 % - Accent5 2" xfId="269" xr:uid="{93BF318B-95EC-4030-8CC2-188FA772DB7F}"/>
    <cellStyle name="20 % - Accent5 3" xfId="270" xr:uid="{FB676C5F-1DE6-4F59-A298-B285DDCFE420}"/>
    <cellStyle name="20 % - Accent6 2" xfId="271" xr:uid="{9B23ECC2-74BA-4779-881F-087AC3FEE5CA}"/>
    <cellStyle name="20 % - Accent6 3" xfId="272" xr:uid="{79457B4A-1CA5-4DAE-BB10-912D8E7005FE}"/>
    <cellStyle name="20% - Accent1" xfId="129" builtinId="30" customBuiltin="1"/>
    <cellStyle name="20% - Accent1 10" xfId="274" xr:uid="{818309A1-6829-40EF-B26B-29A1EFED2EC5}"/>
    <cellStyle name="20% - Accent1 11" xfId="275" xr:uid="{8F933C83-6E7F-4CA5-AE89-E0717B73F0AA}"/>
    <cellStyle name="20% - Accent1 12" xfId="276" xr:uid="{DBC8B7E8-0E3A-45B9-AB61-E89BF2BACF8D}"/>
    <cellStyle name="20% - Accent1 13" xfId="277" xr:uid="{50A8E2CF-5A0F-4D9B-A656-667D6061CB97}"/>
    <cellStyle name="20% - Accent1 14" xfId="278" xr:uid="{8634BB77-2880-4C13-BE5E-E0C0F6EC050E}"/>
    <cellStyle name="20% - Accent1 15" xfId="279" xr:uid="{36032A74-D361-4275-9B30-514F3313B63E}"/>
    <cellStyle name="20% - Accent1 16" xfId="280" xr:uid="{4133DCCF-D038-497F-9E25-C2F656549529}"/>
    <cellStyle name="20% - Accent1 17" xfId="281" xr:uid="{AB475AE6-99BA-4392-93F9-76E84056DF48}"/>
    <cellStyle name="20% - Accent1 18" xfId="282" xr:uid="{C58A9BE4-10B8-4630-96C0-C34E6F12B92F}"/>
    <cellStyle name="20% - Accent1 19" xfId="283" xr:uid="{1978CAE1-D65B-469F-AF56-1E355B0253B8}"/>
    <cellStyle name="20% - Accent1 2" xfId="160" xr:uid="{26C05A4B-6AEF-4FFA-B666-A03F23CB775E}"/>
    <cellStyle name="20% - Accent1 2 2" xfId="285" xr:uid="{41766C5E-06C1-44DD-BA06-43EB985C0589}"/>
    <cellStyle name="20% - Accent1 2 2 2" xfId="286" xr:uid="{FB768481-50BD-43A9-BD5B-C1941DBFAC80}"/>
    <cellStyle name="20% - Accent1 2 2 2 2" xfId="287" xr:uid="{DE9DA7D9-EBC9-401B-A2F3-E74BEE7E9F0B}"/>
    <cellStyle name="20% - Accent1 2 2 3" xfId="288" xr:uid="{D6441D15-F4CC-4026-AB8B-1A7589ED26D9}"/>
    <cellStyle name="20% - Accent1 2 3" xfId="289" xr:uid="{AA94F8F1-D5B8-4D51-83F4-0711BF1DE68A}"/>
    <cellStyle name="20% - Accent1 2 3 2" xfId="290" xr:uid="{E024057E-4006-4A21-ACEA-15E428895505}"/>
    <cellStyle name="20% - Accent1 2 3 2 2" xfId="291" xr:uid="{B7F977AB-4EFB-4912-9998-E2D513CAB43E}"/>
    <cellStyle name="20% - Accent1 2 3 3" xfId="292" xr:uid="{316C42C7-77AA-4025-886D-9CE0461C161C}"/>
    <cellStyle name="20% - Accent1 2 4" xfId="293" xr:uid="{AAD4944E-F553-44C4-8381-E4D7D071233D}"/>
    <cellStyle name="20% - Accent1 2 4 2" xfId="294" xr:uid="{22691A38-FFB6-484C-A554-CD349EF981A1}"/>
    <cellStyle name="20% - Accent1 2 4 2 2" xfId="295" xr:uid="{7D159285-93EA-473C-8BB3-A86F0066B976}"/>
    <cellStyle name="20% - Accent1 2 4 3" xfId="296" xr:uid="{78A03CD4-54A7-4762-AE19-F079ADDB694A}"/>
    <cellStyle name="20% - Accent1 2 5" xfId="297" xr:uid="{38143B1B-95B6-491F-A969-8A05F952D02F}"/>
    <cellStyle name="20% - Accent1 2 5 2" xfId="298" xr:uid="{6FB5D041-6B40-4484-9500-37118D5A5AEA}"/>
    <cellStyle name="20% - Accent1 2 5 2 2" xfId="299" xr:uid="{CD4C9034-03A3-4CD9-B6E6-98362F7567CB}"/>
    <cellStyle name="20% - Accent1 2 5 3" xfId="300" xr:uid="{C37ACC80-2DFA-4BE1-870D-EA2F0492F28F}"/>
    <cellStyle name="20% - Accent1 2 6" xfId="301" xr:uid="{470648EA-986D-4F9A-9528-4B66DC59B484}"/>
    <cellStyle name="20% - Accent1 2 6 2" xfId="302" xr:uid="{64FFAA59-E206-4765-8AE5-9CDA20C3BC21}"/>
    <cellStyle name="20% - Accent1 2 6 2 2" xfId="303" xr:uid="{CB5E5EFB-6614-4771-9A71-786E3B41F326}"/>
    <cellStyle name="20% - Accent1 2 6 3" xfId="304" xr:uid="{AC695FF0-986C-48AD-A2C5-E862CC4CCFA7}"/>
    <cellStyle name="20% - Accent1 2 7" xfId="305" xr:uid="{A711AC78-2A37-4E37-A6F8-60BDDD44BEA1}"/>
    <cellStyle name="20% - Accent1 2 7 2" xfId="306" xr:uid="{F77F84CC-4153-48BA-A023-A46DA8B0CF28}"/>
    <cellStyle name="20% - Accent1 2 7 2 2" xfId="307" xr:uid="{2C35DF09-7C9D-43EC-9EFC-52563CEA0084}"/>
    <cellStyle name="20% - Accent1 2 7 3" xfId="308" xr:uid="{7BCC5F07-93BA-4854-81D3-7DCB7D05A37A}"/>
    <cellStyle name="20% - Accent1 2 8" xfId="284" xr:uid="{9C240AD9-38AD-45E5-AAAB-C3984438BF0D}"/>
    <cellStyle name="20% - Accent1 20" xfId="309" xr:uid="{F9B4D9C8-86D5-428F-8C14-3A1879C63598}"/>
    <cellStyle name="20% - Accent1 21" xfId="310" xr:uid="{D1B95E40-8525-4F3E-B84D-62039CEFC4F7}"/>
    <cellStyle name="20% - Accent1 22" xfId="311" xr:uid="{72EF0CA7-B7B5-4830-80AC-5E200A567475}"/>
    <cellStyle name="20% - Accent1 23" xfId="312" xr:uid="{0C2F31F7-656D-4D0E-8EB4-CE71A7222746}"/>
    <cellStyle name="20% - Accent1 24" xfId="313" xr:uid="{79DFF574-0320-4D79-884D-AF2356FE20D0}"/>
    <cellStyle name="20% - Accent1 25" xfId="314" xr:uid="{51821A6C-3EA1-4E6E-8E49-DF9EE3B78594}"/>
    <cellStyle name="20% - Accent1 26" xfId="315" xr:uid="{9E95DAF0-EF90-44E8-BFFB-A88A0C14BD88}"/>
    <cellStyle name="20% - Accent1 26 2" xfId="316" xr:uid="{C8ABF886-45BE-415D-B76A-3182C3384F3A}"/>
    <cellStyle name="20% - Accent1 27" xfId="317" xr:uid="{EF838F28-5A54-4E38-B2CF-5454E97595BC}"/>
    <cellStyle name="20% - Accent1 28" xfId="318" xr:uid="{63E84CDE-B23B-43FC-B3E4-02985195E1EA}"/>
    <cellStyle name="20% - Accent1 29" xfId="319" xr:uid="{7B2C113E-6779-495A-B4CE-6D729DE7EF92}"/>
    <cellStyle name="20% - Accent1 3" xfId="185" xr:uid="{3F94F705-5053-4C8D-AE04-098D339698A7}"/>
    <cellStyle name="20% - Accent1 3 2" xfId="321" xr:uid="{5D3ABBD6-DBEA-4EFE-835D-AD7C36C9A2C3}"/>
    <cellStyle name="20% - Accent1 3 2 2" xfId="322" xr:uid="{51B5E4AF-AE9C-41C0-B61C-2C940EAC9EB7}"/>
    <cellStyle name="20% - Accent1 3 2 2 2" xfId="323" xr:uid="{4D76844A-3910-4FF6-99DD-C4E2B95F1F67}"/>
    <cellStyle name="20% - Accent1 3 2 3" xfId="324" xr:uid="{D7B097B4-D584-488A-8A7D-3EE4A309D6DE}"/>
    <cellStyle name="20% - Accent1 3 3" xfId="325" xr:uid="{BC43844A-6CD1-4413-99C1-5401C169CCEA}"/>
    <cellStyle name="20% - Accent1 3 3 2" xfId="326" xr:uid="{5540BA43-FB05-4655-ABAD-327C82F5F7E2}"/>
    <cellStyle name="20% - Accent1 3 3 2 2" xfId="327" xr:uid="{219AEA12-3FEA-4C94-9CB7-DCCABA1A14E7}"/>
    <cellStyle name="20% - Accent1 3 3 3" xfId="328" xr:uid="{84CFA3CA-741D-4143-B949-6A48BC2EC339}"/>
    <cellStyle name="20% - Accent1 3 4" xfId="329" xr:uid="{CA2C5208-D789-4F57-A1EF-F8C23A34C563}"/>
    <cellStyle name="20% - Accent1 3 4 2" xfId="330" xr:uid="{988D7C20-B801-42BF-9B8B-AF852991D766}"/>
    <cellStyle name="20% - Accent1 3 4 2 2" xfId="331" xr:uid="{423D73E4-4466-4FD5-BECD-1CEEE2C5D5B4}"/>
    <cellStyle name="20% - Accent1 3 4 3" xfId="332" xr:uid="{D0A1720F-0AAB-4D65-855E-1C9A95C6A54A}"/>
    <cellStyle name="20% - Accent1 3 5" xfId="333" xr:uid="{98D2B97D-4BBC-472C-BD77-30397F679379}"/>
    <cellStyle name="20% - Accent1 3 5 2" xfId="334" xr:uid="{BD254B22-3985-4361-A0A3-33D7AEE1641B}"/>
    <cellStyle name="20% - Accent1 3 5 2 2" xfId="335" xr:uid="{F91976D4-4E18-40DF-B964-11AABCEA6EEE}"/>
    <cellStyle name="20% - Accent1 3 5 3" xfId="336" xr:uid="{B5DB2DDD-8535-4EEE-A0D2-DA97D64A6B45}"/>
    <cellStyle name="20% - Accent1 3 6" xfId="337" xr:uid="{E5962064-1A1C-4978-9866-15585826784B}"/>
    <cellStyle name="20% - Accent1 3 6 2" xfId="338" xr:uid="{CFE1E0F0-89DE-4B32-9BFA-855488C872D2}"/>
    <cellStyle name="20% - Accent1 3 6 2 2" xfId="339" xr:uid="{129F79E0-137E-45D4-9B2C-624A30FD7792}"/>
    <cellStyle name="20% - Accent1 3 6 3" xfId="340" xr:uid="{8157BCA8-7733-4AF6-B825-9140E7BD9E4D}"/>
    <cellStyle name="20% - Accent1 3 7" xfId="341" xr:uid="{D9A900A6-3A73-44AE-88A5-5A6999D7FC57}"/>
    <cellStyle name="20% - Accent1 3 7 2" xfId="342" xr:uid="{EA269750-4927-4F5A-A72F-5166206D2B07}"/>
    <cellStyle name="20% - Accent1 3 7 2 2" xfId="343" xr:uid="{8F694F5A-BB93-48D7-BB29-EF72B1E7BEDD}"/>
    <cellStyle name="20% - Accent1 3 7 3" xfId="344" xr:uid="{758B1699-9A61-4467-A193-4A563B1FACB2}"/>
    <cellStyle name="20% - Accent1 3 8" xfId="320" xr:uid="{66A5E763-1A80-4960-8BCD-E90FE3BA6209}"/>
    <cellStyle name="20% - Accent1 30" xfId="345" xr:uid="{58013B5B-14D2-4A30-94C7-E25FD7BE2706}"/>
    <cellStyle name="20% - Accent1 31" xfId="346" xr:uid="{F8F08888-A7F5-47A2-BB82-29AD8636D2DC}"/>
    <cellStyle name="20% - Accent1 32" xfId="347" xr:uid="{0BC094C2-F648-4E38-A6C1-75D261EFFBBA}"/>
    <cellStyle name="20% - Accent1 33" xfId="348" xr:uid="{DAA343FD-535F-426D-B149-291D73FE3EAF}"/>
    <cellStyle name="20% - Accent1 34" xfId="349" xr:uid="{3FA413E6-CF22-40A2-B636-9C2233186A2E}"/>
    <cellStyle name="20% - Accent1 35" xfId="273" xr:uid="{8C6934AE-9F35-4C2F-A07E-4994D50AED01}"/>
    <cellStyle name="20% - Accent1 4" xfId="350" xr:uid="{DB5FF7E2-51D6-4715-9C03-22D466DDACC4}"/>
    <cellStyle name="20% - Accent1 4 2" xfId="351" xr:uid="{4F38C67B-4067-42E1-8BDA-785EADC311DF}"/>
    <cellStyle name="20% - Accent1 4 2 2" xfId="352" xr:uid="{F77F28D0-567A-4B6F-837D-D18F6B392A8C}"/>
    <cellStyle name="20% - Accent1 4 2 2 2" xfId="353" xr:uid="{5260DE2E-64A0-4F8F-8C0F-87629098C977}"/>
    <cellStyle name="20% - Accent1 4 2 3" xfId="354" xr:uid="{91711308-20AC-4494-89E7-F8859AA480C0}"/>
    <cellStyle name="20% - Accent1 4 3" xfId="355" xr:uid="{9AD29D8F-A715-40A8-808A-5DE3EB2198C1}"/>
    <cellStyle name="20% - Accent1 4 3 2" xfId="356" xr:uid="{68F33A18-9FAC-44AA-99ED-56D7BFA80F01}"/>
    <cellStyle name="20% - Accent1 4 3 2 2" xfId="357" xr:uid="{D17375A7-32CA-48F6-89B3-EC5A1741FBDF}"/>
    <cellStyle name="20% - Accent1 4 3 3" xfId="358" xr:uid="{A09D0F8E-B951-4142-81ED-8762B1327C94}"/>
    <cellStyle name="20% - Accent1 4 4" xfId="359" xr:uid="{34E12BF2-8AA0-4549-98F0-CCF8E2D7091D}"/>
    <cellStyle name="20% - Accent1 4 4 2" xfId="360" xr:uid="{774FC0B3-645E-4FA0-B660-DCEF6AED5F00}"/>
    <cellStyle name="20% - Accent1 4 4 2 2" xfId="361" xr:uid="{547FE539-B800-456C-A70A-20D668A47606}"/>
    <cellStyle name="20% - Accent1 4 4 3" xfId="362" xr:uid="{096F0B80-0F1B-42E5-A0C1-1573056235B9}"/>
    <cellStyle name="20% - Accent1 4 5" xfId="363" xr:uid="{FA45C167-48C1-42D5-A919-916E40FE06CE}"/>
    <cellStyle name="20% - Accent1 4 5 2" xfId="364" xr:uid="{69B6CDC7-9314-4B5E-8071-4F5CEE225962}"/>
    <cellStyle name="20% - Accent1 4 5 2 2" xfId="365" xr:uid="{9AEB540C-CED3-4DA0-AEBF-AC7F238168FF}"/>
    <cellStyle name="20% - Accent1 4 5 3" xfId="366" xr:uid="{E19BE7D3-CF64-4F6F-8E45-0D58A24752D8}"/>
    <cellStyle name="20% - Accent1 4 6" xfId="367" xr:uid="{6044D8EF-7C3A-4D6F-8310-0FB58EE33069}"/>
    <cellStyle name="20% - Accent1 4 6 2" xfId="368" xr:uid="{96EAA85A-82BB-4A90-8071-DAF6024E1305}"/>
    <cellStyle name="20% - Accent1 4 6 2 2" xfId="369" xr:uid="{68562523-F40A-4A3B-89BE-703FD603FAD0}"/>
    <cellStyle name="20% - Accent1 4 6 3" xfId="370" xr:uid="{C7A76735-0916-425C-9970-CE55937EE6E2}"/>
    <cellStyle name="20% - Accent1 4 7" xfId="371" xr:uid="{035C5509-ACF9-4818-B8D5-E805DF16EC47}"/>
    <cellStyle name="20% - Accent1 4 7 2" xfId="372" xr:uid="{2D3D0E3B-46CB-484A-B2D3-41EB4D0A557E}"/>
    <cellStyle name="20% - Accent1 4 7 2 2" xfId="373" xr:uid="{329311D9-AA2B-4BEC-A442-AF5E5B159DA3}"/>
    <cellStyle name="20% - Accent1 4 7 3" xfId="374" xr:uid="{E9A8AA97-D4FD-4AF0-B114-A2F907F2D6E1}"/>
    <cellStyle name="20% - Accent1 5" xfId="375" xr:uid="{C05A2033-2912-4F80-899C-46E5A672690B}"/>
    <cellStyle name="20% - Accent1 5 2" xfId="376" xr:uid="{E4FD98DB-91AF-4D36-B6FF-7E990E6123F2}"/>
    <cellStyle name="20% - Accent1 5 2 2" xfId="377" xr:uid="{5A2DAE16-E5EA-4B99-A161-5919D5DAE3C6}"/>
    <cellStyle name="20% - Accent1 5 2 2 2" xfId="378" xr:uid="{6333B26B-4355-4C30-A5FC-A918ECB4F058}"/>
    <cellStyle name="20% - Accent1 5 2 3" xfId="379" xr:uid="{B773E776-7AAC-425B-A8AC-10FA0D826E41}"/>
    <cellStyle name="20% - Accent1 5 3" xfId="380" xr:uid="{A328548F-8DF1-4A41-B319-727798B71F05}"/>
    <cellStyle name="20% - Accent1 5 3 2" xfId="381" xr:uid="{B3EF0BC5-BE22-477B-AC6D-42826582B8F4}"/>
    <cellStyle name="20% - Accent1 5 3 2 2" xfId="382" xr:uid="{F642B226-D50F-468D-8470-55C0CEABCE25}"/>
    <cellStyle name="20% - Accent1 5 3 3" xfId="383" xr:uid="{BEEAC88E-1B1E-4506-BC8C-6806D1B8F1FB}"/>
    <cellStyle name="20% - Accent1 5 4" xfId="384" xr:uid="{69E43619-0F20-4B34-9456-CBB0E9BF1C0E}"/>
    <cellStyle name="20% - Accent1 5 4 2" xfId="385" xr:uid="{715DDBD5-616E-4E9F-87A1-ACE6CABB0FDC}"/>
    <cellStyle name="20% - Accent1 5 4 2 2" xfId="386" xr:uid="{B59CD111-93F7-477B-8178-D0A925955B6E}"/>
    <cellStyle name="20% - Accent1 5 4 3" xfId="387" xr:uid="{6D66BD52-2C84-4083-8F3D-FE07931BDB4D}"/>
    <cellStyle name="20% - Accent1 5 5" xfId="388" xr:uid="{F6856909-8465-4D26-A98C-9112BF37874A}"/>
    <cellStyle name="20% - Accent1 5 5 2" xfId="389" xr:uid="{4C5E12F0-3C6E-4B65-9F86-5CB4F39B86D5}"/>
    <cellStyle name="20% - Accent1 5 5 2 2" xfId="390" xr:uid="{72116F43-4094-4B5E-8A9C-F177DD30FEB6}"/>
    <cellStyle name="20% - Accent1 5 5 3" xfId="391" xr:uid="{6755EE38-D991-483F-8116-240EC14A5AED}"/>
    <cellStyle name="20% - Accent1 5 6" xfId="392" xr:uid="{39020A35-5FF0-43FB-8210-35012DEFFDE1}"/>
    <cellStyle name="20% - Accent1 5 6 2" xfId="393" xr:uid="{FC9CD82D-1844-48D0-85C2-602BEE5228B3}"/>
    <cellStyle name="20% - Accent1 5 6 2 2" xfId="394" xr:uid="{E31A00C6-9810-4B85-B6D9-FE975BAF77E6}"/>
    <cellStyle name="20% - Accent1 5 6 3" xfId="395" xr:uid="{9C0B97BA-244C-43C1-98AB-A44D9DD4CDA2}"/>
    <cellStyle name="20% - Accent1 5 7" xfId="396" xr:uid="{D47FE54B-A191-46C0-B750-3D076B03E170}"/>
    <cellStyle name="20% - Accent1 5 7 2" xfId="397" xr:uid="{89A6D4E9-C0B9-4F98-B313-5112444143FA}"/>
    <cellStyle name="20% - Accent1 5 7 2 2" xfId="398" xr:uid="{B15E6669-3C60-46E4-B588-B5D8C10C97C0}"/>
    <cellStyle name="20% - Accent1 5 7 3" xfId="399" xr:uid="{254B6B46-3552-4A1E-984A-2C8A3B34A5D4}"/>
    <cellStyle name="20% - Accent1 6" xfId="400" xr:uid="{D5D64681-F281-49F6-A006-33274893ABCB}"/>
    <cellStyle name="20% - Accent1 7" xfId="401" xr:uid="{515E30FE-5583-4899-8F54-132CBC9BCE6D}"/>
    <cellStyle name="20% - Accent1 8" xfId="402" xr:uid="{999547E0-BE04-4628-BB94-2FC7135C0A3D}"/>
    <cellStyle name="20% - Accent1 9" xfId="403" xr:uid="{7E1E0E32-68E5-4B13-A1F8-0A4293E106D0}"/>
    <cellStyle name="20% - Accent2" xfId="133" builtinId="34" customBuiltin="1"/>
    <cellStyle name="20% - Accent2 10" xfId="405" xr:uid="{886BFBA7-AFCF-4864-A503-4CDB1C77881F}"/>
    <cellStyle name="20% - Accent2 11" xfId="406" xr:uid="{09ED1DBF-51C7-4CA4-A792-073B02253C6B}"/>
    <cellStyle name="20% - Accent2 12" xfId="407" xr:uid="{11E071CD-93A9-44EC-8FEC-25D47D4D6412}"/>
    <cellStyle name="20% - Accent2 13" xfId="408" xr:uid="{D32BB20F-A47C-4A6E-BA7A-15147D7FDF4A}"/>
    <cellStyle name="20% - Accent2 14" xfId="409" xr:uid="{3F62F0D0-FF95-4E81-82BB-ECFFD1FD4ED2}"/>
    <cellStyle name="20% - Accent2 15" xfId="410" xr:uid="{AFB5DD32-B29B-4BB0-9EC3-926E74D2C86E}"/>
    <cellStyle name="20% - Accent2 16" xfId="411" xr:uid="{DBC5921E-9AE7-4FB6-9D45-8615BA9F3190}"/>
    <cellStyle name="20% - Accent2 17" xfId="412" xr:uid="{235B804F-9651-40B9-8113-896CDD25C3C5}"/>
    <cellStyle name="20% - Accent2 18" xfId="413" xr:uid="{7A3FF993-A047-4BED-829B-11D64A78737A}"/>
    <cellStyle name="20% - Accent2 19" xfId="414" xr:uid="{938C455B-DB30-41FC-9DFA-EB96F69D64FC}"/>
    <cellStyle name="20% - Accent2 2" xfId="163" xr:uid="{A06D72CE-4D72-4E13-A5CC-AD3996096FE3}"/>
    <cellStyle name="20% - Accent2 2 2" xfId="416" xr:uid="{0E06DC9F-BD19-40E1-9B57-D8B481F40EBD}"/>
    <cellStyle name="20% - Accent2 2 2 2" xfId="417" xr:uid="{1359342A-8858-4D70-A21A-DC698DE4694F}"/>
    <cellStyle name="20% - Accent2 2 2 2 2" xfId="418" xr:uid="{4EE075EB-5D0A-46F3-BADC-B7A07CBFBFE7}"/>
    <cellStyle name="20% - Accent2 2 2 3" xfId="419" xr:uid="{831DAC49-C619-4951-8E22-8BD47259EC7D}"/>
    <cellStyle name="20% - Accent2 2 3" xfId="420" xr:uid="{9E43877C-A7CA-4ED5-878F-3D15A4F50380}"/>
    <cellStyle name="20% - Accent2 2 3 2" xfId="421" xr:uid="{6178919F-B58F-4A67-B7A4-D2A9D039A1BE}"/>
    <cellStyle name="20% - Accent2 2 3 2 2" xfId="422" xr:uid="{9FE3B264-1D8F-4A50-BF96-B6245EF2FDB9}"/>
    <cellStyle name="20% - Accent2 2 3 3" xfId="423" xr:uid="{5D43E0D3-3100-47D6-9BAC-E3FEC259ADBD}"/>
    <cellStyle name="20% - Accent2 2 4" xfId="424" xr:uid="{3AF2CCFA-AC1D-4BFC-9D44-E9E1282541A0}"/>
    <cellStyle name="20% - Accent2 2 4 2" xfId="425" xr:uid="{0D5A12C4-40DA-46DD-A9CD-CF3DF1B835ED}"/>
    <cellStyle name="20% - Accent2 2 4 2 2" xfId="426" xr:uid="{5178E239-54B0-4B38-9849-0F46C3D920D8}"/>
    <cellStyle name="20% - Accent2 2 4 3" xfId="427" xr:uid="{C5CD59B5-425C-4E0D-B631-217B0C2C281B}"/>
    <cellStyle name="20% - Accent2 2 5" xfId="428" xr:uid="{3DFA7BFB-508E-49A4-9A57-8CA6595C9EE6}"/>
    <cellStyle name="20% - Accent2 2 5 2" xfId="429" xr:uid="{08BF9B43-C51D-473D-B410-B2F97918E462}"/>
    <cellStyle name="20% - Accent2 2 5 2 2" xfId="430" xr:uid="{E9234729-FF36-4A42-8F27-B4ECA0DED6C6}"/>
    <cellStyle name="20% - Accent2 2 5 3" xfId="431" xr:uid="{82B4F8A7-A655-4EC5-A1B6-9418950AE872}"/>
    <cellStyle name="20% - Accent2 2 6" xfId="432" xr:uid="{31FFA323-2102-428E-BF91-1C49148DFDE1}"/>
    <cellStyle name="20% - Accent2 2 6 2" xfId="433" xr:uid="{19D9F544-FA83-4828-B27E-C8AC50FDD5F8}"/>
    <cellStyle name="20% - Accent2 2 6 2 2" xfId="434" xr:uid="{35ABF196-D35D-4776-9CDE-C952A627DB8C}"/>
    <cellStyle name="20% - Accent2 2 6 3" xfId="435" xr:uid="{116BEBE0-5A1C-4E13-8D3C-D612D37157E9}"/>
    <cellStyle name="20% - Accent2 2 7" xfId="436" xr:uid="{8182E9AA-90D3-4C9C-B2ED-F10F8EA3B626}"/>
    <cellStyle name="20% - Accent2 2 7 2" xfId="437" xr:uid="{10E8748B-A3F6-4C0D-9D7B-A52C66893506}"/>
    <cellStyle name="20% - Accent2 2 7 2 2" xfId="438" xr:uid="{9F3AC978-A45C-4E8B-8A37-C05E9193C08C}"/>
    <cellStyle name="20% - Accent2 2 7 3" xfId="439" xr:uid="{62FDFA43-5E5C-4E35-94A8-BD0969954FA0}"/>
    <cellStyle name="20% - Accent2 2 8" xfId="415" xr:uid="{F5929D24-3334-49E5-9B75-1C3EEC161B47}"/>
    <cellStyle name="20% - Accent2 20" xfId="440" xr:uid="{7E4060F7-4BA1-479E-917F-54C60C8FC559}"/>
    <cellStyle name="20% - Accent2 21" xfId="441" xr:uid="{4625112F-2F32-49B3-AD5D-E5AD769607F2}"/>
    <cellStyle name="20% - Accent2 22" xfId="442" xr:uid="{E7BB6D84-DE25-4DCA-A311-7CBD78AEF990}"/>
    <cellStyle name="20% - Accent2 23" xfId="443" xr:uid="{45792356-D1FF-452A-92B8-C547E11E4B3D}"/>
    <cellStyle name="20% - Accent2 24" xfId="444" xr:uid="{AE7F68CE-E437-40B4-975D-A1540EC4244C}"/>
    <cellStyle name="20% - Accent2 25" xfId="445" xr:uid="{73DC8D26-4A55-448E-949D-31262C0BC7B7}"/>
    <cellStyle name="20% - Accent2 26" xfId="446" xr:uid="{C0BA96CD-B04C-4AA8-B778-DD09DCBFC896}"/>
    <cellStyle name="20% - Accent2 27" xfId="447" xr:uid="{3350E1D2-35E0-45B2-A89C-72800893C913}"/>
    <cellStyle name="20% - Accent2 28" xfId="448" xr:uid="{0D1F386C-E706-43DA-884F-E94CC728274D}"/>
    <cellStyle name="20% - Accent2 29" xfId="449" xr:uid="{E1A1BDFA-B663-4164-950F-8150A86EC601}"/>
    <cellStyle name="20% - Accent2 3" xfId="188" xr:uid="{E16C71A1-00A0-405C-8AA2-77A63AED2684}"/>
    <cellStyle name="20% - Accent2 3 2" xfId="451" xr:uid="{AFF617F1-0DD4-4D5E-9F75-5FE238100234}"/>
    <cellStyle name="20% - Accent2 3 2 2" xfId="452" xr:uid="{D74FA9AF-0516-4762-B856-C6F455991239}"/>
    <cellStyle name="20% - Accent2 3 2 2 2" xfId="453" xr:uid="{0E50B13E-7550-454D-AF67-0E4426DF711D}"/>
    <cellStyle name="20% - Accent2 3 2 3" xfId="454" xr:uid="{B401CC60-195F-4F35-BE3B-8DF91A20D1A7}"/>
    <cellStyle name="20% - Accent2 3 3" xfId="455" xr:uid="{126F97D7-F7FD-4765-B57C-AE8DDA6664D1}"/>
    <cellStyle name="20% - Accent2 3 3 2" xfId="456" xr:uid="{54C63692-636C-4278-920C-8781188FAB3A}"/>
    <cellStyle name="20% - Accent2 3 3 2 2" xfId="457" xr:uid="{07033694-F940-4257-B451-E35B14D08EF6}"/>
    <cellStyle name="20% - Accent2 3 3 3" xfId="458" xr:uid="{FDCE9F9F-B725-4D5A-96D7-A41C9B8EAC5C}"/>
    <cellStyle name="20% - Accent2 3 4" xfId="459" xr:uid="{3ABF4711-81AD-4D07-A74D-4B4FF8CFE5D2}"/>
    <cellStyle name="20% - Accent2 3 4 2" xfId="460" xr:uid="{093C793F-DF88-489B-945E-CEDBC3CBCE28}"/>
    <cellStyle name="20% - Accent2 3 4 2 2" xfId="461" xr:uid="{E6F6ABE0-A850-4C43-A6C1-73C04E41330B}"/>
    <cellStyle name="20% - Accent2 3 4 3" xfId="462" xr:uid="{BC599206-3660-4BC1-A923-C53954D9ED22}"/>
    <cellStyle name="20% - Accent2 3 5" xfId="463" xr:uid="{BEFFE727-F87A-4F74-BCB5-386E61BEBCC1}"/>
    <cellStyle name="20% - Accent2 3 5 2" xfId="464" xr:uid="{70BC4234-E2B4-4E0C-A581-91DAF24B6D8D}"/>
    <cellStyle name="20% - Accent2 3 5 2 2" xfId="465" xr:uid="{43B2BB64-0950-4932-BC39-838AF116EF44}"/>
    <cellStyle name="20% - Accent2 3 5 3" xfId="466" xr:uid="{9E06471E-D20B-4E0A-AF4F-EEC67EFE4E3F}"/>
    <cellStyle name="20% - Accent2 3 6" xfId="467" xr:uid="{4EFF4079-1553-498A-9D05-8D448E3DDEEB}"/>
    <cellStyle name="20% - Accent2 3 6 2" xfId="468" xr:uid="{09B310A0-2C1A-494B-BE75-4D56D995EDAF}"/>
    <cellStyle name="20% - Accent2 3 6 2 2" xfId="469" xr:uid="{0DE06D7C-87A3-4A80-818F-04CDCEC9F5B5}"/>
    <cellStyle name="20% - Accent2 3 6 3" xfId="470" xr:uid="{E23C3A92-0F98-4A2D-84EE-3A78A12FEF18}"/>
    <cellStyle name="20% - Accent2 3 7" xfId="471" xr:uid="{2DA24CCC-BA25-4E00-A21A-70451FC7F751}"/>
    <cellStyle name="20% - Accent2 3 7 2" xfId="472" xr:uid="{635EA874-35B2-42D7-87EF-6912E61D17E3}"/>
    <cellStyle name="20% - Accent2 3 7 2 2" xfId="473" xr:uid="{4091FB47-D98B-41EB-B8C9-CB414A9C02A1}"/>
    <cellStyle name="20% - Accent2 3 7 3" xfId="474" xr:uid="{52DC9982-7A1F-465D-8B98-54E7E6E308ED}"/>
    <cellStyle name="20% - Accent2 3 8" xfId="450" xr:uid="{84F228E4-77F3-4359-96B0-AA165A778565}"/>
    <cellStyle name="20% - Accent2 30" xfId="475" xr:uid="{5B9A3770-14F8-4F8B-96E2-23533AB37E8D}"/>
    <cellStyle name="20% - Accent2 31" xfId="476" xr:uid="{BF94858B-98F9-4C19-BDB8-5C74CF31EA19}"/>
    <cellStyle name="20% - Accent2 32" xfId="477" xr:uid="{A478BED4-9FC1-4115-B4A9-1E47F6BA3F4E}"/>
    <cellStyle name="20% - Accent2 33" xfId="478" xr:uid="{F33C26BD-DCBB-44BA-A748-11182C8C27E5}"/>
    <cellStyle name="20% - Accent2 34" xfId="479" xr:uid="{5AB67C89-3843-4588-BA87-F670ED6476CC}"/>
    <cellStyle name="20% - Accent2 35" xfId="404" xr:uid="{74604FC0-B610-4F56-9A7D-2A5ACCEF1F45}"/>
    <cellStyle name="20% - Accent2 4" xfId="480" xr:uid="{4CD267BD-5F70-4ECA-AD85-0B9ADCC9570D}"/>
    <cellStyle name="20% - Accent2 4 2" xfId="481" xr:uid="{1F96F674-7E5B-4A1E-9C43-28EAE670AF11}"/>
    <cellStyle name="20% - Accent2 4 2 2" xfId="482" xr:uid="{0902F5F0-6D9B-4229-B74F-DFD2DD63CE17}"/>
    <cellStyle name="20% - Accent2 4 2 2 2" xfId="483" xr:uid="{ABF8E16F-4A88-437B-A88B-F3684936A42C}"/>
    <cellStyle name="20% - Accent2 4 2 3" xfId="484" xr:uid="{E4536717-EF04-4FA4-B4FE-85B728649BC9}"/>
    <cellStyle name="20% - Accent2 4 3" xfId="485" xr:uid="{BE58F37F-371E-4374-AED6-4395115F7935}"/>
    <cellStyle name="20% - Accent2 4 3 2" xfId="486" xr:uid="{008C90AF-DDF2-4969-A43F-6DC6BC4D1F5D}"/>
    <cellStyle name="20% - Accent2 4 3 2 2" xfId="487" xr:uid="{69A17710-19CA-4C63-BB95-AABC69EE842E}"/>
    <cellStyle name="20% - Accent2 4 3 3" xfId="488" xr:uid="{51A33AAC-71E5-4AD7-BB33-A06F12176B76}"/>
    <cellStyle name="20% - Accent2 4 4" xfId="489" xr:uid="{81A04055-FE36-4EA7-B24B-DD081E60F410}"/>
    <cellStyle name="20% - Accent2 4 4 2" xfId="490" xr:uid="{13ED98DC-BB30-4600-BDBC-879C4EA8E93A}"/>
    <cellStyle name="20% - Accent2 4 4 2 2" xfId="491" xr:uid="{B4FC940F-C90B-4633-A1EB-DAA5BE32344C}"/>
    <cellStyle name="20% - Accent2 4 4 3" xfId="492" xr:uid="{96BB7041-72FB-424A-AB2C-FD765A6937E4}"/>
    <cellStyle name="20% - Accent2 4 5" xfId="493" xr:uid="{00290F75-9057-496E-813E-1BA1EFFC1E55}"/>
    <cellStyle name="20% - Accent2 4 5 2" xfId="494" xr:uid="{A0FEE2D5-7959-429A-83D8-47DD96524BA2}"/>
    <cellStyle name="20% - Accent2 4 5 2 2" xfId="495" xr:uid="{BEFB39DC-D0A2-4667-9ABE-37E2F4FB170B}"/>
    <cellStyle name="20% - Accent2 4 5 3" xfId="496" xr:uid="{E5497408-028E-46A6-9FEF-52476F753C78}"/>
    <cellStyle name="20% - Accent2 4 6" xfId="497" xr:uid="{D680D48A-6D3F-4031-ACB1-61621DA0C384}"/>
    <cellStyle name="20% - Accent2 4 6 2" xfId="498" xr:uid="{D71848FD-B266-4018-BCA6-72C271790E8D}"/>
    <cellStyle name="20% - Accent2 4 6 2 2" xfId="499" xr:uid="{4B688855-E45B-4950-B2A5-09E8CFEBC75A}"/>
    <cellStyle name="20% - Accent2 4 6 3" xfId="500" xr:uid="{3386F6C8-537E-478E-A040-83302850581E}"/>
    <cellStyle name="20% - Accent2 4 7" xfId="501" xr:uid="{B43D4FF9-A15E-495A-89EB-3ECB2E8F7793}"/>
    <cellStyle name="20% - Accent2 4 7 2" xfId="502" xr:uid="{9F1BAA80-27DB-40DE-8F54-BF50009A8334}"/>
    <cellStyle name="20% - Accent2 4 7 2 2" xfId="503" xr:uid="{F14715F2-A500-4642-A204-77C4787826C8}"/>
    <cellStyle name="20% - Accent2 4 7 3" xfId="504" xr:uid="{B22043F5-C923-462E-9DB4-1C82EA02AC03}"/>
    <cellStyle name="20% - Accent2 5" xfId="505" xr:uid="{EB0725A1-CD69-439E-99DF-3517D8D5107F}"/>
    <cellStyle name="20% - Accent2 5 2" xfId="506" xr:uid="{CED323A6-BD82-4CFA-9AEE-F45656A3DC36}"/>
    <cellStyle name="20% - Accent2 5 2 2" xfId="507" xr:uid="{4F240D47-F497-404D-8CD7-578554937909}"/>
    <cellStyle name="20% - Accent2 5 2 2 2" xfId="508" xr:uid="{29CB6CC9-5372-48FC-AAF9-ECF0EB283EB8}"/>
    <cellStyle name="20% - Accent2 5 2 3" xfId="509" xr:uid="{04D991E6-B68B-4572-984D-905BBBDC02F3}"/>
    <cellStyle name="20% - Accent2 5 3" xfId="510" xr:uid="{BF0AA6D3-7243-414C-956C-DD6A0D0B0F1A}"/>
    <cellStyle name="20% - Accent2 5 3 2" xfId="511" xr:uid="{0323E706-5F21-472B-AD3A-7C19480AAF0B}"/>
    <cellStyle name="20% - Accent2 5 3 2 2" xfId="512" xr:uid="{3944B3F2-F4DB-413B-AB0D-E802D440A558}"/>
    <cellStyle name="20% - Accent2 5 3 3" xfId="513" xr:uid="{252AA35F-C506-4C07-8774-F20D61399D5E}"/>
    <cellStyle name="20% - Accent2 5 4" xfId="514" xr:uid="{7083EA26-992B-4244-AF65-F2945F2CF229}"/>
    <cellStyle name="20% - Accent2 5 4 2" xfId="515" xr:uid="{D2BB6257-378B-4641-9FB4-DA783AC942CB}"/>
    <cellStyle name="20% - Accent2 5 4 2 2" xfId="516" xr:uid="{4D59C876-29F5-4C79-9E25-CCD25078F8DF}"/>
    <cellStyle name="20% - Accent2 5 4 3" xfId="517" xr:uid="{D2704B1C-9294-4D67-9A9D-BF23F60B106F}"/>
    <cellStyle name="20% - Accent2 5 5" xfId="518" xr:uid="{8F08C0C3-F530-4C6A-9555-A55B11762E75}"/>
    <cellStyle name="20% - Accent2 5 5 2" xfId="519" xr:uid="{E239AEBE-D44D-4AB2-8416-A9CC6F9602E4}"/>
    <cellStyle name="20% - Accent2 5 5 2 2" xfId="520" xr:uid="{3AC7B4AF-F348-4DE8-B7AB-58005256E773}"/>
    <cellStyle name="20% - Accent2 5 5 3" xfId="521" xr:uid="{C014D89C-8CC0-4344-BA6B-71419E2CAE5A}"/>
    <cellStyle name="20% - Accent2 5 6" xfId="522" xr:uid="{7D2580A6-170D-4556-8A88-FE3B05AE897A}"/>
    <cellStyle name="20% - Accent2 5 6 2" xfId="523" xr:uid="{56E9F19C-7866-4DC5-838C-3BC54284CC18}"/>
    <cellStyle name="20% - Accent2 5 6 2 2" xfId="524" xr:uid="{55337AF4-09E6-4939-BD84-C2787847ADFD}"/>
    <cellStyle name="20% - Accent2 5 6 3" xfId="525" xr:uid="{3A56C258-63A4-41FD-98C3-6C2C7ADEFD6E}"/>
    <cellStyle name="20% - Accent2 5 7" xfId="526" xr:uid="{4C25E526-34BA-4B14-BE57-83AE5A37C382}"/>
    <cellStyle name="20% - Accent2 5 7 2" xfId="527" xr:uid="{B7503B54-3AA3-4F05-ABF8-64FD17944DC9}"/>
    <cellStyle name="20% - Accent2 5 7 2 2" xfId="528" xr:uid="{940BBA4F-98F7-4880-9C75-1E50EFD33CE4}"/>
    <cellStyle name="20% - Accent2 5 7 3" xfId="529" xr:uid="{25E7F2EC-2E88-4EF4-9263-BCB8FEA09332}"/>
    <cellStyle name="20% - Accent2 6" xfId="530" xr:uid="{63F28A68-2736-463F-B120-81597528E744}"/>
    <cellStyle name="20% - Accent2 7" xfId="531" xr:uid="{457CA203-B9F4-401D-9977-26C2F9068DC9}"/>
    <cellStyle name="20% - Accent2 8" xfId="532" xr:uid="{A169DE88-A672-4934-B244-E1F672694253}"/>
    <cellStyle name="20% - Accent2 9" xfId="533" xr:uid="{09DFEB2C-F9C5-4BB6-BB4F-2CD67FCBF94B}"/>
    <cellStyle name="20% - Accent3" xfId="137" builtinId="38" customBuiltin="1"/>
    <cellStyle name="20% - Accent3 10" xfId="535" xr:uid="{26FF6AE6-6ED6-4402-8847-822B44FDA080}"/>
    <cellStyle name="20% - Accent3 11" xfId="536" xr:uid="{9C60C131-D61E-43DA-AA0E-58A4B1F45449}"/>
    <cellStyle name="20% - Accent3 12" xfId="537" xr:uid="{040B7312-A0B2-4E98-961B-CD508D29B63E}"/>
    <cellStyle name="20% - Accent3 13" xfId="538" xr:uid="{4B5CA362-AC7B-41B5-A9DC-637E691EEF70}"/>
    <cellStyle name="20% - Accent3 14" xfId="539" xr:uid="{A2415548-D7E9-4113-845D-DD07875DB33A}"/>
    <cellStyle name="20% - Accent3 15" xfId="540" xr:uid="{886887A2-E66F-4102-AA72-BE03745EDCC6}"/>
    <cellStyle name="20% - Accent3 16" xfId="541" xr:uid="{A437111D-61FF-49F5-AD1F-456EBC84D7B9}"/>
    <cellStyle name="20% - Accent3 17" xfId="542" xr:uid="{BC8CB91B-902E-4369-8D87-F8A7A59E6997}"/>
    <cellStyle name="20% - Accent3 18" xfId="543" xr:uid="{3F8A1071-4141-4419-8D87-639967146A6E}"/>
    <cellStyle name="20% - Accent3 19" xfId="544" xr:uid="{0EE92CF8-E962-44B1-95A5-AD9CD3421893}"/>
    <cellStyle name="20% - Accent3 2" xfId="166" xr:uid="{281CB7D1-2CFB-4E30-BF19-AA09AFED79B9}"/>
    <cellStyle name="20% - Accent3 2 2" xfId="546" xr:uid="{C5236FAC-F20F-4BFF-8282-7592C70DF9C9}"/>
    <cellStyle name="20% - Accent3 2 2 2" xfId="547" xr:uid="{390CDE1C-7C22-48C9-845E-9E2C845FCECD}"/>
    <cellStyle name="20% - Accent3 2 2 2 2" xfId="548" xr:uid="{34FB154C-F0C5-4B37-837F-CF870B97BF5C}"/>
    <cellStyle name="20% - Accent3 2 2 3" xfId="549" xr:uid="{B9DBCE43-33C2-49B4-B838-DD4F6C074435}"/>
    <cellStyle name="20% - Accent3 2 3" xfId="550" xr:uid="{AEC658A8-6313-4EAB-BA97-32B2B96ED19E}"/>
    <cellStyle name="20% - Accent3 2 3 2" xfId="551" xr:uid="{3FFD1A3E-C67B-43E4-B84A-FF3B8163E238}"/>
    <cellStyle name="20% - Accent3 2 3 2 2" xfId="552" xr:uid="{EE231E53-BE2A-4577-838C-1994BB855DCF}"/>
    <cellStyle name="20% - Accent3 2 3 3" xfId="553" xr:uid="{7253BB13-4FE4-44FE-8A39-9057BB9A6FBF}"/>
    <cellStyle name="20% - Accent3 2 4" xfId="554" xr:uid="{65713658-022A-4DE7-A39F-92A929A5F3A9}"/>
    <cellStyle name="20% - Accent3 2 4 2" xfId="555" xr:uid="{9EED4DD9-BB84-433E-AB24-89DCBD0EAABD}"/>
    <cellStyle name="20% - Accent3 2 4 2 2" xfId="556" xr:uid="{33C023A6-E6B9-4048-AC90-9EC61B84B9B8}"/>
    <cellStyle name="20% - Accent3 2 4 3" xfId="557" xr:uid="{D14EE236-CDEC-41CD-AA9B-072F1EA6CD47}"/>
    <cellStyle name="20% - Accent3 2 5" xfId="558" xr:uid="{101D9F75-BEC4-423E-BADE-6145B903B10B}"/>
    <cellStyle name="20% - Accent3 2 5 2" xfId="559" xr:uid="{B566A270-2703-442F-8BAA-F10B844F49E0}"/>
    <cellStyle name="20% - Accent3 2 5 2 2" xfId="560" xr:uid="{4C3B1837-236D-4087-954E-A3CF1EE5F678}"/>
    <cellStyle name="20% - Accent3 2 5 3" xfId="561" xr:uid="{570483F7-053A-40F1-BC11-3BEB8525E253}"/>
    <cellStyle name="20% - Accent3 2 6" xfId="562" xr:uid="{2F225F2A-CCA4-4BAA-9393-103ABD8D1A20}"/>
    <cellStyle name="20% - Accent3 2 6 2" xfId="563" xr:uid="{91F76DB9-789F-403F-881E-54AA1D068D32}"/>
    <cellStyle name="20% - Accent3 2 6 2 2" xfId="564" xr:uid="{0E6EC407-CD34-4A65-B816-2919742EACE8}"/>
    <cellStyle name="20% - Accent3 2 6 3" xfId="565" xr:uid="{DAE9EF4A-CFBC-41C6-A39B-6A165D368E39}"/>
    <cellStyle name="20% - Accent3 2 7" xfId="566" xr:uid="{A1EF5812-5246-48F2-AAE4-F3C08F377211}"/>
    <cellStyle name="20% - Accent3 2 7 2" xfId="567" xr:uid="{9C570FA8-87E1-4805-AA40-3092A865F68A}"/>
    <cellStyle name="20% - Accent3 2 7 2 2" xfId="568" xr:uid="{3F3170BA-D03F-4B6D-ACFE-6BBFA4783333}"/>
    <cellStyle name="20% - Accent3 2 7 3" xfId="569" xr:uid="{F8BBF7E8-3E2B-41E5-B901-354CA38529A0}"/>
    <cellStyle name="20% - Accent3 2 8" xfId="545" xr:uid="{A060C4FE-45F3-47CF-851F-96E9BB15DA78}"/>
    <cellStyle name="20% - Accent3 20" xfId="570" xr:uid="{B77C9F36-69F4-46B1-8541-0A77D664623A}"/>
    <cellStyle name="20% - Accent3 21" xfId="571" xr:uid="{AA30B102-975D-40F1-9B23-91BEE92E3AB8}"/>
    <cellStyle name="20% - Accent3 22" xfId="572" xr:uid="{859D63DD-C115-4CB9-AADC-AD8E9DDFF735}"/>
    <cellStyle name="20% - Accent3 23" xfId="573" xr:uid="{37ABF68C-5147-4C48-8B23-EB5D4B2B4870}"/>
    <cellStyle name="20% - Accent3 24" xfId="574" xr:uid="{9B05C8AA-85C8-4142-BAA3-B17AB2106313}"/>
    <cellStyle name="20% - Accent3 25" xfId="575" xr:uid="{A4434114-69FF-4284-BC3F-81F35C9F027C}"/>
    <cellStyle name="20% - Accent3 26" xfId="576" xr:uid="{7BE26690-CE04-463B-951E-8F8BFDF2B3DF}"/>
    <cellStyle name="20% - Accent3 27" xfId="577" xr:uid="{BB4711CC-FC46-4FB8-8065-86CF80044368}"/>
    <cellStyle name="20% - Accent3 28" xfId="578" xr:uid="{ECAF0E5E-9457-4606-98D2-77A75B9013F0}"/>
    <cellStyle name="20% - Accent3 29" xfId="579" xr:uid="{6C71F5B1-A851-4F11-956B-A6A607D73C30}"/>
    <cellStyle name="20% - Accent3 3" xfId="191" xr:uid="{36B90220-8E93-4542-B3B8-0AFE1A67F077}"/>
    <cellStyle name="20% - Accent3 3 2" xfId="581" xr:uid="{90250104-5065-4C33-A037-2311A9B74A69}"/>
    <cellStyle name="20% - Accent3 3 2 2" xfId="582" xr:uid="{44536B59-866E-4A0A-9A90-5AACC2515C63}"/>
    <cellStyle name="20% - Accent3 3 2 2 2" xfId="583" xr:uid="{7760E0A5-2FBF-4A8F-9533-FEE8E0A441AB}"/>
    <cellStyle name="20% - Accent3 3 2 3" xfId="584" xr:uid="{F2C223A2-CE66-4FF6-8A65-68FF1D7DE034}"/>
    <cellStyle name="20% - Accent3 3 3" xfId="585" xr:uid="{4DF5EDFA-020F-44F8-8A33-7FBF42E70B2B}"/>
    <cellStyle name="20% - Accent3 3 3 2" xfId="586" xr:uid="{282A095B-CB01-4EDA-A013-DBDF6C94A2EE}"/>
    <cellStyle name="20% - Accent3 3 3 2 2" xfId="587" xr:uid="{337F9CD2-A0E3-434D-A71C-49527D44003A}"/>
    <cellStyle name="20% - Accent3 3 3 3" xfId="588" xr:uid="{F342A56A-2243-4DD0-B73D-7EC5104F069C}"/>
    <cellStyle name="20% - Accent3 3 4" xfId="589" xr:uid="{926E6053-8896-4671-9C0E-0242F9098AEC}"/>
    <cellStyle name="20% - Accent3 3 4 2" xfId="590" xr:uid="{35F2E1EC-7E5D-438A-ABEE-98E561A4D317}"/>
    <cellStyle name="20% - Accent3 3 4 2 2" xfId="591" xr:uid="{403CF580-AA99-45E1-8188-E38BF85F4E5C}"/>
    <cellStyle name="20% - Accent3 3 4 3" xfId="592" xr:uid="{F7EE3306-C731-4EF9-B415-B05A7F0E66FB}"/>
    <cellStyle name="20% - Accent3 3 5" xfId="593" xr:uid="{873EF7D5-E2B4-4EB5-9489-FDDBF94D765F}"/>
    <cellStyle name="20% - Accent3 3 5 2" xfId="594" xr:uid="{F118F83C-B51D-49B7-980A-C17C576F70F7}"/>
    <cellStyle name="20% - Accent3 3 5 2 2" xfId="595" xr:uid="{9067BF8A-7591-4C16-8CAE-949081D2DDDD}"/>
    <cellStyle name="20% - Accent3 3 5 3" xfId="596" xr:uid="{4A7EC2BE-0607-42C1-A942-C4B7EC7EAEA6}"/>
    <cellStyle name="20% - Accent3 3 6" xfId="597" xr:uid="{F348A395-586F-48C0-8DC7-8D0D793CD4F6}"/>
    <cellStyle name="20% - Accent3 3 6 2" xfId="598" xr:uid="{9AE8BF45-CF05-4CD0-9751-98CC980B3F4A}"/>
    <cellStyle name="20% - Accent3 3 6 2 2" xfId="599" xr:uid="{12BA8110-EC2C-457A-AA7A-9A8ED57BBAF3}"/>
    <cellStyle name="20% - Accent3 3 6 3" xfId="600" xr:uid="{FEDFD8A4-FECB-49EB-8E11-7F3A461FF283}"/>
    <cellStyle name="20% - Accent3 3 7" xfId="601" xr:uid="{44397CE2-96C1-4AA7-A0D1-8545820E78CA}"/>
    <cellStyle name="20% - Accent3 3 7 2" xfId="602" xr:uid="{5E20AF7E-8E22-4516-8868-A944AA12E074}"/>
    <cellStyle name="20% - Accent3 3 7 2 2" xfId="603" xr:uid="{3B9C71C3-3C1F-4A19-9A1D-21B52A99B748}"/>
    <cellStyle name="20% - Accent3 3 7 3" xfId="604" xr:uid="{896C57F8-560A-4D94-982C-2FA6E07355FF}"/>
    <cellStyle name="20% - Accent3 3 8" xfId="580" xr:uid="{AFB84435-41B9-4767-B010-295F874EF33C}"/>
    <cellStyle name="20% - Accent3 30" xfId="605" xr:uid="{07FE1392-E576-4AFB-AB7B-F34F38A965DA}"/>
    <cellStyle name="20% - Accent3 31" xfId="606" xr:uid="{7DB6AF51-5B35-4FC3-B70C-E959E3FE0948}"/>
    <cellStyle name="20% - Accent3 32" xfId="607" xr:uid="{B28EA164-67BE-4E02-BD00-35B6AC678032}"/>
    <cellStyle name="20% - Accent3 33" xfId="608" xr:uid="{56C937E7-E9C8-4062-ACD0-289A6AB1DA6E}"/>
    <cellStyle name="20% - Accent3 34" xfId="609" xr:uid="{53B88D88-7999-4673-BFE4-496B27BF86C6}"/>
    <cellStyle name="20% - Accent3 35" xfId="534" xr:uid="{491AD291-4CB2-4A8B-8F41-F21CB206EFBB}"/>
    <cellStyle name="20% - Accent3 4" xfId="610" xr:uid="{34005ACF-14A8-4013-B755-D3D655CE76E4}"/>
    <cellStyle name="20% - Accent3 4 2" xfId="611" xr:uid="{5AEFBAFA-4C59-4111-BF9C-C1D452ABD3BD}"/>
    <cellStyle name="20% - Accent3 4 2 2" xfId="612" xr:uid="{DD340A6F-4A01-4E28-A9B9-62D65C0C0822}"/>
    <cellStyle name="20% - Accent3 4 2 2 2" xfId="613" xr:uid="{2ABE8A01-FC21-4479-8C14-7196AACE93C0}"/>
    <cellStyle name="20% - Accent3 4 2 3" xfId="614" xr:uid="{EED9A9E0-2EF6-4AE1-915B-EAB12DA8465D}"/>
    <cellStyle name="20% - Accent3 4 3" xfId="615" xr:uid="{2A7D96C8-DE23-4630-B941-5E07F2339479}"/>
    <cellStyle name="20% - Accent3 4 3 2" xfId="616" xr:uid="{8AAD0DB3-3911-48C1-8547-6D28AAFAA856}"/>
    <cellStyle name="20% - Accent3 4 3 2 2" xfId="617" xr:uid="{78055628-6420-4A7F-B682-7B4EF93FA91D}"/>
    <cellStyle name="20% - Accent3 4 3 3" xfId="618" xr:uid="{060A035A-20E3-4387-8EF2-2154A11E101C}"/>
    <cellStyle name="20% - Accent3 4 4" xfId="619" xr:uid="{A78A6AFB-080E-44BF-9A3A-616CF197FC2B}"/>
    <cellStyle name="20% - Accent3 4 4 2" xfId="620" xr:uid="{2FA841E0-DBC4-44CB-A93A-0EC20E0B67B1}"/>
    <cellStyle name="20% - Accent3 4 4 2 2" xfId="621" xr:uid="{56665B10-A963-482D-BEA9-3CB2DD568AFF}"/>
    <cellStyle name="20% - Accent3 4 4 3" xfId="622" xr:uid="{EAB248F1-07A3-406D-B79A-992618F90B47}"/>
    <cellStyle name="20% - Accent3 4 5" xfId="623" xr:uid="{DB74E4D3-2F9A-4674-937D-98FC86961D62}"/>
    <cellStyle name="20% - Accent3 4 5 2" xfId="624" xr:uid="{B92E8CDA-09A9-4874-AAE9-1CB55D84ED97}"/>
    <cellStyle name="20% - Accent3 4 5 2 2" xfId="625" xr:uid="{7901FF33-D9E0-4F91-A242-C886A24DE47E}"/>
    <cellStyle name="20% - Accent3 4 5 3" xfId="626" xr:uid="{F4926D93-0F36-4DD6-824A-CE9CBB99F995}"/>
    <cellStyle name="20% - Accent3 4 6" xfId="627" xr:uid="{0D7F8FF6-6571-4DBA-9461-C3B1E7D823B9}"/>
    <cellStyle name="20% - Accent3 4 6 2" xfId="628" xr:uid="{008EE6DC-0A66-48F2-B22F-4A0B2488631B}"/>
    <cellStyle name="20% - Accent3 4 6 2 2" xfId="629" xr:uid="{A484E449-F7AE-491B-96FA-D9A289A4B46B}"/>
    <cellStyle name="20% - Accent3 4 6 3" xfId="630" xr:uid="{3E64456F-0F2C-4A81-AE79-B90EF9AAB677}"/>
    <cellStyle name="20% - Accent3 4 7" xfId="631" xr:uid="{01B49EF7-9AE6-42A2-B7B5-F471EF2A9BBA}"/>
    <cellStyle name="20% - Accent3 4 7 2" xfId="632" xr:uid="{32A8B2C5-B80B-4E43-A340-724987989B7F}"/>
    <cellStyle name="20% - Accent3 4 7 2 2" xfId="633" xr:uid="{02801FCA-5F54-4C6D-89F1-DB1BC4825F96}"/>
    <cellStyle name="20% - Accent3 4 7 3" xfId="634" xr:uid="{E9BE5AE9-3142-4C1E-8552-649499425121}"/>
    <cellStyle name="20% - Accent3 5" xfId="635" xr:uid="{D12653D8-9252-426D-9A81-3F1D2AE49232}"/>
    <cellStyle name="20% - Accent3 5 2" xfId="636" xr:uid="{26B9E1FB-5B8F-4B07-B009-2039014164C9}"/>
    <cellStyle name="20% - Accent3 5 2 2" xfId="637" xr:uid="{543A8E0E-7EFE-4EFA-A4E2-2E73D3F1379D}"/>
    <cellStyle name="20% - Accent3 5 2 2 2" xfId="638" xr:uid="{C0AADF98-9548-4B5A-9F86-D5875BF56DB7}"/>
    <cellStyle name="20% - Accent3 5 2 3" xfId="639" xr:uid="{B217E4AA-30B1-45DB-9EA2-4D03B57B411D}"/>
    <cellStyle name="20% - Accent3 5 3" xfId="640" xr:uid="{0E1EB216-38D8-4A07-AE53-06065A5F0A77}"/>
    <cellStyle name="20% - Accent3 5 3 2" xfId="641" xr:uid="{4B565781-6E65-4BC6-8C15-9BC09F1F8C13}"/>
    <cellStyle name="20% - Accent3 5 3 2 2" xfId="642" xr:uid="{EE0C6C2D-3712-48EB-8088-8825DBA45FAC}"/>
    <cellStyle name="20% - Accent3 5 3 3" xfId="643" xr:uid="{F5022DE4-BB4B-4F3D-90FF-2D72C29D2DBB}"/>
    <cellStyle name="20% - Accent3 5 4" xfId="644" xr:uid="{739F5884-5653-475C-A36F-CA17EA863D67}"/>
    <cellStyle name="20% - Accent3 5 4 2" xfId="645" xr:uid="{0888C15F-F2BE-42A4-9EF2-3FD77EA8D8BF}"/>
    <cellStyle name="20% - Accent3 5 4 2 2" xfId="646" xr:uid="{0D2697EE-32A9-4844-BD5A-4C632581447B}"/>
    <cellStyle name="20% - Accent3 5 4 3" xfId="647" xr:uid="{45550BA9-304B-4420-B856-484186B1DD24}"/>
    <cellStyle name="20% - Accent3 5 5" xfId="648" xr:uid="{175CED72-661C-49B2-B214-714654730F49}"/>
    <cellStyle name="20% - Accent3 5 5 2" xfId="649" xr:uid="{B391986C-26F6-41D2-BCD1-5102C3765DE4}"/>
    <cellStyle name="20% - Accent3 5 5 2 2" xfId="650" xr:uid="{0A4760BA-7BDB-4C9E-A45E-358956418357}"/>
    <cellStyle name="20% - Accent3 5 5 3" xfId="651" xr:uid="{2AC01A1C-D7AA-4452-A8A1-825C95A79538}"/>
    <cellStyle name="20% - Accent3 5 6" xfId="652" xr:uid="{EC53F599-FEE0-4DB8-8EF8-7D8E54EC582B}"/>
    <cellStyle name="20% - Accent3 5 6 2" xfId="653" xr:uid="{F102D354-A6D2-4A96-980F-4448274871F1}"/>
    <cellStyle name="20% - Accent3 5 6 2 2" xfId="654" xr:uid="{1743C037-3B97-49D4-80D3-7A476E184571}"/>
    <cellStyle name="20% - Accent3 5 6 3" xfId="655" xr:uid="{A4DD17D9-14C4-41EC-8FA7-871C5540EF34}"/>
    <cellStyle name="20% - Accent3 5 7" xfId="656" xr:uid="{908B4111-AD52-4500-A118-6D4634B29EE8}"/>
    <cellStyle name="20% - Accent3 5 7 2" xfId="657" xr:uid="{21ACD83F-98C0-4DE1-AD45-388B98DF4E27}"/>
    <cellStyle name="20% - Accent3 5 7 2 2" xfId="658" xr:uid="{C7ACCF38-068A-4889-A1F5-56581FF00FBE}"/>
    <cellStyle name="20% - Accent3 5 7 3" xfId="659" xr:uid="{123EDDDB-06C6-45C6-9895-9BB6752D57B0}"/>
    <cellStyle name="20% - Accent3 6" xfId="660" xr:uid="{28783B1F-9674-46C1-BB03-F80F2354C19D}"/>
    <cellStyle name="20% - Accent3 7" xfId="661" xr:uid="{DD2F0784-15E4-4791-BD34-1146EF78369C}"/>
    <cellStyle name="20% - Accent3 8" xfId="662" xr:uid="{41CA3B5D-F791-4F17-B168-D7F5C2A072D0}"/>
    <cellStyle name="20% - Accent3 9" xfId="663" xr:uid="{FCF93B0B-A367-4559-B483-EF9DE4565DE0}"/>
    <cellStyle name="20% - Accent4" xfId="141" builtinId="42" customBuiltin="1"/>
    <cellStyle name="20% - Accent4 10" xfId="665" xr:uid="{D93F7E5D-1530-47C3-99A0-2D9B20C6DA6A}"/>
    <cellStyle name="20% - Accent4 11" xfId="666" xr:uid="{C5FB8CD3-9FB5-43C6-8A22-1666E1A070CB}"/>
    <cellStyle name="20% - Accent4 12" xfId="667" xr:uid="{310712C0-9491-4519-896C-F4888B09FB9D}"/>
    <cellStyle name="20% - Accent4 13" xfId="668" xr:uid="{CA47BDC3-B1F9-4D47-9A09-B1A6E78375AE}"/>
    <cellStyle name="20% - Accent4 14" xfId="669" xr:uid="{8BEAEE31-7083-418D-BC01-A6B5586D0F96}"/>
    <cellStyle name="20% - Accent4 15" xfId="670" xr:uid="{89744F4A-F61F-46DB-8803-6E2758B3132B}"/>
    <cellStyle name="20% - Accent4 16" xfId="671" xr:uid="{FD65580B-01D2-40B1-9BA3-D1382DEB6908}"/>
    <cellStyle name="20% - Accent4 17" xfId="672" xr:uid="{797946A9-7A6B-48D8-957E-2FC7870D3B93}"/>
    <cellStyle name="20% - Accent4 18" xfId="673" xr:uid="{40C87300-D55A-4C8E-B44A-E6BB3D2188B3}"/>
    <cellStyle name="20% - Accent4 19" xfId="674" xr:uid="{1EB4BCEC-D6C3-45D7-AD5D-D53B7509995F}"/>
    <cellStyle name="20% - Accent4 2" xfId="169" xr:uid="{004A66EA-0636-47AC-82C5-0682FE6E3546}"/>
    <cellStyle name="20% - Accent4 2 2" xfId="676" xr:uid="{14F9ADA8-26DE-4852-AD3B-B3F4D3807A0A}"/>
    <cellStyle name="20% - Accent4 2 2 2" xfId="677" xr:uid="{80C44C2E-6A24-4809-90EB-04222C596C9C}"/>
    <cellStyle name="20% - Accent4 2 2 2 2" xfId="678" xr:uid="{1F8F8C56-E1FE-4BD7-A220-DAC7C87E3106}"/>
    <cellStyle name="20% - Accent4 2 2 3" xfId="679" xr:uid="{24BA4253-43AA-4492-A812-A0EBE12BFDDE}"/>
    <cellStyle name="20% - Accent4 2 3" xfId="680" xr:uid="{C850B593-D7B0-4161-8839-76DD53E21254}"/>
    <cellStyle name="20% - Accent4 2 3 2" xfId="681" xr:uid="{958B0B62-4487-4895-B799-9147EB77929F}"/>
    <cellStyle name="20% - Accent4 2 3 2 2" xfId="682" xr:uid="{A00B2A6E-AAC2-446A-9997-C99920CCFB52}"/>
    <cellStyle name="20% - Accent4 2 3 3" xfId="683" xr:uid="{9C0CADB9-2309-4A83-AACE-1D7D1C4F81BF}"/>
    <cellStyle name="20% - Accent4 2 4" xfId="684" xr:uid="{1DE35A54-3A13-4D71-AE08-593AABD18637}"/>
    <cellStyle name="20% - Accent4 2 4 2" xfId="685" xr:uid="{A395CC5F-7E93-4C80-ABE0-750E39C62DC9}"/>
    <cellStyle name="20% - Accent4 2 4 2 2" xfId="686" xr:uid="{DD66139B-D5DF-406B-9D8C-BB2591F7A7C8}"/>
    <cellStyle name="20% - Accent4 2 4 3" xfId="687" xr:uid="{DB3A61B0-D4B0-4DB6-A009-DA937BE810F4}"/>
    <cellStyle name="20% - Accent4 2 5" xfId="688" xr:uid="{1E30BFFC-95FF-4FBE-ABE7-16A06DC9BC4A}"/>
    <cellStyle name="20% - Accent4 2 5 2" xfId="689" xr:uid="{029B3593-662E-4157-8699-A41B505D58B7}"/>
    <cellStyle name="20% - Accent4 2 5 2 2" xfId="690" xr:uid="{199B56EB-4AE2-4689-BBC8-D743BD9946C7}"/>
    <cellStyle name="20% - Accent4 2 5 3" xfId="691" xr:uid="{74E25AC9-61D4-441B-8E20-ADCF3073A4E2}"/>
    <cellStyle name="20% - Accent4 2 6" xfId="692" xr:uid="{D7AEEC26-21D1-4CFA-982A-53869CABBD7B}"/>
    <cellStyle name="20% - Accent4 2 6 2" xfId="693" xr:uid="{F98D006D-995A-4932-906C-2927F30623F2}"/>
    <cellStyle name="20% - Accent4 2 6 2 2" xfId="694" xr:uid="{6247D11C-DACA-45C6-8632-7FCDD3691EE2}"/>
    <cellStyle name="20% - Accent4 2 6 3" xfId="695" xr:uid="{4F11ECEB-F631-4355-A52C-EDC1E658F076}"/>
    <cellStyle name="20% - Accent4 2 7" xfId="696" xr:uid="{B2B0513A-9048-45E9-9447-F55C3AA99BE5}"/>
    <cellStyle name="20% - Accent4 2 7 2" xfId="697" xr:uid="{7FE02085-3F30-4638-BDDB-C97A8C51C64F}"/>
    <cellStyle name="20% - Accent4 2 7 2 2" xfId="698" xr:uid="{0E21EB6B-2CF0-4033-92DC-E2D2B37A3ADD}"/>
    <cellStyle name="20% - Accent4 2 7 3" xfId="699" xr:uid="{E5677FAE-6C2F-4F55-AED9-B216F59DB271}"/>
    <cellStyle name="20% - Accent4 2 8" xfId="675" xr:uid="{03373099-A226-4620-94B1-3B5486930151}"/>
    <cellStyle name="20% - Accent4 20" xfId="700" xr:uid="{C7F14A43-5324-4A6C-A68D-E0B75246F763}"/>
    <cellStyle name="20% - Accent4 21" xfId="701" xr:uid="{E1415623-410F-45E8-BD38-2F3F2E5470E1}"/>
    <cellStyle name="20% - Accent4 22" xfId="702" xr:uid="{CEE83778-E0EC-4FEA-AC3B-0C32CADFA7F0}"/>
    <cellStyle name="20% - Accent4 23" xfId="703" xr:uid="{4DD24E6F-0718-48D9-9EEA-3DCEB2AFFC25}"/>
    <cellStyle name="20% - Accent4 24" xfId="704" xr:uid="{19A7EDA2-6ACA-43E2-8ABA-BF4BBEE861D4}"/>
    <cellStyle name="20% - Accent4 25" xfId="705" xr:uid="{22196732-DD73-4F1D-BF06-AD39A4DB504E}"/>
    <cellStyle name="20% - Accent4 26" xfId="706" xr:uid="{AD35D4D7-EE91-48E8-9911-A1E26FECFDE2}"/>
    <cellStyle name="20% - Accent4 27" xfId="707" xr:uid="{14603FFB-3E63-4B94-894D-17C5C03B8506}"/>
    <cellStyle name="20% - Accent4 28" xfId="708" xr:uid="{532A4879-C3C5-4AF0-8562-55D39FB57F8B}"/>
    <cellStyle name="20% - Accent4 29" xfId="709" xr:uid="{75FA8FC9-C569-4C20-AB54-2B0701E3DFC4}"/>
    <cellStyle name="20% - Accent4 3" xfId="194" xr:uid="{1673B825-7706-42AA-B2F6-4496629BA572}"/>
    <cellStyle name="20% - Accent4 3 2" xfId="711" xr:uid="{AB128712-AF81-43B3-A1AA-ACBDD184E12A}"/>
    <cellStyle name="20% - Accent4 3 2 2" xfId="712" xr:uid="{2E35FD06-979A-482F-ABAC-053C1ABF693A}"/>
    <cellStyle name="20% - Accent4 3 2 2 2" xfId="713" xr:uid="{F4E94C84-3D46-4628-BFAE-FF18E0415067}"/>
    <cellStyle name="20% - Accent4 3 2 3" xfId="714" xr:uid="{1A1BEB8D-EB4C-429C-9A02-7EBECF2E54D8}"/>
    <cellStyle name="20% - Accent4 3 3" xfId="715" xr:uid="{EFA14A7D-9A66-43E7-9488-356E05E18BF8}"/>
    <cellStyle name="20% - Accent4 3 3 2" xfId="716" xr:uid="{573D54FC-4D3E-48FB-8E3D-6DA3CD098D12}"/>
    <cellStyle name="20% - Accent4 3 3 2 2" xfId="717" xr:uid="{3B4DA9CC-6079-43AC-B903-73152FE06BC2}"/>
    <cellStyle name="20% - Accent4 3 3 3" xfId="718" xr:uid="{F1D0B9C2-0D56-4518-A254-D1E88EBA8F3B}"/>
    <cellStyle name="20% - Accent4 3 4" xfId="719" xr:uid="{D4EC4B41-F211-48C1-BBDC-EE706DAABA74}"/>
    <cellStyle name="20% - Accent4 3 4 2" xfId="720" xr:uid="{24AEF90F-8F0D-413F-AC06-D17004B9E93A}"/>
    <cellStyle name="20% - Accent4 3 4 2 2" xfId="721" xr:uid="{7D7BF0BB-DAAB-493B-9E11-3969461BA80C}"/>
    <cellStyle name="20% - Accent4 3 4 3" xfId="722" xr:uid="{67056187-112C-41B5-9156-33A72BE472DE}"/>
    <cellStyle name="20% - Accent4 3 5" xfId="723" xr:uid="{A63E2400-31BF-41AB-8A44-65258A75EF8D}"/>
    <cellStyle name="20% - Accent4 3 5 2" xfId="724" xr:uid="{CF2CCA08-506C-4D71-96EC-2D0B156CD63D}"/>
    <cellStyle name="20% - Accent4 3 5 2 2" xfId="725" xr:uid="{EE325D23-FC01-4C17-833A-00B5A1E2DD9F}"/>
    <cellStyle name="20% - Accent4 3 5 3" xfId="726" xr:uid="{71723117-6398-4A6F-9835-2A4A05B88ACB}"/>
    <cellStyle name="20% - Accent4 3 6" xfId="727" xr:uid="{F5E5E584-FBED-417B-9F91-F93930F4A326}"/>
    <cellStyle name="20% - Accent4 3 6 2" xfId="728" xr:uid="{7590E12A-1E03-4DD6-95A0-BD73E5237687}"/>
    <cellStyle name="20% - Accent4 3 6 2 2" xfId="729" xr:uid="{82904F64-A5E0-4817-B61B-A4C9BCFE5D4E}"/>
    <cellStyle name="20% - Accent4 3 6 3" xfId="730" xr:uid="{CA7BCDFF-B1C9-4CCA-9150-2F553883F9C0}"/>
    <cellStyle name="20% - Accent4 3 7" xfId="731" xr:uid="{9EBE9082-CEFB-4090-B9A6-34AFE0FFA2C4}"/>
    <cellStyle name="20% - Accent4 3 7 2" xfId="732" xr:uid="{087AC9CD-F576-4E96-9F61-568438153130}"/>
    <cellStyle name="20% - Accent4 3 7 2 2" xfId="733" xr:uid="{738B22C4-D49D-44EF-9CDE-16B30A88D58D}"/>
    <cellStyle name="20% - Accent4 3 7 3" xfId="734" xr:uid="{115A0119-754C-4C62-B0A8-B74A6FF7860B}"/>
    <cellStyle name="20% - Accent4 3 8" xfId="710" xr:uid="{DE5DDE92-9ED1-48C6-8BE1-F5756C4A863C}"/>
    <cellStyle name="20% - Accent4 30" xfId="735" xr:uid="{816401E0-96E2-4AF5-BA37-78AB007F8F7D}"/>
    <cellStyle name="20% - Accent4 31" xfId="736" xr:uid="{EE3E686A-D2FF-4992-9D3D-C345BB78A08E}"/>
    <cellStyle name="20% - Accent4 32" xfId="737" xr:uid="{86244097-2D96-4CB0-A489-4BD545D1B6F5}"/>
    <cellStyle name="20% - Accent4 33" xfId="738" xr:uid="{8B9415B1-70D4-4796-95C9-3364FA27395E}"/>
    <cellStyle name="20% - Accent4 34" xfId="739" xr:uid="{219704E7-6A9B-4EA5-A927-79625E254C8C}"/>
    <cellStyle name="20% - Accent4 35" xfId="664" xr:uid="{B528A90C-458B-43DF-AEA2-1643321EC55F}"/>
    <cellStyle name="20% - Accent4 4" xfId="740" xr:uid="{A9F06F5F-5566-40DC-836C-E494AC41A45A}"/>
    <cellStyle name="20% - Accent4 4 2" xfId="741" xr:uid="{9AA386C7-299D-4D6A-B78F-07722F530210}"/>
    <cellStyle name="20% - Accent4 4 2 2" xfId="742" xr:uid="{0DCC8DB9-7945-44E5-BBFF-802B747DEC32}"/>
    <cellStyle name="20% - Accent4 4 2 2 2" xfId="743" xr:uid="{D9FBFB3D-4985-4B84-83B8-56284F3E3D8E}"/>
    <cellStyle name="20% - Accent4 4 2 3" xfId="744" xr:uid="{714D3552-1CFD-4D36-9AAF-DA1E7AECC572}"/>
    <cellStyle name="20% - Accent4 4 3" xfId="745" xr:uid="{F1BFB3C3-94A8-42EC-BC1E-4C7C000BA187}"/>
    <cellStyle name="20% - Accent4 4 3 2" xfId="746" xr:uid="{01A8D1CC-7714-489A-AB42-CF7DCAB1DD21}"/>
    <cellStyle name="20% - Accent4 4 3 2 2" xfId="747" xr:uid="{24358333-54B5-42EE-A762-8CCF7CA165F6}"/>
    <cellStyle name="20% - Accent4 4 3 3" xfId="748" xr:uid="{E25B3CA8-5740-4042-A85F-6D60E1685810}"/>
    <cellStyle name="20% - Accent4 4 4" xfId="749" xr:uid="{35F2FFA3-9609-486C-8617-00DA8F736A25}"/>
    <cellStyle name="20% - Accent4 4 4 2" xfId="750" xr:uid="{FAB97049-09B4-43B7-8DC9-1BE52DB1EF78}"/>
    <cellStyle name="20% - Accent4 4 4 2 2" xfId="751" xr:uid="{5D1D7728-E793-42DA-9CD3-CF2B4F996F57}"/>
    <cellStyle name="20% - Accent4 4 4 3" xfId="752" xr:uid="{CE699FBF-3FF5-4D38-8DB1-871E559390FE}"/>
    <cellStyle name="20% - Accent4 4 5" xfId="753" xr:uid="{01BEBC95-0F71-46FB-B7D1-B5030081ED94}"/>
    <cellStyle name="20% - Accent4 4 5 2" xfId="754" xr:uid="{00A05E07-03A0-4B67-9345-CC1DFFF015F7}"/>
    <cellStyle name="20% - Accent4 4 5 2 2" xfId="755" xr:uid="{437B19EB-BD3C-4218-B98F-EF5A24AEFC1E}"/>
    <cellStyle name="20% - Accent4 4 5 3" xfId="756" xr:uid="{A7E2FD52-ADCF-4E33-A940-B8F51D6834D3}"/>
    <cellStyle name="20% - Accent4 4 6" xfId="757" xr:uid="{4DAFE32A-4825-4065-AE4F-54011A33F731}"/>
    <cellStyle name="20% - Accent4 4 6 2" xfId="758" xr:uid="{1907A271-1884-4CF8-B687-26BB161041FD}"/>
    <cellStyle name="20% - Accent4 4 6 2 2" xfId="759" xr:uid="{F8C720DD-1A1E-4ACF-9F13-74311A6D0A43}"/>
    <cellStyle name="20% - Accent4 4 6 3" xfId="760" xr:uid="{E5533C12-D927-4017-9C4B-F17577C8A955}"/>
    <cellStyle name="20% - Accent4 4 7" xfId="761" xr:uid="{6B1C0926-D7DB-41D0-AF11-1DA2F8DF8188}"/>
    <cellStyle name="20% - Accent4 4 7 2" xfId="762" xr:uid="{B5EBEEA4-1F12-4382-B8C9-C6D89AE1CAD2}"/>
    <cellStyle name="20% - Accent4 4 7 2 2" xfId="763" xr:uid="{5B695A65-D4DF-4C43-B260-EDE9A8045B6C}"/>
    <cellStyle name="20% - Accent4 4 7 3" xfId="764" xr:uid="{ACFB2E45-2B3A-4BC0-8214-AAAFC2978BA3}"/>
    <cellStyle name="20% - Accent4 5" xfId="765" xr:uid="{7CCFF915-BBF6-4C0D-BA57-74C66733C4E7}"/>
    <cellStyle name="20% - Accent4 5 2" xfId="766" xr:uid="{EB634186-FE5B-405E-8C00-B46E1A76458F}"/>
    <cellStyle name="20% - Accent4 5 2 2" xfId="767" xr:uid="{12F2FC79-1506-4EF2-AA90-935410464907}"/>
    <cellStyle name="20% - Accent4 5 2 2 2" xfId="768" xr:uid="{EF335B53-806E-4058-87C9-81879ADA2929}"/>
    <cellStyle name="20% - Accent4 5 2 3" xfId="769" xr:uid="{2D7FBE42-F995-45C7-8202-323DB2961B31}"/>
    <cellStyle name="20% - Accent4 5 3" xfId="770" xr:uid="{CF7CE5A1-C702-46B2-99F3-D2A100E5D77C}"/>
    <cellStyle name="20% - Accent4 5 3 2" xfId="771" xr:uid="{33F16C01-944A-459E-B176-17228E40ACB9}"/>
    <cellStyle name="20% - Accent4 5 3 2 2" xfId="772" xr:uid="{76202DD3-6785-4DC2-9C74-1EB64F8610DC}"/>
    <cellStyle name="20% - Accent4 5 3 3" xfId="773" xr:uid="{2890C243-CD23-4B1C-A9DB-06853B5235C5}"/>
    <cellStyle name="20% - Accent4 5 4" xfId="774" xr:uid="{750C0150-81D8-4C0F-BEC3-713AD627A1C5}"/>
    <cellStyle name="20% - Accent4 5 4 2" xfId="775" xr:uid="{5504A072-A097-4AED-9565-2CD639BFD171}"/>
    <cellStyle name="20% - Accent4 5 4 2 2" xfId="776" xr:uid="{9C9562C0-C057-477C-AAC4-B9393C55DF9F}"/>
    <cellStyle name="20% - Accent4 5 4 3" xfId="777" xr:uid="{A5EBD5EC-F5CF-42D3-BD76-CD2E02E5CD48}"/>
    <cellStyle name="20% - Accent4 5 5" xfId="778" xr:uid="{E98D8DE3-DF48-4B9D-B016-41960D63DEEC}"/>
    <cellStyle name="20% - Accent4 5 5 2" xfId="779" xr:uid="{755764F9-6956-4BA8-AC48-32C760E96A53}"/>
    <cellStyle name="20% - Accent4 5 5 2 2" xfId="780" xr:uid="{48370089-3332-48F5-9995-7E7E36B48D88}"/>
    <cellStyle name="20% - Accent4 5 5 3" xfId="781" xr:uid="{A8F50320-E680-4357-AC5B-4F981A134427}"/>
    <cellStyle name="20% - Accent4 5 6" xfId="782" xr:uid="{D6362776-1017-44A2-AF37-D6BA0BB97F88}"/>
    <cellStyle name="20% - Accent4 5 6 2" xfId="783" xr:uid="{4E3CF201-DDC5-4F87-8D02-FB2CE0FA10C9}"/>
    <cellStyle name="20% - Accent4 5 6 2 2" xfId="784" xr:uid="{66FB2E62-44F3-4A62-B6AF-E5F1EB8C9CBA}"/>
    <cellStyle name="20% - Accent4 5 6 3" xfId="785" xr:uid="{9F21F455-033C-4A65-AF88-68E5727C3340}"/>
    <cellStyle name="20% - Accent4 5 7" xfId="786" xr:uid="{2D7BD85F-1FFA-4592-9DB2-D88A71FD94DB}"/>
    <cellStyle name="20% - Accent4 5 7 2" xfId="787" xr:uid="{199E61F4-91E8-41B4-AC0B-DA177815D177}"/>
    <cellStyle name="20% - Accent4 5 7 2 2" xfId="788" xr:uid="{91FCA477-604C-41FE-9D1C-4B430E3F9BE2}"/>
    <cellStyle name="20% - Accent4 5 7 3" xfId="789" xr:uid="{B9636CFF-1C72-4792-B76B-BC0EAF7DF1E7}"/>
    <cellStyle name="20% - Accent4 6" xfId="790" xr:uid="{659B9960-34B3-49EC-8433-89CFE6EB2AF3}"/>
    <cellStyle name="20% - Accent4 7" xfId="791" xr:uid="{A834CD64-9F87-4A2D-89F4-77FDA88FD50E}"/>
    <cellStyle name="20% - Accent4 8" xfId="792" xr:uid="{723F584D-F96B-4D79-B5C1-0DB38FFD3F24}"/>
    <cellStyle name="20% - Accent4 9" xfId="793" xr:uid="{00495CB6-4225-4D08-B034-6C0B7803CD75}"/>
    <cellStyle name="20% - Accent5" xfId="145" builtinId="46" customBuiltin="1"/>
    <cellStyle name="20% - Accent5 10" xfId="795" xr:uid="{A7AB6AA6-336A-4004-BBC3-DB416826FF58}"/>
    <cellStyle name="20% - Accent5 10 2" xfId="796" xr:uid="{0C517A50-60FA-4DB4-8FD5-701F24619768}"/>
    <cellStyle name="20% - Accent5 10_stratification" xfId="797" xr:uid="{1837641F-DD61-4251-8FF1-51CB8C67A9D3}"/>
    <cellStyle name="20% - Accent5 11" xfId="798" xr:uid="{9B532DD8-4ABD-410F-8A0F-E17089070080}"/>
    <cellStyle name="20% - Accent5 11 2" xfId="799" xr:uid="{624492A6-FE0F-4F89-AB8D-C8C5AE478229}"/>
    <cellStyle name="20% - Accent5 11_stratification" xfId="800" xr:uid="{51AC7367-69EB-4FAB-B1D5-5BBCABE7BA95}"/>
    <cellStyle name="20% - Accent5 12" xfId="801" xr:uid="{8DF77646-B653-4106-83CD-951D71DE82AE}"/>
    <cellStyle name="20% - Accent5 13" xfId="802" xr:uid="{A3B5F148-CBB2-4869-A951-A8FBFC6CEE90}"/>
    <cellStyle name="20% - Accent5 14" xfId="803" xr:uid="{FF48D996-B02A-472B-BAC0-EA9BB5DA3498}"/>
    <cellStyle name="20% - Accent5 15" xfId="804" xr:uid="{14717FD4-F023-4BD8-AA6E-DE9E1C8EC03A}"/>
    <cellStyle name="20% - Accent5 16" xfId="805" xr:uid="{9E570A9F-30B7-45A0-8B8A-4290084487BD}"/>
    <cellStyle name="20% - Accent5 17" xfId="806" xr:uid="{8C49266B-2E8C-4212-A8F2-055AB108F470}"/>
    <cellStyle name="20% - Accent5 18" xfId="807" xr:uid="{643C0A26-6543-4B77-84E1-42FA0F8C1156}"/>
    <cellStyle name="20% - Accent5 19" xfId="808" xr:uid="{3609E6D9-F075-4275-8FCD-52D862700C47}"/>
    <cellStyle name="20% - Accent5 2" xfId="172" xr:uid="{F58201FD-EEEF-419B-B0DC-596E4DDEF111}"/>
    <cellStyle name="20% - Accent5 2 2" xfId="810" xr:uid="{BCFEA3E6-5A02-4C19-BC73-B41F47C7FE38}"/>
    <cellStyle name="20% - Accent5 2 2 2" xfId="811" xr:uid="{7FFDCCF8-07E9-4C7D-B55B-936B384AD4CF}"/>
    <cellStyle name="20% - Accent5 2 2 2 2" xfId="812" xr:uid="{BC079F85-55EC-4FEA-9C01-ECD9E7115B76}"/>
    <cellStyle name="20% - Accent5 2 2 3" xfId="813" xr:uid="{88BD240F-A482-4265-809C-C16717E9EDF9}"/>
    <cellStyle name="20% - Accent5 2 3" xfId="814" xr:uid="{3CCB7231-E839-487D-BD6F-F3C50CC81DA1}"/>
    <cellStyle name="20% - Accent5 2 3 2" xfId="815" xr:uid="{6EBA83C9-87BA-42C2-BC3B-CCCFF2DC02F1}"/>
    <cellStyle name="20% - Accent5 2 3 2 2" xfId="816" xr:uid="{1C9C2379-0020-4098-BD25-3E7C938FD5BB}"/>
    <cellStyle name="20% - Accent5 2 3 3" xfId="817" xr:uid="{94980EB8-1B91-4490-8FAD-93B197BAAF22}"/>
    <cellStyle name="20% - Accent5 2 4" xfId="818" xr:uid="{ABC65C27-AA0C-419D-B83C-00E18CEB742B}"/>
    <cellStyle name="20% - Accent5 2 4 2" xfId="819" xr:uid="{5E0BC7C2-CFB5-4E7D-8958-9D93D6BDD871}"/>
    <cellStyle name="20% - Accent5 2 4 2 2" xfId="820" xr:uid="{50E9A9B3-1FFC-4281-AB90-6DDFC1561810}"/>
    <cellStyle name="20% - Accent5 2 4 3" xfId="821" xr:uid="{551120E6-4DBC-4AE6-94C2-BC71F5B6EA7B}"/>
    <cellStyle name="20% - Accent5 2 5" xfId="822" xr:uid="{85B7C410-C18D-43E0-ACDE-1406D3C47C81}"/>
    <cellStyle name="20% - Accent5 2 5 2" xfId="823" xr:uid="{15D2979C-6A3F-4354-942A-02C760AC7BF4}"/>
    <cellStyle name="20% - Accent5 2 5 2 2" xfId="824" xr:uid="{66A6C655-722F-4609-994D-3E457DDCCCD6}"/>
    <cellStyle name="20% - Accent5 2 5 3" xfId="825" xr:uid="{C874A35A-EFE4-4A38-A77E-E4805464E707}"/>
    <cellStyle name="20% - Accent5 2 6" xfId="826" xr:uid="{7062553A-618B-42F7-9E43-5FCF114B1EC4}"/>
    <cellStyle name="20% - Accent5 2 6 2" xfId="827" xr:uid="{0CB7DFB2-31DE-4987-B229-F78CB654DAFD}"/>
    <cellStyle name="20% - Accent5 2 6 2 2" xfId="828" xr:uid="{539132B7-C002-49EB-9C03-0D9796C2EF3C}"/>
    <cellStyle name="20% - Accent5 2 6 3" xfId="829" xr:uid="{8E3AC519-E5F4-4863-9677-F6EC28CDFA16}"/>
    <cellStyle name="20% - Accent5 2 7" xfId="830" xr:uid="{4CA05C4B-8512-4904-8976-10B9FF758335}"/>
    <cellStyle name="20% - Accent5 2 7 2" xfId="831" xr:uid="{FFC54E7D-36FC-4C15-A092-9108FAB3E780}"/>
    <cellStyle name="20% - Accent5 2 7 2 2" xfId="832" xr:uid="{17A6F662-F1FC-4075-A7CA-CAC2EC2163E2}"/>
    <cellStyle name="20% - Accent5 2 7 3" xfId="833" xr:uid="{C27685F5-BF0A-4437-92A1-0345651BBE64}"/>
    <cellStyle name="20% - Accent5 2 8" xfId="809" xr:uid="{5F7588FC-0110-4A70-8AAD-8CD494ECC4BA}"/>
    <cellStyle name="20% - Accent5 20" xfId="834" xr:uid="{8AA44D9D-BE2D-4981-BB6A-D3423301F48D}"/>
    <cellStyle name="20% - Accent5 21" xfId="835" xr:uid="{7B406145-90E6-42A5-BC8C-7C3E0694D5C6}"/>
    <cellStyle name="20% - Accent5 22" xfId="836" xr:uid="{3C7D35CD-A1FE-4480-A4A1-C7357854A56D}"/>
    <cellStyle name="20% - Accent5 23" xfId="837" xr:uid="{AEDBB4FD-4B8A-4DF8-82FC-F58BF0B7315D}"/>
    <cellStyle name="20% - Accent5 24" xfId="838" xr:uid="{C289D773-9F7B-42A6-9418-83ED723F4AA0}"/>
    <cellStyle name="20% - Accent5 25" xfId="839" xr:uid="{2F37B957-BDC1-4B17-9118-9CBF45A160B7}"/>
    <cellStyle name="20% - Accent5 26" xfId="840" xr:uid="{1000DCDC-1EA9-4481-9D83-192B237EA098}"/>
    <cellStyle name="20% - Accent5 27" xfId="841" xr:uid="{790C4726-1D6F-40C3-8841-835A87FB8DBF}"/>
    <cellStyle name="20% - Accent5 28" xfId="842" xr:uid="{2F8A54D9-C880-47FA-BA0E-E3A480946ED0}"/>
    <cellStyle name="20% - Accent5 29" xfId="843" xr:uid="{779F8380-78E9-4B86-83F4-6EF74478BB3C}"/>
    <cellStyle name="20% - Accent5 3" xfId="197" xr:uid="{76CFB14F-81A6-499D-ADEC-3A0177DFF6A2}"/>
    <cellStyle name="20% - Accent5 3 2" xfId="845" xr:uid="{E13E5AA7-4E11-4919-B51A-DF4A62DAED70}"/>
    <cellStyle name="20% - Accent5 3 2 2" xfId="846" xr:uid="{42BBE2F5-839B-4988-82FD-F850CEC1B5F3}"/>
    <cellStyle name="20% - Accent5 3 2 2 2" xfId="847" xr:uid="{A510B1B4-1F0A-45C4-A103-1A861263ED9A}"/>
    <cellStyle name="20% - Accent5 3 2 3" xfId="848" xr:uid="{231E2B27-0A81-4CF1-AB77-DB95D82FC292}"/>
    <cellStyle name="20% - Accent5 3 3" xfId="849" xr:uid="{145567ED-A3CC-4FE6-9C84-6F0A8B00687E}"/>
    <cellStyle name="20% - Accent5 3 3 2" xfId="850" xr:uid="{C451D495-0EDE-4E2E-AD96-2A842F84CF4F}"/>
    <cellStyle name="20% - Accent5 3 3 2 2" xfId="851" xr:uid="{12B9E586-3436-402B-968C-70465D3C207E}"/>
    <cellStyle name="20% - Accent5 3 3 3" xfId="852" xr:uid="{27D8FC56-6905-46A0-899D-38998FF3288A}"/>
    <cellStyle name="20% - Accent5 3 4" xfId="853" xr:uid="{F3DC66E5-08E7-4CE8-ABF5-6118AA32F091}"/>
    <cellStyle name="20% - Accent5 3 4 2" xfId="854" xr:uid="{AC7916F4-CC63-4EA4-AB8A-09AB1D35E571}"/>
    <cellStyle name="20% - Accent5 3 4 2 2" xfId="855" xr:uid="{A1F3EFBB-0D0F-4C9E-9B2F-6E9E95547B0A}"/>
    <cellStyle name="20% - Accent5 3 4 3" xfId="856" xr:uid="{8BB21C78-9995-4CB0-939E-B226C26E79ED}"/>
    <cellStyle name="20% - Accent5 3 5" xfId="857" xr:uid="{20BCC71D-1A08-491E-BFFB-31110EC45FA8}"/>
    <cellStyle name="20% - Accent5 3 5 2" xfId="858" xr:uid="{906FDDBE-CFF3-4AD0-BE60-7EF2E90453B6}"/>
    <cellStyle name="20% - Accent5 3 5 2 2" xfId="859" xr:uid="{F96977E2-74F0-4330-AF1D-D33AD0C32B29}"/>
    <cellStyle name="20% - Accent5 3 5 3" xfId="860" xr:uid="{2BD092BB-5417-49C2-A2B9-EAD8909E7763}"/>
    <cellStyle name="20% - Accent5 3 6" xfId="861" xr:uid="{194F08DB-C34B-4E17-A825-894BD3B3198A}"/>
    <cellStyle name="20% - Accent5 3 6 2" xfId="862" xr:uid="{84A25875-7B3D-41C9-81E9-09BA71E83049}"/>
    <cellStyle name="20% - Accent5 3 6 2 2" xfId="863" xr:uid="{FA9AE18D-C37F-4499-B6FA-B64A71D230D6}"/>
    <cellStyle name="20% - Accent5 3 6 3" xfId="864" xr:uid="{727D2FDA-F646-4C07-81B6-5CB8CD23ED0B}"/>
    <cellStyle name="20% - Accent5 3 7" xfId="865" xr:uid="{BF49ADB1-8197-403A-B3BF-DC9CC5315DC6}"/>
    <cellStyle name="20% - Accent5 3 7 2" xfId="866" xr:uid="{760A1DB4-AA73-4629-ABC6-AA39FABCB6B0}"/>
    <cellStyle name="20% - Accent5 3 7 2 2" xfId="867" xr:uid="{4BC0C213-1CE9-4795-9C45-E002DB2D2AA2}"/>
    <cellStyle name="20% - Accent5 3 7 3" xfId="868" xr:uid="{E4EC81F8-8582-48BA-808E-6D4E4B425592}"/>
    <cellStyle name="20% - Accent5 3 8" xfId="844" xr:uid="{AC7A0251-504D-48C5-A031-8FD2FFC6C4CE}"/>
    <cellStyle name="20% - Accent5 30" xfId="869" xr:uid="{CDF2D8C1-ADD0-4C37-A92A-5731EA66BBDA}"/>
    <cellStyle name="20% - Accent5 31" xfId="870" xr:uid="{65109094-E224-4F21-8218-BCFAD5C7604B}"/>
    <cellStyle name="20% - Accent5 32" xfId="871" xr:uid="{D65CBE71-D34E-4959-8009-451D9D663FBA}"/>
    <cellStyle name="20% - Accent5 33" xfId="872" xr:uid="{436E17FC-67AB-4BFE-BE9E-B7838C177CAC}"/>
    <cellStyle name="20% - Accent5 34" xfId="794" xr:uid="{88811A11-3461-4713-801C-2ED03B799FA6}"/>
    <cellStyle name="20% - Accent5 4" xfId="873" xr:uid="{3C0DEA7C-B0BC-441B-8D1F-8577001D5D36}"/>
    <cellStyle name="20% - Accent5 4 2" xfId="874" xr:uid="{CE617F8B-421D-471B-94E8-2500BAEFF2F6}"/>
    <cellStyle name="20% - Accent5 4 2 2" xfId="875" xr:uid="{BFD5C4D4-D359-4F1D-92DD-DAD3D44F4F50}"/>
    <cellStyle name="20% - Accent5 4 2 2 2" xfId="876" xr:uid="{F1981BB4-5DBD-45D2-B35F-BFC17DA8E89E}"/>
    <cellStyle name="20% - Accent5 4 2 3" xfId="877" xr:uid="{B6FAC42D-7A54-46DB-974C-DF8050988E05}"/>
    <cellStyle name="20% - Accent5 4 3" xfId="878" xr:uid="{02CF9F56-EDA8-4C52-8517-20A055EF28FB}"/>
    <cellStyle name="20% - Accent5 4 3 2" xfId="879" xr:uid="{73AA18C5-BFD5-4F4A-B954-4E5D1B72311B}"/>
    <cellStyle name="20% - Accent5 4 3 2 2" xfId="880" xr:uid="{937DECBC-8BE6-4E7B-8943-1224A6A2A55E}"/>
    <cellStyle name="20% - Accent5 4 3 3" xfId="881" xr:uid="{9B0D6874-247C-4D6F-8B53-F0A1F7CB1872}"/>
    <cellStyle name="20% - Accent5 4 4" xfId="882" xr:uid="{B410255B-A27E-4B66-8941-8CFF3065C926}"/>
    <cellStyle name="20% - Accent5 4 4 2" xfId="883" xr:uid="{A040E522-4A9A-4046-8956-33AE3D50C302}"/>
    <cellStyle name="20% - Accent5 4 4 2 2" xfId="884" xr:uid="{4FD8AA11-5AFE-4FAB-A725-83DDB651D678}"/>
    <cellStyle name="20% - Accent5 4 4 3" xfId="885" xr:uid="{E39E41E4-2CCC-4C30-90EC-AEC3D5786AD5}"/>
    <cellStyle name="20% - Accent5 4 5" xfId="886" xr:uid="{B685DBCC-2566-44E2-B163-1FFA3EB9B03C}"/>
    <cellStyle name="20% - Accent5 4 5 2" xfId="887" xr:uid="{AEB271AF-CE9D-467E-B3EF-14C10EDCB8AF}"/>
    <cellStyle name="20% - Accent5 4 5 2 2" xfId="888" xr:uid="{CE9D67A1-55F8-4382-9D39-7647788B9F15}"/>
    <cellStyle name="20% - Accent5 4 5 3" xfId="889" xr:uid="{F07D9B5C-2641-4D11-90AD-9728A5AA73A6}"/>
    <cellStyle name="20% - Accent5 4 6" xfId="890" xr:uid="{FDEFAF9B-1C54-432E-AD2B-4EA17829C8D9}"/>
    <cellStyle name="20% - Accent5 4 6 2" xfId="891" xr:uid="{12DB9CEE-75B2-4E8C-9A7D-2EE702F44C7A}"/>
    <cellStyle name="20% - Accent5 4 6 2 2" xfId="892" xr:uid="{72117D23-D8C5-4479-9E15-D254E2D2E1C1}"/>
    <cellStyle name="20% - Accent5 4 6 3" xfId="893" xr:uid="{5924E6DF-5D29-4E3E-B26D-83B32D2FC70F}"/>
    <cellStyle name="20% - Accent5 4 7" xfId="894" xr:uid="{A5C00FEE-72E9-4CEC-970E-925F643B565A}"/>
    <cellStyle name="20% - Accent5 4 7 2" xfId="895" xr:uid="{F8F6F746-4D4F-446E-AB4E-0118508F56FF}"/>
    <cellStyle name="20% - Accent5 4 7 2 2" xfId="896" xr:uid="{0AD8D3A0-36A3-40A4-B985-541729D35D66}"/>
    <cellStyle name="20% - Accent5 4 7 3" xfId="897" xr:uid="{269151CC-1BCC-4A70-9916-9E3C3275C5F7}"/>
    <cellStyle name="20% - Accent5 5" xfId="898" xr:uid="{4A07D97F-DC41-42B5-B9E1-F9BF4C342356}"/>
    <cellStyle name="20% - Accent5 5 2" xfId="899" xr:uid="{2B0E1580-B19E-4B4B-9CC4-3FEEF27EF79E}"/>
    <cellStyle name="20% - Accent5 5 2 2" xfId="900" xr:uid="{35D77717-7D7F-43F2-999F-D5F80E91CC32}"/>
    <cellStyle name="20% - Accent5 5 2 2 2" xfId="901" xr:uid="{0E13520F-B614-45B8-884A-D198DE8FB6AF}"/>
    <cellStyle name="20% - Accent5 5 2 3" xfId="902" xr:uid="{80F97567-9E0B-4C3F-9450-3E158FA8C3F2}"/>
    <cellStyle name="20% - Accent5 5 3" xfId="903" xr:uid="{5D8F73F0-58FC-4B2A-B204-4BF288CCD703}"/>
    <cellStyle name="20% - Accent5 5 3 2" xfId="904" xr:uid="{22A01A02-A4C0-4C77-8CE8-17F9E5D4C09E}"/>
    <cellStyle name="20% - Accent5 5 3 2 2" xfId="905" xr:uid="{7E15C26A-BAB1-49BD-8FA0-C34EDC0284F7}"/>
    <cellStyle name="20% - Accent5 5 3 3" xfId="906" xr:uid="{915CAD01-0FFC-4A81-80C2-C0A9B62E8FB8}"/>
    <cellStyle name="20% - Accent5 5 4" xfId="907" xr:uid="{AE8783B9-89AA-4ABD-8980-F82A70432E54}"/>
    <cellStyle name="20% - Accent5 5 4 2" xfId="908" xr:uid="{75BE6FD0-AC42-4DAA-8DC8-FA1C6DC3CB8D}"/>
    <cellStyle name="20% - Accent5 5 4 2 2" xfId="909" xr:uid="{1A157765-F9F2-4487-BD06-CD4596C9A160}"/>
    <cellStyle name="20% - Accent5 5 4 3" xfId="910" xr:uid="{E16C1D6F-89D3-40F1-A5A4-310EB86CB468}"/>
    <cellStyle name="20% - Accent5 5 5" xfId="911" xr:uid="{6A6E4C2D-CAE9-4E1E-B38E-92C327D44887}"/>
    <cellStyle name="20% - Accent5 5 5 2" xfId="912" xr:uid="{9BEE581F-D7C8-4F09-8E22-0884DFDE431F}"/>
    <cellStyle name="20% - Accent5 5 5 2 2" xfId="913" xr:uid="{AD38C1FD-EF5E-4930-A942-FE4CF880DDBE}"/>
    <cellStyle name="20% - Accent5 5 5 3" xfId="914" xr:uid="{B4D296CC-2EE5-437E-B527-70D18A252816}"/>
    <cellStyle name="20% - Accent5 5 6" xfId="915" xr:uid="{E67BCEF8-579A-49C4-93C2-762ECED20FF2}"/>
    <cellStyle name="20% - Accent5 5 6 2" xfId="916" xr:uid="{B20D0EF0-9576-4840-B301-18C82232F701}"/>
    <cellStyle name="20% - Accent5 5 6 2 2" xfId="917" xr:uid="{8E572168-9585-4043-9421-A95F79A5723C}"/>
    <cellStyle name="20% - Accent5 5 6 3" xfId="918" xr:uid="{2D5EC3EB-237A-4CE2-9579-41BC0AD43B0A}"/>
    <cellStyle name="20% - Accent5 5 7" xfId="919" xr:uid="{786FA57B-8A83-4969-BB40-D1C4119C82A6}"/>
    <cellStyle name="20% - Accent5 5 7 2" xfId="920" xr:uid="{0E9B9BFE-A843-4881-9347-21307DFF2E98}"/>
    <cellStyle name="20% - Accent5 5 7 2 2" xfId="921" xr:uid="{B74BEE3A-F783-48BF-8A12-C5920812F4F7}"/>
    <cellStyle name="20% - Accent5 5 7 3" xfId="922" xr:uid="{84922FC4-637C-4DA1-A858-69ECB7FD2202}"/>
    <cellStyle name="20% - Accent5 6" xfId="923" xr:uid="{7E5C9990-C9F1-4125-A5DB-94AA5093A060}"/>
    <cellStyle name="20% - Accent5 7" xfId="924" xr:uid="{69BF28F0-7776-4E67-BBDE-8C8A62D6E281}"/>
    <cellStyle name="20% - Accent5 8" xfId="925" xr:uid="{44005E0B-4736-481C-8CFA-CBC3C360B7B3}"/>
    <cellStyle name="20% - Accent5 9" xfId="926" xr:uid="{DB56707B-D776-4E57-8530-6C308ED4D639}"/>
    <cellStyle name="20% - Accent6" xfId="149" builtinId="50" customBuiltin="1"/>
    <cellStyle name="20% - Accent6 10" xfId="928" xr:uid="{6DAEA754-DD3C-478C-A821-367DF2C7AA1B}"/>
    <cellStyle name="20% - Accent6 11" xfId="929" xr:uid="{889B8F09-B193-451B-B28A-104026BEF9C5}"/>
    <cellStyle name="20% - Accent6 12" xfId="930" xr:uid="{A23A5B59-0421-4213-9DCD-72BCCB24D50F}"/>
    <cellStyle name="20% - Accent6 13" xfId="931" xr:uid="{5C9BBC51-24C4-4B46-A87D-CBF7AA26A958}"/>
    <cellStyle name="20% - Accent6 14" xfId="932" xr:uid="{AEE50223-7510-4532-B47F-E687F7343FF6}"/>
    <cellStyle name="20% - Accent6 15" xfId="933" xr:uid="{44719591-4923-4F72-955B-531441A43D39}"/>
    <cellStyle name="20% - Accent6 16" xfId="934" xr:uid="{771F3347-3478-47BC-B105-84CEBD57490C}"/>
    <cellStyle name="20% - Accent6 17" xfId="935" xr:uid="{6452F799-DB19-46AB-B338-07F8158B8B23}"/>
    <cellStyle name="20% - Accent6 18" xfId="936" xr:uid="{DB22C2EF-4D71-4EB7-B2CF-E7CC68725A67}"/>
    <cellStyle name="20% - Accent6 19" xfId="937" xr:uid="{439DB5C3-1282-4E3F-B612-8FE6CBA84CEA}"/>
    <cellStyle name="20% - Accent6 2" xfId="175" xr:uid="{4EEEDF07-57F9-410F-A4AA-B3A8D8C81E65}"/>
    <cellStyle name="20% - Accent6 2 2" xfId="939" xr:uid="{88FE0DE6-6FF5-4184-85EA-B07171BB72A7}"/>
    <cellStyle name="20% - Accent6 2 2 2" xfId="940" xr:uid="{FAC68B91-89C0-46DF-8520-4E6926CEFDE5}"/>
    <cellStyle name="20% - Accent6 2 2 2 2" xfId="941" xr:uid="{996CDA5F-5036-4459-973D-3EA4E7083480}"/>
    <cellStyle name="20% - Accent6 2 2 3" xfId="942" xr:uid="{31B937F0-9A96-4AE2-B4E7-0A9445C036D6}"/>
    <cellStyle name="20% - Accent6 2 3" xfId="943" xr:uid="{5D95BCC1-6682-4EC7-BADA-E861570B2EC9}"/>
    <cellStyle name="20% - Accent6 2 3 2" xfId="944" xr:uid="{CFD60F36-182E-4580-AF07-37BF304B9133}"/>
    <cellStyle name="20% - Accent6 2 3 2 2" xfId="945" xr:uid="{8C9528E1-E1E1-4342-8180-106C5EDBAD8C}"/>
    <cellStyle name="20% - Accent6 2 3 3" xfId="946" xr:uid="{F2A5A843-BC1E-4F86-88B6-3B3AB1B37FCD}"/>
    <cellStyle name="20% - Accent6 2 4" xfId="947" xr:uid="{AB24AFBD-3931-45CC-A8BE-EF78A9E995EB}"/>
    <cellStyle name="20% - Accent6 2 4 2" xfId="948" xr:uid="{DC997C65-E87E-4CBD-A4A4-49CC903F9547}"/>
    <cellStyle name="20% - Accent6 2 4 2 2" xfId="949" xr:uid="{F67F5915-E030-44FA-A579-06132C48214D}"/>
    <cellStyle name="20% - Accent6 2 4 3" xfId="950" xr:uid="{46E5FCF3-6B6B-4869-B636-760348EDF88F}"/>
    <cellStyle name="20% - Accent6 2 5" xfId="951" xr:uid="{5386B394-C527-49F5-AB7B-F085316F7E34}"/>
    <cellStyle name="20% - Accent6 2 5 2" xfId="952" xr:uid="{298A69A5-40E5-4C6B-B4B8-392626AE1D37}"/>
    <cellStyle name="20% - Accent6 2 5 2 2" xfId="953" xr:uid="{74B17609-88A4-4ADE-AE7A-184C51DCE0C5}"/>
    <cellStyle name="20% - Accent6 2 5 3" xfId="954" xr:uid="{D32450A4-C973-4A01-8D84-8C7DF00A7D1D}"/>
    <cellStyle name="20% - Accent6 2 6" xfId="955" xr:uid="{F2C19885-4CE2-47EF-AC2C-85A8FDD2AE3A}"/>
    <cellStyle name="20% - Accent6 2 6 2" xfId="956" xr:uid="{7F75B920-CEC4-4E98-8E83-CB1EE201F648}"/>
    <cellStyle name="20% - Accent6 2 6 2 2" xfId="957" xr:uid="{E1C19241-B055-40C0-BCAD-B335C1A33E7B}"/>
    <cellStyle name="20% - Accent6 2 6 3" xfId="958" xr:uid="{17CF152A-E832-46F8-A5B4-1C53A44F52F3}"/>
    <cellStyle name="20% - Accent6 2 7" xfId="959" xr:uid="{237A7607-A6A0-4264-8416-DB455EF63F8B}"/>
    <cellStyle name="20% - Accent6 2 7 2" xfId="960" xr:uid="{4E5F9E3C-0743-4BFD-B096-2652DA733A76}"/>
    <cellStyle name="20% - Accent6 2 7 2 2" xfId="961" xr:uid="{4B197478-3D07-4367-B76A-40315F33AE29}"/>
    <cellStyle name="20% - Accent6 2 7 3" xfId="962" xr:uid="{63468B5C-39F9-49A0-93B4-D2858D647B43}"/>
    <cellStyle name="20% - Accent6 2 8" xfId="938" xr:uid="{63FE5A4C-464F-4F11-8704-86BBE197CB62}"/>
    <cellStyle name="20% - Accent6 20" xfId="963" xr:uid="{DF30A757-D2EF-4F42-86CA-CDB62ECBF019}"/>
    <cellStyle name="20% - Accent6 21" xfId="964" xr:uid="{1D91D36F-D235-413E-995F-E0AC50EBC440}"/>
    <cellStyle name="20% - Accent6 22" xfId="965" xr:uid="{190583F4-ED19-4205-83F5-AB08EAF24DF2}"/>
    <cellStyle name="20% - Accent6 23" xfId="966" xr:uid="{3A5B0911-662F-41D5-A3FD-1A0DD110E07C}"/>
    <cellStyle name="20% - Accent6 24" xfId="967" xr:uid="{4F5166F4-0FFF-4AA4-A3A2-E0675525314B}"/>
    <cellStyle name="20% - Accent6 25" xfId="968" xr:uid="{78D50D70-BC94-42E9-9A68-781161F4EBFD}"/>
    <cellStyle name="20% - Accent6 26" xfId="969" xr:uid="{9E000AD0-BF4E-464A-806E-8E6469CE9F70}"/>
    <cellStyle name="20% - Accent6 27" xfId="970" xr:uid="{D7B55383-58A5-478E-9432-12A98571A39B}"/>
    <cellStyle name="20% - Accent6 28" xfId="971" xr:uid="{83683F72-DDD0-4B7E-9BA1-A02CF2ED9107}"/>
    <cellStyle name="20% - Accent6 29" xfId="972" xr:uid="{51CDF2D3-7D81-4053-812A-F2ACE6EB95F3}"/>
    <cellStyle name="20% - Accent6 3" xfId="200" xr:uid="{5A3DC0FD-F7CC-47AF-9505-0D6E8F73471A}"/>
    <cellStyle name="20% - Accent6 3 2" xfId="974" xr:uid="{3DBCFA21-89AA-4216-8792-FE5A8E7F2534}"/>
    <cellStyle name="20% - Accent6 3 2 2" xfId="975" xr:uid="{C3B7272D-B8F0-4D0C-A58F-AC1D4907A509}"/>
    <cellStyle name="20% - Accent6 3 2 2 2" xfId="976" xr:uid="{935D8DF8-A659-4383-BF14-BD8C3623564F}"/>
    <cellStyle name="20% - Accent6 3 2 3" xfId="977" xr:uid="{0439E315-37EB-41AB-91A3-8BFEFCBDC16F}"/>
    <cellStyle name="20% - Accent6 3 3" xfId="978" xr:uid="{1E1AAB0A-1F16-443A-A614-B8415825CA39}"/>
    <cellStyle name="20% - Accent6 3 3 2" xfId="979" xr:uid="{5118F4AC-5556-4B3D-87AB-FAAC64D42F5A}"/>
    <cellStyle name="20% - Accent6 3 3 2 2" xfId="980" xr:uid="{C8C783B9-DD67-43CD-BDD0-309FD29237D6}"/>
    <cellStyle name="20% - Accent6 3 3 3" xfId="981" xr:uid="{CA03C912-F1C2-4BB5-9EC6-D6525A50690D}"/>
    <cellStyle name="20% - Accent6 3 4" xfId="982" xr:uid="{F929850B-8D20-4278-ACB6-801FD9D3802D}"/>
    <cellStyle name="20% - Accent6 3 4 2" xfId="983" xr:uid="{D7D77381-F2ED-4EEE-AACE-00098EAF13FE}"/>
    <cellStyle name="20% - Accent6 3 4 2 2" xfId="984" xr:uid="{B9747B98-75EE-43E4-AA50-C904BB594732}"/>
    <cellStyle name="20% - Accent6 3 4 3" xfId="985" xr:uid="{6EBF8667-19D4-4453-960F-0A352E9601E9}"/>
    <cellStyle name="20% - Accent6 3 5" xfId="986" xr:uid="{475E1B3E-3155-428D-8C14-AB57D91ABDB8}"/>
    <cellStyle name="20% - Accent6 3 5 2" xfId="987" xr:uid="{4B1D7406-62A2-47E2-9F8E-AA60D9D9765F}"/>
    <cellStyle name="20% - Accent6 3 5 2 2" xfId="988" xr:uid="{FC5A43B5-DB72-4D75-9BA8-E6D6FC826158}"/>
    <cellStyle name="20% - Accent6 3 5 3" xfId="989" xr:uid="{418899E5-2D6F-440D-86BC-6D078FBF2173}"/>
    <cellStyle name="20% - Accent6 3 6" xfId="990" xr:uid="{3108D71A-083C-46B3-962B-2985CFD7BFB5}"/>
    <cellStyle name="20% - Accent6 3 6 2" xfId="991" xr:uid="{68696008-228E-45F5-B90E-E6D52F2C7FAD}"/>
    <cellStyle name="20% - Accent6 3 6 2 2" xfId="992" xr:uid="{A349B446-ADBA-4575-A79E-F66733802440}"/>
    <cellStyle name="20% - Accent6 3 6 3" xfId="993" xr:uid="{8A811035-E57A-4647-9714-F2EB431E8A09}"/>
    <cellStyle name="20% - Accent6 3 7" xfId="994" xr:uid="{07F5F9D4-9EC8-4D73-930A-C57DA13722D1}"/>
    <cellStyle name="20% - Accent6 3 7 2" xfId="995" xr:uid="{F62D6B61-D8A4-4920-A018-D70AA7D7D342}"/>
    <cellStyle name="20% - Accent6 3 7 2 2" xfId="996" xr:uid="{C62B254E-9EA3-4A02-8CBC-61BC088B2CD8}"/>
    <cellStyle name="20% - Accent6 3 7 3" xfId="997" xr:uid="{9F85729E-43E6-4444-8FA3-E2D37ACE2389}"/>
    <cellStyle name="20% - Accent6 3 8" xfId="973" xr:uid="{1DA46006-977A-433C-8D11-FF11D04C02E3}"/>
    <cellStyle name="20% - Accent6 30" xfId="998" xr:uid="{15D440BA-32C3-4E63-929A-CF43DFEE9B3A}"/>
    <cellStyle name="20% - Accent6 31" xfId="999" xr:uid="{DD71088C-335B-4924-86C9-27EAF709E7CE}"/>
    <cellStyle name="20% - Accent6 32" xfId="1000" xr:uid="{38F30502-3D32-491A-BA6D-BB8954B609FE}"/>
    <cellStyle name="20% - Accent6 33" xfId="1001" xr:uid="{4591E5D4-B17F-463F-AB22-49E664B8951A}"/>
    <cellStyle name="20% - Accent6 34" xfId="927" xr:uid="{2A947830-988A-4A9E-A854-FA2240CC2C28}"/>
    <cellStyle name="20% - Accent6 4" xfId="1002" xr:uid="{5DECBD0B-2056-4AE5-A9E9-93E3EA54F0B7}"/>
    <cellStyle name="20% - Accent6 4 2" xfId="1003" xr:uid="{BC2AC8B9-EBD6-4055-B449-0FEEE1084298}"/>
    <cellStyle name="20% - Accent6 4 2 2" xfId="1004" xr:uid="{4C54A641-56CC-4F1E-BD04-57F9B03C35E1}"/>
    <cellStyle name="20% - Accent6 4 2 2 2" xfId="1005" xr:uid="{D54CA1BA-03F2-4C8C-BA6F-5C9828F1D9D7}"/>
    <cellStyle name="20% - Accent6 4 2 3" xfId="1006" xr:uid="{813EB349-A0C0-4443-B0D8-8DAB3E9BB125}"/>
    <cellStyle name="20% - Accent6 4 3" xfId="1007" xr:uid="{145E520B-31C7-4154-84AA-418FB612ABC8}"/>
    <cellStyle name="20% - Accent6 4 3 2" xfId="1008" xr:uid="{C2A7A86B-DC65-46CA-B340-6EDB45A627EB}"/>
    <cellStyle name="20% - Accent6 4 3 2 2" xfId="1009" xr:uid="{265D5098-798A-47A1-8C3E-30B639D14A61}"/>
    <cellStyle name="20% - Accent6 4 3 3" xfId="1010" xr:uid="{06041C13-31BC-4F2C-8CC3-01D50E28A277}"/>
    <cellStyle name="20% - Accent6 4 4" xfId="1011" xr:uid="{1C51BCC1-5682-4F09-BA93-1237C982B136}"/>
    <cellStyle name="20% - Accent6 4 4 2" xfId="1012" xr:uid="{A62274F7-9E4D-4BA1-9447-7AE4ED8BC517}"/>
    <cellStyle name="20% - Accent6 4 4 2 2" xfId="1013" xr:uid="{E0E836C6-73BC-45F8-95CF-598CCF99B8E3}"/>
    <cellStyle name="20% - Accent6 4 4 3" xfId="1014" xr:uid="{40D59BC9-7C6D-4F9B-9F57-5E9A96FDB38F}"/>
    <cellStyle name="20% - Accent6 4 5" xfId="1015" xr:uid="{BCA4B598-8D99-4595-BE0C-9AD86C39F9C5}"/>
    <cellStyle name="20% - Accent6 4 5 2" xfId="1016" xr:uid="{35B5BC70-8235-4C4D-A4D6-528AFACB9824}"/>
    <cellStyle name="20% - Accent6 4 5 2 2" xfId="1017" xr:uid="{CC11F04F-D45D-415A-B138-0E2274CFE1AB}"/>
    <cellStyle name="20% - Accent6 4 5 3" xfId="1018" xr:uid="{4C798560-1584-4C87-8F5A-0A0D748273DF}"/>
    <cellStyle name="20% - Accent6 4 6" xfId="1019" xr:uid="{1B76B5FB-3C89-4900-BD2F-3E3300CE2824}"/>
    <cellStyle name="20% - Accent6 4 6 2" xfId="1020" xr:uid="{FFD3786A-4C37-4A80-800F-FBD9E2B7309A}"/>
    <cellStyle name="20% - Accent6 4 6 2 2" xfId="1021" xr:uid="{1318BB3D-AEE5-4FB0-88AF-575966C705DA}"/>
    <cellStyle name="20% - Accent6 4 6 3" xfId="1022" xr:uid="{177FCB5E-0E4C-4E62-B1A9-2286432774B5}"/>
    <cellStyle name="20% - Accent6 4 7" xfId="1023" xr:uid="{4094FCB6-5722-4130-89A3-BC7DBB083ED9}"/>
    <cellStyle name="20% - Accent6 4 7 2" xfId="1024" xr:uid="{C0DD5BBE-2647-46B7-8173-63EEB6818840}"/>
    <cellStyle name="20% - Accent6 4 7 2 2" xfId="1025" xr:uid="{E38316A4-CFE5-435D-9654-1A195A082318}"/>
    <cellStyle name="20% - Accent6 4 7 3" xfId="1026" xr:uid="{872700DA-FC85-4639-AC6C-6D9843A6F421}"/>
    <cellStyle name="20% - Accent6 5" xfId="1027" xr:uid="{48549468-6634-425D-A983-7B7219C4AE5F}"/>
    <cellStyle name="20% - Accent6 5 2" xfId="1028" xr:uid="{502CD99D-BED2-40AD-B7C9-968008E129C7}"/>
    <cellStyle name="20% - Accent6 5 2 2" xfId="1029" xr:uid="{412D08B5-80CB-489B-B796-1F09F85677FB}"/>
    <cellStyle name="20% - Accent6 5 2 2 2" xfId="1030" xr:uid="{2766112D-E572-4415-AEF2-A21E60E1F28D}"/>
    <cellStyle name="20% - Accent6 5 2 3" xfId="1031" xr:uid="{27A9EA91-DCCC-4D3C-AFEF-634835FDEAAD}"/>
    <cellStyle name="20% - Accent6 5 3" xfId="1032" xr:uid="{F95183DF-B51E-4A3C-B286-5C98586B73FD}"/>
    <cellStyle name="20% - Accent6 5 3 2" xfId="1033" xr:uid="{9BE38732-00B3-416B-BD66-B9B2F7B235F8}"/>
    <cellStyle name="20% - Accent6 5 3 2 2" xfId="1034" xr:uid="{326504E0-76E2-4B2E-A979-5CDF8402606A}"/>
    <cellStyle name="20% - Accent6 5 3 3" xfId="1035" xr:uid="{E82B2567-0D38-46C0-845B-96E0F6891610}"/>
    <cellStyle name="20% - Accent6 5 4" xfId="1036" xr:uid="{002A4CC1-1749-4FF5-BF60-311DAEE2F88C}"/>
    <cellStyle name="20% - Accent6 5 4 2" xfId="1037" xr:uid="{94A40410-67D7-4783-B21A-310C4208DA54}"/>
    <cellStyle name="20% - Accent6 5 4 2 2" xfId="1038" xr:uid="{6967F165-AAE8-4212-B252-A1266C855CEA}"/>
    <cellStyle name="20% - Accent6 5 4 3" xfId="1039" xr:uid="{98AC2E00-7019-4EF5-9F17-4728707F9D03}"/>
    <cellStyle name="20% - Accent6 5 5" xfId="1040" xr:uid="{B65010F3-08FD-4EAE-A87B-4EA5607633B3}"/>
    <cellStyle name="20% - Accent6 5 5 2" xfId="1041" xr:uid="{00BCBD7D-855E-4C31-BD2D-2D69B29FE855}"/>
    <cellStyle name="20% - Accent6 5 5 2 2" xfId="1042" xr:uid="{DB8F1FEA-8D88-41C5-B7F0-93B0F3AB77C0}"/>
    <cellStyle name="20% - Accent6 5 5 3" xfId="1043" xr:uid="{E216F5E7-C4D8-4CB8-B339-291B7BFB3998}"/>
    <cellStyle name="20% - Accent6 5 6" xfId="1044" xr:uid="{73D21520-F255-408A-84ED-3F5534901415}"/>
    <cellStyle name="20% - Accent6 5 6 2" xfId="1045" xr:uid="{A252697B-CE85-4AB3-8E7F-A55FFC3D42E1}"/>
    <cellStyle name="20% - Accent6 5 6 2 2" xfId="1046" xr:uid="{25E37602-7941-4AC5-90AD-75ADA2F0DD62}"/>
    <cellStyle name="20% - Accent6 5 6 3" xfId="1047" xr:uid="{642BC54D-943F-4402-A223-515BA57172B1}"/>
    <cellStyle name="20% - Accent6 5 7" xfId="1048" xr:uid="{536D5EE1-D276-4E41-8B79-12DF6A6C6EA5}"/>
    <cellStyle name="20% - Accent6 5 7 2" xfId="1049" xr:uid="{A53D25ED-8F7B-4A3E-B6C0-9A62FB481C94}"/>
    <cellStyle name="20% - Accent6 5 7 2 2" xfId="1050" xr:uid="{B4DA167B-D5CF-41FA-BF72-29B6066BE111}"/>
    <cellStyle name="20% - Accent6 5 7 3" xfId="1051" xr:uid="{D3963185-5077-446F-84BA-B9C590AA3778}"/>
    <cellStyle name="20% - Accent6 6" xfId="1052" xr:uid="{AE614871-CF0B-49A5-9688-FC4144E8EF3F}"/>
    <cellStyle name="20% - Accent6 7" xfId="1053" xr:uid="{77CEED83-456D-43D4-B0C0-BCA6A41847AD}"/>
    <cellStyle name="20% - Accent6 8" xfId="1054" xr:uid="{CFC8BADD-63C3-4B63-B46D-A263B660E24A}"/>
    <cellStyle name="20% - Accent6 9" xfId="1055" xr:uid="{CCA8FE30-48D4-4FCF-AC85-ECD6DD626240}"/>
    <cellStyle name="20% - Akzent1" xfId="1056" xr:uid="{064780C3-860A-416F-9E4E-5D1BF815CA6D}"/>
    <cellStyle name="20% - Akzent2" xfId="1057" xr:uid="{108C78AC-6D94-496B-969F-805A842B95B1}"/>
    <cellStyle name="20% - Akzent3" xfId="1058" xr:uid="{30EF6402-0C6A-4D2E-A46A-1F0A14E6C778}"/>
    <cellStyle name="20% - Akzent4" xfId="1059" xr:uid="{E6879EE1-2E68-4B59-A76E-12050C341AED}"/>
    <cellStyle name="20% - Akzent5" xfId="1060" xr:uid="{D6811E15-52B9-4F79-A69E-437CC204B2D3}"/>
    <cellStyle name="20% - Akzent6" xfId="1061" xr:uid="{EB9590AA-9419-4ECD-B48F-FBCB7D4D59CD}"/>
    <cellStyle name="20% - Colore 1" xfId="1062" xr:uid="{FF8B8AE8-2A26-4E0E-BE16-67A84FFA2D4E}"/>
    <cellStyle name="20% - Colore 2" xfId="1063" xr:uid="{61CA0587-B906-49CD-B157-63F42799DCAC}"/>
    <cellStyle name="20% - Colore 3" xfId="1064" xr:uid="{851F6DB5-A4E5-4775-9F4D-9CE792B1A89D}"/>
    <cellStyle name="20% - Colore 4" xfId="1065" xr:uid="{6492641C-036E-43C7-B172-23D9647DD24B}"/>
    <cellStyle name="20% - Colore 5" xfId="1066" xr:uid="{BA100DCD-1172-4DD2-8CFB-FF12D94E1415}"/>
    <cellStyle name="20% - Colore 6" xfId="1067" xr:uid="{7C9B7AFD-6641-4E76-85C9-C2D67169C018}"/>
    <cellStyle name="20% - Énfasis1" xfId="1068" xr:uid="{4119D205-10FD-4CDD-8E67-F8EBB104CA69}"/>
    <cellStyle name="20% - Énfasis2" xfId="1069" xr:uid="{82BA6184-4AF8-4007-865B-C2765CC820A5}"/>
    <cellStyle name="20% - Énfasis3" xfId="1070" xr:uid="{0643EDE2-AAD5-4FDB-A46B-54F71EAFDDBC}"/>
    <cellStyle name="20% - Énfasis4" xfId="1071" xr:uid="{AF2C5123-A3FD-4D3A-8942-E0A8E8B90D32}"/>
    <cellStyle name="20% - Énfasis5" xfId="1072" xr:uid="{31ACF73C-364C-4E96-8407-6390F94C4B91}"/>
    <cellStyle name="20% - Énfasis6" xfId="1073" xr:uid="{AB306C4E-E101-4571-AECD-247C66AB50C1}"/>
    <cellStyle name="40 % - Accent1 2" xfId="1074" xr:uid="{17434906-F44D-4D8C-B67D-5ADB76997C9A}"/>
    <cellStyle name="40 % - Accent1 3" xfId="1075" xr:uid="{32C58B0A-D7F5-4F2A-A991-7F329F06BB39}"/>
    <cellStyle name="40 % - Accent2 2" xfId="1076" xr:uid="{17855BFD-DBFE-4212-8256-622AABDA7456}"/>
    <cellStyle name="40 % - Accent2 3" xfId="1077" xr:uid="{98F7D920-390F-4F0F-8562-509C59DA3AF5}"/>
    <cellStyle name="40 % - Accent3 2" xfId="1078" xr:uid="{E5B552C7-AB1B-4513-946A-F4C7CE537EF6}"/>
    <cellStyle name="40 % - Accent3 3" xfId="1079" xr:uid="{829E281A-7DDD-4721-8E44-9BBC414F6553}"/>
    <cellStyle name="40 % - Accent4 2" xfId="1080" xr:uid="{754FDD97-3069-4505-85D7-39D2B3BB4331}"/>
    <cellStyle name="40 % - Accent4 3" xfId="1081" xr:uid="{2F38824F-0E7C-4C10-AE5A-56B92CA20816}"/>
    <cellStyle name="40 % - Accent5 2" xfId="1082" xr:uid="{ECE1C426-CE72-4A58-A03B-6CF66E4053CD}"/>
    <cellStyle name="40 % - Accent5 3" xfId="1083" xr:uid="{3CF0C743-B132-495A-AB35-0756C4BC9B4E}"/>
    <cellStyle name="40 % - Accent6 2" xfId="1084" xr:uid="{5C6105AD-D503-4342-980C-3D490199650A}"/>
    <cellStyle name="40 % - Accent6 3" xfId="1085" xr:uid="{689740DC-1CE1-4B04-AF98-F6E5A9B317AF}"/>
    <cellStyle name="40% - Accent1" xfId="130" builtinId="31" customBuiltin="1"/>
    <cellStyle name="40% - Accent1 10" xfId="1087" xr:uid="{A929487B-86F4-40AC-97FD-47C81C7F737A}"/>
    <cellStyle name="40% - Accent1 11" xfId="1088" xr:uid="{2BFD3F07-4588-49A3-9DE2-D641ACDF4EEC}"/>
    <cellStyle name="40% - Accent1 12" xfId="1089" xr:uid="{98458AD0-F1AE-4466-A627-9C39C705E325}"/>
    <cellStyle name="40% - Accent1 13" xfId="1090" xr:uid="{6514951D-9F15-40CB-9AE2-2A6BA22C727A}"/>
    <cellStyle name="40% - Accent1 14" xfId="1091" xr:uid="{83557B9A-7624-4A8B-8F87-8B474187ACF5}"/>
    <cellStyle name="40% - Accent1 15" xfId="1092" xr:uid="{5A639188-E444-4E2D-B6AD-98DF865D693B}"/>
    <cellStyle name="40% - Accent1 16" xfId="1093" xr:uid="{8AA478A7-F208-46B0-AB8E-C6014705DC94}"/>
    <cellStyle name="40% - Accent1 17" xfId="1094" xr:uid="{3771D083-72CF-46D5-8B17-717A726FBBDC}"/>
    <cellStyle name="40% - Accent1 18" xfId="1095" xr:uid="{44180BAC-6EE7-4ADB-AA79-CCA9BB6BB013}"/>
    <cellStyle name="40% - Accent1 19" xfId="1096" xr:uid="{95018DC2-26E6-4034-B50C-936D9E9E53E0}"/>
    <cellStyle name="40% - Accent1 2" xfId="161" xr:uid="{B9E8A570-4AC4-4684-8CD2-E93FC9E741BA}"/>
    <cellStyle name="40% - Accent1 2 2" xfId="1098" xr:uid="{F0822BFF-B3CA-4992-88CB-BDCA02C2BD9B}"/>
    <cellStyle name="40% - Accent1 2 2 2" xfId="1099" xr:uid="{C51B2318-C938-4807-A4BB-AC18ED4877E6}"/>
    <cellStyle name="40% - Accent1 2 2 2 2" xfId="1100" xr:uid="{062C21D8-7D15-4403-BFC9-5B9ED2E4169B}"/>
    <cellStyle name="40% - Accent1 2 2 3" xfId="1101" xr:uid="{B8935E82-B03B-4DB5-976F-1C7D97ABA520}"/>
    <cellStyle name="40% - Accent1 2 3" xfId="1102" xr:uid="{05203688-C1C4-4CCC-B99F-3673FD58DAB1}"/>
    <cellStyle name="40% - Accent1 2 3 2" xfId="1103" xr:uid="{A93166D7-545A-4D91-A65E-12C161E22188}"/>
    <cellStyle name="40% - Accent1 2 3 2 2" xfId="1104" xr:uid="{758351B6-26DC-48A9-858A-4878B806F2C0}"/>
    <cellStyle name="40% - Accent1 2 3 3" xfId="1105" xr:uid="{A6C698AA-A0E7-4D0D-868D-703B4CE697D1}"/>
    <cellStyle name="40% - Accent1 2 4" xfId="1106" xr:uid="{1550E955-6E78-46CE-A568-C7F3FF96DC9D}"/>
    <cellStyle name="40% - Accent1 2 4 2" xfId="1107" xr:uid="{03CC3786-38B8-4594-9DD5-6341F4302F53}"/>
    <cellStyle name="40% - Accent1 2 4 2 2" xfId="1108" xr:uid="{59FE99E7-567F-49F4-9018-00F1C368F177}"/>
    <cellStyle name="40% - Accent1 2 4 3" xfId="1109" xr:uid="{F3478E9D-3384-4CB2-BEC5-A94921B01512}"/>
    <cellStyle name="40% - Accent1 2 5" xfId="1110" xr:uid="{80A5F540-9816-4917-A2DA-1F191B5B3B88}"/>
    <cellStyle name="40% - Accent1 2 5 2" xfId="1111" xr:uid="{5E6A346A-8C32-4533-8B06-D76C7F90F5EC}"/>
    <cellStyle name="40% - Accent1 2 5 2 2" xfId="1112" xr:uid="{26578DC7-DB1E-4E4D-8521-51C624C10408}"/>
    <cellStyle name="40% - Accent1 2 5 3" xfId="1113" xr:uid="{FA7FE699-9018-405B-A9F3-0491A24B19F3}"/>
    <cellStyle name="40% - Accent1 2 6" xfId="1114" xr:uid="{92541EEB-99B3-44F4-8C2B-B858DB7A8F96}"/>
    <cellStyle name="40% - Accent1 2 6 2" xfId="1115" xr:uid="{726718C8-DFE0-4F7B-BB3D-B7DF7639EC99}"/>
    <cellStyle name="40% - Accent1 2 6 2 2" xfId="1116" xr:uid="{38D8B706-3E5A-43DF-A6E1-D347DD8C4DD7}"/>
    <cellStyle name="40% - Accent1 2 6 3" xfId="1117" xr:uid="{86439E26-A13D-4A46-B355-27B3FB69E2F2}"/>
    <cellStyle name="40% - Accent1 2 7" xfId="1118" xr:uid="{0E4D0A3C-7792-4C4E-B11F-909AE135130B}"/>
    <cellStyle name="40% - Accent1 2 7 2" xfId="1119" xr:uid="{85FDD938-56DD-4E53-BC5A-059CC7AFB029}"/>
    <cellStyle name="40% - Accent1 2 7 2 2" xfId="1120" xr:uid="{BE138143-2478-43DE-A5EE-D84C04F3B907}"/>
    <cellStyle name="40% - Accent1 2 7 3" xfId="1121" xr:uid="{601E9BFB-99BE-482F-9EE9-E3BE6D764E64}"/>
    <cellStyle name="40% - Accent1 2 8" xfId="1097" xr:uid="{6F40A808-D254-4D79-B7D5-BB7F50890685}"/>
    <cellStyle name="40% - Accent1 20" xfId="1122" xr:uid="{832C963A-B822-4FD4-B517-D2854BEAB50B}"/>
    <cellStyle name="40% - Accent1 21" xfId="1123" xr:uid="{A2381E78-CA13-455F-B1DD-96CB83BFC73B}"/>
    <cellStyle name="40% - Accent1 22" xfId="1124" xr:uid="{7B94D487-5E49-451F-A16E-5ACF40DC9AD0}"/>
    <cellStyle name="40% - Accent1 23" xfId="1125" xr:uid="{3EA7780F-1AF6-4027-A695-E3D78681DF9E}"/>
    <cellStyle name="40% - Accent1 24" xfId="1126" xr:uid="{91845181-F146-4962-A62A-EF6E8789EC5B}"/>
    <cellStyle name="40% - Accent1 25" xfId="1127" xr:uid="{C2A3FA2E-3B21-4C3A-9A27-77034FED7825}"/>
    <cellStyle name="40% - Accent1 26" xfId="1128" xr:uid="{01384513-F488-45D4-8B28-0C7064885D5D}"/>
    <cellStyle name="40% - Accent1 27" xfId="1129" xr:uid="{B6BDEE45-B5DE-46A6-A2CA-AAFAAE77DA1E}"/>
    <cellStyle name="40% - Accent1 28" xfId="1130" xr:uid="{2E566780-F750-42E9-BA47-9E48FDDA51FF}"/>
    <cellStyle name="40% - Accent1 29" xfId="1131" xr:uid="{4AFAA309-2D82-4E23-A951-60351C5F1FB1}"/>
    <cellStyle name="40% - Accent1 3" xfId="186" xr:uid="{79111BAA-D693-4D56-A935-42EE20DFAF46}"/>
    <cellStyle name="40% - Accent1 3 2" xfId="1133" xr:uid="{99FBAF7B-1408-4917-B9B7-92926BEB2CF4}"/>
    <cellStyle name="40% - Accent1 3 2 2" xfId="1134" xr:uid="{AE15827B-E769-4649-9B90-51BA0186FCB6}"/>
    <cellStyle name="40% - Accent1 3 2 2 2" xfId="1135" xr:uid="{0F565EB4-B2BB-46B2-8F3E-1489CC4B105F}"/>
    <cellStyle name="40% - Accent1 3 2 3" xfId="1136" xr:uid="{689DE8E2-E28D-43A4-B99C-33879E20356B}"/>
    <cellStyle name="40% - Accent1 3 3" xfId="1137" xr:uid="{8D278BF0-7281-4D45-A2D2-D57119F4BC5E}"/>
    <cellStyle name="40% - Accent1 3 3 2" xfId="1138" xr:uid="{B7D6A3A0-7414-4BE6-BB5B-48365F6FA483}"/>
    <cellStyle name="40% - Accent1 3 3 2 2" xfId="1139" xr:uid="{A85E23FC-9073-4E54-B9EA-B970B0FE2AF7}"/>
    <cellStyle name="40% - Accent1 3 3 3" xfId="1140" xr:uid="{40346A9A-7FBC-4AF0-93B2-7C70505490BF}"/>
    <cellStyle name="40% - Accent1 3 4" xfId="1141" xr:uid="{AD2AE6CF-05A6-4578-BF83-39F2F0042839}"/>
    <cellStyle name="40% - Accent1 3 4 2" xfId="1142" xr:uid="{48B39312-F2DD-45A2-8164-E8AFFDCB4ADD}"/>
    <cellStyle name="40% - Accent1 3 4 2 2" xfId="1143" xr:uid="{25A60EFC-9EDC-4489-8E5D-85C33223E629}"/>
    <cellStyle name="40% - Accent1 3 4 3" xfId="1144" xr:uid="{99EDBA53-B4EA-4865-BA0B-B75CB00108D1}"/>
    <cellStyle name="40% - Accent1 3 5" xfId="1145" xr:uid="{3EB2F09F-64F7-436A-A618-F9816913FC4F}"/>
    <cellStyle name="40% - Accent1 3 5 2" xfId="1146" xr:uid="{381B42A5-505A-4459-B9F2-5A0C302DCE30}"/>
    <cellStyle name="40% - Accent1 3 5 2 2" xfId="1147" xr:uid="{D4F57142-90B7-411E-A3FB-E29FA37660F5}"/>
    <cellStyle name="40% - Accent1 3 5 3" xfId="1148" xr:uid="{5E681DB4-FFAE-48AF-874A-BE2F2EB8F151}"/>
    <cellStyle name="40% - Accent1 3 6" xfId="1149" xr:uid="{5F9302EC-C21B-4A0A-99B1-B78966B4BCBC}"/>
    <cellStyle name="40% - Accent1 3 6 2" xfId="1150" xr:uid="{2AC92714-F1FF-4450-9F6F-10EC41831B90}"/>
    <cellStyle name="40% - Accent1 3 6 2 2" xfId="1151" xr:uid="{5E37A8D3-6713-4592-B2B2-51318A31007D}"/>
    <cellStyle name="40% - Accent1 3 6 3" xfId="1152" xr:uid="{A3D9E8F7-0330-40EB-988D-A99926A35E4C}"/>
    <cellStyle name="40% - Accent1 3 7" xfId="1153" xr:uid="{B04A9E31-804C-46C8-88C4-A63BAE349D27}"/>
    <cellStyle name="40% - Accent1 3 7 2" xfId="1154" xr:uid="{B6EEFBC1-944B-4421-B8A1-4E1C7B30DC84}"/>
    <cellStyle name="40% - Accent1 3 7 2 2" xfId="1155" xr:uid="{A940831E-4498-45FC-B80F-EAC174A61436}"/>
    <cellStyle name="40% - Accent1 3 7 3" xfId="1156" xr:uid="{433C1BF3-93FD-45F3-8187-1948C02D563A}"/>
    <cellStyle name="40% - Accent1 3 8" xfId="1132" xr:uid="{D1C53ECC-13D3-471D-ABEA-E4CE17FC050B}"/>
    <cellStyle name="40% - Accent1 30" xfId="1157" xr:uid="{6079472C-5A71-407E-A43B-4FF99BF4813A}"/>
    <cellStyle name="40% - Accent1 31" xfId="1158" xr:uid="{2A585D31-E359-41BE-892B-796E11584A95}"/>
    <cellStyle name="40% - Accent1 32" xfId="1159" xr:uid="{65E74780-651B-450C-9D19-B2E1EE46A124}"/>
    <cellStyle name="40% - Accent1 33" xfId="1160" xr:uid="{F98A75E9-68F8-4F18-9ABD-3A87A2B11FFD}"/>
    <cellStyle name="40% - Accent1 34" xfId="1086" xr:uid="{A38215B2-E906-4AC8-8AD8-CFE2D1F055BF}"/>
    <cellStyle name="40% - Accent1 4" xfId="1161" xr:uid="{3C44DD66-7214-440E-8C86-83714A48B589}"/>
    <cellStyle name="40% - Accent1 4 2" xfId="1162" xr:uid="{C223118B-48C9-4E17-B28A-16C57DECCE0C}"/>
    <cellStyle name="40% - Accent1 4 2 2" xfId="1163" xr:uid="{054F600B-AC9A-427B-B171-721F9DEF8D92}"/>
    <cellStyle name="40% - Accent1 4 2 2 2" xfId="1164" xr:uid="{F7615FF5-CF95-46FE-8BC5-64315D462597}"/>
    <cellStyle name="40% - Accent1 4 2 3" xfId="1165" xr:uid="{2BBE3943-31AB-4D66-95D3-BA8B707D1F8C}"/>
    <cellStyle name="40% - Accent1 4 3" xfId="1166" xr:uid="{37A1D566-F92F-4EC9-96C8-9C6624C4A7E0}"/>
    <cellStyle name="40% - Accent1 4 3 2" xfId="1167" xr:uid="{87171937-640E-4D9A-BC43-825F4D7AE500}"/>
    <cellStyle name="40% - Accent1 4 3 2 2" xfId="1168" xr:uid="{757935B2-E0CA-4728-98DC-F1B651314E9F}"/>
    <cellStyle name="40% - Accent1 4 3 3" xfId="1169" xr:uid="{D59AE349-2D50-4F32-8C87-82F4AC0B0502}"/>
    <cellStyle name="40% - Accent1 4 4" xfId="1170" xr:uid="{77B86E1F-AE3D-417E-88F0-A48853EFD0ED}"/>
    <cellStyle name="40% - Accent1 4 4 2" xfId="1171" xr:uid="{67E48325-1FB1-4C9D-9F30-6BC153735287}"/>
    <cellStyle name="40% - Accent1 4 4 2 2" xfId="1172" xr:uid="{67E36D08-9B03-46D6-B2B5-7251E0C7A489}"/>
    <cellStyle name="40% - Accent1 4 4 3" xfId="1173" xr:uid="{F33A5D24-B3F1-4B7C-B894-E8F482929E71}"/>
    <cellStyle name="40% - Accent1 4 5" xfId="1174" xr:uid="{F6CABC29-AEA7-4B13-A730-4E929A139F1B}"/>
    <cellStyle name="40% - Accent1 4 5 2" xfId="1175" xr:uid="{8B57C360-A8F0-49AF-9C6D-9358DA07A84D}"/>
    <cellStyle name="40% - Accent1 4 5 2 2" xfId="1176" xr:uid="{C37B3868-9F16-42DF-A625-AA3708646876}"/>
    <cellStyle name="40% - Accent1 4 5 3" xfId="1177" xr:uid="{61089C5D-318D-429C-9576-678456C4750A}"/>
    <cellStyle name="40% - Accent1 4 6" xfId="1178" xr:uid="{7688EEBF-8A72-4422-B540-3794EAD6B300}"/>
    <cellStyle name="40% - Accent1 4 6 2" xfId="1179" xr:uid="{A7908EAC-DA6D-48E9-8172-0AE51405A4CC}"/>
    <cellStyle name="40% - Accent1 4 6 2 2" xfId="1180" xr:uid="{E8E53DCD-BED4-4AA0-AC78-5213C4187DC9}"/>
    <cellStyle name="40% - Accent1 4 6 3" xfId="1181" xr:uid="{5FE4EF01-937B-48F5-BB7C-1AEFF723B266}"/>
    <cellStyle name="40% - Accent1 4 7" xfId="1182" xr:uid="{69D32835-5A1B-4E6C-BFB0-721BFF6C9A58}"/>
    <cellStyle name="40% - Accent1 4 7 2" xfId="1183" xr:uid="{618A41EC-8735-4B79-BBE4-9ACF5F6B37FC}"/>
    <cellStyle name="40% - Accent1 4 7 2 2" xfId="1184" xr:uid="{F550690B-4228-4FDE-A15D-84BEFBEAC417}"/>
    <cellStyle name="40% - Accent1 4 7 3" xfId="1185" xr:uid="{FEBE508C-9D01-48A9-B969-6B4A89E4CCE0}"/>
    <cellStyle name="40% - Accent1 5" xfId="1186" xr:uid="{B2659F23-8514-4A8B-83D7-132B637F1578}"/>
    <cellStyle name="40% - Accent1 5 2" xfId="1187" xr:uid="{5E622904-EF37-436C-BE8B-6E1FDEA7911D}"/>
    <cellStyle name="40% - Accent1 5 2 2" xfId="1188" xr:uid="{EF30180B-F029-4030-A27B-68EDCBC71C23}"/>
    <cellStyle name="40% - Accent1 5 2 2 2" xfId="1189" xr:uid="{7C063832-8CFC-445A-BA72-989DC9F4D37C}"/>
    <cellStyle name="40% - Accent1 5 2 3" xfId="1190" xr:uid="{5BB38533-A60F-4D85-8DD0-BA6E86869816}"/>
    <cellStyle name="40% - Accent1 5 3" xfId="1191" xr:uid="{E9E8A7CF-C735-4578-8FFC-E0F8E72E15D8}"/>
    <cellStyle name="40% - Accent1 5 3 2" xfId="1192" xr:uid="{8AAACD8E-E3EB-4563-81D6-C6E76149CF76}"/>
    <cellStyle name="40% - Accent1 5 3 2 2" xfId="1193" xr:uid="{954F3B35-8255-4DDA-9A0E-8C14AD04B382}"/>
    <cellStyle name="40% - Accent1 5 3 3" xfId="1194" xr:uid="{8E09B041-E8BF-4C37-8BF1-0475A1D6E661}"/>
    <cellStyle name="40% - Accent1 5 4" xfId="1195" xr:uid="{EF353FC1-08E4-484D-A1B3-F5F8130265B3}"/>
    <cellStyle name="40% - Accent1 5 4 2" xfId="1196" xr:uid="{23D95A65-BD46-4307-BACF-191013EB750A}"/>
    <cellStyle name="40% - Accent1 5 4 2 2" xfId="1197" xr:uid="{A9C5BC5F-9150-4C37-BE23-346A885D3DD5}"/>
    <cellStyle name="40% - Accent1 5 4 3" xfId="1198" xr:uid="{8BE8FF7E-0A78-4A0A-8B94-8B72FC1111D9}"/>
    <cellStyle name="40% - Accent1 5 5" xfId="1199" xr:uid="{B647DFAC-8015-414A-93DF-90AE5ECFD6A4}"/>
    <cellStyle name="40% - Accent1 5 5 2" xfId="1200" xr:uid="{DBCA1947-8D53-4D6B-8BBF-D7D803CFA673}"/>
    <cellStyle name="40% - Accent1 5 5 2 2" xfId="1201" xr:uid="{AF3BAF77-FC32-4355-866E-AC4E565BD4AF}"/>
    <cellStyle name="40% - Accent1 5 5 3" xfId="1202" xr:uid="{4F20B95A-8E7F-414D-ABC2-67C5542DBB44}"/>
    <cellStyle name="40% - Accent1 5 6" xfId="1203" xr:uid="{E50F67F2-2E9E-4FA0-93B9-455D3022E198}"/>
    <cellStyle name="40% - Accent1 5 6 2" xfId="1204" xr:uid="{A43F2CCC-5DCA-4DE5-B470-C515671ABBF4}"/>
    <cellStyle name="40% - Accent1 5 6 2 2" xfId="1205" xr:uid="{56E74FCB-CBF4-4A24-8226-BEE588E9BA9F}"/>
    <cellStyle name="40% - Accent1 5 6 3" xfId="1206" xr:uid="{967BF39C-DD82-48EC-9FB8-9FC353FFF7A2}"/>
    <cellStyle name="40% - Accent1 5 7" xfId="1207" xr:uid="{4436BF3C-E543-46D5-BB0B-C2C241E23D2A}"/>
    <cellStyle name="40% - Accent1 5 7 2" xfId="1208" xr:uid="{CCFA866C-615F-4F80-A1A4-A9B895DF6511}"/>
    <cellStyle name="40% - Accent1 5 7 2 2" xfId="1209" xr:uid="{2D051EE3-00A9-4A43-BF43-F9DAB0118B60}"/>
    <cellStyle name="40% - Accent1 5 7 3" xfId="1210" xr:uid="{D57DC9F8-684D-4DE0-81C8-1C9A57BF7A2C}"/>
    <cellStyle name="40% - Accent1 6" xfId="1211" xr:uid="{36DFD7FB-49F7-4636-ABB2-E4D378BD656D}"/>
    <cellStyle name="40% - Accent1 7" xfId="1212" xr:uid="{A1B9628F-18B4-4D67-B3C0-55A3B416D4CB}"/>
    <cellStyle name="40% - Accent1 8" xfId="1213" xr:uid="{CA9B5D16-A6A4-4980-8328-F4D93CD5AA81}"/>
    <cellStyle name="40% - Accent1 9" xfId="1214" xr:uid="{22603CBC-2809-4E71-8F90-9DB9D879D2EE}"/>
    <cellStyle name="40% - Accent2" xfId="134" builtinId="35" customBuiltin="1"/>
    <cellStyle name="40% - Accent2 10" xfId="1216" xr:uid="{544F15AB-4925-42C3-9D3D-BFB26AE7EE1C}"/>
    <cellStyle name="40% - Accent2 11" xfId="1217" xr:uid="{29CF215F-6044-4A9C-884D-1D32323E114E}"/>
    <cellStyle name="40% - Accent2 12" xfId="1218" xr:uid="{D04B4988-5D2B-45F9-9A7D-E4935F85229B}"/>
    <cellStyle name="40% - Accent2 13" xfId="1219" xr:uid="{BC560E34-0E2A-4DB1-BA05-E9C50EC7CBE2}"/>
    <cellStyle name="40% - Accent2 14" xfId="1220" xr:uid="{B5818EA3-F3C3-45F2-9004-246D35AFD4E7}"/>
    <cellStyle name="40% - Accent2 15" xfId="1221" xr:uid="{5F7ABF68-7E26-458B-80BB-F62CA2B08584}"/>
    <cellStyle name="40% - Accent2 16" xfId="1222" xr:uid="{E2484554-5A74-4E1D-8388-FAF5EC6F9D32}"/>
    <cellStyle name="40% - Accent2 17" xfId="1223" xr:uid="{A7C3D464-CDA8-404A-9BA6-E425B621968F}"/>
    <cellStyle name="40% - Accent2 18" xfId="1224" xr:uid="{8C87C98F-E6A7-4B8E-B9AA-44725B7F721F}"/>
    <cellStyle name="40% - Accent2 19" xfId="1225" xr:uid="{CD843A06-8817-4CCF-8527-535EFFA89887}"/>
    <cellStyle name="40% - Accent2 2" xfId="164" xr:uid="{52460BB6-AF4D-4DCD-A1DF-EBE82F7EF773}"/>
    <cellStyle name="40% - Accent2 2 2" xfId="1226" xr:uid="{07C17472-EACA-4F98-B797-A6E41DA8D308}"/>
    <cellStyle name="40% - Accent2 20" xfId="1227" xr:uid="{BAAE95C3-52A5-4764-AD8A-08A63EFCBF1B}"/>
    <cellStyle name="40% - Accent2 21" xfId="1228" xr:uid="{CE64822E-CED1-4358-889E-F23FEA426849}"/>
    <cellStyle name="40% - Accent2 22" xfId="1229" xr:uid="{1A3C9366-97FE-46F0-ABFF-C5AF21C3D5CB}"/>
    <cellStyle name="40% - Accent2 23" xfId="1230" xr:uid="{B4474DDD-B770-4774-9D7A-85835A3E9BC7}"/>
    <cellStyle name="40% - Accent2 24" xfId="1231" xr:uid="{F9DF8A99-FB1F-42F7-BBDA-3B75A62195C5}"/>
    <cellStyle name="40% - Accent2 25" xfId="1232" xr:uid="{804ACABC-BA86-43AB-9677-2901824C27BB}"/>
    <cellStyle name="40% - Accent2 26" xfId="1233" xr:uid="{EF4E2987-49F3-4DB1-A544-B50C3B70F0F7}"/>
    <cellStyle name="40% - Accent2 27" xfId="1234" xr:uid="{0C2A1F23-8C9F-4716-8731-FBE77A2F908E}"/>
    <cellStyle name="40% - Accent2 28" xfId="1235" xr:uid="{01BAC470-2216-438D-AB6F-C093FA4F451E}"/>
    <cellStyle name="40% - Accent2 29" xfId="1236" xr:uid="{5DAF7D1D-F775-4675-9CED-793B7316004D}"/>
    <cellStyle name="40% - Accent2 3" xfId="189" xr:uid="{F29E2E6A-820F-4CED-BF8C-E415B4FE5C2C}"/>
    <cellStyle name="40% - Accent2 3 2" xfId="1237" xr:uid="{3263260E-563D-4097-B78E-BC0E0F13EACD}"/>
    <cellStyle name="40% - Accent2 30" xfId="1238" xr:uid="{2D0583F5-D7B5-4AB9-977D-2FD136A97911}"/>
    <cellStyle name="40% - Accent2 31" xfId="1239" xr:uid="{E7CC246A-A3AC-41EB-9580-24DE0AA53BE6}"/>
    <cellStyle name="40% - Accent2 32" xfId="1240" xr:uid="{48604859-454E-4C92-91F0-7274A31E2DD8}"/>
    <cellStyle name="40% - Accent2 33" xfId="1241" xr:uid="{FFBDBB8C-9BB5-49FE-B64B-19EE5F87419D}"/>
    <cellStyle name="40% - Accent2 34" xfId="1215" xr:uid="{FA79E7C4-C641-416E-954C-4438E8613545}"/>
    <cellStyle name="40% - Accent2 4" xfId="1242" xr:uid="{FD666636-52F9-4C7C-8DD8-05F2D8595316}"/>
    <cellStyle name="40% - Accent2 5" xfId="1243" xr:uid="{3D35F131-A282-4AEA-9CE4-CD0FDC01EB10}"/>
    <cellStyle name="40% - Accent2 6" xfId="1244" xr:uid="{085B3198-B219-4FCA-BB8B-64BD9E45BAC9}"/>
    <cellStyle name="40% - Accent2 7" xfId="1245" xr:uid="{3285D883-D825-4170-8409-75225FC183B7}"/>
    <cellStyle name="40% - Accent2 8" xfId="1246" xr:uid="{6940284F-C29D-4DDF-B23F-CBA9D345895D}"/>
    <cellStyle name="40% - Accent2 9" xfId="1247" xr:uid="{5ACC8EB6-B407-42A3-8A6B-CD8DABFB0272}"/>
    <cellStyle name="40% - Accent3" xfId="138" builtinId="39" customBuiltin="1"/>
    <cellStyle name="40% - Accent3 10" xfId="1249" xr:uid="{A77FF0CA-2848-44BE-8219-4F9BC88614A4}"/>
    <cellStyle name="40% - Accent3 10 2" xfId="1250" xr:uid="{9E7380E2-1863-4AE3-B042-17734D636303}"/>
    <cellStyle name="40% - Accent3 10_stratification" xfId="1251" xr:uid="{17021436-3E2C-4297-9550-E48B6793FDBD}"/>
    <cellStyle name="40% - Accent3 11" xfId="1252" xr:uid="{54E4A782-ACC4-4CCC-B240-BAA32717267A}"/>
    <cellStyle name="40% - Accent3 11 2" xfId="1253" xr:uid="{0F8F8A89-1CDF-4B24-B186-D489F1BDEE60}"/>
    <cellStyle name="40% - Accent3 11_stratification" xfId="1254" xr:uid="{9B39F866-0C34-41FA-AEF2-8D62F3554B64}"/>
    <cellStyle name="40% - Accent3 12" xfId="1255" xr:uid="{9AF4BB8E-4A2F-460C-88FA-D82A8C8B18CB}"/>
    <cellStyle name="40% - Accent3 13" xfId="1256" xr:uid="{AFF614B2-AF6B-48C4-8B46-3D6709A3C8F1}"/>
    <cellStyle name="40% - Accent3 14" xfId="1257" xr:uid="{866A2FDA-8F50-400E-8705-CDA650A30A2E}"/>
    <cellStyle name="40% - Accent3 15" xfId="1258" xr:uid="{925D0A75-0019-460C-85DF-8995656F1E0B}"/>
    <cellStyle name="40% - Accent3 16" xfId="1259" xr:uid="{C0BBE601-FA39-41E9-AA85-804DEACB21EE}"/>
    <cellStyle name="40% - Accent3 17" xfId="1260" xr:uid="{C95E6DB9-C833-4CD9-89A3-E20F70CA1312}"/>
    <cellStyle name="40% - Accent3 18" xfId="1261" xr:uid="{77A17D87-8901-4C5A-A752-0CB1BF44D434}"/>
    <cellStyle name="40% - Accent3 19" xfId="1262" xr:uid="{0A7C6EEB-2CF4-4958-8DD3-8F0AA2C3EA2D}"/>
    <cellStyle name="40% - Accent3 2" xfId="167" xr:uid="{BF1F0FD4-13F7-4A6E-A286-45F220D09DC5}"/>
    <cellStyle name="40% - Accent3 2 2" xfId="1264" xr:uid="{8E978868-20C8-422A-BD58-433DFE786F69}"/>
    <cellStyle name="40% - Accent3 2 2 2" xfId="1265" xr:uid="{CE5112F8-21B1-41E6-9E08-B6001AD0A26E}"/>
    <cellStyle name="40% - Accent3 2 2 2 2" xfId="1266" xr:uid="{26978178-50AA-4886-B3CB-ED8C384C2BE9}"/>
    <cellStyle name="40% - Accent3 2 2 3" xfId="1267" xr:uid="{2A861ADF-8E48-44F8-993F-8CD2A4E43333}"/>
    <cellStyle name="40% - Accent3 2 3" xfId="1268" xr:uid="{DF658611-731D-43F5-BDC5-95C5E2F124BE}"/>
    <cellStyle name="40% - Accent3 2 3 2" xfId="1269" xr:uid="{9D775217-03B5-4B62-94B0-47902F067CC7}"/>
    <cellStyle name="40% - Accent3 2 3 2 2" xfId="1270" xr:uid="{D09A63C4-C551-4952-AB92-9223622D7628}"/>
    <cellStyle name="40% - Accent3 2 3 3" xfId="1271" xr:uid="{3E28F2B8-7BB8-4D3A-A1D3-3BC9A1B9A8D8}"/>
    <cellStyle name="40% - Accent3 2 4" xfId="1272" xr:uid="{6E2F62A9-0E04-4967-B501-29482F25D9A2}"/>
    <cellStyle name="40% - Accent3 2 4 2" xfId="1273" xr:uid="{41E14EDD-6077-4D0E-BF51-A7F09E3DDE0D}"/>
    <cellStyle name="40% - Accent3 2 4 2 2" xfId="1274" xr:uid="{C8703228-A29C-4544-BBC4-ABAEC2E43A43}"/>
    <cellStyle name="40% - Accent3 2 4 3" xfId="1275" xr:uid="{AF146B1F-A2A7-42EC-89A3-C0689106023A}"/>
    <cellStyle name="40% - Accent3 2 5" xfId="1276" xr:uid="{0CD61477-4DD5-4A9A-A1DB-020410B45322}"/>
    <cellStyle name="40% - Accent3 2 5 2" xfId="1277" xr:uid="{EB425141-FF8C-4C68-8605-D4C0B3CA7039}"/>
    <cellStyle name="40% - Accent3 2 5 2 2" xfId="1278" xr:uid="{35F5A061-E24E-4C0C-AA87-4FED3537BD25}"/>
    <cellStyle name="40% - Accent3 2 5 3" xfId="1279" xr:uid="{81966B86-C7A8-47DF-93FF-BF3219385632}"/>
    <cellStyle name="40% - Accent3 2 6" xfId="1280" xr:uid="{EA1F4696-8434-40C3-A393-ABA3ACCA7FD7}"/>
    <cellStyle name="40% - Accent3 2 6 2" xfId="1281" xr:uid="{3E6A308B-EAAB-4FB3-AD50-061E4E7F1704}"/>
    <cellStyle name="40% - Accent3 2 6 2 2" xfId="1282" xr:uid="{E05E3897-B14A-4725-8093-FE5F63281ED6}"/>
    <cellStyle name="40% - Accent3 2 6 3" xfId="1283" xr:uid="{915969A3-3E78-4C15-84A7-ED69E6051A80}"/>
    <cellStyle name="40% - Accent3 2 7" xfId="1284" xr:uid="{E1080CAA-9C24-47DD-BE99-96C9AF455869}"/>
    <cellStyle name="40% - Accent3 2 7 2" xfId="1285" xr:uid="{E78C4117-05BE-4FBA-9BB6-AB9CC4664088}"/>
    <cellStyle name="40% - Accent3 2 7 2 2" xfId="1286" xr:uid="{F3B83560-408B-4DFE-965B-ADCF24531BF6}"/>
    <cellStyle name="40% - Accent3 2 7 3" xfId="1287" xr:uid="{040D973F-2BBA-44B6-A038-A99ACE566663}"/>
    <cellStyle name="40% - Accent3 2 8" xfId="1263" xr:uid="{8F1E80CB-95C6-44F9-80B6-968D19E82691}"/>
    <cellStyle name="40% - Accent3 20" xfId="1288" xr:uid="{85E2B62A-6891-48CC-9D43-2CC18108561F}"/>
    <cellStyle name="40% - Accent3 21" xfId="1289" xr:uid="{ECAF82CF-AE97-4D0B-841B-B2F70BBFBF79}"/>
    <cellStyle name="40% - Accent3 22" xfId="1290" xr:uid="{86B015E3-A013-4880-8F02-E319B17A93DA}"/>
    <cellStyle name="40% - Accent3 23" xfId="1291" xr:uid="{BEFFEFA5-CB95-497C-BCC8-3110AF323DD9}"/>
    <cellStyle name="40% - Accent3 24" xfId="1292" xr:uid="{59A7626E-550F-44AC-B628-2C42826AC765}"/>
    <cellStyle name="40% - Accent3 25" xfId="1293" xr:uid="{D36C9055-10F0-4BD5-A62D-3FAF4884C8D8}"/>
    <cellStyle name="40% - Accent3 26" xfId="1294" xr:uid="{CF316873-6E9B-4135-BBA5-2E1B45203283}"/>
    <cellStyle name="40% - Accent3 27" xfId="1295" xr:uid="{692CAD9F-93FE-4EBC-9E4F-B6C2C9DD7D2E}"/>
    <cellStyle name="40% - Accent3 28" xfId="1296" xr:uid="{2E630A61-2132-4757-BF03-D3DC7D316721}"/>
    <cellStyle name="40% - Accent3 29" xfId="1297" xr:uid="{AF2C4C67-4088-40BA-A694-007C90804298}"/>
    <cellStyle name="40% - Accent3 3" xfId="192" xr:uid="{9EBDBF96-0B5B-4807-B0A9-E3C3026E068D}"/>
    <cellStyle name="40% - Accent3 3 2" xfId="1299" xr:uid="{C596921A-6102-4BC9-840D-9367691B8CD6}"/>
    <cellStyle name="40% - Accent3 3 2 2" xfId="1300" xr:uid="{63B36BEF-5088-40BC-936D-7A0C8A2A80C2}"/>
    <cellStyle name="40% - Accent3 3 2 2 2" xfId="1301" xr:uid="{BE1033AC-6535-4957-B398-51DC6E5584D2}"/>
    <cellStyle name="40% - Accent3 3 2 3" xfId="1302" xr:uid="{D8F2BC50-9B52-43DE-9F4C-1ADEACEB43A7}"/>
    <cellStyle name="40% - Accent3 3 3" xfId="1303" xr:uid="{C136DA3E-EBF7-4A3C-801A-8196CDB8411D}"/>
    <cellStyle name="40% - Accent3 3 3 2" xfId="1304" xr:uid="{919EC618-6F58-461C-8E63-7C523E2B3934}"/>
    <cellStyle name="40% - Accent3 3 3 2 2" xfId="1305" xr:uid="{6CEBC1B8-F02F-4759-BF6F-87ED1F9824A5}"/>
    <cellStyle name="40% - Accent3 3 3 3" xfId="1306" xr:uid="{B9F065F6-09C6-4954-AA2A-537FC6E1F7E6}"/>
    <cellStyle name="40% - Accent3 3 4" xfId="1307" xr:uid="{B58325CF-C314-42AB-8DEF-0F6DBE193359}"/>
    <cellStyle name="40% - Accent3 3 4 2" xfId="1308" xr:uid="{F306B2F2-D6B0-47BB-BC17-F1674ACC3E10}"/>
    <cellStyle name="40% - Accent3 3 4 2 2" xfId="1309" xr:uid="{10852BD0-9D82-4AAB-A66C-A03482E731F4}"/>
    <cellStyle name="40% - Accent3 3 4 3" xfId="1310" xr:uid="{CFB42654-FF7C-4B1B-9DBA-E15B95983880}"/>
    <cellStyle name="40% - Accent3 3 5" xfId="1311" xr:uid="{C2AFF47F-CA6D-4B09-98B6-7CA2F750779E}"/>
    <cellStyle name="40% - Accent3 3 5 2" xfId="1312" xr:uid="{068ECEDE-0E80-436E-A407-049D9EB9C422}"/>
    <cellStyle name="40% - Accent3 3 5 2 2" xfId="1313" xr:uid="{653F5F74-BEA9-4234-8BC2-E21F4D1C5D8E}"/>
    <cellStyle name="40% - Accent3 3 5 3" xfId="1314" xr:uid="{880D853B-CD0C-412E-9E02-59C8BB1C8D17}"/>
    <cellStyle name="40% - Accent3 3 6" xfId="1315" xr:uid="{C06A563A-4F4F-4DFF-952D-8645BE343E81}"/>
    <cellStyle name="40% - Accent3 3 6 2" xfId="1316" xr:uid="{74A328F3-5710-4603-8B9F-07D29756ECAF}"/>
    <cellStyle name="40% - Accent3 3 6 2 2" xfId="1317" xr:uid="{741A72EF-0DD5-49A7-89D7-B99BBB030F7E}"/>
    <cellStyle name="40% - Accent3 3 6 3" xfId="1318" xr:uid="{80A21A4E-DC41-4273-ADEA-2FEF9E12DA1E}"/>
    <cellStyle name="40% - Accent3 3 7" xfId="1319" xr:uid="{7A6E5BB0-ABC2-45AC-A8A4-EA87D4A7E284}"/>
    <cellStyle name="40% - Accent3 3 7 2" xfId="1320" xr:uid="{AB9FA6D0-FC36-4869-BFB5-A440C18D2B8E}"/>
    <cellStyle name="40% - Accent3 3 7 2 2" xfId="1321" xr:uid="{99329F5F-5B26-475D-8812-3BE0EA126805}"/>
    <cellStyle name="40% - Accent3 3 7 3" xfId="1322" xr:uid="{D6CDF112-10DB-4E0D-927E-E350C7D26EC8}"/>
    <cellStyle name="40% - Accent3 3 8" xfId="1298" xr:uid="{6BC268F4-9A17-47B8-9D25-D475416FA99A}"/>
    <cellStyle name="40% - Accent3 30" xfId="1323" xr:uid="{26397BD6-4A7C-49DF-84A9-ED20E2BFC343}"/>
    <cellStyle name="40% - Accent3 31" xfId="1324" xr:uid="{556596FD-183B-4CD5-8C78-A85A9228AA3E}"/>
    <cellStyle name="40% - Accent3 32" xfId="1325" xr:uid="{DAD5786A-D611-4C99-A778-E0996D919771}"/>
    <cellStyle name="40% - Accent3 33" xfId="1326" xr:uid="{311A33DA-B60F-4D85-B216-2930D8D3DBB2}"/>
    <cellStyle name="40% - Accent3 34" xfId="1327" xr:uid="{7FE634F7-855F-41F5-81D6-A311FFA154C0}"/>
    <cellStyle name="40% - Accent3 35" xfId="1248" xr:uid="{A4DD9D66-ECD7-4BF4-A352-39C3009091E3}"/>
    <cellStyle name="40% - Accent3 4" xfId="1328" xr:uid="{B57223DB-087B-4287-BA97-296E811A2650}"/>
    <cellStyle name="40% - Accent3 4 2" xfId="1329" xr:uid="{CF2666F2-A162-4CC2-B5F1-C312418F7C58}"/>
    <cellStyle name="40% - Accent3 4 2 2" xfId="1330" xr:uid="{2F0489AB-613F-4E02-AFE3-81CB637E211D}"/>
    <cellStyle name="40% - Accent3 4 2 2 2" xfId="1331" xr:uid="{64EE6E7B-69A7-4905-85C9-DC12E8CD3F3E}"/>
    <cellStyle name="40% - Accent3 4 2 3" xfId="1332" xr:uid="{A8A01BED-7CDE-4A48-B13C-179452747D1C}"/>
    <cellStyle name="40% - Accent3 4 3" xfId="1333" xr:uid="{62377BD4-2754-4769-8879-1E33F61EF256}"/>
    <cellStyle name="40% - Accent3 4 3 2" xfId="1334" xr:uid="{BFB746F6-0DB5-4EB3-8D74-FBFAD9B4285F}"/>
    <cellStyle name="40% - Accent3 4 3 2 2" xfId="1335" xr:uid="{D765A0DC-0E68-41CB-91E9-84FA72AA2C26}"/>
    <cellStyle name="40% - Accent3 4 3 3" xfId="1336" xr:uid="{F8A4AE0C-20DC-4098-947C-E669C2DF01BF}"/>
    <cellStyle name="40% - Accent3 4 4" xfId="1337" xr:uid="{57E101B9-1688-40C6-802B-17D5122C0AB8}"/>
    <cellStyle name="40% - Accent3 4 4 2" xfId="1338" xr:uid="{C8FA2D1A-88F9-4705-843B-BBE14F7089AD}"/>
    <cellStyle name="40% - Accent3 4 4 2 2" xfId="1339" xr:uid="{38603F2F-3F8A-4CAC-A31A-28089AA69C41}"/>
    <cellStyle name="40% - Accent3 4 4 3" xfId="1340" xr:uid="{716B37E5-00A4-47B4-85AE-083606AE29E5}"/>
    <cellStyle name="40% - Accent3 4 5" xfId="1341" xr:uid="{0A8D5882-6713-485A-9D07-2676D1571A6F}"/>
    <cellStyle name="40% - Accent3 4 5 2" xfId="1342" xr:uid="{B6813414-5952-475E-BB34-150CDB73F72F}"/>
    <cellStyle name="40% - Accent3 4 5 2 2" xfId="1343" xr:uid="{2A9179B8-3BF5-4048-970F-C2B2E96AC523}"/>
    <cellStyle name="40% - Accent3 4 5 3" xfId="1344" xr:uid="{8DAD7E7F-4470-4FB5-AEA3-79AFF239E934}"/>
    <cellStyle name="40% - Accent3 4 6" xfId="1345" xr:uid="{BB2FF78C-9428-459F-B815-7FF5A0302DC4}"/>
    <cellStyle name="40% - Accent3 4 6 2" xfId="1346" xr:uid="{16C31DBE-EA47-4258-90EE-8792D62AA5D0}"/>
    <cellStyle name="40% - Accent3 4 6 2 2" xfId="1347" xr:uid="{62BD7EEA-F11B-4B8D-BFDD-5929B78C0DE0}"/>
    <cellStyle name="40% - Accent3 4 6 3" xfId="1348" xr:uid="{67F93890-DBBF-446D-841C-215D7D797410}"/>
    <cellStyle name="40% - Accent3 4 7" xfId="1349" xr:uid="{675CEA03-FFEA-4833-B611-FCDFCA71564E}"/>
    <cellStyle name="40% - Accent3 4 7 2" xfId="1350" xr:uid="{569EBA95-58CB-4B64-A090-F5359C7099FF}"/>
    <cellStyle name="40% - Accent3 4 7 2 2" xfId="1351" xr:uid="{A8D6CB1D-5DAE-4380-B501-BA356B008D3C}"/>
    <cellStyle name="40% - Accent3 4 7 3" xfId="1352" xr:uid="{20AE55A2-D2A2-4F69-B128-D1D5AD602B91}"/>
    <cellStyle name="40% - Accent3 5" xfId="1353" xr:uid="{079A6FE2-3C62-4AC4-A634-0B1ADDFFEEBD}"/>
    <cellStyle name="40% - Accent3 5 2" xfId="1354" xr:uid="{0C057712-66A7-433C-93EE-BE1DE45D6774}"/>
    <cellStyle name="40% - Accent3 5 2 2" xfId="1355" xr:uid="{310C7DE9-E413-49B1-BBDF-4F809109864A}"/>
    <cellStyle name="40% - Accent3 5 2 2 2" xfId="1356" xr:uid="{0453DC83-00F0-4657-BAC1-94274760FE78}"/>
    <cellStyle name="40% - Accent3 5 2 3" xfId="1357" xr:uid="{DBFA05FC-3237-412D-91BC-384C58FD9D6E}"/>
    <cellStyle name="40% - Accent3 5 3" xfId="1358" xr:uid="{BD04776D-AEE4-4E5B-8003-1C2522AE77A9}"/>
    <cellStyle name="40% - Accent3 5 3 2" xfId="1359" xr:uid="{1F740A96-76E8-423A-AEB6-02EF9A1F3104}"/>
    <cellStyle name="40% - Accent3 5 3 2 2" xfId="1360" xr:uid="{E51C6FFA-E152-46A8-8BE7-A82250C73B75}"/>
    <cellStyle name="40% - Accent3 5 3 3" xfId="1361" xr:uid="{D9F64464-F191-43FD-A22E-CE16242A5A61}"/>
    <cellStyle name="40% - Accent3 5 4" xfId="1362" xr:uid="{932A5C9E-87F0-424F-B7D8-D22A7C458EA5}"/>
    <cellStyle name="40% - Accent3 5 4 2" xfId="1363" xr:uid="{4B9DB029-DA20-4CE7-AAD1-BCFAB9EA90E8}"/>
    <cellStyle name="40% - Accent3 5 4 2 2" xfId="1364" xr:uid="{4A06523C-2499-4A68-A92A-B0C37ED86367}"/>
    <cellStyle name="40% - Accent3 5 4 3" xfId="1365" xr:uid="{1D097695-713E-4291-9E25-6390BB6244E9}"/>
    <cellStyle name="40% - Accent3 5 5" xfId="1366" xr:uid="{98D15480-9848-47C6-AD51-5DD89BC52BAF}"/>
    <cellStyle name="40% - Accent3 5 5 2" xfId="1367" xr:uid="{E3391A27-CE6B-46AF-834F-4A4FCAFA2FE8}"/>
    <cellStyle name="40% - Accent3 5 5 2 2" xfId="1368" xr:uid="{5B6FA3CE-7F80-4D9D-9708-F484A5BA9FF6}"/>
    <cellStyle name="40% - Accent3 5 5 3" xfId="1369" xr:uid="{06F897A6-4125-4C72-9CB1-A0D165118F57}"/>
    <cellStyle name="40% - Accent3 5 6" xfId="1370" xr:uid="{862CEFAD-76AB-4721-A6F3-3A2384612B09}"/>
    <cellStyle name="40% - Accent3 5 6 2" xfId="1371" xr:uid="{F0B9C90F-BA61-458F-8F03-322102169A64}"/>
    <cellStyle name="40% - Accent3 5 6 2 2" xfId="1372" xr:uid="{CD704DDF-AE56-47EF-8B96-7536451F41D3}"/>
    <cellStyle name="40% - Accent3 5 6 3" xfId="1373" xr:uid="{C8FF0C42-BB09-4419-A83A-D04A75C854CE}"/>
    <cellStyle name="40% - Accent3 5 7" xfId="1374" xr:uid="{29A70B1B-AD6B-4370-AC9C-18FDFF168CF1}"/>
    <cellStyle name="40% - Accent3 5 7 2" xfId="1375" xr:uid="{6F7A9BC4-9D65-472C-942A-F9B5FABCC1F0}"/>
    <cellStyle name="40% - Accent3 5 7 2 2" xfId="1376" xr:uid="{750E13BA-A0EA-4040-BF74-97B1F99D8C5E}"/>
    <cellStyle name="40% - Accent3 5 7 3" xfId="1377" xr:uid="{E34C6FFE-6FFF-4174-A481-EDF5E2AFD660}"/>
    <cellStyle name="40% - Accent3 6" xfId="1378" xr:uid="{5B8243F3-6A6C-4813-907B-E90450603E13}"/>
    <cellStyle name="40% - Accent3 7" xfId="1379" xr:uid="{8C9D5722-2C60-4565-A90B-A175576B6D38}"/>
    <cellStyle name="40% - Accent3 8" xfId="1380" xr:uid="{53E229C9-A8DD-401C-B03A-2F2AAE1DF668}"/>
    <cellStyle name="40% - Accent3 9" xfId="1381" xr:uid="{77729A5E-8803-4D9B-9F08-036C9DAB53DD}"/>
    <cellStyle name="40% - Accent4" xfId="142" builtinId="43" customBuiltin="1"/>
    <cellStyle name="40% - Accent4 10" xfId="1383" xr:uid="{A1DE3761-46A2-4E6E-A6A8-3AA54AB34C59}"/>
    <cellStyle name="40% - Accent4 11" xfId="1384" xr:uid="{FEF9CA99-338F-4B01-BBB3-4716F4418952}"/>
    <cellStyle name="40% - Accent4 12" xfId="1385" xr:uid="{F022B03D-4E92-48FE-9958-09BAEF3A3068}"/>
    <cellStyle name="40% - Accent4 13" xfId="1386" xr:uid="{D9280CD5-2F6F-41A1-8D7B-9ABA19631DB0}"/>
    <cellStyle name="40% - Accent4 14" xfId="1387" xr:uid="{811E320A-28C9-4A30-BA17-FAF54B451C45}"/>
    <cellStyle name="40% - Accent4 15" xfId="1388" xr:uid="{FD652013-1D4A-4133-8875-912F0950996E}"/>
    <cellStyle name="40% - Accent4 16" xfId="1389" xr:uid="{5B68B494-0ABB-447C-8CD9-42627DABB1A5}"/>
    <cellStyle name="40% - Accent4 17" xfId="1390" xr:uid="{F2239896-5D2D-494B-8DF6-64CCF114F692}"/>
    <cellStyle name="40% - Accent4 18" xfId="1391" xr:uid="{415C485E-F74D-4A26-8AFB-BF082C4D0047}"/>
    <cellStyle name="40% - Accent4 19" xfId="1392" xr:uid="{55615D77-1546-4FD9-8104-229F4420C3E2}"/>
    <cellStyle name="40% - Accent4 2" xfId="170" xr:uid="{9C428506-B82D-4D5A-A162-694F890C25ED}"/>
    <cellStyle name="40% - Accent4 2 2" xfId="1394" xr:uid="{62E38758-A056-4C5D-A670-D8E94E5B0721}"/>
    <cellStyle name="40% - Accent4 2 2 2" xfId="1395" xr:uid="{282F4BB2-3236-443C-90A4-CE4EE44122F8}"/>
    <cellStyle name="40% - Accent4 2 2 2 2" xfId="1396" xr:uid="{8A39A7A3-3E2F-4970-B8A9-25BF935A742B}"/>
    <cellStyle name="40% - Accent4 2 2 3" xfId="1397" xr:uid="{6720B147-F689-4ACF-A122-591DC0C3D8D7}"/>
    <cellStyle name="40% - Accent4 2 3" xfId="1398" xr:uid="{B490F102-A184-48BD-B43B-AE12EC9F5B3D}"/>
    <cellStyle name="40% - Accent4 2 3 2" xfId="1399" xr:uid="{CDAF01AD-754D-447A-8E39-6C4B95520405}"/>
    <cellStyle name="40% - Accent4 2 3 2 2" xfId="1400" xr:uid="{59209A3B-C232-4ED3-B6A6-676B72E934F8}"/>
    <cellStyle name="40% - Accent4 2 3 3" xfId="1401" xr:uid="{4E349669-F3DD-4EED-9FC7-5F5EFDF5A5C3}"/>
    <cellStyle name="40% - Accent4 2 4" xfId="1402" xr:uid="{59F0B1E5-996B-4FE4-B1E4-440BF1EB29C8}"/>
    <cellStyle name="40% - Accent4 2 4 2" xfId="1403" xr:uid="{CEAED9C9-D39D-48C4-A709-14197424B95F}"/>
    <cellStyle name="40% - Accent4 2 4 2 2" xfId="1404" xr:uid="{EDE33789-C3B3-4E0C-8FAF-2BE3DF6E2CDC}"/>
    <cellStyle name="40% - Accent4 2 4 3" xfId="1405" xr:uid="{08EAB5C5-C509-461A-BAC9-1CBCA68137CF}"/>
    <cellStyle name="40% - Accent4 2 5" xfId="1406" xr:uid="{0B33E682-F7BC-4E1C-82E9-5087FEDFC8C8}"/>
    <cellStyle name="40% - Accent4 2 5 2" xfId="1407" xr:uid="{BA06C9B9-0792-43D7-8405-209099BE88E0}"/>
    <cellStyle name="40% - Accent4 2 5 2 2" xfId="1408" xr:uid="{4F001FDC-FD47-44C4-BE7D-9DC6C3681BE1}"/>
    <cellStyle name="40% - Accent4 2 5 3" xfId="1409" xr:uid="{719E445E-EFF1-402C-BDBA-CD39C5F1BEC8}"/>
    <cellStyle name="40% - Accent4 2 6" xfId="1410" xr:uid="{C6BFC28C-357B-45E1-919D-E698059DC84C}"/>
    <cellStyle name="40% - Accent4 2 6 2" xfId="1411" xr:uid="{CA9B82E1-5A8B-47B6-8BBC-784E188ACF2E}"/>
    <cellStyle name="40% - Accent4 2 6 2 2" xfId="1412" xr:uid="{5F25401A-462B-4552-A79A-46632ED5E9A4}"/>
    <cellStyle name="40% - Accent4 2 6 3" xfId="1413" xr:uid="{44DB3E87-436C-45F9-A8FA-36FF28355910}"/>
    <cellStyle name="40% - Accent4 2 7" xfId="1414" xr:uid="{0D3EF0DE-96D5-457D-A523-309B00672E6E}"/>
    <cellStyle name="40% - Accent4 2 7 2" xfId="1415" xr:uid="{50370FFA-B6F9-48D8-88C8-DECDCEDE36D0}"/>
    <cellStyle name="40% - Accent4 2 7 2 2" xfId="1416" xr:uid="{58E37079-C613-4341-A7B0-655F45CF5B25}"/>
    <cellStyle name="40% - Accent4 2 7 3" xfId="1417" xr:uid="{FAF11DCD-DB03-4EA2-9D14-83B3E158D0DB}"/>
    <cellStyle name="40% - Accent4 2 8" xfId="1393" xr:uid="{0B6BDDE7-9175-4922-90E4-E146FD449907}"/>
    <cellStyle name="40% - Accent4 20" xfId="1418" xr:uid="{6D0C7966-B8AB-4D6B-AC2B-87F549B3228D}"/>
    <cellStyle name="40% - Accent4 21" xfId="1419" xr:uid="{64318BA4-D864-4268-AB76-0608C9684769}"/>
    <cellStyle name="40% - Accent4 22" xfId="1420" xr:uid="{2BA15627-F03C-4F7B-ABFF-6215DEDB7865}"/>
    <cellStyle name="40% - Accent4 23" xfId="1421" xr:uid="{2B0AA008-E75E-4B49-9D46-38E7495290E8}"/>
    <cellStyle name="40% - Accent4 24" xfId="1422" xr:uid="{165304A2-BB2C-4EC8-87BA-6DCFB592D765}"/>
    <cellStyle name="40% - Accent4 25" xfId="1423" xr:uid="{6B9D9464-9A36-4541-9289-F2668640AB71}"/>
    <cellStyle name="40% - Accent4 26" xfId="1424" xr:uid="{54EE01A7-948D-4889-A7FE-B75A5CB962A5}"/>
    <cellStyle name="40% - Accent4 27" xfId="1425" xr:uid="{CBDB43D4-8957-40B9-B0B6-5DD5F9959848}"/>
    <cellStyle name="40% - Accent4 28" xfId="1426" xr:uid="{221585FC-C84B-483F-BAD1-B62A057AA656}"/>
    <cellStyle name="40% - Accent4 29" xfId="1427" xr:uid="{0F5A7A93-5B9E-49D7-8AE5-0EB1CD61A8B5}"/>
    <cellStyle name="40% - Accent4 3" xfId="195" xr:uid="{96E49615-B04E-4C09-9FA6-CA7F4A6C3702}"/>
    <cellStyle name="40% - Accent4 3 2" xfId="1429" xr:uid="{2C5303AA-768F-4469-BC68-BFD290697748}"/>
    <cellStyle name="40% - Accent4 3 2 2" xfId="1430" xr:uid="{286D4D30-45F8-4CEB-B4F2-ACAA3A63D5AE}"/>
    <cellStyle name="40% - Accent4 3 2 2 2" xfId="1431" xr:uid="{6FD3085A-B27A-494D-B1B3-F4CAC085EF97}"/>
    <cellStyle name="40% - Accent4 3 2 3" xfId="1432" xr:uid="{EC59B0B1-39C5-4AD8-88F7-9619B019991E}"/>
    <cellStyle name="40% - Accent4 3 3" xfId="1433" xr:uid="{C5190223-1B44-4805-9A5C-7E55F6167925}"/>
    <cellStyle name="40% - Accent4 3 3 2" xfId="1434" xr:uid="{6E7E29F1-A0A1-4DE5-9B7B-1F9DD4638340}"/>
    <cellStyle name="40% - Accent4 3 3 2 2" xfId="1435" xr:uid="{908541FF-8F29-4528-9E6A-5751D2E27F19}"/>
    <cellStyle name="40% - Accent4 3 3 3" xfId="1436" xr:uid="{00B15F41-B7AE-460F-AB00-6F6487C59622}"/>
    <cellStyle name="40% - Accent4 3 4" xfId="1437" xr:uid="{FEFA7F5B-8EAF-4781-B900-7C824B043DB1}"/>
    <cellStyle name="40% - Accent4 3 4 2" xfId="1438" xr:uid="{AC68E94C-37FB-4473-AF61-462254CF2389}"/>
    <cellStyle name="40% - Accent4 3 4 2 2" xfId="1439" xr:uid="{FF67F341-6152-496C-AEDC-25F233FF773E}"/>
    <cellStyle name="40% - Accent4 3 4 3" xfId="1440" xr:uid="{45C63FFA-C707-469C-AE8E-47207361BC1D}"/>
    <cellStyle name="40% - Accent4 3 5" xfId="1441" xr:uid="{E10AE629-765E-483B-B130-88737345BFD3}"/>
    <cellStyle name="40% - Accent4 3 5 2" xfId="1442" xr:uid="{B1B393B7-5A2D-42DC-AABF-8665363AF939}"/>
    <cellStyle name="40% - Accent4 3 5 2 2" xfId="1443" xr:uid="{C9D6C42D-625F-4598-B72F-8DDDA32B7CA3}"/>
    <cellStyle name="40% - Accent4 3 5 3" xfId="1444" xr:uid="{CE1627C1-6E73-4817-BBB0-95655A178762}"/>
    <cellStyle name="40% - Accent4 3 6" xfId="1445" xr:uid="{855BBB02-DFCC-4A83-A85B-A39560DDF5E5}"/>
    <cellStyle name="40% - Accent4 3 6 2" xfId="1446" xr:uid="{BD456CC2-3438-4012-BFB4-F719ED75CA98}"/>
    <cellStyle name="40% - Accent4 3 6 2 2" xfId="1447" xr:uid="{D09A0BB5-25B1-4BF3-8446-4C2009A09795}"/>
    <cellStyle name="40% - Accent4 3 6 3" xfId="1448" xr:uid="{836B7ED3-F426-4024-9649-7AB508581321}"/>
    <cellStyle name="40% - Accent4 3 7" xfId="1449" xr:uid="{05DBFBA6-D63A-4812-8B66-90651ABC7F54}"/>
    <cellStyle name="40% - Accent4 3 7 2" xfId="1450" xr:uid="{84AE2364-CDF0-453B-8FD7-8DEF3B8F761E}"/>
    <cellStyle name="40% - Accent4 3 7 2 2" xfId="1451" xr:uid="{72C75262-8CDF-43F1-9C44-42831C8CF359}"/>
    <cellStyle name="40% - Accent4 3 7 3" xfId="1452" xr:uid="{2426C061-D24B-45C1-8C95-41A45CBED97C}"/>
    <cellStyle name="40% - Accent4 3 8" xfId="1428" xr:uid="{ABF4D0EF-E613-4672-ACFC-3AC06E19CD46}"/>
    <cellStyle name="40% - Accent4 30" xfId="1453" xr:uid="{E8698CA2-E9CD-4D3D-AEEF-1587AE094AC4}"/>
    <cellStyle name="40% - Accent4 31" xfId="1454" xr:uid="{1D7941A7-94D8-4E36-99DA-FA44B060E2EA}"/>
    <cellStyle name="40% - Accent4 32" xfId="1455" xr:uid="{4250E830-6442-40B7-9D84-3B66FDC261CF}"/>
    <cellStyle name="40% - Accent4 33" xfId="1456" xr:uid="{7BABB842-8ADC-4242-ACF5-9BEC15EDCAD6}"/>
    <cellStyle name="40% - Accent4 34" xfId="1382" xr:uid="{B53064F6-7B9E-4031-BEAF-58CF9B272D11}"/>
    <cellStyle name="40% - Accent4 4" xfId="1457" xr:uid="{0BB95DEC-329A-472C-BE74-5D51CCCAAEC9}"/>
    <cellStyle name="40% - Accent4 4 2" xfId="1458" xr:uid="{EF4DB4A7-954F-479E-A9A6-09D73EF4FC3F}"/>
    <cellStyle name="40% - Accent4 4 2 2" xfId="1459" xr:uid="{B9B179D5-4481-48FC-A56D-F90443978FD4}"/>
    <cellStyle name="40% - Accent4 4 2 2 2" xfId="1460" xr:uid="{3065CE96-1B6E-4373-93ED-F5A909E18EC9}"/>
    <cellStyle name="40% - Accent4 4 2 3" xfId="1461" xr:uid="{52AC6125-4166-4AEE-9A0E-5593D56581EA}"/>
    <cellStyle name="40% - Accent4 4 3" xfId="1462" xr:uid="{C915F55F-42A4-4232-A489-2605EB863436}"/>
    <cellStyle name="40% - Accent4 4 3 2" xfId="1463" xr:uid="{4850636F-F856-4B43-B7B8-24F4FAD69FBA}"/>
    <cellStyle name="40% - Accent4 4 3 2 2" xfId="1464" xr:uid="{F0C078E0-21E4-422C-A235-16E6C94633CF}"/>
    <cellStyle name="40% - Accent4 4 3 3" xfId="1465" xr:uid="{228BE00A-64BD-45F1-BEBD-D81EC609A0CC}"/>
    <cellStyle name="40% - Accent4 4 4" xfId="1466" xr:uid="{95701005-60C5-4E93-ADD2-337F55EDB058}"/>
    <cellStyle name="40% - Accent4 4 4 2" xfId="1467" xr:uid="{DF2D1C51-2993-4FCF-9949-2DDF31E7C6F9}"/>
    <cellStyle name="40% - Accent4 4 4 2 2" xfId="1468" xr:uid="{5429DF5D-7841-4676-A484-373DC432AFE8}"/>
    <cellStyle name="40% - Accent4 4 4 3" xfId="1469" xr:uid="{422663CC-B9A7-46DA-902C-55080FCC0B41}"/>
    <cellStyle name="40% - Accent4 4 5" xfId="1470" xr:uid="{A6D99903-AAC2-46C0-9DB0-10EE3A44EE50}"/>
    <cellStyle name="40% - Accent4 4 5 2" xfId="1471" xr:uid="{F418DD78-C03F-472E-92F0-448ED18C7943}"/>
    <cellStyle name="40% - Accent4 4 5 2 2" xfId="1472" xr:uid="{EAE72683-C891-46DA-9473-7B0AE16E0A4C}"/>
    <cellStyle name="40% - Accent4 4 5 3" xfId="1473" xr:uid="{FB26E6F2-A6A1-4A4F-8D7B-9D0064E947A9}"/>
    <cellStyle name="40% - Accent4 4 6" xfId="1474" xr:uid="{E9958AEB-03AC-4BE2-9266-B8742B0E99D3}"/>
    <cellStyle name="40% - Accent4 4 6 2" xfId="1475" xr:uid="{EC7A2D9C-0722-4D9C-A19D-64BD8846CA28}"/>
    <cellStyle name="40% - Accent4 4 6 2 2" xfId="1476" xr:uid="{234CBBF3-72D9-4A74-8F5A-FAA020D10793}"/>
    <cellStyle name="40% - Accent4 4 6 3" xfId="1477" xr:uid="{B54908B7-A2D8-4037-8FF9-0DBCFCD4F9DA}"/>
    <cellStyle name="40% - Accent4 4 7" xfId="1478" xr:uid="{C54B3EDF-05C8-48C2-B46A-D5AD1448C61B}"/>
    <cellStyle name="40% - Accent4 4 7 2" xfId="1479" xr:uid="{05E8E356-5214-4F7F-9E8E-B476B3F12605}"/>
    <cellStyle name="40% - Accent4 4 7 2 2" xfId="1480" xr:uid="{EB4EAF76-EADD-42EA-835E-42688E0203AF}"/>
    <cellStyle name="40% - Accent4 4 7 3" xfId="1481" xr:uid="{1A6EA717-CECC-4629-965E-F2B53EA846E6}"/>
    <cellStyle name="40% - Accent4 5" xfId="1482" xr:uid="{5992E76E-914A-4A35-80B4-B8A8BAC14864}"/>
    <cellStyle name="40% - Accent4 5 2" xfId="1483" xr:uid="{047888D8-1448-437A-8606-C892208AF542}"/>
    <cellStyle name="40% - Accent4 5 2 2" xfId="1484" xr:uid="{A09C5AE5-FC21-4AA6-A222-69C172E52A80}"/>
    <cellStyle name="40% - Accent4 5 2 2 2" xfId="1485" xr:uid="{ABB97160-3F37-4CF8-94D2-8AF666D143A2}"/>
    <cellStyle name="40% - Accent4 5 2 3" xfId="1486" xr:uid="{BBBA554C-3F6B-4FFB-8003-CDDADFB1530C}"/>
    <cellStyle name="40% - Accent4 5 3" xfId="1487" xr:uid="{9CA2725F-58E1-46DA-8D92-906C9FFC7202}"/>
    <cellStyle name="40% - Accent4 5 3 2" xfId="1488" xr:uid="{65E1F0C7-5937-4EF9-BE4E-38F971245D35}"/>
    <cellStyle name="40% - Accent4 5 3 2 2" xfId="1489" xr:uid="{57731169-6E37-4658-A827-3CCB593E84B7}"/>
    <cellStyle name="40% - Accent4 5 3 3" xfId="1490" xr:uid="{C0486D8A-753B-479E-B60B-E438534FEC4A}"/>
    <cellStyle name="40% - Accent4 5 4" xfId="1491" xr:uid="{B4CF2C78-F902-44B3-BC4D-646CD3143B01}"/>
    <cellStyle name="40% - Accent4 5 4 2" xfId="1492" xr:uid="{4F323F62-0963-4709-9964-86B4BFBCF9BD}"/>
    <cellStyle name="40% - Accent4 5 4 2 2" xfId="1493" xr:uid="{F2ADDD0C-DAD6-49C6-8FBA-3EBA7957A772}"/>
    <cellStyle name="40% - Accent4 5 4 3" xfId="1494" xr:uid="{A5CB26D7-EB0F-4920-9CC0-61AA53A90B8C}"/>
    <cellStyle name="40% - Accent4 5 5" xfId="1495" xr:uid="{01738F80-341A-4551-9B6B-D9CBBB3CB48A}"/>
    <cellStyle name="40% - Accent4 5 5 2" xfId="1496" xr:uid="{38F54B2C-4D24-4A49-98B3-0A0092BF1DEA}"/>
    <cellStyle name="40% - Accent4 5 5 2 2" xfId="1497" xr:uid="{811DAB2B-2ED0-4297-B6F1-1374D8D5E593}"/>
    <cellStyle name="40% - Accent4 5 5 3" xfId="1498" xr:uid="{0F545337-370B-4017-9EF7-B53BECFDEB32}"/>
    <cellStyle name="40% - Accent4 5 6" xfId="1499" xr:uid="{06E1AFBD-87C6-4C3D-8AC8-B4AB6F9D8F70}"/>
    <cellStyle name="40% - Accent4 5 6 2" xfId="1500" xr:uid="{97077A70-6669-418F-8F86-F3BDBB14546B}"/>
    <cellStyle name="40% - Accent4 5 6 2 2" xfId="1501" xr:uid="{683BE56F-0718-440A-BAEF-DE0F5B672A6B}"/>
    <cellStyle name="40% - Accent4 5 6 3" xfId="1502" xr:uid="{060FB1D1-F819-4C58-A2FF-164088B1B1EF}"/>
    <cellStyle name="40% - Accent4 5 7" xfId="1503" xr:uid="{5C205EB0-2651-4DE5-B2C3-9823DF7EC7B9}"/>
    <cellStyle name="40% - Accent4 5 7 2" xfId="1504" xr:uid="{B3E24B92-61DD-49D6-987F-3B8AC756BC41}"/>
    <cellStyle name="40% - Accent4 5 7 2 2" xfId="1505" xr:uid="{8FBCA289-CA2F-4D2C-925A-48156B43341F}"/>
    <cellStyle name="40% - Accent4 5 7 3" xfId="1506" xr:uid="{1208E2D9-22D3-492D-AF16-292956D71D0B}"/>
    <cellStyle name="40% - Accent4 6" xfId="1507" xr:uid="{6DE062FD-8634-4FB5-B585-FDC7B740F6CC}"/>
    <cellStyle name="40% - Accent4 7" xfId="1508" xr:uid="{36AC31BC-4479-458A-9B55-42182EB54455}"/>
    <cellStyle name="40% - Accent4 8" xfId="1509" xr:uid="{5DD15380-F75C-4F1B-8985-18A0C93F5629}"/>
    <cellStyle name="40% - Accent4 9" xfId="1510" xr:uid="{B8C7A3FB-1451-491B-8465-97D8C4CE8AE5}"/>
    <cellStyle name="40% - Accent5" xfId="146" builtinId="47" customBuiltin="1"/>
    <cellStyle name="40% - Accent5 10" xfId="1512" xr:uid="{0282B846-49CE-43C0-8B48-9C29B1299854}"/>
    <cellStyle name="40% - Accent5 11" xfId="1513" xr:uid="{10D75AAB-E291-45A3-BB91-DA8925895B26}"/>
    <cellStyle name="40% - Accent5 12" xfId="1514" xr:uid="{FAAC393F-967C-4382-B051-DC2140C361E9}"/>
    <cellStyle name="40% - Accent5 13" xfId="1515" xr:uid="{332AB40D-5CB2-47CF-99A8-6A9E06A6B0F9}"/>
    <cellStyle name="40% - Accent5 13 2" xfId="1516" xr:uid="{1E634CF2-39A6-42F1-BF18-81BEB29114A6}"/>
    <cellStyle name="40% - Accent5 13_stratification" xfId="1517" xr:uid="{233D9CB8-AF98-4CA3-ADF4-809849DAC8DF}"/>
    <cellStyle name="40% - Accent5 14" xfId="1518" xr:uid="{C7E46922-CE98-4FDB-8D8B-7F3632C780C8}"/>
    <cellStyle name="40% - Accent5 14 2" xfId="1519" xr:uid="{FCC67E47-760F-4D38-8017-ADF4E3C94702}"/>
    <cellStyle name="40% - Accent5 14_stratification" xfId="1520" xr:uid="{6D39E578-2BBD-497E-ADC9-0EE87D24ACA9}"/>
    <cellStyle name="40% - Accent5 15" xfId="1521" xr:uid="{F53BC7CC-7D1B-45D4-9F60-26D3F5FC0814}"/>
    <cellStyle name="40% - Accent5 16" xfId="1522" xr:uid="{E6CE7EAB-39D1-4DA2-ADC8-518413628D1C}"/>
    <cellStyle name="40% - Accent5 17" xfId="1523" xr:uid="{111160EB-7B9F-43F0-85EF-C9FD5F07A976}"/>
    <cellStyle name="40% - Accent5 18" xfId="1524" xr:uid="{47F9CC2B-061B-4F20-85C3-197B60F4DDDD}"/>
    <cellStyle name="40% - Accent5 19" xfId="1525" xr:uid="{EA8578E7-43BF-4FCF-81FF-818AA8929127}"/>
    <cellStyle name="40% - Accent5 2" xfId="173" xr:uid="{A172D292-B015-489D-97AC-244594E3DA9F}"/>
    <cellStyle name="40% - Accent5 2 2" xfId="1527" xr:uid="{42914EE1-2286-4D0A-B5BC-9928434DF404}"/>
    <cellStyle name="40% - Accent5 2 2 2" xfId="1528" xr:uid="{64F63EE1-E863-4E4E-BAA8-18B1DCECBC16}"/>
    <cellStyle name="40% - Accent5 2 2 2 2" xfId="1529" xr:uid="{8CA73B0F-9F8A-4839-A0D9-B2202DAB0116}"/>
    <cellStyle name="40% - Accent5 2 2 3" xfId="1530" xr:uid="{AF902074-964B-4011-A0D2-85BD501BD3BD}"/>
    <cellStyle name="40% - Accent5 2 3" xfId="1531" xr:uid="{07B83230-F26E-4FB6-869E-40D97FA03F9D}"/>
    <cellStyle name="40% - Accent5 2 3 2" xfId="1532" xr:uid="{BC75C786-29E5-4833-A33E-813D789508CD}"/>
    <cellStyle name="40% - Accent5 2 3 2 2" xfId="1533" xr:uid="{95088144-DAAF-4147-A587-F5F5A3B619FD}"/>
    <cellStyle name="40% - Accent5 2 3 3" xfId="1534" xr:uid="{83A8BD2A-9667-4373-A0F4-553BFC5F932F}"/>
    <cellStyle name="40% - Accent5 2 4" xfId="1535" xr:uid="{74A5B68A-CA8D-42A8-8018-6849850A21FD}"/>
    <cellStyle name="40% - Accent5 2 4 2" xfId="1536" xr:uid="{4CFA71BC-4706-47FD-84DC-7A99EB9B7340}"/>
    <cellStyle name="40% - Accent5 2 4 2 2" xfId="1537" xr:uid="{47B41EF3-D49C-4986-9B66-C86ED78D6D5F}"/>
    <cellStyle name="40% - Accent5 2 4 3" xfId="1538" xr:uid="{DF4CEA22-A400-4BDA-93FC-8070A44E80F3}"/>
    <cellStyle name="40% - Accent5 2 5" xfId="1539" xr:uid="{7A23C247-9CAB-438E-89A6-54E3A112630F}"/>
    <cellStyle name="40% - Accent5 2 5 2" xfId="1540" xr:uid="{458098EF-9B6E-45A7-9BF3-285295B5E77F}"/>
    <cellStyle name="40% - Accent5 2 5 2 2" xfId="1541" xr:uid="{90D68DD1-FFCB-4B45-A984-BB6599B6514C}"/>
    <cellStyle name="40% - Accent5 2 5 3" xfId="1542" xr:uid="{2C760AAA-9A18-43BE-8838-E952E239052D}"/>
    <cellStyle name="40% - Accent5 2 6" xfId="1543" xr:uid="{2AF9F774-B9CC-491F-8482-0AD2ADE1C222}"/>
    <cellStyle name="40% - Accent5 2 6 2" xfId="1544" xr:uid="{3CC1A936-0122-4101-87BB-111A344E7914}"/>
    <cellStyle name="40% - Accent5 2 6 2 2" xfId="1545" xr:uid="{870BB49C-E86B-4052-AFC5-8F6A3A84E1D7}"/>
    <cellStyle name="40% - Accent5 2 6 3" xfId="1546" xr:uid="{AFA21F14-2AAE-4281-948F-059A7AFDA978}"/>
    <cellStyle name="40% - Accent5 2 7" xfId="1547" xr:uid="{2270E974-4833-43EB-84AB-E364616F741A}"/>
    <cellStyle name="40% - Accent5 2 7 2" xfId="1548" xr:uid="{1879E234-0E27-4146-B87E-F46848F027BF}"/>
    <cellStyle name="40% - Accent5 2 7 2 2" xfId="1549" xr:uid="{9BD021E2-DACA-429E-A78C-8E227C3F48CA}"/>
    <cellStyle name="40% - Accent5 2 7 3" xfId="1550" xr:uid="{385566C6-9E5F-4A5A-8A04-4B48CD42438C}"/>
    <cellStyle name="40% - Accent5 2 8" xfId="1526" xr:uid="{EE92857E-9982-4AEA-A55A-6F55E78E5CA9}"/>
    <cellStyle name="40% - Accent5 20" xfId="1551" xr:uid="{FBA139ED-1251-4CA4-87BA-8AF4438EED6B}"/>
    <cellStyle name="40% - Accent5 21" xfId="1552" xr:uid="{D3E69987-76CF-4050-B077-5EB51AB2D4B5}"/>
    <cellStyle name="40% - Accent5 22" xfId="1553" xr:uid="{F3BA5388-A5E8-48EC-BABF-CA0CF383308B}"/>
    <cellStyle name="40% - Accent5 23" xfId="1554" xr:uid="{33263FD6-BE94-450F-80E1-18E2FAC79B8D}"/>
    <cellStyle name="40% - Accent5 24" xfId="1555" xr:uid="{BE825ABB-58EE-4885-B688-FF0174D41D12}"/>
    <cellStyle name="40% - Accent5 25" xfId="1556" xr:uid="{D6744881-C49B-441A-8963-ED3E231CE379}"/>
    <cellStyle name="40% - Accent5 26" xfId="1557" xr:uid="{9655F6A3-4D8D-4910-BEFD-824102184AD9}"/>
    <cellStyle name="40% - Accent5 27" xfId="1558" xr:uid="{79712F55-2B20-4F25-81D0-368226E8CE95}"/>
    <cellStyle name="40% - Accent5 28" xfId="1559" xr:uid="{5355E2FE-B723-458B-9F59-58D2BC8AC1B8}"/>
    <cellStyle name="40% - Accent5 29" xfId="1560" xr:uid="{FA32D108-AF70-4EE5-AE4B-D72C534917ED}"/>
    <cellStyle name="40% - Accent5 3" xfId="198" xr:uid="{06EB2C57-B670-4CE0-8409-4387FB6E4789}"/>
    <cellStyle name="40% - Accent5 3 2" xfId="1562" xr:uid="{1A207048-3AEC-4C17-A02E-940B76E7CAF0}"/>
    <cellStyle name="40% - Accent5 3 2 2" xfId="1563" xr:uid="{24CEDE8B-F53E-49DF-BCF9-9A2E7ACC6CD6}"/>
    <cellStyle name="40% - Accent5 3 2 2 2" xfId="1564" xr:uid="{9835A9A8-9116-4864-B2CC-4939F2428788}"/>
    <cellStyle name="40% - Accent5 3 2 3" xfId="1565" xr:uid="{3CF69EC6-30D4-472C-A5DC-35A291692134}"/>
    <cellStyle name="40% - Accent5 3 3" xfId="1566" xr:uid="{318EC8BE-5A52-43C0-8426-BB0E1E40426D}"/>
    <cellStyle name="40% - Accent5 3 3 2" xfId="1567" xr:uid="{6EBC08B1-0E3B-42AF-859F-1828B8A5D30A}"/>
    <cellStyle name="40% - Accent5 3 3 2 2" xfId="1568" xr:uid="{7411FE3E-D095-488B-A947-E6487CA643E8}"/>
    <cellStyle name="40% - Accent5 3 3 3" xfId="1569" xr:uid="{FADDA45B-3729-4D09-A336-E361AAC47BCB}"/>
    <cellStyle name="40% - Accent5 3 4" xfId="1570" xr:uid="{88CFEB93-3492-4DA0-826C-E772CBDD3DEE}"/>
    <cellStyle name="40% - Accent5 3 4 2" xfId="1571" xr:uid="{7CCE0A1B-2944-495D-80C7-F3172181AF00}"/>
    <cellStyle name="40% - Accent5 3 4 2 2" xfId="1572" xr:uid="{C83550F7-F652-43AF-A211-85AB341516EC}"/>
    <cellStyle name="40% - Accent5 3 4 3" xfId="1573" xr:uid="{91672197-7AC7-4FC3-B864-EFC06B8E3697}"/>
    <cellStyle name="40% - Accent5 3 5" xfId="1574" xr:uid="{ED15A34B-EA6E-41DD-9E3C-12A7C5E47660}"/>
    <cellStyle name="40% - Accent5 3 5 2" xfId="1575" xr:uid="{3C35F002-5591-4BBB-A399-578188B3D58C}"/>
    <cellStyle name="40% - Accent5 3 5 2 2" xfId="1576" xr:uid="{A8928F7C-6620-49CC-8DC4-90508BA0B634}"/>
    <cellStyle name="40% - Accent5 3 5 3" xfId="1577" xr:uid="{105B95C9-01BD-42CC-BFBE-691B1F5F887F}"/>
    <cellStyle name="40% - Accent5 3 6" xfId="1578" xr:uid="{4B820A84-808F-4447-9DCE-8CA463CBEFD6}"/>
    <cellStyle name="40% - Accent5 3 6 2" xfId="1579" xr:uid="{FE6EB045-C39B-458B-BF1A-02E279B17023}"/>
    <cellStyle name="40% - Accent5 3 6 2 2" xfId="1580" xr:uid="{2A3C17E8-753E-4933-802C-88C6A937B696}"/>
    <cellStyle name="40% - Accent5 3 6 3" xfId="1581" xr:uid="{4EE9895D-55E7-40C5-A502-43983665EC68}"/>
    <cellStyle name="40% - Accent5 3 7" xfId="1582" xr:uid="{1A750CFB-680B-4E35-8113-64D70C880340}"/>
    <cellStyle name="40% - Accent5 3 7 2" xfId="1583" xr:uid="{F7F048D7-65E7-4407-9653-D787A1AF7163}"/>
    <cellStyle name="40% - Accent5 3 7 2 2" xfId="1584" xr:uid="{6D2B2ABC-11EA-4E21-8020-186EB16A4227}"/>
    <cellStyle name="40% - Accent5 3 7 3" xfId="1585" xr:uid="{A6207A17-0E10-48D5-BCC6-44A0B8B65E78}"/>
    <cellStyle name="40% - Accent5 3 8" xfId="1561" xr:uid="{3AFDA0FE-E276-4644-B1C8-D4B613638815}"/>
    <cellStyle name="40% - Accent5 30" xfId="1586" xr:uid="{B41B75A6-D74A-4E34-BBCD-F62C42C0074A}"/>
    <cellStyle name="40% - Accent5 31" xfId="1587" xr:uid="{33707EE5-04C6-4373-BFEE-64D457B3DAF3}"/>
    <cellStyle name="40% - Accent5 32" xfId="1588" xr:uid="{580C7604-30F9-4EEE-B695-DBA24A6C7463}"/>
    <cellStyle name="40% - Accent5 33" xfId="1589" xr:uid="{F734C4B0-C37E-4642-B296-99A43FCD0576}"/>
    <cellStyle name="40% - Accent5 34" xfId="1511" xr:uid="{42674182-AAB5-4817-9FA7-17204417D674}"/>
    <cellStyle name="40% - Accent5 4" xfId="1590" xr:uid="{095E6FB8-84C1-497D-A147-AA3FF2CD58B4}"/>
    <cellStyle name="40% - Accent5 4 2" xfId="1591" xr:uid="{6121D2DB-0190-4051-A305-E1515F9F69E7}"/>
    <cellStyle name="40% - Accent5 4 2 2" xfId="1592" xr:uid="{2E9234D9-AB35-4303-8F6C-D6A6B5F74AC2}"/>
    <cellStyle name="40% - Accent5 4 2 2 2" xfId="1593" xr:uid="{B057CAB7-E51E-47D3-A24A-B1E3295171B1}"/>
    <cellStyle name="40% - Accent5 4 2 3" xfId="1594" xr:uid="{A42C0FE8-7B24-4D1A-909B-ED94D53AF5E6}"/>
    <cellStyle name="40% - Accent5 4 3" xfId="1595" xr:uid="{04D50347-EC05-484B-8CCC-7FFB70CDFA52}"/>
    <cellStyle name="40% - Accent5 4 3 2" xfId="1596" xr:uid="{C667B84F-16F4-472A-ACBA-0BD203C20C8D}"/>
    <cellStyle name="40% - Accent5 4 3 2 2" xfId="1597" xr:uid="{D22DDD72-1548-40F1-9086-0F5FD7C695AA}"/>
    <cellStyle name="40% - Accent5 4 3 3" xfId="1598" xr:uid="{A8067320-831D-4193-9680-BE78646141CE}"/>
    <cellStyle name="40% - Accent5 4 4" xfId="1599" xr:uid="{37C1CC5F-724B-42E8-A6C9-3C8DA80BDB6C}"/>
    <cellStyle name="40% - Accent5 4 4 2" xfId="1600" xr:uid="{E665E608-5EA1-43D8-9606-B7594CC6E94A}"/>
    <cellStyle name="40% - Accent5 4 4 2 2" xfId="1601" xr:uid="{633D824D-FE59-48DB-A02E-D1E2B41262AF}"/>
    <cellStyle name="40% - Accent5 4 4 3" xfId="1602" xr:uid="{40DCB522-0998-4985-B966-8228149E9890}"/>
    <cellStyle name="40% - Accent5 4 5" xfId="1603" xr:uid="{51EA0425-CFDD-4208-A342-A08E97DE33BB}"/>
    <cellStyle name="40% - Accent5 4 5 2" xfId="1604" xr:uid="{5551541D-CE7F-43C8-B9B0-BFD57CD7F9CD}"/>
    <cellStyle name="40% - Accent5 4 5 2 2" xfId="1605" xr:uid="{E2F6B38D-47D8-46E7-B813-C6CE44DE36DA}"/>
    <cellStyle name="40% - Accent5 4 5 3" xfId="1606" xr:uid="{69D9878D-638A-4CC3-8714-A47A746EA2D2}"/>
    <cellStyle name="40% - Accent5 4 6" xfId="1607" xr:uid="{6A432E5D-5486-4369-92B7-175B2C45C692}"/>
    <cellStyle name="40% - Accent5 4 6 2" xfId="1608" xr:uid="{1CF6CE93-1DE3-498B-94BE-77FD1C09A8C3}"/>
    <cellStyle name="40% - Accent5 4 6 2 2" xfId="1609" xr:uid="{252B5175-A9BA-4C6E-9223-AE16B459A07C}"/>
    <cellStyle name="40% - Accent5 4 6 3" xfId="1610" xr:uid="{90C7A081-E238-48CC-8D21-AD958648F68C}"/>
    <cellStyle name="40% - Accent5 4 7" xfId="1611" xr:uid="{BB94CF17-F027-4A9B-800B-C7D2C6A4C6B9}"/>
    <cellStyle name="40% - Accent5 4 7 2" xfId="1612" xr:uid="{C97EBE0D-DEF7-4B77-A614-2282650152C7}"/>
    <cellStyle name="40% - Accent5 4 7 2 2" xfId="1613" xr:uid="{1749BF61-B9EE-4B51-8ACC-E502A99CBAF9}"/>
    <cellStyle name="40% - Accent5 4 7 3" xfId="1614" xr:uid="{BBEAC442-4A24-4C6E-806D-870E53E936CF}"/>
    <cellStyle name="40% - Accent5 5" xfId="1615" xr:uid="{592077D3-DC72-49C2-964C-CC24D2C62002}"/>
    <cellStyle name="40% - Accent5 5 2" xfId="1616" xr:uid="{C7CBF28A-EBE6-45E7-A369-1F9458F3C09E}"/>
    <cellStyle name="40% - Accent5 5 2 2" xfId="1617" xr:uid="{D251EA26-EE92-43FD-B1DA-4A9FED917BF3}"/>
    <cellStyle name="40% - Accent5 5 2 2 2" xfId="1618" xr:uid="{0B28B8B9-0A9C-4382-8BC3-D2AF08771939}"/>
    <cellStyle name="40% - Accent5 5 2 3" xfId="1619" xr:uid="{1AF938A8-6269-4CA6-8202-9586819FFE0E}"/>
    <cellStyle name="40% - Accent5 5 3" xfId="1620" xr:uid="{E70BEB08-3B71-4AF6-8876-449FD88F8F94}"/>
    <cellStyle name="40% - Accent5 5 3 2" xfId="1621" xr:uid="{E915E9F1-DDA9-47C8-BCD3-D4D37866DF0A}"/>
    <cellStyle name="40% - Accent5 5 3 2 2" xfId="1622" xr:uid="{53876A73-58DB-4664-AB1E-CC044BF66266}"/>
    <cellStyle name="40% - Accent5 5 3 3" xfId="1623" xr:uid="{D33924DF-7719-45BF-A794-F75EE5200311}"/>
    <cellStyle name="40% - Accent5 5 4" xfId="1624" xr:uid="{A072663F-32D1-4982-BAF5-6E60C2DC7763}"/>
    <cellStyle name="40% - Accent5 5 4 2" xfId="1625" xr:uid="{3CFFB573-B2E4-40CA-B656-E2D5E673695A}"/>
    <cellStyle name="40% - Accent5 5 4 2 2" xfId="1626" xr:uid="{0A95755B-5E4D-4690-9953-E3B761AD4AED}"/>
    <cellStyle name="40% - Accent5 5 4 3" xfId="1627" xr:uid="{A4350297-32AF-406E-819E-CA2826D942F9}"/>
    <cellStyle name="40% - Accent5 5 5" xfId="1628" xr:uid="{5E6ABDCF-D915-4A77-AB9D-6A53BE8857E6}"/>
    <cellStyle name="40% - Accent5 5 5 2" xfId="1629" xr:uid="{2ED20F0B-CE66-48E4-936C-5E34255C8EA6}"/>
    <cellStyle name="40% - Accent5 5 5 2 2" xfId="1630" xr:uid="{7CF837B6-59BE-442D-8734-C170B7E96861}"/>
    <cellStyle name="40% - Accent5 5 5 3" xfId="1631" xr:uid="{5022F738-B00A-4C42-86BB-F992BF0609AC}"/>
    <cellStyle name="40% - Accent5 5 6" xfId="1632" xr:uid="{7E9CC17E-FEF1-4360-908D-82BFDD2F4BBC}"/>
    <cellStyle name="40% - Accent5 5 6 2" xfId="1633" xr:uid="{7B6817C3-6FAF-4987-B51C-FBB07AFD5DDC}"/>
    <cellStyle name="40% - Accent5 5 6 2 2" xfId="1634" xr:uid="{5920A15E-B8C2-4BCF-91F7-5D7E834A11E0}"/>
    <cellStyle name="40% - Accent5 5 6 3" xfId="1635" xr:uid="{6E70046F-DEF1-44C5-AE30-F73685F141FA}"/>
    <cellStyle name="40% - Accent5 5 7" xfId="1636" xr:uid="{73C7467E-85D8-4FF1-98BF-0787A5F02298}"/>
    <cellStyle name="40% - Accent5 5 7 2" xfId="1637" xr:uid="{C463B5A5-9537-494E-8810-1A4611D49EE4}"/>
    <cellStyle name="40% - Accent5 5 7 2 2" xfId="1638" xr:uid="{7D21A80A-6E07-4F01-8D3E-7E94A6095A1A}"/>
    <cellStyle name="40% - Accent5 5 7 3" xfId="1639" xr:uid="{9B5EAD3D-932D-41B7-9B3E-E2CC3DFF31C7}"/>
    <cellStyle name="40% - Accent5 6" xfId="1640" xr:uid="{37F7418F-B0A0-4C7F-9B79-2B4BDD975B56}"/>
    <cellStyle name="40% - Accent5 7" xfId="1641" xr:uid="{EC804331-5BC8-44DA-AA07-DA143DB1BE24}"/>
    <cellStyle name="40% - Accent5 8" xfId="1642" xr:uid="{765EA5E6-BE68-4863-B19F-656F0A8B7F8A}"/>
    <cellStyle name="40% - Accent5 9" xfId="1643" xr:uid="{50DAC3E6-0428-4C1F-9818-2E4CEC3519DB}"/>
    <cellStyle name="40% - Accent6" xfId="150" builtinId="51" customBuiltin="1"/>
    <cellStyle name="40% - Accent6 10" xfId="1645" xr:uid="{4FBB8A17-3429-4FFF-AD9E-A6B4C77017C9}"/>
    <cellStyle name="40% - Accent6 11" xfId="1646" xr:uid="{9500078D-95A2-4CC2-B4EF-65D4C2DD2A47}"/>
    <cellStyle name="40% - Accent6 12" xfId="1647" xr:uid="{C1264722-2D26-41EC-A337-B5BBEE1B5402}"/>
    <cellStyle name="40% - Accent6 13" xfId="1648" xr:uid="{4E8059A0-6949-4540-A8A5-2D22BC8EDDAE}"/>
    <cellStyle name="40% - Accent6 14" xfId="1649" xr:uid="{D0B5166E-9EE6-4F35-B258-80CDC6C36EA9}"/>
    <cellStyle name="40% - Accent6 15" xfId="1650" xr:uid="{F8D57B51-6C2A-448A-B663-F8058B5C1352}"/>
    <cellStyle name="40% - Accent6 16" xfId="1651" xr:uid="{C9E6A3BC-030C-4324-A8DA-4C49C18D8A9D}"/>
    <cellStyle name="40% - Accent6 17" xfId="1652" xr:uid="{FE650969-56E6-4F13-A00B-17A4FDD78042}"/>
    <cellStyle name="40% - Accent6 18" xfId="1653" xr:uid="{776B08FB-FF4E-4CB2-AA45-AF0611C476E3}"/>
    <cellStyle name="40% - Accent6 18 2" xfId="1654" xr:uid="{D7CEBBE5-3C5C-4759-85DA-2C3DA6CA9B71}"/>
    <cellStyle name="40% - Accent6 19" xfId="1655" xr:uid="{AAF9A31B-192F-42E5-8422-A1BDD50C76E1}"/>
    <cellStyle name="40% - Accent6 2" xfId="176" xr:uid="{F6E27117-4AE2-4A15-8B17-0A06E4BDB929}"/>
    <cellStyle name="40% - Accent6 2 2" xfId="1657" xr:uid="{A6BF6021-1961-4ECB-9C5E-778E5C58A2A0}"/>
    <cellStyle name="40% - Accent6 2 2 2" xfId="1658" xr:uid="{672E3773-E2CD-4D07-8117-2599010E9691}"/>
    <cellStyle name="40% - Accent6 2 2 2 2" xfId="1659" xr:uid="{987640F2-D479-4BE0-BAE6-88DE94560A86}"/>
    <cellStyle name="40% - Accent6 2 2 3" xfId="1660" xr:uid="{54BEF46C-DC4B-4135-A463-AE1978E2886C}"/>
    <cellStyle name="40% - Accent6 2 3" xfId="1661" xr:uid="{8B9790C5-4974-4BB8-8C9D-3E57D54CDFD9}"/>
    <cellStyle name="40% - Accent6 2 3 2" xfId="1662" xr:uid="{CF8EA11A-28CD-4C84-BF59-DEBB3EE7619A}"/>
    <cellStyle name="40% - Accent6 2 3 2 2" xfId="1663" xr:uid="{BC0DB370-2382-40C6-A1D5-F6E3E5730309}"/>
    <cellStyle name="40% - Accent6 2 3 3" xfId="1664" xr:uid="{61FDCB25-E392-41B7-AE45-0B0E217B6BF2}"/>
    <cellStyle name="40% - Accent6 2 4" xfId="1665" xr:uid="{C8FB60E8-A6C7-46AF-927D-87F4D7C3E5E8}"/>
    <cellStyle name="40% - Accent6 2 4 2" xfId="1666" xr:uid="{1F168771-D6D6-43F4-B141-A198D88BE171}"/>
    <cellStyle name="40% - Accent6 2 4 2 2" xfId="1667" xr:uid="{93E333A6-672D-4293-A00D-6D5AF564A2CD}"/>
    <cellStyle name="40% - Accent6 2 4 3" xfId="1668" xr:uid="{972CD1A2-F82E-4B47-A1AF-018DEDBCFEE1}"/>
    <cellStyle name="40% - Accent6 2 5" xfId="1669" xr:uid="{819D7B8F-C915-4BA8-A3EA-4B8CEBF0B47A}"/>
    <cellStyle name="40% - Accent6 2 5 2" xfId="1670" xr:uid="{26C9267A-CFF3-4652-97D7-A7F90DD9651E}"/>
    <cellStyle name="40% - Accent6 2 5 2 2" xfId="1671" xr:uid="{F228A135-B69C-4D22-906C-86F416D6E6DC}"/>
    <cellStyle name="40% - Accent6 2 5 3" xfId="1672" xr:uid="{5407A7BB-D580-4F72-A996-2EC723E00839}"/>
    <cellStyle name="40% - Accent6 2 6" xfId="1673" xr:uid="{34E8F093-D982-48DF-BEED-A9844B02874E}"/>
    <cellStyle name="40% - Accent6 2 6 2" xfId="1674" xr:uid="{163A2FD2-A54F-46A1-BE48-B138A84378C6}"/>
    <cellStyle name="40% - Accent6 2 6 2 2" xfId="1675" xr:uid="{7D398A62-4621-4406-B76D-B884661659E5}"/>
    <cellStyle name="40% - Accent6 2 6 3" xfId="1676" xr:uid="{550CBB8E-E6E8-43F1-B0A8-94397B172032}"/>
    <cellStyle name="40% - Accent6 2 7" xfId="1677" xr:uid="{2819D8AF-FCA8-41E9-AFB4-786CED328191}"/>
    <cellStyle name="40% - Accent6 2 7 2" xfId="1678" xr:uid="{FAD717F8-79B6-4D75-9236-0F5BD02B13B1}"/>
    <cellStyle name="40% - Accent6 2 7 2 2" xfId="1679" xr:uid="{BA72FDB6-8B31-47EB-B24C-69BB27665FAD}"/>
    <cellStyle name="40% - Accent6 2 7 3" xfId="1680" xr:uid="{050D8808-F1D3-4F7E-B6F9-77FC38671264}"/>
    <cellStyle name="40% - Accent6 2 8" xfId="1656" xr:uid="{685CDB7B-687E-4819-8686-51C863AB3602}"/>
    <cellStyle name="40% - Accent6 20" xfId="1681" xr:uid="{D90BE9E6-2D4F-417D-846F-27F21FE1DEA7}"/>
    <cellStyle name="40% - Accent6 21" xfId="1682" xr:uid="{BD124F81-5663-4270-A1E4-B10D31597092}"/>
    <cellStyle name="40% - Accent6 22" xfId="1683" xr:uid="{F50A9D3E-8F5F-4C92-BC55-93273FF0C012}"/>
    <cellStyle name="40% - Accent6 23" xfId="1684" xr:uid="{A4E483BA-B260-49A8-BD61-90085A7B2183}"/>
    <cellStyle name="40% - Accent6 24" xfId="1685" xr:uid="{244E5F06-8D33-483A-BB6B-26DFACC6AC12}"/>
    <cellStyle name="40% - Accent6 25" xfId="1686" xr:uid="{0B91754B-1AEE-4CD0-9C3F-4D625A268B02}"/>
    <cellStyle name="40% - Accent6 26" xfId="1687" xr:uid="{0226B155-4089-449C-B65E-475FF14E6F05}"/>
    <cellStyle name="40% - Accent6 27" xfId="1688" xr:uid="{0B1C7238-C35C-425C-9667-69543091B662}"/>
    <cellStyle name="40% - Accent6 28" xfId="1689" xr:uid="{DF5DB551-8761-4520-9511-E1CAEBA1AEA4}"/>
    <cellStyle name="40% - Accent6 29" xfId="1690" xr:uid="{CB33C2E1-280E-4E1C-89CF-A4D0F9AF9DFF}"/>
    <cellStyle name="40% - Accent6 3" xfId="201" xr:uid="{DE577ABD-1910-44DA-B107-CF44E1EDC5F9}"/>
    <cellStyle name="40% - Accent6 3 2" xfId="1692" xr:uid="{C146977D-217B-4D5F-96D4-48088C15069E}"/>
    <cellStyle name="40% - Accent6 3 2 2" xfId="1693" xr:uid="{22CCE0EB-2477-4196-BADB-6A2B41356708}"/>
    <cellStyle name="40% - Accent6 3 2 2 2" xfId="1694" xr:uid="{ECEF5FE2-2676-4429-800F-8DA5828BD121}"/>
    <cellStyle name="40% - Accent6 3 2 3" xfId="1695" xr:uid="{8A063475-3FE1-410C-9E73-8C70DEB4508A}"/>
    <cellStyle name="40% - Accent6 3 3" xfId="1696" xr:uid="{0CE0CCB1-32D3-4901-BA45-45F545210CE4}"/>
    <cellStyle name="40% - Accent6 3 3 2" xfId="1697" xr:uid="{465707BC-C6DC-41C5-8EA9-7157DE6969D5}"/>
    <cellStyle name="40% - Accent6 3 3 2 2" xfId="1698" xr:uid="{5932BE49-5962-4B5C-9D2D-4CD9601A4F93}"/>
    <cellStyle name="40% - Accent6 3 3 3" xfId="1699" xr:uid="{DCC32F94-719E-43E1-9CD8-272C31D43703}"/>
    <cellStyle name="40% - Accent6 3 4" xfId="1700" xr:uid="{31A39764-4636-4D96-BCAC-5BB6C339D303}"/>
    <cellStyle name="40% - Accent6 3 4 2" xfId="1701" xr:uid="{B8767A92-9891-4988-8DB6-9B82335CD171}"/>
    <cellStyle name="40% - Accent6 3 4 2 2" xfId="1702" xr:uid="{ADE1BCB2-0D35-4661-BCB1-9163F258B479}"/>
    <cellStyle name="40% - Accent6 3 4 3" xfId="1703" xr:uid="{09BEE1D6-D310-4938-ABFE-9F407EEC21DF}"/>
    <cellStyle name="40% - Accent6 3 5" xfId="1704" xr:uid="{FC8B0BFE-9B42-458F-8DAA-E1BE7134E5ED}"/>
    <cellStyle name="40% - Accent6 3 5 2" xfId="1705" xr:uid="{9EE25E3C-4187-4F8E-91BC-9027748A3243}"/>
    <cellStyle name="40% - Accent6 3 5 2 2" xfId="1706" xr:uid="{EE87A45E-73F8-4173-8353-A0CF10E9ED2A}"/>
    <cellStyle name="40% - Accent6 3 5 3" xfId="1707" xr:uid="{58E0820F-0FB2-4123-9068-C27A6F08525F}"/>
    <cellStyle name="40% - Accent6 3 6" xfId="1708" xr:uid="{917A6D10-BB19-4E52-B0D3-7B1EEC28C92E}"/>
    <cellStyle name="40% - Accent6 3 6 2" xfId="1709" xr:uid="{2749A08E-2588-4D9F-A36B-78E8DDD8155E}"/>
    <cellStyle name="40% - Accent6 3 6 2 2" xfId="1710" xr:uid="{4813A27F-6C02-4EEF-AA9D-B3A3AD153498}"/>
    <cellStyle name="40% - Accent6 3 6 3" xfId="1711" xr:uid="{29465CF8-16E7-42D4-BAC5-AD75B18A7D02}"/>
    <cellStyle name="40% - Accent6 3 7" xfId="1712" xr:uid="{925C7CE6-4342-4495-A84E-AF73CADD788F}"/>
    <cellStyle name="40% - Accent6 3 7 2" xfId="1713" xr:uid="{63CB1E66-1CC6-442C-93AA-65A2F2449477}"/>
    <cellStyle name="40% - Accent6 3 7 2 2" xfId="1714" xr:uid="{B7E053FF-4025-4BE7-8A27-741D52FDD50E}"/>
    <cellStyle name="40% - Accent6 3 7 3" xfId="1715" xr:uid="{84DBD1E2-148C-4DB2-B67B-9E73A520601A}"/>
    <cellStyle name="40% - Accent6 3 8" xfId="1691" xr:uid="{38388686-B11B-485D-AC8F-3A69413B1712}"/>
    <cellStyle name="40% - Accent6 30" xfId="1716" xr:uid="{05655B27-A7CF-4D10-A5B8-5E9F09009474}"/>
    <cellStyle name="40% - Accent6 31" xfId="1717" xr:uid="{907D5DFA-D48A-4F06-AC28-E9A614998DB7}"/>
    <cellStyle name="40% - Accent6 32" xfId="1718" xr:uid="{622BBF6B-5C5F-4067-A698-78F39C411274}"/>
    <cellStyle name="40% - Accent6 33" xfId="1719" xr:uid="{7A5A36A3-34DB-499C-A7F2-F3A3614B806F}"/>
    <cellStyle name="40% - Accent6 34" xfId="1644" xr:uid="{580A8852-5563-4480-A1ED-EA8B264E9FD4}"/>
    <cellStyle name="40% - Accent6 4" xfId="1720" xr:uid="{5CF1FDF1-5E47-4075-BAA8-49505C6A055C}"/>
    <cellStyle name="40% - Accent6 4 2" xfId="1721" xr:uid="{7E77AA7C-37D2-462B-BA62-34B46E6FF33E}"/>
    <cellStyle name="40% - Accent6 4 2 2" xfId="1722" xr:uid="{77526F5A-1408-42F1-B85D-799A487D8FB4}"/>
    <cellStyle name="40% - Accent6 4 2 2 2" xfId="1723" xr:uid="{8EB56D6E-9189-4A0A-ACCC-36184AA4FE66}"/>
    <cellStyle name="40% - Accent6 4 2 3" xfId="1724" xr:uid="{D2530FCF-88A0-423A-BDCB-F1C4ED7CE528}"/>
    <cellStyle name="40% - Accent6 4 3" xfId="1725" xr:uid="{AD2F3400-AEA4-4760-821E-1982FB7D82BA}"/>
    <cellStyle name="40% - Accent6 4 3 2" xfId="1726" xr:uid="{01E198F0-8347-4D78-899D-4D064E58B23F}"/>
    <cellStyle name="40% - Accent6 4 3 2 2" xfId="1727" xr:uid="{76F0DB86-DA20-423C-ADFE-F67ACC00882A}"/>
    <cellStyle name="40% - Accent6 4 3 3" xfId="1728" xr:uid="{04823592-22EF-43F8-897D-A5F907D215F9}"/>
    <cellStyle name="40% - Accent6 4 4" xfId="1729" xr:uid="{89479489-1A5F-4F8B-ADEA-887F5C98F81E}"/>
    <cellStyle name="40% - Accent6 4 4 2" xfId="1730" xr:uid="{2616BEC0-CEB2-4408-A159-53D20BA1DB99}"/>
    <cellStyle name="40% - Accent6 4 4 2 2" xfId="1731" xr:uid="{6AB1A490-6208-456E-A6AB-EA996D253410}"/>
    <cellStyle name="40% - Accent6 4 4 3" xfId="1732" xr:uid="{8231353D-D70F-4917-86AA-982010B21187}"/>
    <cellStyle name="40% - Accent6 4 5" xfId="1733" xr:uid="{101FA5B1-BB0A-41F7-81A0-1950C4310F51}"/>
    <cellStyle name="40% - Accent6 4 5 2" xfId="1734" xr:uid="{AFA4B84B-E896-4D47-8992-7F135B906EE7}"/>
    <cellStyle name="40% - Accent6 4 5 2 2" xfId="1735" xr:uid="{217C2B91-425A-41C9-9F64-0129A060D3B9}"/>
    <cellStyle name="40% - Accent6 4 5 3" xfId="1736" xr:uid="{37370B8A-61AE-4C85-A7FF-F5363888F35C}"/>
    <cellStyle name="40% - Accent6 4 6" xfId="1737" xr:uid="{ADFC4CBC-3AD8-452C-B3D3-66F0B33211E9}"/>
    <cellStyle name="40% - Accent6 4 6 2" xfId="1738" xr:uid="{50C4ABBA-3D85-415E-B4B2-333DB9B82641}"/>
    <cellStyle name="40% - Accent6 4 6 2 2" xfId="1739" xr:uid="{AB95A3DA-80D4-467B-9606-859CD010E043}"/>
    <cellStyle name="40% - Accent6 4 6 3" xfId="1740" xr:uid="{B0AA237B-F739-4004-8107-2C971AB4EDDD}"/>
    <cellStyle name="40% - Accent6 4 7" xfId="1741" xr:uid="{B83F3F4C-6B00-47B2-A421-B0D1C908BD0F}"/>
    <cellStyle name="40% - Accent6 4 7 2" xfId="1742" xr:uid="{F5485941-64E2-42BB-A39B-9E97C0704A63}"/>
    <cellStyle name="40% - Accent6 4 7 2 2" xfId="1743" xr:uid="{14FE8F98-FEC3-4D96-BB5B-431D09F3A00C}"/>
    <cellStyle name="40% - Accent6 4 7 3" xfId="1744" xr:uid="{8C8FC984-097A-45B5-AA51-DDF954573852}"/>
    <cellStyle name="40% - Accent6 5" xfId="1745" xr:uid="{B662AAEB-7B21-49BE-BE9B-A596482513B6}"/>
    <cellStyle name="40% - Accent6 5 2" xfId="1746" xr:uid="{B0DB2FAC-373A-4719-A7FF-88951C5759A0}"/>
    <cellStyle name="40% - Accent6 5 2 2" xfId="1747" xr:uid="{E9FB6D7B-70D0-405A-B7BC-114C9D5CEB29}"/>
    <cellStyle name="40% - Accent6 5 2 2 2" xfId="1748" xr:uid="{B559AE90-CA4F-4C7F-A404-9FCD7C3DE378}"/>
    <cellStyle name="40% - Accent6 5 2 3" xfId="1749" xr:uid="{6A8B93B5-A536-424D-B742-797A87EBD451}"/>
    <cellStyle name="40% - Accent6 5 3" xfId="1750" xr:uid="{82830564-2EBD-41C7-B499-B5815CD4BF2B}"/>
    <cellStyle name="40% - Accent6 5 3 2" xfId="1751" xr:uid="{8873D71C-9BBE-4E33-BA0C-DF043642D053}"/>
    <cellStyle name="40% - Accent6 5 3 2 2" xfId="1752" xr:uid="{858BC58A-A5AB-4A26-807B-77E252A0EA71}"/>
    <cellStyle name="40% - Accent6 5 3 3" xfId="1753" xr:uid="{F47D9EAA-DF30-40B6-92D7-7607C08DA1B4}"/>
    <cellStyle name="40% - Accent6 5 4" xfId="1754" xr:uid="{F7C76C40-B25D-4FDF-90F7-C4506FBBEC8E}"/>
    <cellStyle name="40% - Accent6 5 4 2" xfId="1755" xr:uid="{2565AB65-B65E-4BC8-B556-F157FF49F140}"/>
    <cellStyle name="40% - Accent6 5 4 2 2" xfId="1756" xr:uid="{E4AB0FE0-75DA-4034-949D-F6AD04F45BB5}"/>
    <cellStyle name="40% - Accent6 5 4 3" xfId="1757" xr:uid="{38914508-979F-4F4D-94FE-A4F09BB6BE13}"/>
    <cellStyle name="40% - Accent6 5 5" xfId="1758" xr:uid="{1A846904-57CD-40D8-9F0E-EA1368B551AF}"/>
    <cellStyle name="40% - Accent6 5 5 2" xfId="1759" xr:uid="{07E14047-D7E1-4206-B7CD-30241B97A004}"/>
    <cellStyle name="40% - Accent6 5 5 2 2" xfId="1760" xr:uid="{8F23AC02-06B0-4509-BEDF-FDF55DFBC31E}"/>
    <cellStyle name="40% - Accent6 5 5 3" xfId="1761" xr:uid="{2F69C5B5-1732-4E67-B82B-57BDA57F5609}"/>
    <cellStyle name="40% - Accent6 5 6" xfId="1762" xr:uid="{99A76C12-90EC-47B3-A11A-079785A301EF}"/>
    <cellStyle name="40% - Accent6 5 6 2" xfId="1763" xr:uid="{C89A56CE-8FA0-455E-8E34-580C948E0C57}"/>
    <cellStyle name="40% - Accent6 5 6 2 2" xfId="1764" xr:uid="{311B1375-6AC9-4E2A-AFFC-AB0AB780E3DB}"/>
    <cellStyle name="40% - Accent6 5 6 3" xfId="1765" xr:uid="{E1D39A8C-E221-4378-B00D-D0FE639B365C}"/>
    <cellStyle name="40% - Accent6 5 7" xfId="1766" xr:uid="{563EEF21-FF2B-4108-BC63-A094503E52B3}"/>
    <cellStyle name="40% - Accent6 5 7 2" xfId="1767" xr:uid="{AD636342-BA01-47DF-A41E-A3CDB1372C14}"/>
    <cellStyle name="40% - Accent6 5 7 2 2" xfId="1768" xr:uid="{ABF4D551-A374-4A1C-934E-4C38B5A43559}"/>
    <cellStyle name="40% - Accent6 5 7 3" xfId="1769" xr:uid="{1D23F3F2-1BFA-4971-BB0D-DBFC4D892435}"/>
    <cellStyle name="40% - Accent6 6" xfId="1770" xr:uid="{64D16E0A-5D7E-4703-B03B-1E537A255BD9}"/>
    <cellStyle name="40% - Accent6 7" xfId="1771" xr:uid="{2DBB1AD7-75EF-41E7-A2E6-A78FC973FB94}"/>
    <cellStyle name="40% - Accent6 8" xfId="1772" xr:uid="{D66FDEB2-8652-4917-B4EC-2966DBEF3A95}"/>
    <cellStyle name="40% - Accent6 9" xfId="1773" xr:uid="{46ECEC5A-217F-4B20-B875-38C8BC09F315}"/>
    <cellStyle name="40% - Akzent1" xfId="1774" xr:uid="{FD5BD5C1-6683-4BE2-9D99-A83EE4E83D9A}"/>
    <cellStyle name="40% - Akzent2" xfId="1775" xr:uid="{C1929231-423B-493B-BD5A-B8E6F8D96129}"/>
    <cellStyle name="40% - Akzent3" xfId="1776" xr:uid="{1DB1B3C0-4E58-47C5-8F5D-EBF17CF102C2}"/>
    <cellStyle name="40% - Akzent4" xfId="1777" xr:uid="{AE3BD3E7-3433-4095-AFB9-DB7CE2953B3C}"/>
    <cellStyle name="40% - Akzent5" xfId="1778" xr:uid="{BD48B816-3414-469F-86B9-E8D5FCBAC5F7}"/>
    <cellStyle name="40% - Akzent6" xfId="1779" xr:uid="{FE43B4A4-A8C0-4B47-83AD-6F0D29B35AEF}"/>
    <cellStyle name="40% - Colore 1" xfId="1780" xr:uid="{65C25B3A-3969-4877-95B5-76740288E77E}"/>
    <cellStyle name="40% - Colore 2" xfId="1781" xr:uid="{97B2CEEA-14A5-490C-8E26-562A0C819B76}"/>
    <cellStyle name="40% - Colore 3" xfId="1782" xr:uid="{B87F979C-A20B-4E27-BD2C-F950C0170657}"/>
    <cellStyle name="40% - Colore 4" xfId="1783" xr:uid="{ACA255CC-A573-4497-9405-484B26F46327}"/>
    <cellStyle name="40% - Colore 5" xfId="1784" xr:uid="{CC6468E0-4EB7-44E6-9C31-D1762C1C4579}"/>
    <cellStyle name="40% - Colore 6" xfId="1785" xr:uid="{119A75D8-392E-4A95-B88E-1790DECD62B4}"/>
    <cellStyle name="40% - Énfasis1" xfId="1786" xr:uid="{AC4BC745-16F6-4757-A5C7-3104EEF54183}"/>
    <cellStyle name="40% - Énfasis2" xfId="1787" xr:uid="{0083E276-0F6A-4AD1-AD82-B3B1E7BDC890}"/>
    <cellStyle name="40% - Énfasis3" xfId="1788" xr:uid="{C75050AA-BF59-46E6-81E6-761E50A10008}"/>
    <cellStyle name="40% - Énfasis4" xfId="1789" xr:uid="{6D74BDA7-7374-4585-A323-BD8EAF56089C}"/>
    <cellStyle name="40% - Énfasis5" xfId="1790" xr:uid="{8D302BAE-BA1D-4CE3-9D42-1141F29D429B}"/>
    <cellStyle name="40% - Énfasis6" xfId="1791" xr:uid="{62A5DD8F-2B08-4F67-B7A5-307F37C15412}"/>
    <cellStyle name="60 % - Accent1 2" xfId="1792" xr:uid="{ECB745A7-08A4-47D4-AC6E-8F7B3CCEC75C}"/>
    <cellStyle name="60 % - Accent2 2" xfId="1793" xr:uid="{61883564-F905-440B-9BC8-60F586EFAA85}"/>
    <cellStyle name="60 % - Accent3 2" xfId="1794" xr:uid="{0E2EBFAB-B139-46F1-A6B6-24E7F6597652}"/>
    <cellStyle name="60 % - Accent4 2" xfId="1795" xr:uid="{0DC8D8A4-5F6F-4450-9BC4-3F6F3BF215D6}"/>
    <cellStyle name="60 % - Accent5 2" xfId="1796" xr:uid="{A675B0E6-65FA-4776-B13C-8B0004AF90DE}"/>
    <cellStyle name="60 % - Accent6 2" xfId="1797" xr:uid="{FD7DA24B-0FCD-4F81-B3C8-864478D49400}"/>
    <cellStyle name="60% - Accent1" xfId="131" builtinId="32" customBuiltin="1"/>
    <cellStyle name="60% - Accent1 10" xfId="1799" xr:uid="{EE054A39-22BD-4FA7-A628-CE9CE445A0A7}"/>
    <cellStyle name="60% - Accent1 11" xfId="1800" xr:uid="{B52AEA3B-E1BB-4FD2-81E0-16129492194F}"/>
    <cellStyle name="60% - Accent1 12" xfId="1801" xr:uid="{8522C65A-5F33-4990-9505-B57904B8C011}"/>
    <cellStyle name="60% - Accent1 13" xfId="1802" xr:uid="{461BB5C8-7192-44B0-AA6E-AF0A3D858447}"/>
    <cellStyle name="60% - Accent1 14" xfId="1803" xr:uid="{5957AA24-4499-4A06-9361-8DCEE3A49113}"/>
    <cellStyle name="60% - Accent1 15" xfId="1804" xr:uid="{183F013D-B29A-48AB-911E-AE7D83D29252}"/>
    <cellStyle name="60% - Accent1 16" xfId="1805" xr:uid="{C7DFB04D-BE65-41D6-A640-F0F2064DDBB7}"/>
    <cellStyle name="60% - Accent1 17" xfId="1806" xr:uid="{3FFFD57D-87F9-47B9-9730-206DDF3EA6A4}"/>
    <cellStyle name="60% - Accent1 18" xfId="1807" xr:uid="{2284AAC2-5DA7-4785-BAB7-E5230C83FAC2}"/>
    <cellStyle name="60% - Accent1 19" xfId="1808" xr:uid="{D02336B0-A205-44E1-8269-BF4C4DD60A93}"/>
    <cellStyle name="60% - Accent1 2" xfId="162" xr:uid="{74A05035-244F-4D39-B435-049A2432DB4F}"/>
    <cellStyle name="60% - Accent1 2 2" xfId="1809" xr:uid="{E04F27EB-E136-4FA3-AC47-07D48D31EF92}"/>
    <cellStyle name="60% - Accent1 20" xfId="1810" xr:uid="{BED67188-CC39-4897-A9CB-9191BDFAD8FC}"/>
    <cellStyle name="60% - Accent1 21" xfId="1811" xr:uid="{12A2EC92-4499-48C2-9515-8F033E8EFC0E}"/>
    <cellStyle name="60% - Accent1 22" xfId="1812" xr:uid="{4DA1AFC0-1F46-4974-9E7E-0A4D251FEFBE}"/>
    <cellStyle name="60% - Accent1 23" xfId="1813" xr:uid="{0BC1DBA1-0FD9-4CF6-B285-8371C37057B2}"/>
    <cellStyle name="60% - Accent1 24" xfId="1814" xr:uid="{A2784A4A-B38F-48EF-8DF1-E1BAD1B9C499}"/>
    <cellStyle name="60% - Accent1 25" xfId="1815" xr:uid="{39B4C51E-0865-4F3D-B147-B86A08BBC91D}"/>
    <cellStyle name="60% - Accent1 26" xfId="1816" xr:uid="{DDF7BF44-9A06-4948-A90D-22305F93FD73}"/>
    <cellStyle name="60% - Accent1 27" xfId="1817" xr:uid="{FD30DE05-E8E3-4B6F-BC7A-F0279A6A985A}"/>
    <cellStyle name="60% - Accent1 28" xfId="1818" xr:uid="{7B41AF75-9CBD-46A9-8B3F-BAB42A7EB623}"/>
    <cellStyle name="60% - Accent1 29" xfId="1819" xr:uid="{FB983CBC-556D-40A9-B0C6-4F05A7F964E7}"/>
    <cellStyle name="60% - Accent1 3" xfId="187" xr:uid="{F469697F-6ED5-4050-9448-2C811AAB4B22}"/>
    <cellStyle name="60% - Accent1 3 2" xfId="1820" xr:uid="{947D2186-DDFB-4009-A942-28B5D24BF080}"/>
    <cellStyle name="60% - Accent1 30" xfId="1821" xr:uid="{DD3C8695-6DB0-4D13-AA67-C3C0614B8ABE}"/>
    <cellStyle name="60% - Accent1 31" xfId="1822" xr:uid="{BDD0E853-A555-4FBC-BCBF-E25B3A77973D}"/>
    <cellStyle name="60% - Accent1 32" xfId="1823" xr:uid="{2F37DE5C-AEB3-4572-A6CC-A7A4F096A2BD}"/>
    <cellStyle name="60% - Accent1 33" xfId="1824" xr:uid="{21B4DF41-A6CB-4BF1-9B6E-62E140FD0811}"/>
    <cellStyle name="60% - Accent1 34" xfId="1798" xr:uid="{9332845C-8CE3-49F6-8A3D-CAA41DDA7EB3}"/>
    <cellStyle name="60% - Accent1 4" xfId="1825" xr:uid="{072F5FED-3054-4F93-8FCB-E912910D7F5B}"/>
    <cellStyle name="60% - Accent1 5" xfId="1826" xr:uid="{7DE0C063-6169-4483-B853-093A8F1F0438}"/>
    <cellStyle name="60% - Accent1 6" xfId="1827" xr:uid="{A0C7168B-B946-4160-A812-D5B28E4165C6}"/>
    <cellStyle name="60% - Accent1 7" xfId="1828" xr:uid="{92A912E3-5393-4C61-BCBB-31989B4D11A6}"/>
    <cellStyle name="60% - Accent1 8" xfId="1829" xr:uid="{84663909-5310-49C6-B58D-135EBCAC62B2}"/>
    <cellStyle name="60% - Accent1 9" xfId="1830" xr:uid="{8E947F5B-D1BF-4C07-ADEC-8044D915E9AE}"/>
    <cellStyle name="60% - Accent2" xfId="135" builtinId="36" customBuiltin="1"/>
    <cellStyle name="60% - Accent2 10" xfId="1832" xr:uid="{1FB16D67-260F-4036-8615-D00F573275A3}"/>
    <cellStyle name="60% - Accent2 11" xfId="1833" xr:uid="{71075936-CD3E-4431-9AEC-201A0587C278}"/>
    <cellStyle name="60% - Accent2 12" xfId="1834" xr:uid="{A4720EE9-7480-454E-88C5-8DB713EFF6F6}"/>
    <cellStyle name="60% - Accent2 13" xfId="1835" xr:uid="{747E409E-FB2B-4267-9BF2-B68A5CAB80C6}"/>
    <cellStyle name="60% - Accent2 14" xfId="1836" xr:uid="{9C97E1EE-8E86-4968-AE25-B36865E83002}"/>
    <cellStyle name="60% - Accent2 15" xfId="1837" xr:uid="{FABB5EE2-DE4F-415E-84C3-60D90AE28DDC}"/>
    <cellStyle name="60% - Accent2 16" xfId="1838" xr:uid="{A1543C6A-7E1A-4C59-A2E7-299506D90EB0}"/>
    <cellStyle name="60% - Accent2 17" xfId="1839" xr:uid="{9C21176C-77F9-4544-B574-D1D13B31E49E}"/>
    <cellStyle name="60% - Accent2 18" xfId="1840" xr:uid="{8E7C9132-54DC-401B-898A-C1EA06ED148A}"/>
    <cellStyle name="60% - Accent2 19" xfId="1841" xr:uid="{A3F28BF5-48FC-4307-8F03-43587597FD01}"/>
    <cellStyle name="60% - Accent2 2" xfId="165" xr:uid="{00C75DB0-4D1A-43C8-A94D-C95D484FA6BF}"/>
    <cellStyle name="60% - Accent2 2 2" xfId="1842" xr:uid="{D1DF310C-19B1-489B-BE98-CD65A13450D8}"/>
    <cellStyle name="60% - Accent2 20" xfId="1843" xr:uid="{D5A288D7-BC25-49E1-A508-5D697984E150}"/>
    <cellStyle name="60% - Accent2 21" xfId="1844" xr:uid="{3829E8EC-91B4-4449-B496-FCB66B356840}"/>
    <cellStyle name="60% - Accent2 22" xfId="1845" xr:uid="{BDA9C5EF-0B89-4A57-9A21-0AAB0096E6BF}"/>
    <cellStyle name="60% - Accent2 23" xfId="1846" xr:uid="{ABEA7FD1-52A2-4351-A509-27C638EBDB87}"/>
    <cellStyle name="60% - Accent2 24" xfId="1847" xr:uid="{2F2975CB-77BD-4ABA-AB03-F76BD0F84FCD}"/>
    <cellStyle name="60% - Accent2 25" xfId="1848" xr:uid="{8C4C08ED-BA22-4255-9904-ED16F7A90653}"/>
    <cellStyle name="60% - Accent2 26" xfId="1849" xr:uid="{B4D4CA04-AB7A-4AE5-A2EA-5B3940877062}"/>
    <cellStyle name="60% - Accent2 27" xfId="1850" xr:uid="{5FF2633E-4AB7-4C7C-8B63-255CE888D7DA}"/>
    <cellStyle name="60% - Accent2 28" xfId="1851" xr:uid="{1F2ADDD2-1C0D-4AD9-896B-77F47F10D8B5}"/>
    <cellStyle name="60% - Accent2 29" xfId="1852" xr:uid="{6B05CDF4-AB16-4CA8-83AB-FBD00C8CF5B6}"/>
    <cellStyle name="60% - Accent2 3" xfId="190" xr:uid="{D8CD6D79-DB5C-462E-916D-A9188F3F2629}"/>
    <cellStyle name="60% - Accent2 3 2" xfId="1853" xr:uid="{22CB4D4D-0184-480D-9CA0-2B1D1C7073C8}"/>
    <cellStyle name="60% - Accent2 30" xfId="1854" xr:uid="{19289C33-6626-404A-9A65-D0AD24449CB0}"/>
    <cellStyle name="60% - Accent2 31" xfId="1855" xr:uid="{84BF6219-61BF-458E-8ADA-E57B956D4C49}"/>
    <cellStyle name="60% - Accent2 32" xfId="1856" xr:uid="{ABCCCC21-EEB0-4CDC-A361-628A9928C997}"/>
    <cellStyle name="60% - Accent2 33" xfId="1857" xr:uid="{40DD6DC1-52EA-41B9-8990-2F2AA4516046}"/>
    <cellStyle name="60% - Accent2 34" xfId="1858" xr:uid="{A0783EEE-19A5-4933-B48D-AC9C1F3CB0FB}"/>
    <cellStyle name="60% - Accent2 35" xfId="1831" xr:uid="{B5D3FC7B-1031-4882-9D2F-B19F79DE8DCD}"/>
    <cellStyle name="60% - Accent2 4" xfId="1859" xr:uid="{F5B1F026-59C6-44AC-BC63-286BA292FEEA}"/>
    <cellStyle name="60% - Accent2 5" xfId="1860" xr:uid="{EA3A245C-BED3-429C-8E85-1EB1EC7EEDCB}"/>
    <cellStyle name="60% - Accent2 6" xfId="1861" xr:uid="{477F9C41-F065-45D4-AB9C-F32BD74E838D}"/>
    <cellStyle name="60% - Accent2 7" xfId="1862" xr:uid="{78989708-7BC4-48D0-AD0D-E9375800305E}"/>
    <cellStyle name="60% - Accent2 8" xfId="1863" xr:uid="{14564D00-C08F-4CB2-8697-E079739326B4}"/>
    <cellStyle name="60% - Accent2 9" xfId="1864" xr:uid="{CE3CABEB-D9B9-4E70-A603-B62D6AD2AD63}"/>
    <cellStyle name="60% - Accent3" xfId="139" builtinId="40" customBuiltin="1"/>
    <cellStyle name="60% - Accent3 10" xfId="1866" xr:uid="{777FE009-96AC-43B7-9620-082CAF83652B}"/>
    <cellStyle name="60% - Accent3 11" xfId="1867" xr:uid="{3AAA5A24-80ED-4BBE-94D0-9546985566A1}"/>
    <cellStyle name="60% - Accent3 12" xfId="1868" xr:uid="{BF53370E-6761-4D1F-9B6E-22FF9BBBBADD}"/>
    <cellStyle name="60% - Accent3 13" xfId="1869" xr:uid="{AB21794A-6546-4453-916B-FC6954BC1AA3}"/>
    <cellStyle name="60% - Accent3 14" xfId="1870" xr:uid="{F9A2C34C-CDFA-419F-B57C-A926B84CC32D}"/>
    <cellStyle name="60% - Accent3 15" xfId="1871" xr:uid="{08E63E63-B304-4D20-9782-FCE09144CAE8}"/>
    <cellStyle name="60% - Accent3 16" xfId="1872" xr:uid="{4CF11A33-BD3B-4DC8-AB0A-CE983D70E27B}"/>
    <cellStyle name="60% - Accent3 17" xfId="1873" xr:uid="{C00659CF-786A-4099-A168-51B71380DA2B}"/>
    <cellStyle name="60% - Accent3 18" xfId="1874" xr:uid="{9F910CF0-6BF4-49CE-AE97-B3F4E2EFA2EC}"/>
    <cellStyle name="60% - Accent3 19" xfId="1875" xr:uid="{D8FA1B7F-6780-4087-AFED-5B1A4859834A}"/>
    <cellStyle name="60% - Accent3 2" xfId="168" xr:uid="{D6AA1D6E-FA62-4D6B-9B38-D0D716069B45}"/>
    <cellStyle name="60% - Accent3 2 2" xfId="1876" xr:uid="{AE682DC0-F227-4DEE-A660-59B770660BBA}"/>
    <cellStyle name="60% - Accent3 20" xfId="1877" xr:uid="{E61B3D74-9739-4AE2-A664-E004809E5B9D}"/>
    <cellStyle name="60% - Accent3 21" xfId="1878" xr:uid="{7A796904-E062-4AA9-8A26-D3418F3279A1}"/>
    <cellStyle name="60% - Accent3 22" xfId="1879" xr:uid="{44B06610-61B2-4545-96B2-E310A64F7D08}"/>
    <cellStyle name="60% - Accent3 23" xfId="1880" xr:uid="{77649D61-15EE-42BB-B43A-E5AD375DB017}"/>
    <cellStyle name="60% - Accent3 24" xfId="1881" xr:uid="{37BB82EA-F4D6-42B2-B4DF-8B000C7B196E}"/>
    <cellStyle name="60% - Accent3 25" xfId="1882" xr:uid="{E63D7225-D32A-4561-972E-58E4E96AD160}"/>
    <cellStyle name="60% - Accent3 26" xfId="1883" xr:uid="{89BE31F9-C6E4-4E44-8AFA-3016745BA855}"/>
    <cellStyle name="60% - Accent3 27" xfId="1884" xr:uid="{98D28D3B-CD43-4C39-81EB-64D017E4AAE4}"/>
    <cellStyle name="60% - Accent3 28" xfId="1885" xr:uid="{0B5B84E3-23BE-4877-BB66-1BC592CA6D73}"/>
    <cellStyle name="60% - Accent3 29" xfId="1886" xr:uid="{2B5FC736-224E-4FD8-BCF7-AED35140784A}"/>
    <cellStyle name="60% - Accent3 3" xfId="193" xr:uid="{77E840B0-0C4C-4BD8-9279-32C7FFEAB190}"/>
    <cellStyle name="60% - Accent3 3 2" xfId="1887" xr:uid="{40E04D2A-AB05-4C47-B2E3-48590465B104}"/>
    <cellStyle name="60% - Accent3 30" xfId="1888" xr:uid="{64A2B34B-86D0-445F-8BE4-7325FE0C5AAE}"/>
    <cellStyle name="60% - Accent3 31" xfId="1889" xr:uid="{9B93C144-C2F3-4B4D-8514-7CF2F123723C}"/>
    <cellStyle name="60% - Accent3 32" xfId="1890" xr:uid="{F3B4D569-6AF4-4D85-A5FD-86B023747750}"/>
    <cellStyle name="60% - Accent3 33" xfId="1891" xr:uid="{EC1D8585-D738-4984-BC8F-4D7A83C0991A}"/>
    <cellStyle name="60% - Accent3 34" xfId="1865" xr:uid="{3F4775B6-61A0-462C-9DB2-6CFED4697A84}"/>
    <cellStyle name="60% - Accent3 4" xfId="1892" xr:uid="{CB5C5BD0-8A56-4D47-AC73-E0A191D7568A}"/>
    <cellStyle name="60% - Accent3 5" xfId="1893" xr:uid="{BA4A015E-CD3C-432C-816E-361FAEB6B726}"/>
    <cellStyle name="60% - Accent3 6" xfId="1894" xr:uid="{563E771B-63E0-4C34-9E35-C2C68E4A5798}"/>
    <cellStyle name="60% - Accent3 7" xfId="1895" xr:uid="{0D988EA3-4AE6-4686-86FD-F389A4783536}"/>
    <cellStyle name="60% - Accent3 8" xfId="1896" xr:uid="{37BAAEC9-1BC1-4995-820F-31941AC88997}"/>
    <cellStyle name="60% - Accent3 9" xfId="1897" xr:uid="{24D4B961-6DDD-498E-9DC3-8F44B7166B7F}"/>
    <cellStyle name="60% - Accent4" xfId="143" builtinId="44" customBuiltin="1"/>
    <cellStyle name="60% - Accent4 10" xfId="1899" xr:uid="{E01FDF86-8881-4A69-9C5E-8782617725B9}"/>
    <cellStyle name="60% - Accent4 11" xfId="1900" xr:uid="{BF1D251D-C7F1-44A9-B91E-CC3DB0819A62}"/>
    <cellStyle name="60% - Accent4 12" xfId="1901" xr:uid="{CCC9A856-5638-4F24-8818-DFEF9905E8DE}"/>
    <cellStyle name="60% - Accent4 13" xfId="1902" xr:uid="{D46E97AF-9914-4D9E-9CED-45676B4AB8A2}"/>
    <cellStyle name="60% - Accent4 14" xfId="1903" xr:uid="{AF8E6555-D28C-4259-8511-A8988A36AC8E}"/>
    <cellStyle name="60% - Accent4 15" xfId="1904" xr:uid="{9CD4EEE9-0861-483D-A4D7-B1283734CE8B}"/>
    <cellStyle name="60% - Accent4 16" xfId="1905" xr:uid="{7DD79E09-C361-4FDF-8AF1-231DF5BC54A3}"/>
    <cellStyle name="60% - Accent4 17" xfId="1906" xr:uid="{F004C2F3-3AEA-4517-BAB5-3959AA6D9B56}"/>
    <cellStyle name="60% - Accent4 18" xfId="1907" xr:uid="{04ABE1DC-43AB-444F-9D23-4425262AFF67}"/>
    <cellStyle name="60% - Accent4 19" xfId="1908" xr:uid="{96255B06-35DB-4DF9-B026-2D13772CFB32}"/>
    <cellStyle name="60% - Accent4 2" xfId="171" xr:uid="{6F4FB773-330E-4323-A6EC-8FBAB75D3610}"/>
    <cellStyle name="60% - Accent4 2 2" xfId="1909" xr:uid="{4C2C3EE9-DBB0-4B7F-9CC6-00995DF9C133}"/>
    <cellStyle name="60% - Accent4 20" xfId="1910" xr:uid="{DB5F3049-FF01-40A9-B3C6-6DE33210B330}"/>
    <cellStyle name="60% - Accent4 21" xfId="1911" xr:uid="{F27F86F7-DBFB-482B-8382-0E2E7D0E0519}"/>
    <cellStyle name="60% - Accent4 22" xfId="1912" xr:uid="{B383DF44-B4CF-41E3-9C1A-1E30A7531E7B}"/>
    <cellStyle name="60% - Accent4 23" xfId="1913" xr:uid="{9BBC590B-4846-4EBA-959D-F7AF5AEA9CF0}"/>
    <cellStyle name="60% - Accent4 24" xfId="1914" xr:uid="{6EB083EF-8E51-43E5-BAD8-EF24E2A40C68}"/>
    <cellStyle name="60% - Accent4 25" xfId="1915" xr:uid="{BB2DAACC-433A-4726-9BBF-DFF81E36D94E}"/>
    <cellStyle name="60% - Accent4 26" xfId="1916" xr:uid="{A3930555-2D82-413E-8BD0-1AFABD18DFB6}"/>
    <cellStyle name="60% - Accent4 27" xfId="1917" xr:uid="{2CD8FCA6-7021-4E27-A38E-CDBB96B1883F}"/>
    <cellStyle name="60% - Accent4 28" xfId="1918" xr:uid="{C1CB66BC-8AEC-468A-BFFD-C6A9B1083C31}"/>
    <cellStyle name="60% - Accent4 29" xfId="1919" xr:uid="{914742CB-74FC-4149-A31B-40AA0154C1D6}"/>
    <cellStyle name="60% - Accent4 3" xfId="196" xr:uid="{26E21BD8-AED1-476C-88C2-89FA829EE556}"/>
    <cellStyle name="60% - Accent4 3 2" xfId="1920" xr:uid="{C33D13BD-A4E0-4B94-8B28-BEEEC409450D}"/>
    <cellStyle name="60% - Accent4 30" xfId="1921" xr:uid="{8DA396C1-2AFC-49F1-AA36-0B51D022FC15}"/>
    <cellStyle name="60% - Accent4 31" xfId="1922" xr:uid="{F438556F-8BA1-4880-A575-98C1B6DF304A}"/>
    <cellStyle name="60% - Accent4 32" xfId="1923" xr:uid="{B311134B-023A-4D58-B525-22E6B01D3D8C}"/>
    <cellStyle name="60% - Accent4 33" xfId="1924" xr:uid="{0444CD83-BC68-4C66-8A32-BFE9CA84F1BF}"/>
    <cellStyle name="60% - Accent4 34" xfId="1898" xr:uid="{ED049D52-C1A2-4CF8-819A-824A9314ADE7}"/>
    <cellStyle name="60% - Accent4 4" xfId="1925" xr:uid="{1F347D93-CB7B-4527-B45C-D6FCC2BB89CF}"/>
    <cellStyle name="60% - Accent4 5" xfId="1926" xr:uid="{834EA744-DF70-493C-866A-8F5A540EF071}"/>
    <cellStyle name="60% - Accent4 6" xfId="1927" xr:uid="{9DE0DC69-CFC1-4221-BA35-8492EF17F0AF}"/>
    <cellStyle name="60% - Accent4 7" xfId="1928" xr:uid="{2A637A1A-7DF2-48FF-9468-03AA1BD9EA8B}"/>
    <cellStyle name="60% - Accent4 8" xfId="1929" xr:uid="{4835D422-D747-4CD0-B85A-69EB3D919F09}"/>
    <cellStyle name="60% - Accent4 9" xfId="1930" xr:uid="{F9CFDE11-6EAE-4504-A7A9-1506E2386D5B}"/>
    <cellStyle name="60% - Accent5" xfId="147" builtinId="48" customBuiltin="1"/>
    <cellStyle name="60% - Accent5 10" xfId="1932" xr:uid="{21D57D96-53BF-4696-921E-1375E0B7AA54}"/>
    <cellStyle name="60% - Accent5 11" xfId="1933" xr:uid="{4B17688C-8546-4B5D-97CF-AD8C6AF75C30}"/>
    <cellStyle name="60% - Accent5 12" xfId="1934" xr:uid="{CC1A0C54-0C2F-45DB-9496-46C1340C6CA8}"/>
    <cellStyle name="60% - Accent5 13" xfId="1935" xr:uid="{8095CBF0-009B-4579-9381-0CAC5F657FDB}"/>
    <cellStyle name="60% - Accent5 14" xfId="1936" xr:uid="{AAF332C0-C761-4ADA-B887-B763A696A1FF}"/>
    <cellStyle name="60% - Accent5 15" xfId="1937" xr:uid="{2DD6F40F-8B30-4DF4-B2FB-5582BDCBC09D}"/>
    <cellStyle name="60% - Accent5 16" xfId="1938" xr:uid="{962C3525-1CF5-4713-9544-62E9365AB71A}"/>
    <cellStyle name="60% - Accent5 17" xfId="1939" xr:uid="{92131E44-3283-4C64-815F-22177EE4DB74}"/>
    <cellStyle name="60% - Accent5 18" xfId="1940" xr:uid="{BD4B39B4-F9E3-4876-B504-2A0426715C14}"/>
    <cellStyle name="60% - Accent5 19" xfId="1941" xr:uid="{D9C04933-115F-4D3D-9136-B166C1C3F5A5}"/>
    <cellStyle name="60% - Accent5 2" xfId="174" xr:uid="{4AFE56C0-0E40-42FF-81D7-5D3EE2453822}"/>
    <cellStyle name="60% - Accent5 2 2" xfId="1942" xr:uid="{AE9F493F-57BC-4622-9800-8AC0098B53F2}"/>
    <cellStyle name="60% - Accent5 20" xfId="1943" xr:uid="{943B6C88-5827-407E-B83E-4303FB2BBFED}"/>
    <cellStyle name="60% - Accent5 21" xfId="1944" xr:uid="{F64028A6-862E-4DE7-8B58-91C968B85B43}"/>
    <cellStyle name="60% - Accent5 22" xfId="1945" xr:uid="{376F1BDD-3878-4185-9A7E-C6A46B12E0BD}"/>
    <cellStyle name="60% - Accent5 23" xfId="1946" xr:uid="{3F61B49F-49FB-4E25-9B15-52844E786E53}"/>
    <cellStyle name="60% - Accent5 24" xfId="1947" xr:uid="{8BAB1DE3-B982-4C45-85CD-800441867DFE}"/>
    <cellStyle name="60% - Accent5 25" xfId="1948" xr:uid="{E0A236C0-6738-4D65-9FE8-05AC2BA27812}"/>
    <cellStyle name="60% - Accent5 26" xfId="1949" xr:uid="{7F6AB84D-836D-4575-A292-0A0E59BBE658}"/>
    <cellStyle name="60% - Accent5 27" xfId="1950" xr:uid="{023A959C-B249-4CF3-BB97-989E7132DE9E}"/>
    <cellStyle name="60% - Accent5 28" xfId="1951" xr:uid="{FF6BAE58-2C78-4E19-B65B-8D0E6FB9B348}"/>
    <cellStyle name="60% - Accent5 29" xfId="1952" xr:uid="{33686728-1CCA-492F-99A2-A0844ECA3B30}"/>
    <cellStyle name="60% - Accent5 3" xfId="199" xr:uid="{D08E5364-2874-42D5-8212-FDD04E9C1CD3}"/>
    <cellStyle name="60% - Accent5 3 2" xfId="1953" xr:uid="{96D3E322-7E11-4942-B873-3158E6F63224}"/>
    <cellStyle name="60% - Accent5 30" xfId="1954" xr:uid="{A9120F92-0D36-4E8E-BC17-0A66CE60CF21}"/>
    <cellStyle name="60% - Accent5 31" xfId="1955" xr:uid="{D5A9D0FC-4673-4864-BD3D-02392F5C7119}"/>
    <cellStyle name="60% - Accent5 32" xfId="1956" xr:uid="{C34491DE-8E72-45EC-8141-3C8926534832}"/>
    <cellStyle name="60% - Accent5 33" xfId="1957" xr:uid="{A905B8FA-A42D-4702-BEBD-8C6283E38A51}"/>
    <cellStyle name="60% - Accent5 34" xfId="1958" xr:uid="{AC9A2712-B28B-4C00-929F-898584799123}"/>
    <cellStyle name="60% - Accent5 35" xfId="1931" xr:uid="{0A73C359-5F85-4C95-A748-33EF855AADC4}"/>
    <cellStyle name="60% - Accent5 4" xfId="1959" xr:uid="{D080D06C-FE51-4F0F-96C2-9A6E97BF8838}"/>
    <cellStyle name="60% - Accent5 5" xfId="1960" xr:uid="{DB04CED9-B753-47F4-85BD-EC67F2C892E2}"/>
    <cellStyle name="60% - Accent5 6" xfId="1961" xr:uid="{AA78F07D-A19A-4ABA-9605-87C111925E3E}"/>
    <cellStyle name="60% - Accent5 7" xfId="1962" xr:uid="{E0F30847-A4E4-4C2D-86A1-F8901036FA0D}"/>
    <cellStyle name="60% - Accent5 8" xfId="1963" xr:uid="{1FE1C08E-DA5D-48E4-B4D2-0FA291924CBD}"/>
    <cellStyle name="60% - Accent5 9" xfId="1964" xr:uid="{94AE17BF-8693-471F-9AFE-6FA3C2A54EFF}"/>
    <cellStyle name="60% - Accent6" xfId="151" builtinId="52" customBuiltin="1"/>
    <cellStyle name="60% - Accent6 10" xfId="1966" xr:uid="{6A6641D2-0782-4CAC-9035-A5897C8E35E1}"/>
    <cellStyle name="60% - Accent6 11" xfId="1967" xr:uid="{68F82E87-F33F-4EBB-82CB-3EB63B9C2A40}"/>
    <cellStyle name="60% - Accent6 12" xfId="1968" xr:uid="{7D0E3CDE-C9BC-41B0-9DE0-CDBB2873AF89}"/>
    <cellStyle name="60% - Accent6 13" xfId="1969" xr:uid="{3BF3BF58-8E01-4F69-9B3B-C752504406CA}"/>
    <cellStyle name="60% - Accent6 14" xfId="1970" xr:uid="{1A376253-0B91-4245-9668-71B4DB622461}"/>
    <cellStyle name="60% - Accent6 15" xfId="1971" xr:uid="{DC522D2E-019F-4440-BAEA-154D70289402}"/>
    <cellStyle name="60% - Accent6 16" xfId="1972" xr:uid="{78316009-A236-4462-AC0F-641F4C86BE14}"/>
    <cellStyle name="60% - Accent6 17" xfId="1973" xr:uid="{E1EB9222-B394-44EF-8509-17CCC22951CF}"/>
    <cellStyle name="60% - Accent6 18" xfId="1974" xr:uid="{789516D3-674A-4BE8-A3F8-5F36664255EC}"/>
    <cellStyle name="60% - Accent6 19" xfId="1975" xr:uid="{F42730C8-1DC9-438A-BE98-C18A3DBBB7E4}"/>
    <cellStyle name="60% - Accent6 2" xfId="177" xr:uid="{D92DE6A6-494B-4684-BC68-A304738DD347}"/>
    <cellStyle name="60% - Accent6 2 2" xfId="1976" xr:uid="{B161859B-9BCA-4C0B-ACEC-AC65E61DF251}"/>
    <cellStyle name="60% - Accent6 20" xfId="1977" xr:uid="{2CA56B0B-575C-4FF8-A1D8-1C0FC5B49303}"/>
    <cellStyle name="60% - Accent6 21" xfId="1978" xr:uid="{222AFEF6-47CF-4997-B922-1D8E7CF27DF4}"/>
    <cellStyle name="60% - Accent6 22" xfId="1979" xr:uid="{24606DFB-74C1-49FC-8588-5DBF2813C773}"/>
    <cellStyle name="60% - Accent6 23" xfId="1980" xr:uid="{5F2CCC7B-75F8-4BE0-99DF-94EBDAAF9446}"/>
    <cellStyle name="60% - Accent6 24" xfId="1981" xr:uid="{AD3944A1-A0D4-47C0-ABD1-5AAB5875E01B}"/>
    <cellStyle name="60% - Accent6 25" xfId="1982" xr:uid="{98CC9C6C-EA37-435D-B509-96257C59F641}"/>
    <cellStyle name="60% - Accent6 26" xfId="1983" xr:uid="{B0AAE073-F05E-40F9-9B00-3953755E20B5}"/>
    <cellStyle name="60% - Accent6 27" xfId="1984" xr:uid="{1E94E609-9415-402F-AA05-D43E7D86389D}"/>
    <cellStyle name="60% - Accent6 28" xfId="1985" xr:uid="{588B5EC7-915D-408B-A7CE-C6C67B4EE0F9}"/>
    <cellStyle name="60% - Accent6 29" xfId="1986" xr:uid="{C7AE9FD9-ADDA-431D-86CA-11EAAA797315}"/>
    <cellStyle name="60% - Accent6 3" xfId="202" xr:uid="{78A8AA1C-882B-4E1B-B243-31004FCEBE32}"/>
    <cellStyle name="60% - Accent6 3 2" xfId="1987" xr:uid="{2C9FCAB3-2353-438E-B477-D31A86325249}"/>
    <cellStyle name="60% - Accent6 30" xfId="1988" xr:uid="{0FFBBBCA-3B4E-434E-B569-01FE56545F6C}"/>
    <cellStyle name="60% - Accent6 31" xfId="1989" xr:uid="{1B1A50BD-BE1E-4824-AAA1-64304296A40A}"/>
    <cellStyle name="60% - Accent6 32" xfId="1990" xr:uid="{357955E8-EACA-4258-8FF5-DDDA2687EDC4}"/>
    <cellStyle name="60% - Accent6 33" xfId="1991" xr:uid="{65A189EC-1F76-4AD4-BB72-45BC26606F69}"/>
    <cellStyle name="60% - Accent6 34" xfId="1965" xr:uid="{982305A5-26CD-434D-A595-CA816F15A402}"/>
    <cellStyle name="60% - Accent6 4" xfId="1992" xr:uid="{A5E176B2-4BAD-4BE3-9D28-0F12BE395E27}"/>
    <cellStyle name="60% - Accent6 5" xfId="1993" xr:uid="{3BEA4668-51D3-46B3-9ADF-FD5407815EAE}"/>
    <cellStyle name="60% - Accent6 6" xfId="1994" xr:uid="{1C70F703-1CB9-4B6B-A6E9-80D9F4F822D7}"/>
    <cellStyle name="60% - Accent6 7" xfId="1995" xr:uid="{CE92E757-FD84-4A5D-B4F1-AB90C2E6D4AC}"/>
    <cellStyle name="60% - Accent6 8" xfId="1996" xr:uid="{D9C7431E-1A1E-4C41-B460-773DC0EE21BE}"/>
    <cellStyle name="60% - Accent6 9" xfId="1997" xr:uid="{0E4E56B3-2F24-4193-A4A2-DCFD23537386}"/>
    <cellStyle name="60% - Akzent1" xfId="1998" xr:uid="{6B2BD782-785E-46DC-AB63-435DEFFCE679}"/>
    <cellStyle name="60% - Akzent2" xfId="1999" xr:uid="{6F0BEF7E-B67C-4FC7-9692-05584C757F38}"/>
    <cellStyle name="60% - Akzent3" xfId="2000" xr:uid="{A473FF46-A6E9-4290-B5F6-A6D2659F7D52}"/>
    <cellStyle name="60% - Akzent4" xfId="2001" xr:uid="{F4F45E33-415C-4D36-B154-E3E5C27ED8EF}"/>
    <cellStyle name="60% - Akzent5" xfId="2002" xr:uid="{C6DAC144-2911-49EE-BCE1-3C5C74C69A0B}"/>
    <cellStyle name="60% - Akzent6" xfId="2003" xr:uid="{1908FEC7-BFEF-49FE-813A-FD11E9DCF0B1}"/>
    <cellStyle name="60% - Colore 1" xfId="2004" xr:uid="{FCE0830D-8B3B-4D3A-98F4-465AD798BE98}"/>
    <cellStyle name="60% - Colore 2" xfId="2005" xr:uid="{6D938F10-99DC-41E7-AE7A-CCDA53829B02}"/>
    <cellStyle name="60% - Colore 3" xfId="2006" xr:uid="{7D4F7664-C91D-4B60-B7C9-57A3A0DB739C}"/>
    <cellStyle name="60% - Colore 4" xfId="2007" xr:uid="{7F87C994-304E-44E5-BDB4-755234ADE422}"/>
    <cellStyle name="60% - Colore 5" xfId="2008" xr:uid="{4A7122CF-0CD5-408A-A2AD-F9D0E2769DCE}"/>
    <cellStyle name="60% - Colore 6" xfId="2009" xr:uid="{8A94CCE3-77A4-4BA7-9EE4-6B53E49A4CB3}"/>
    <cellStyle name="60% - Énfasis1" xfId="2010" xr:uid="{3AD6975C-D2FE-48FE-A495-E820E0E1B482}"/>
    <cellStyle name="60% - Énfasis2" xfId="2011" xr:uid="{75660F63-F7AC-41DC-82B6-5230B8D6069B}"/>
    <cellStyle name="60% - Énfasis3" xfId="2012" xr:uid="{06B0C45D-6EBD-44B7-9ECE-AD4FDC6481DD}"/>
    <cellStyle name="60% - Énfasis4" xfId="2013" xr:uid="{B5DA6438-0DD7-4BDE-9979-818ADB409832}"/>
    <cellStyle name="60% - Énfasis5" xfId="2014" xr:uid="{D340F8E4-5E90-4C77-B828-FE5EF3712912}"/>
    <cellStyle name="60% - Énfasis6" xfId="2015" xr:uid="{6778E84C-0B22-41D2-A8AE-B4B6E6792685}"/>
    <cellStyle name="Accent1" xfId="128" builtinId="29" customBuiltin="1"/>
    <cellStyle name="Accent1 2" xfId="2016" xr:uid="{CEC6A401-AA84-4792-B6C5-3CA482D0C3A7}"/>
    <cellStyle name="Accent1 3" xfId="2017" xr:uid="{39A7EC57-62AC-4228-ACD6-9C0B240B8440}"/>
    <cellStyle name="Accent1 4" xfId="2018" xr:uid="{0AAD993E-4A87-4348-BC13-3C92A54834FB}"/>
    <cellStyle name="Accent1 5" xfId="2019" xr:uid="{4FF7AD47-1F3C-472D-8E32-C73642EA5D26}"/>
    <cellStyle name="Accent2" xfId="132" builtinId="33" customBuiltin="1"/>
    <cellStyle name="Accent2 2" xfId="2020" xr:uid="{ECA2E906-2A61-4639-ACC0-A0F516EEC796}"/>
    <cellStyle name="Accent3" xfId="136" builtinId="37" customBuiltin="1"/>
    <cellStyle name="Accent3 2" xfId="2021" xr:uid="{4E526C0B-2DD7-46BA-81C0-CC24B7226814}"/>
    <cellStyle name="Accent4" xfId="140" builtinId="41" customBuiltin="1"/>
    <cellStyle name="Accent4 2" xfId="2022" xr:uid="{2B66BEE8-82BC-44B2-9D06-ADE6312FEE20}"/>
    <cellStyle name="Accent4 2 2" xfId="2023" xr:uid="{DC46359E-FB39-4D5D-8C5B-409BE1EEE279}"/>
    <cellStyle name="Accent4 3" xfId="2024" xr:uid="{2DE49405-7D4C-4731-8992-5E3095520842}"/>
    <cellStyle name="Accent4 4" xfId="2025" xr:uid="{0A8675C8-6092-4921-978E-2212A7C9EDEF}"/>
    <cellStyle name="Accent4 5" xfId="2026" xr:uid="{942F95DD-E2FA-466B-B261-417641B15B33}"/>
    <cellStyle name="Accent5" xfId="144" builtinId="45" customBuiltin="1"/>
    <cellStyle name="Accent5 2" xfId="2027" xr:uid="{0CADED68-06A2-4417-8626-4B2C684799C5}"/>
    <cellStyle name="Accent6" xfId="148" builtinId="49" customBuiltin="1"/>
    <cellStyle name="Accent6 2" xfId="2028" xr:uid="{54790AD2-2C3F-4A86-ACB2-C897D84CE304}"/>
    <cellStyle name="Accent6 3" xfId="2029" xr:uid="{CFD7F2BB-AB5C-466B-89F1-8D7723DC6865}"/>
    <cellStyle name="Accent6 3 2" xfId="2030" xr:uid="{4B72B229-8870-4FD5-87EC-7A6545CD7364}"/>
    <cellStyle name="Accent6 4" xfId="2031" xr:uid="{E2C6B5AA-9E3B-4ED6-B518-D3F5C58CD5B2}"/>
    <cellStyle name="Accent6 5" xfId="2032" xr:uid="{22B896CD-6E4A-4642-934B-FCDE6726AE32}"/>
    <cellStyle name="AFE" xfId="2033" xr:uid="{9A8B654E-5C9F-4C1A-9D03-A19A1562988F}"/>
    <cellStyle name="AFE 10" xfId="2034" xr:uid="{A49AF93D-6B60-4882-9B3F-6FDC751E920C}"/>
    <cellStyle name="AFE 10 2" xfId="2035" xr:uid="{8AAFECA6-3A3B-406B-93A5-515E6554818E}"/>
    <cellStyle name="AFE 10 2 2" xfId="2036" xr:uid="{24FD3AD2-D156-4B7E-AFD2-656EAC3B1D2E}"/>
    <cellStyle name="AFE 10 3" xfId="2037" xr:uid="{F28451D0-2402-46C9-9407-64F689259ED8}"/>
    <cellStyle name="AFE 100" xfId="2038" xr:uid="{70649A4E-4028-4AEA-869A-3AA73F1453C5}"/>
    <cellStyle name="AFE 100 2" xfId="2039" xr:uid="{11F8DC3A-0ED5-456F-AE10-697D53ED6A32}"/>
    <cellStyle name="AFE 101" xfId="2040" xr:uid="{187F6F98-944A-4E65-8275-2691BF49A88E}"/>
    <cellStyle name="AFE 101 2" xfId="2041" xr:uid="{E15901E5-C08C-4DA6-9BF3-104010B48821}"/>
    <cellStyle name="AFE 102" xfId="2042" xr:uid="{F8C64D67-A42C-4969-9DE2-66D9835AFE00}"/>
    <cellStyle name="AFE 102 2" xfId="2043" xr:uid="{E8591E55-DB77-4C88-B3B6-CF1EF72D2125}"/>
    <cellStyle name="AFE 103" xfId="2044" xr:uid="{1789B1D2-9D34-42E1-91F7-BDFC20018411}"/>
    <cellStyle name="AFE 103 2" xfId="2045" xr:uid="{F885113C-92DB-4E2F-A4A7-17A3E11C0E52}"/>
    <cellStyle name="AFE 104" xfId="2046" xr:uid="{DBB7EF63-65E3-4991-A231-97AA80171DDC}"/>
    <cellStyle name="AFE 104 2" xfId="2047" xr:uid="{20A23E89-470F-49C6-B499-AC95BBAE5D7B}"/>
    <cellStyle name="AFE 105" xfId="2048" xr:uid="{9B295584-1186-4C2B-B27E-42F5BF5DF5BD}"/>
    <cellStyle name="AFE 105 2" xfId="2049" xr:uid="{A173BE3B-1AB9-431E-A570-6C7E8FB918F7}"/>
    <cellStyle name="AFE 106" xfId="2050" xr:uid="{342DC937-62C8-48A5-ABFF-251700CC7EA8}"/>
    <cellStyle name="AFE 106 2" xfId="2051" xr:uid="{146ABD8B-2798-45C6-90A8-3CEE8E062100}"/>
    <cellStyle name="AFE 107" xfId="2052" xr:uid="{2FE9E057-A867-4A4F-A93E-5FCA7B2A4137}"/>
    <cellStyle name="AFE 107 2" xfId="2053" xr:uid="{6C8782DF-0F56-4E58-A2A4-EA3499334F0C}"/>
    <cellStyle name="AFE 108" xfId="2054" xr:uid="{E40A4676-C433-4704-9F9F-ED22C358D9D3}"/>
    <cellStyle name="AFE 108 2" xfId="2055" xr:uid="{74BDCFBF-EA77-4E13-A6D4-33DBF823EF6D}"/>
    <cellStyle name="AFE 109" xfId="2056" xr:uid="{DF755F20-9380-4F58-9D97-F19AD9907878}"/>
    <cellStyle name="AFE 11" xfId="2057" xr:uid="{06F02099-8AB3-4B11-912B-1652303D75BA}"/>
    <cellStyle name="AFE 11 2" xfId="2058" xr:uid="{86229132-233B-4FBF-94FA-0776204CD850}"/>
    <cellStyle name="AFE 11 2 2" xfId="2059" xr:uid="{EABC3487-CA5E-4456-9F11-54F0348BE543}"/>
    <cellStyle name="AFE 11 3" xfId="2060" xr:uid="{1BA6BDB2-724B-49AB-87BA-2E738057FB36}"/>
    <cellStyle name="AFE 12" xfId="2061" xr:uid="{4589282D-CC8F-4CA0-9DDD-2574FD675D0B}"/>
    <cellStyle name="AFE 12 2" xfId="2062" xr:uid="{5FAF71AC-CF73-4B1A-A19F-CE0D8719B4CD}"/>
    <cellStyle name="AFE 12 2 2" xfId="2063" xr:uid="{9D7F1BBC-01E3-48AD-80FD-0DBA33B6AFDC}"/>
    <cellStyle name="AFE 12 3" xfId="2064" xr:uid="{FEC0A9A4-DD12-46FA-8B06-95FCC6E36B22}"/>
    <cellStyle name="AFE 13" xfId="2065" xr:uid="{4F953810-12E1-4F5F-BC49-2A08F0FD326A}"/>
    <cellStyle name="AFE 13 2" xfId="2066" xr:uid="{D72414D7-001C-4570-A0C1-4BD937A6BD33}"/>
    <cellStyle name="AFE 13 2 2" xfId="2067" xr:uid="{F3867F7E-8FEB-4E3F-8DB8-3E887D3F0DF2}"/>
    <cellStyle name="AFE 13 3" xfId="2068" xr:uid="{741FCCAC-EB66-497D-82B7-8AB1C9812063}"/>
    <cellStyle name="AFE 14" xfId="2069" xr:uid="{C260366D-E9F9-41C1-AE7D-DFC5EC3A4F56}"/>
    <cellStyle name="AFE 14 2" xfId="2070" xr:uid="{F8A57A4D-F670-40A9-859E-1DC378596361}"/>
    <cellStyle name="AFE 14 2 2" xfId="2071" xr:uid="{7029036E-0EA3-4530-92A2-E69833855B2B}"/>
    <cellStyle name="AFE 14 3" xfId="2072" xr:uid="{31A07845-112D-4730-B005-D4B97DEB30D8}"/>
    <cellStyle name="AFE 15" xfId="2073" xr:uid="{51D7D7EA-EA0C-44DF-B219-5DB0B4032EA8}"/>
    <cellStyle name="AFE 15 2" xfId="2074" xr:uid="{FC1C0F6A-E546-403A-821F-B52872C98EAF}"/>
    <cellStyle name="AFE 15 2 2" xfId="2075" xr:uid="{906E6DBB-2F9D-48F1-81FD-25477ACCA952}"/>
    <cellStyle name="AFE 15 3" xfId="2076" xr:uid="{AE843D37-EDC8-4B7B-89C6-BB01B25D8931}"/>
    <cellStyle name="AFE 16" xfId="2077" xr:uid="{73D3582E-75EC-41A0-B9DD-3FAB590D3E39}"/>
    <cellStyle name="AFE 16 2" xfId="2078" xr:uid="{D3564420-97B7-476B-8A91-6113BE0B36CB}"/>
    <cellStyle name="AFE 16 2 2" xfId="2079" xr:uid="{33F81EE4-ED07-4107-B971-C3202BCC33EC}"/>
    <cellStyle name="AFE 16 3" xfId="2080" xr:uid="{E30580C1-F1F7-49CB-A160-8E5C2F68E3FF}"/>
    <cellStyle name="AFE 17" xfId="2081" xr:uid="{7F646804-4CB7-40E1-96AE-CDF864ECEA82}"/>
    <cellStyle name="AFE 17 2" xfId="2082" xr:uid="{36CF40C6-D734-48AE-B434-B300858AEB4F}"/>
    <cellStyle name="AFE 17 2 2" xfId="2083" xr:uid="{0D164101-42AD-4B74-BB8B-EDB05A23B240}"/>
    <cellStyle name="AFE 17 3" xfId="2084" xr:uid="{0BC172A7-3FA2-436F-956A-E6B8C9D7351E}"/>
    <cellStyle name="AFE 18" xfId="2085" xr:uid="{845AFB9C-3576-4375-80EE-9E5477587642}"/>
    <cellStyle name="AFE 18 2" xfId="2086" xr:uid="{808DB752-943F-421B-B9E3-885B728D16C2}"/>
    <cellStyle name="AFE 18 2 2" xfId="2087" xr:uid="{BCC2CC19-B701-44F4-83AD-353B2EDE380E}"/>
    <cellStyle name="AFE 18 3" xfId="2088" xr:uid="{C7F70F5D-1DFF-4715-8BAC-81CC8D6E8E7E}"/>
    <cellStyle name="AFE 19" xfId="2089" xr:uid="{DCDF0C72-A0BD-4220-ACCE-80E5C3CB3946}"/>
    <cellStyle name="AFE 19 2" xfId="2090" xr:uid="{1BC27C41-83C0-4F08-81F6-73BBE2EA8C6E}"/>
    <cellStyle name="AFE 19 2 2" xfId="2091" xr:uid="{ED9229DC-EF67-4AE0-9F08-8F1930416D97}"/>
    <cellStyle name="AFE 19 3" xfId="2092" xr:uid="{0C62984D-6960-4D65-B368-B723572FCEDA}"/>
    <cellStyle name="AFE 2" xfId="2093" xr:uid="{BADD7EA5-E18D-40B6-8B23-354A9D8E87FE}"/>
    <cellStyle name="AFE 2 2" xfId="2094" xr:uid="{5D9090BD-0569-483B-8BD6-E8C1B542C1A5}"/>
    <cellStyle name="AFE 2 2 2" xfId="2095" xr:uid="{0D4C601B-6531-4D01-8578-260C76503C66}"/>
    <cellStyle name="AFE 2 3" xfId="2096" xr:uid="{3D736636-FEE0-4834-A94E-85AB20C4EDAD}"/>
    <cellStyle name="AFE 20" xfId="2097" xr:uid="{84AEE894-B101-45E8-9BA2-AD63A70F7B93}"/>
    <cellStyle name="AFE 20 2" xfId="2098" xr:uid="{EEEA48F4-E979-4BE5-ABB4-88E64B0B3B92}"/>
    <cellStyle name="AFE 20 2 2" xfId="2099" xr:uid="{6C7CB13A-7CF7-4D9C-8FB0-24627619F686}"/>
    <cellStyle name="AFE 20 3" xfId="2100" xr:uid="{73221820-463E-4926-BE07-F613FD4E86D6}"/>
    <cellStyle name="AFE 21" xfId="2101" xr:uid="{21916585-A425-480B-9755-69A4DF83935E}"/>
    <cellStyle name="AFE 21 2" xfId="2102" xr:uid="{34CBB898-F076-4E75-B1E4-56AD463C293C}"/>
    <cellStyle name="AFE 21 2 2" xfId="2103" xr:uid="{8BD7A050-7A34-4547-8BE9-E8632C248221}"/>
    <cellStyle name="AFE 21 3" xfId="2104" xr:uid="{DF81B556-71AB-4852-9EC0-96997AAA6D80}"/>
    <cellStyle name="AFE 22" xfId="2105" xr:uid="{D19FF2DE-9F09-4354-A456-A1EF83B962B9}"/>
    <cellStyle name="AFE 22 2" xfId="2106" xr:uid="{8E8DD372-58AD-4410-980D-3E87933BB8BB}"/>
    <cellStyle name="AFE 22 2 2" xfId="2107" xr:uid="{13C81E3E-BB82-400E-BF7A-7BB7400931F2}"/>
    <cellStyle name="AFE 22 3" xfId="2108" xr:uid="{269D5D78-FBF1-47D7-BC18-ACBC3B6B64FE}"/>
    <cellStyle name="AFE 23" xfId="2109" xr:uid="{F0552F56-F3A5-4483-96F7-0953D176EACE}"/>
    <cellStyle name="AFE 23 2" xfId="2110" xr:uid="{D775A98F-2F80-4946-9005-F1F751DD6C18}"/>
    <cellStyle name="AFE 23 2 2" xfId="2111" xr:uid="{B83D2817-74D6-43EF-9061-DE050990E39A}"/>
    <cellStyle name="AFE 23 3" xfId="2112" xr:uid="{B6FE5EFE-C2E8-4A87-A481-4C13A7D60579}"/>
    <cellStyle name="AFE 24" xfId="2113" xr:uid="{CA69B55E-FB77-4A00-B2F0-002BFE51A486}"/>
    <cellStyle name="AFE 24 2" xfId="2114" xr:uid="{B6593777-B8EB-4C6B-8876-36340B56EB90}"/>
    <cellStyle name="AFE 24 2 2" xfId="2115" xr:uid="{9E019EE3-9C7C-4F66-AA44-13B0086A61D7}"/>
    <cellStyle name="AFE 24 3" xfId="2116" xr:uid="{CCCAB75B-1175-4A8E-A2E6-6C62BFC8B112}"/>
    <cellStyle name="AFE 25" xfId="2117" xr:uid="{D0254195-DDF2-4872-B692-CA5C1DF73B87}"/>
    <cellStyle name="AFE 25 2" xfId="2118" xr:uid="{F577D649-B30A-4EE0-8F84-76EFB7E34BBB}"/>
    <cellStyle name="AFE 25 2 2" xfId="2119" xr:uid="{67218EB7-3A3F-406D-BDB6-4E3109594C78}"/>
    <cellStyle name="AFE 25 3" xfId="2120" xr:uid="{BB72DB07-A5DD-4DA4-9524-BDACEF04D5A7}"/>
    <cellStyle name="AFE 26" xfId="2121" xr:uid="{AF7CE4B7-EA66-4D16-AE64-960AB82872DD}"/>
    <cellStyle name="AFE 26 2" xfId="2122" xr:uid="{06A7C8B2-AB43-4EF4-9373-8D2C3B3EE24C}"/>
    <cellStyle name="AFE 26 2 2" xfId="2123" xr:uid="{EF72608D-A4DD-4E65-9F07-84BFA964B433}"/>
    <cellStyle name="AFE 26 3" xfId="2124" xr:uid="{3FEBBFA5-6B27-400F-AFA4-35B5665163E2}"/>
    <cellStyle name="AFE 27" xfId="2125" xr:uid="{1CC53CF0-1A9B-49B4-9D7A-E53E5990AEF6}"/>
    <cellStyle name="AFE 27 2" xfId="2126" xr:uid="{BA19A793-BCBA-4677-AA50-B933A847F8F5}"/>
    <cellStyle name="AFE 27 2 2" xfId="2127" xr:uid="{9F8F51AD-50DD-4BC7-9AE2-6F3E64536C02}"/>
    <cellStyle name="AFE 27 3" xfId="2128" xr:uid="{4C3E8DE9-D797-4D7D-B90A-F74500B11AC3}"/>
    <cellStyle name="AFE 28" xfId="2129" xr:uid="{7629A034-57A7-4540-BDD5-39974E33D41D}"/>
    <cellStyle name="AFE 28 2" xfId="2130" xr:uid="{3ACFCDAB-7C02-4216-9A85-7EA48B7EC114}"/>
    <cellStyle name="AFE 28 2 2" xfId="2131" xr:uid="{28A34753-1367-4405-A239-C6A775706D52}"/>
    <cellStyle name="AFE 28 3" xfId="2132" xr:uid="{3434E137-053E-4C1E-912D-E6146B87D781}"/>
    <cellStyle name="AFE 29" xfId="2133" xr:uid="{275C0109-F4A6-443E-BD89-B04DB05AC385}"/>
    <cellStyle name="AFE 29 2" xfId="2134" xr:uid="{D22DE92A-4C8F-4FF0-8F55-2D5C0F48AB8E}"/>
    <cellStyle name="AFE 29 2 2" xfId="2135" xr:uid="{F4D9B505-D21B-494A-B889-A61D75ECB17C}"/>
    <cellStyle name="AFE 29 3" xfId="2136" xr:uid="{14F98A15-E203-4A07-AA86-8D7EDD930631}"/>
    <cellStyle name="AFE 3" xfId="2137" xr:uid="{B8D28D72-6858-4460-AF8D-ABB85D785C52}"/>
    <cellStyle name="AFE 3 2" xfId="2138" xr:uid="{D6361978-BD74-4708-968D-338564CE7A5A}"/>
    <cellStyle name="AFE 3 2 2" xfId="2139" xr:uid="{F459D6C2-F4D0-40DF-85D8-747C6B6B2828}"/>
    <cellStyle name="AFE 3 3" xfId="2140" xr:uid="{6E7A7A6C-398A-4780-9FA4-5D5C1E057CC7}"/>
    <cellStyle name="AFE 30" xfId="2141" xr:uid="{B9461A0C-EA04-4890-9DAC-04FC9745C9AF}"/>
    <cellStyle name="AFE 30 2" xfId="2142" xr:uid="{F3CD0A27-A944-480A-A6EE-500D56076019}"/>
    <cellStyle name="AFE 30 2 2" xfId="2143" xr:uid="{0EEE4F5C-0F44-4AE0-913F-A9D829CE94AB}"/>
    <cellStyle name="AFE 30 3" xfId="2144" xr:uid="{E21AD204-728D-428B-B676-C5B111A70D35}"/>
    <cellStyle name="AFE 31" xfId="2145" xr:uid="{6B666B2D-D176-43AC-8913-0B6A016A5F02}"/>
    <cellStyle name="AFE 31 2" xfId="2146" xr:uid="{62C4F47B-F0A2-4000-96BC-7C9A75438845}"/>
    <cellStyle name="AFE 31 2 2" xfId="2147" xr:uid="{5EF8736D-08C5-4248-9AA5-78F19C9578CA}"/>
    <cellStyle name="AFE 31 3" xfId="2148" xr:uid="{9E634B68-F436-4356-BBDE-A1D5FA1B6956}"/>
    <cellStyle name="AFE 32" xfId="2149" xr:uid="{F257583F-5E5D-4983-A155-1CFAE202888B}"/>
    <cellStyle name="AFE 32 2" xfId="2150" xr:uid="{24E81633-364F-48C2-ABBB-C218ADFCA92F}"/>
    <cellStyle name="AFE 32 2 2" xfId="2151" xr:uid="{ACE6537C-EC85-41ED-984A-6642D18B314A}"/>
    <cellStyle name="AFE 32 3" xfId="2152" xr:uid="{703C63AA-290C-4E88-895B-E7BC7727C99C}"/>
    <cellStyle name="AFE 33" xfId="2153" xr:uid="{B308B618-1B8E-480F-B682-16A9A51902FB}"/>
    <cellStyle name="AFE 33 2" xfId="2154" xr:uid="{378FDAE5-797C-420C-92D1-AAEA5F75E729}"/>
    <cellStyle name="AFE 33 2 2" xfId="2155" xr:uid="{65923ECB-6D72-4EDF-ACEB-84BCE2CCEDFB}"/>
    <cellStyle name="AFE 33 3" xfId="2156" xr:uid="{7C3A9933-E7CF-4168-8791-CC6C66E3B279}"/>
    <cellStyle name="AFE 34" xfId="2157" xr:uid="{E8A4275B-EF1B-451E-A3AD-3EA654B734A4}"/>
    <cellStyle name="AFE 34 2" xfId="2158" xr:uid="{1855FC7B-AEF7-4125-83ED-1A735F74AB6F}"/>
    <cellStyle name="AFE 34 2 2" xfId="2159" xr:uid="{7B4AE904-85CB-4203-A762-84FA0FF88A98}"/>
    <cellStyle name="AFE 34 3" xfId="2160" xr:uid="{F7117DED-3B2F-4FE3-9499-A388AA6208B1}"/>
    <cellStyle name="AFE 35" xfId="2161" xr:uid="{DEC6FD32-FFB3-492F-81E2-230D6664DA27}"/>
    <cellStyle name="AFE 35 2" xfId="2162" xr:uid="{525F02ED-7D7B-4400-9EA1-010FAFE7823D}"/>
    <cellStyle name="AFE 35 2 2" xfId="2163" xr:uid="{95408209-1CA1-4871-BB6F-42994632DAF6}"/>
    <cellStyle name="AFE 35 3" xfId="2164" xr:uid="{F029D562-DF04-47F0-A1B1-1B0621ED430E}"/>
    <cellStyle name="AFE 36" xfId="2165" xr:uid="{FECBAA61-607B-4129-A147-80E49C23992D}"/>
    <cellStyle name="AFE 36 2" xfId="2166" xr:uid="{A74369A5-5BEE-4F60-9DAC-658AFBBE646D}"/>
    <cellStyle name="AFE 36 2 2" xfId="2167" xr:uid="{C545B157-00F9-4E1C-A34A-33F876F30842}"/>
    <cellStyle name="AFE 36 3" xfId="2168" xr:uid="{9BB33167-96AE-4A78-8780-50A0614E5CA8}"/>
    <cellStyle name="AFE 37" xfId="2169" xr:uid="{398EF1E3-D32E-4F8B-BAB6-083AAA79A917}"/>
    <cellStyle name="AFE 37 2" xfId="2170" xr:uid="{55FD4859-D987-4383-909F-ACBA40272D30}"/>
    <cellStyle name="AFE 37 2 2" xfId="2171" xr:uid="{70015166-E3A5-4FAC-A305-DDE58DB4EAE3}"/>
    <cellStyle name="AFE 37 3" xfId="2172" xr:uid="{E4399045-4C5F-404F-A012-D8FC6EE95085}"/>
    <cellStyle name="AFE 38" xfId="2173" xr:uid="{A4D053A1-5AA8-42F2-B620-1AFB2FC6FCC0}"/>
    <cellStyle name="AFE 38 2" xfId="2174" xr:uid="{F90D93E4-0EEE-4F68-8E82-A17FA500926C}"/>
    <cellStyle name="AFE 38 2 2" xfId="2175" xr:uid="{68FC0CF3-F794-427C-9C19-E2664019E3BA}"/>
    <cellStyle name="AFE 38 3" xfId="2176" xr:uid="{5E11BAC8-4256-40A8-B302-D8B8F71EA68C}"/>
    <cellStyle name="AFE 39" xfId="2177" xr:uid="{F637AB8F-15F3-4635-BE74-107DD9DA7126}"/>
    <cellStyle name="AFE 39 2" xfId="2178" xr:uid="{95E3E3C8-308A-4ECD-B76B-7A4A5C654D58}"/>
    <cellStyle name="AFE 39 2 2" xfId="2179" xr:uid="{E0FB8CA7-D925-4FC5-81B3-5D76317E37E3}"/>
    <cellStyle name="AFE 39 3" xfId="2180" xr:uid="{76BDCA85-AD54-48EA-B364-C15B6F8FFDF0}"/>
    <cellStyle name="AFE 4" xfId="2181" xr:uid="{957FCA01-B37C-47C4-A70A-39CCB9795EEA}"/>
    <cellStyle name="AFE 4 2" xfId="2182" xr:uid="{076D7BF5-9824-481D-B06A-DBC1CD0F448C}"/>
    <cellStyle name="AFE 4 2 2" xfId="2183" xr:uid="{1A317813-C2EE-4893-9B2C-847644FD6666}"/>
    <cellStyle name="AFE 4 3" xfId="2184" xr:uid="{C6F2334B-305C-4EEC-8BB5-2BFD83730653}"/>
    <cellStyle name="AFE 40" xfId="2185" xr:uid="{F48AD4D0-57FF-4DDD-97E4-1A03DFCEB835}"/>
    <cellStyle name="AFE 40 2" xfId="2186" xr:uid="{6C29431B-F590-471E-8845-2286EE56F4B9}"/>
    <cellStyle name="AFE 40 2 2" xfId="2187" xr:uid="{3CAEC5B0-3581-429F-9C23-3E28D18756B5}"/>
    <cellStyle name="AFE 40 3" xfId="2188" xr:uid="{0FD34FFE-25CE-418C-A53D-C49054928754}"/>
    <cellStyle name="AFE 41" xfId="2189" xr:uid="{FB06603D-F1D2-4927-9762-073A5724CE03}"/>
    <cellStyle name="AFE 41 2" xfId="2190" xr:uid="{8091E750-09A8-41B7-B14C-650F4E224410}"/>
    <cellStyle name="AFE 41 2 2" xfId="2191" xr:uid="{51E32943-1F39-4C4B-ACE8-F27F86EB9DF7}"/>
    <cellStyle name="AFE 41 3" xfId="2192" xr:uid="{C35F61BD-3203-4DF7-A769-4FF6FC2F28E7}"/>
    <cellStyle name="AFE 42" xfId="2193" xr:uid="{48AF64BD-7879-4143-8513-8E632DA93992}"/>
    <cellStyle name="AFE 42 2" xfId="2194" xr:uid="{2A7EADD4-7A8E-41B6-9F6A-F48AB0982FD9}"/>
    <cellStyle name="AFE 42 2 2" xfId="2195" xr:uid="{5F1BD881-C589-4EBB-B342-EDA58C764E65}"/>
    <cellStyle name="AFE 42 3" xfId="2196" xr:uid="{97A63D38-B7C5-4CF3-8272-082050534098}"/>
    <cellStyle name="AFE 43" xfId="2197" xr:uid="{991B5227-04AE-4F4B-8633-550C50F894F7}"/>
    <cellStyle name="AFE 43 2" xfId="2198" xr:uid="{2D0B8864-21BC-4D1F-8454-FDAEDC4F24CD}"/>
    <cellStyle name="AFE 43 2 2" xfId="2199" xr:uid="{3E03C17D-1CF2-4F8B-8DCD-D400CC3DB151}"/>
    <cellStyle name="AFE 43 3" xfId="2200" xr:uid="{E2FD525B-36C2-4D23-A0C3-67D3C096E399}"/>
    <cellStyle name="AFE 44" xfId="2201" xr:uid="{BEC3B220-A7DC-4845-9FCA-CFC5A080AA42}"/>
    <cellStyle name="AFE 44 2" xfId="2202" xr:uid="{7C294C45-4392-451F-8302-2570C78A280B}"/>
    <cellStyle name="AFE 44 2 2" xfId="2203" xr:uid="{CA58FE41-555B-4D26-B617-C68C102E7629}"/>
    <cellStyle name="AFE 44 3" xfId="2204" xr:uid="{DAE15EBA-6E1D-4FEE-B70E-60A90276E36A}"/>
    <cellStyle name="AFE 45" xfId="2205" xr:uid="{9C874E7D-DA64-4617-A8A8-E8B204CA064C}"/>
    <cellStyle name="AFE 45 2" xfId="2206" xr:uid="{9B329F06-6937-47C0-9668-FD7F911D6B2F}"/>
    <cellStyle name="AFE 45 2 2" xfId="2207" xr:uid="{3D1930C4-150C-4632-B21F-0D5FD2A76B64}"/>
    <cellStyle name="AFE 45 3" xfId="2208" xr:uid="{5071A368-6F32-49CD-9DAD-9F9C669F66F6}"/>
    <cellStyle name="AFE 46" xfId="2209" xr:uid="{FC827AF9-21C5-4C7D-872B-420BDE4F9E59}"/>
    <cellStyle name="AFE 46 2" xfId="2210" xr:uid="{4EE2B3E5-3271-405E-985A-24C1719817B4}"/>
    <cellStyle name="AFE 46 2 2" xfId="2211" xr:uid="{DD389173-7A30-4C6D-9E08-BB8BE1C411BB}"/>
    <cellStyle name="AFE 46 3" xfId="2212" xr:uid="{C3C267BF-EFFF-4C85-A35B-17189D9C2FBC}"/>
    <cellStyle name="AFE 47" xfId="2213" xr:uid="{FD0BB193-3124-4720-933E-945BA155FA12}"/>
    <cellStyle name="AFE 47 2" xfId="2214" xr:uid="{C7FE09D9-929D-4F73-84A0-7CF9C6FF4CF1}"/>
    <cellStyle name="AFE 47 2 2" xfId="2215" xr:uid="{C2E092BC-A1FE-490F-B411-FB1C381E979A}"/>
    <cellStyle name="AFE 47 3" xfId="2216" xr:uid="{E28F3F28-E99E-4269-9AF3-6974AB51FFD9}"/>
    <cellStyle name="AFE 48" xfId="2217" xr:uid="{5083D04C-B68E-41CF-BCBA-3ED83D2E3374}"/>
    <cellStyle name="AFE 48 2" xfId="2218" xr:uid="{0025A2DE-3B5F-474B-AB70-86B99B487352}"/>
    <cellStyle name="AFE 48 2 2" xfId="2219" xr:uid="{C210A4A9-28F1-4463-8205-31AA40F01570}"/>
    <cellStyle name="AFE 48 3" xfId="2220" xr:uid="{5001B41E-F61E-457A-8D38-5CEB6B1B4A14}"/>
    <cellStyle name="AFE 49" xfId="2221" xr:uid="{1A6415B2-7F44-4C0A-9401-A4C2A391628C}"/>
    <cellStyle name="AFE 49 2" xfId="2222" xr:uid="{15FEBF52-966E-42CE-A47C-86C48A0361BE}"/>
    <cellStyle name="AFE 49 2 2" xfId="2223" xr:uid="{E844D19E-CCB3-436B-8BD6-5147D2C1085D}"/>
    <cellStyle name="AFE 49 3" xfId="2224" xr:uid="{BCA0F199-F1A9-4D44-B0DF-7D6CEDA8208E}"/>
    <cellStyle name="AFE 5" xfId="2225" xr:uid="{ACFB6B6B-129D-4445-A5E1-2B76AD435CDB}"/>
    <cellStyle name="AFE 5 2" xfId="2226" xr:uid="{13D7F05E-CC4D-421F-8ED4-13048930E158}"/>
    <cellStyle name="AFE 5 2 2" xfId="2227" xr:uid="{85207FC6-A132-4342-AF66-3390C93E1FA9}"/>
    <cellStyle name="AFE 5 3" xfId="2228" xr:uid="{37ABB516-703A-400D-8EEC-04A900FD1C91}"/>
    <cellStyle name="AFE 50" xfId="2229" xr:uid="{85A5D7A3-338E-46D4-B0C9-CD4E39CCA91E}"/>
    <cellStyle name="AFE 50 2" xfId="2230" xr:uid="{D406F55E-216D-4DB9-BBDE-FB858F81110C}"/>
    <cellStyle name="AFE 50 2 2" xfId="2231" xr:uid="{C9A1121B-D363-48FE-AA54-087FF52A23E4}"/>
    <cellStyle name="AFE 50 3" xfId="2232" xr:uid="{23507189-CD13-4E6E-BAD7-D262742C7B50}"/>
    <cellStyle name="AFE 51" xfId="2233" xr:uid="{532C76B9-2570-47D1-BB36-6952580645C4}"/>
    <cellStyle name="AFE 51 2" xfId="2234" xr:uid="{397351C7-B777-4816-9E70-B76C650E990C}"/>
    <cellStyle name="AFE 51 2 2" xfId="2235" xr:uid="{C22947F0-0420-468A-85FB-662AC37DDA45}"/>
    <cellStyle name="AFE 51 3" xfId="2236" xr:uid="{3A80DB6E-15A7-45C7-AA6E-005DD707BCB1}"/>
    <cellStyle name="AFE 52" xfId="2237" xr:uid="{0E7E802F-B386-41D8-BAA3-9B4189E689AB}"/>
    <cellStyle name="AFE 52 2" xfId="2238" xr:uid="{C213AA38-B757-4D04-997E-CC85BFC5343C}"/>
    <cellStyle name="AFE 52 2 2" xfId="2239" xr:uid="{68004DB8-4386-4707-A57F-8A68603A5097}"/>
    <cellStyle name="AFE 52 3" xfId="2240" xr:uid="{DF5EF87A-BD70-4921-9E1C-4E301C4F0318}"/>
    <cellStyle name="AFE 53" xfId="2241" xr:uid="{7930810A-C96C-45A7-9A21-C51D4EDE614A}"/>
    <cellStyle name="AFE 53 2" xfId="2242" xr:uid="{06D4AC59-8319-4ED2-8F80-89A6A031B461}"/>
    <cellStyle name="AFE 53 2 2" xfId="2243" xr:uid="{CB73399D-A0BA-448C-8731-6DA390A356B0}"/>
    <cellStyle name="AFE 53 3" xfId="2244" xr:uid="{2F44CDFD-A922-48B6-9948-CA632EAA9CD6}"/>
    <cellStyle name="AFE 54" xfId="2245" xr:uid="{A58C265D-FCE0-42BC-81F3-C4A76B966342}"/>
    <cellStyle name="AFE 54 2" xfId="2246" xr:uid="{B0CDCABF-C19F-4F22-AA59-7FCCC5CE5996}"/>
    <cellStyle name="AFE 54 2 2" xfId="2247" xr:uid="{65C1885F-754C-4C66-8B18-F0BB715EBDEE}"/>
    <cellStyle name="AFE 54 3" xfId="2248" xr:uid="{7888C36C-4EFF-4120-B4E6-B326E9CE6131}"/>
    <cellStyle name="AFE 55" xfId="2249" xr:uid="{E0DEFB08-9342-425E-8C6D-2DA1999DB723}"/>
    <cellStyle name="AFE 55 2" xfId="2250" xr:uid="{FAE71DF8-68D6-424F-B59C-21E38C538466}"/>
    <cellStyle name="AFE 56" xfId="2251" xr:uid="{F6C472D6-32A5-4AEE-994F-F776AAFBAA91}"/>
    <cellStyle name="AFE 56 2" xfId="2252" xr:uid="{EAE5FE83-BE73-4C03-9BCB-07F682DF8089}"/>
    <cellStyle name="AFE 57" xfId="2253" xr:uid="{261716F6-A769-44F4-AE85-20FD14174889}"/>
    <cellStyle name="AFE 57 2" xfId="2254" xr:uid="{9E977603-DBC6-43DA-84B1-90AC0BC33AFD}"/>
    <cellStyle name="AFE 58" xfId="2255" xr:uid="{FEBF5FD0-3F10-4D52-ABFA-5EFE47992168}"/>
    <cellStyle name="AFE 58 2" xfId="2256" xr:uid="{0FAB6768-E273-4E76-B67A-3654541A22F5}"/>
    <cellStyle name="AFE 59" xfId="2257" xr:uid="{ACA4E31E-DF77-4089-BE59-F15BE770E161}"/>
    <cellStyle name="AFE 59 2" xfId="2258" xr:uid="{337730A5-B899-46D1-8430-466EF39F38AB}"/>
    <cellStyle name="AFE 6" xfId="2259" xr:uid="{615D470F-F842-4C8F-8A40-79B6D15D4D4F}"/>
    <cellStyle name="AFE 6 2" xfId="2260" xr:uid="{4064AA18-4136-4E65-AA70-2DA99791EAAD}"/>
    <cellStyle name="AFE 6 2 2" xfId="2261" xr:uid="{59E83131-B54C-4B05-81AB-5836EEA907ED}"/>
    <cellStyle name="AFE 6 3" xfId="2262" xr:uid="{C8619172-BCCF-40BC-965B-8F46D6E672CA}"/>
    <cellStyle name="AFE 60" xfId="2263" xr:uid="{7D39FB3F-762E-4618-8233-6717B4983226}"/>
    <cellStyle name="AFE 60 2" xfId="2264" xr:uid="{B880B357-6D8D-4F20-9A28-8B1E96CAFBDC}"/>
    <cellStyle name="AFE 61" xfId="2265" xr:uid="{BAB124AD-4F3C-4429-B860-D9ED13B5CEFE}"/>
    <cellStyle name="AFE 61 2" xfId="2266" xr:uid="{8DA7E2A1-B4B8-4B1A-9D61-D037C72C0B4F}"/>
    <cellStyle name="AFE 62" xfId="2267" xr:uid="{C1454CCC-E7BF-4E73-AD84-3A179088B547}"/>
    <cellStyle name="AFE 62 2" xfId="2268" xr:uid="{6F0EEC54-9590-4458-A2F4-216CBE8A0669}"/>
    <cellStyle name="AFE 63" xfId="2269" xr:uid="{8B023CF7-61FD-48CB-8973-0E80691A3924}"/>
    <cellStyle name="AFE 63 2" xfId="2270" xr:uid="{A1009CEF-B269-41D4-8348-F85DDCB9356E}"/>
    <cellStyle name="AFE 64" xfId="2271" xr:uid="{85B9F148-6684-4744-A3AE-A50BA3BBF247}"/>
    <cellStyle name="AFE 64 2" xfId="2272" xr:uid="{120EA6FD-A646-4139-99AA-B490DACF9084}"/>
    <cellStyle name="AFE 65" xfId="2273" xr:uid="{F19521E6-3372-4497-B9F2-BD8FF54947AD}"/>
    <cellStyle name="AFE 65 2" xfId="2274" xr:uid="{DF38A332-59B9-425B-8BFF-2FE68F198B51}"/>
    <cellStyle name="AFE 66" xfId="2275" xr:uid="{B7093ED0-017C-4693-852A-A607DA12A359}"/>
    <cellStyle name="AFE 66 2" xfId="2276" xr:uid="{237390F6-1F87-40A1-800B-93B2B7C4DC9D}"/>
    <cellStyle name="AFE 67" xfId="2277" xr:uid="{F61DC6BE-301C-42D0-9B21-C87A68E9D1AF}"/>
    <cellStyle name="AFE 67 2" xfId="2278" xr:uid="{5AFFC881-D690-49BA-84CB-F1A84FC4EF67}"/>
    <cellStyle name="AFE 68" xfId="2279" xr:uid="{C71B0B6C-55EF-4D37-B8A0-EA9A50A35D4D}"/>
    <cellStyle name="AFE 68 2" xfId="2280" xr:uid="{7354E2BF-2DA7-4A8F-B41C-AB9D46182D62}"/>
    <cellStyle name="AFE 69" xfId="2281" xr:uid="{FD00C99B-77B6-41D0-BC7E-73D2145DD23D}"/>
    <cellStyle name="AFE 69 2" xfId="2282" xr:uid="{41E4C62B-3CB8-4C70-AE23-2140325709C0}"/>
    <cellStyle name="AFE 7" xfId="2283" xr:uid="{D8F341F0-806E-4A61-BF91-E5F960059D18}"/>
    <cellStyle name="AFE 7 2" xfId="2284" xr:uid="{A78BEE19-A26F-44C9-9BD6-C288BE6B2415}"/>
    <cellStyle name="AFE 7 2 2" xfId="2285" xr:uid="{677777E5-30D0-46EF-B5AA-66042FEC8848}"/>
    <cellStyle name="AFE 7 3" xfId="2286" xr:uid="{D7B2FF63-BC07-4717-867C-1CED32E95E07}"/>
    <cellStyle name="AFE 70" xfId="2287" xr:uid="{65046BC0-73EE-4849-8077-BFA1A5017E52}"/>
    <cellStyle name="AFE 70 2" xfId="2288" xr:uid="{D0D2D5C2-8A40-491C-88CB-E9F12751DF9B}"/>
    <cellStyle name="AFE 71" xfId="2289" xr:uid="{B3B3A40B-A6E0-477D-8865-12EB2A584865}"/>
    <cellStyle name="AFE 71 2" xfId="2290" xr:uid="{71D42F70-22D5-451B-B32B-F4B3D35A905C}"/>
    <cellStyle name="AFE 72" xfId="2291" xr:uid="{4B8EA86B-F893-4019-8C72-9AF6593700ED}"/>
    <cellStyle name="AFE 72 2" xfId="2292" xr:uid="{2566335F-138B-48AF-9FC1-11F401D356F3}"/>
    <cellStyle name="AFE 73" xfId="2293" xr:uid="{81DD151A-9499-4442-974D-BB6E34095024}"/>
    <cellStyle name="AFE 73 2" xfId="2294" xr:uid="{68521B10-4CAA-4ACE-A746-3D4E05BD2B7E}"/>
    <cellStyle name="AFE 74" xfId="2295" xr:uid="{F02BD5F9-790A-4F5D-ABA7-529437F35B08}"/>
    <cellStyle name="AFE 74 2" xfId="2296" xr:uid="{C76FC50E-941E-442A-8149-D96F99C7D9C9}"/>
    <cellStyle name="AFE 75" xfId="2297" xr:uid="{C49EA3E3-5C09-4D64-A58B-5DE883CC0F56}"/>
    <cellStyle name="AFE 75 2" xfId="2298" xr:uid="{F137363D-E866-45DC-B55A-96F35C9B8084}"/>
    <cellStyle name="AFE 76" xfId="2299" xr:uid="{935CAA6B-AB46-4AA3-8EB9-4DD84BC61CBD}"/>
    <cellStyle name="AFE 76 2" xfId="2300" xr:uid="{F5A8BC7C-D0F2-495C-95D9-1CD054EA6A3A}"/>
    <cellStyle name="AFE 77" xfId="2301" xr:uid="{BAA8AE4D-123D-42EC-BE2C-06724F989436}"/>
    <cellStyle name="AFE 77 2" xfId="2302" xr:uid="{4AEA83A7-B5B9-47E6-813A-9B530D8631DA}"/>
    <cellStyle name="AFE 78" xfId="2303" xr:uid="{35614C15-0049-4B70-8A43-8BD84F371D62}"/>
    <cellStyle name="AFE 78 2" xfId="2304" xr:uid="{0EF306CE-6688-4322-A4D8-C222424BC41A}"/>
    <cellStyle name="AFE 79" xfId="2305" xr:uid="{A66AEC96-63C2-4865-B4A0-6E3E6B08370B}"/>
    <cellStyle name="AFE 79 2" xfId="2306" xr:uid="{8A9A0371-6E2A-4AE3-915A-3DA219B21852}"/>
    <cellStyle name="AFE 8" xfId="2307" xr:uid="{5B86BB58-9302-439D-B68B-2B36D376CB0A}"/>
    <cellStyle name="AFE 8 2" xfId="2308" xr:uid="{03DAC9EE-19D0-4B2E-86E9-DFB42D7C0799}"/>
    <cellStyle name="AFE 8 2 2" xfId="2309" xr:uid="{87AFC009-C9AE-4E91-B603-05793DB9924D}"/>
    <cellStyle name="AFE 8 3" xfId="2310" xr:uid="{000C250E-1FC4-4F89-954F-7DADE9516EDA}"/>
    <cellStyle name="AFE 80" xfId="2311" xr:uid="{EE290C7F-F4CC-452E-8B0B-5C962F3468D0}"/>
    <cellStyle name="AFE 80 2" xfId="2312" xr:uid="{98F40C89-D3BD-4280-880B-7026DE66F219}"/>
    <cellStyle name="AFE 81" xfId="2313" xr:uid="{45528282-AAB5-4864-80E3-AAFB8DFC955A}"/>
    <cellStyle name="AFE 81 2" xfId="2314" xr:uid="{AE872CE7-573A-4E66-A93D-76C7B59C85A4}"/>
    <cellStyle name="AFE 82" xfId="2315" xr:uid="{ECDA1BDF-5180-47DC-BB7F-E2260964C0D6}"/>
    <cellStyle name="AFE 82 2" xfId="2316" xr:uid="{B1A21F1C-1EAC-461A-96A5-6463259D7D79}"/>
    <cellStyle name="AFE 83" xfId="2317" xr:uid="{1C0E16F1-9267-4201-A543-BE1170FCD7C7}"/>
    <cellStyle name="AFE 83 2" xfId="2318" xr:uid="{3A32EC59-0463-47EB-BBA0-696D8F9750CB}"/>
    <cellStyle name="AFE 84" xfId="2319" xr:uid="{56626830-2A66-40A9-83DE-97364BFDFA76}"/>
    <cellStyle name="AFE 84 2" xfId="2320" xr:uid="{320355D4-0A70-42A9-B6A2-FCBED72FE8EC}"/>
    <cellStyle name="AFE 85" xfId="2321" xr:uid="{C678A972-72DE-4D6A-A0A3-24EB2571260F}"/>
    <cellStyle name="AFE 85 2" xfId="2322" xr:uid="{FEB50F7A-20D2-432C-8E24-6EEDF11EC903}"/>
    <cellStyle name="AFE 86" xfId="2323" xr:uid="{769EAB35-E195-42BC-A35D-BFD764C900F1}"/>
    <cellStyle name="AFE 86 2" xfId="2324" xr:uid="{3E1A48FA-168F-4633-8FA2-64EAE28B632D}"/>
    <cellStyle name="AFE 87" xfId="2325" xr:uid="{38FC2060-96E6-4908-B472-7D0D5F736CAF}"/>
    <cellStyle name="AFE 87 2" xfId="2326" xr:uid="{A49A6B8F-18B0-4939-852C-B83F45C17D39}"/>
    <cellStyle name="AFE 88" xfId="2327" xr:uid="{2AEC5813-9A51-47BA-A40F-55597C1B93A8}"/>
    <cellStyle name="AFE 88 2" xfId="2328" xr:uid="{D9E9EFC4-DC24-44FC-AA5E-36C1446B50B7}"/>
    <cellStyle name="AFE 89" xfId="2329" xr:uid="{1A327BEB-857E-4853-BFD5-C20FF5AEE4B6}"/>
    <cellStyle name="AFE 89 2" xfId="2330" xr:uid="{2CE87B03-C48D-422A-B5C5-AF378891469F}"/>
    <cellStyle name="AFE 9" xfId="2331" xr:uid="{9E308889-0908-45F9-AD0F-F50D30DD0548}"/>
    <cellStyle name="AFE 9 2" xfId="2332" xr:uid="{A0BFCFB1-B1D2-42A8-83FF-E25EB7237069}"/>
    <cellStyle name="AFE 9 2 2" xfId="2333" xr:uid="{A243336E-BA7F-4D70-B7F9-7E8126A22641}"/>
    <cellStyle name="AFE 9 3" xfId="2334" xr:uid="{A5A088AD-3B4D-48E8-AA52-9DFDEC9BBE48}"/>
    <cellStyle name="AFE 90" xfId="2335" xr:uid="{93CADB08-D288-43C1-9370-BEA081A8CF82}"/>
    <cellStyle name="AFE 90 2" xfId="2336" xr:uid="{78DBB59A-CB51-4C1C-9780-4F9A820C97F1}"/>
    <cellStyle name="AFE 91" xfId="2337" xr:uid="{532BC700-CF29-4C03-906F-21ABC4099989}"/>
    <cellStyle name="AFE 91 2" xfId="2338" xr:uid="{94BF6FF0-9528-48B4-87D7-62B7D33C8206}"/>
    <cellStyle name="AFE 92" xfId="2339" xr:uid="{F5321968-2334-4974-91FE-3E41AC7DA1A5}"/>
    <cellStyle name="AFE 92 2" xfId="2340" xr:uid="{F14E3CE8-A8BB-4860-9516-EDA33B733FE5}"/>
    <cellStyle name="AFE 93" xfId="2341" xr:uid="{6308157A-9924-481F-A431-A7C510FDD969}"/>
    <cellStyle name="AFE 93 2" xfId="2342" xr:uid="{892C2C85-8D8E-4ADC-AA9E-0E9CECEBCDBB}"/>
    <cellStyle name="AFE 94" xfId="2343" xr:uid="{AF05DF7E-27D5-475A-A027-4C3C865F915D}"/>
    <cellStyle name="AFE 94 2" xfId="2344" xr:uid="{42DA5856-5225-41F7-AA5F-104C06FAD642}"/>
    <cellStyle name="AFE 95" xfId="2345" xr:uid="{EF22019B-D0A2-446B-933C-AB4F5AB3E565}"/>
    <cellStyle name="AFE 95 2" xfId="2346" xr:uid="{E44715D5-6FE5-4D3C-A7B0-5D073702AD96}"/>
    <cellStyle name="AFE 96" xfId="2347" xr:uid="{63EC58A7-E8B9-4700-9DC6-45D26551282A}"/>
    <cellStyle name="AFE 96 2" xfId="2348" xr:uid="{DD1F7431-B5C3-4CA9-8BB0-37D1B93A27E3}"/>
    <cellStyle name="AFE 97" xfId="2349" xr:uid="{C6A4D312-085B-48FA-A688-5EA167B3747C}"/>
    <cellStyle name="AFE 97 2" xfId="2350" xr:uid="{4079F83C-B390-4052-BB68-2B5818F49918}"/>
    <cellStyle name="AFE 98" xfId="2351" xr:uid="{1B97CF86-011C-4F0F-9C8E-351776DFC235}"/>
    <cellStyle name="AFE 98 2" xfId="2352" xr:uid="{23D142EE-7003-442F-BBF2-63730820B102}"/>
    <cellStyle name="AFE 99" xfId="2353" xr:uid="{896BEE93-3342-4B60-BE90-2267D9BC6AE3}"/>
    <cellStyle name="AFE 99 2" xfId="2354" xr:uid="{B37207DA-7986-4688-9768-76BDADADFC58}"/>
    <cellStyle name="AFE_CMR_WINDERMERE VIII_Q409_DRAFT" xfId="2355" xr:uid="{3AD187FA-D75D-4E52-8112-C35539B920C4}"/>
    <cellStyle name="Akzent1" xfId="2356" xr:uid="{CE1DD41F-5671-45FF-921F-CC2DDE95C027}"/>
    <cellStyle name="Akzent2" xfId="2357" xr:uid="{2973F4BD-1E4A-4611-AB77-BF3B6DD0B653}"/>
    <cellStyle name="Akzent3" xfId="2358" xr:uid="{901055AE-1DCF-4C10-B6A0-00EC6D86777D}"/>
    <cellStyle name="Akzent4" xfId="2359" xr:uid="{649AFCB6-D04D-4332-A54C-AC2E477E633D}"/>
    <cellStyle name="Akzent5" xfId="2360" xr:uid="{46823CE6-0ADD-465B-8AFA-4956B44A75B0}"/>
    <cellStyle name="Akzent6" xfId="2361" xr:uid="{AE1C7493-E6DA-42EC-8DDC-EFED55201441}"/>
    <cellStyle name="Alignment" xfId="2362" xr:uid="{6D9B502B-51DD-49C8-B767-C67D4C41EA63}"/>
    <cellStyle name="Alignment 2" xfId="2363" xr:uid="{D873245A-4C6A-43EC-96D5-57E6001025B6}"/>
    <cellStyle name="Alignment 2 2" xfId="2364" xr:uid="{84879EFD-D52F-475A-BE7C-93C193BB1525}"/>
    <cellStyle name="Alignment 2 2 2" xfId="2365" xr:uid="{839E5504-6245-4D7F-8DD1-7B17EC8287A2}"/>
    <cellStyle name="Alignment 2 3" xfId="2366" xr:uid="{70595D42-56D3-48F2-A984-0694BD9FC9D6}"/>
    <cellStyle name="Alignment 2 3 2" xfId="2367" xr:uid="{3221E8AD-F281-4503-A84E-0AFE80236C8C}"/>
    <cellStyle name="Alignment 2 4" xfId="2368" xr:uid="{BD1D848D-0FA1-4BD0-A267-E02B1CA8F38D}"/>
    <cellStyle name="Alignment 3" xfId="2369" xr:uid="{815B619A-38B3-496A-9A31-A1435C9D1E6D}"/>
    <cellStyle name="Alignment 3 2" xfId="2370" xr:uid="{F9DDD75D-FAE4-400F-9DE1-76475D2A136F}"/>
    <cellStyle name="Alignment 4" xfId="2371" xr:uid="{5A436D1E-0F42-4DB4-882D-1290B52C1B4B}"/>
    <cellStyle name="Alignment 4 2" xfId="2372" xr:uid="{AE63A2B6-3A47-4E48-A9BE-7DAF1C6143F2}"/>
    <cellStyle name="Alignment 5" xfId="2373" xr:uid="{D3969299-24BB-4626-917D-002E0A0112C5}"/>
    <cellStyle name="Alignment 5 2" xfId="2374" xr:uid="{5AB7682C-5B65-4542-BE98-77E090A99701}"/>
    <cellStyle name="Alignment 6" xfId="2375" xr:uid="{30CA2706-B24A-450E-ADE8-CD5297030D77}"/>
    <cellStyle name="Alignment 6 2" xfId="2376" xr:uid="{C2E28837-AFD7-4493-9D12-6BDE69758A9F}"/>
    <cellStyle name="AlignmentComma" xfId="2377" xr:uid="{78D5F018-D7C8-43E4-8697-2B270631D70E}"/>
    <cellStyle name="AlignmentComma 2" xfId="2378" xr:uid="{4099137E-EC12-485B-B12B-42C85FF8163B}"/>
    <cellStyle name="AlignmentComma 2 2" xfId="2379" xr:uid="{44D247F1-8B3B-488A-A147-F3FF67C0FFEB}"/>
    <cellStyle name="AlignmentComma 2 2 2" xfId="2380" xr:uid="{494EC89B-5422-4099-80D5-2C1D4FF19A21}"/>
    <cellStyle name="AlignmentComma 2 3" xfId="2381" xr:uid="{33FF4780-58A8-4197-91CE-DA088D15A991}"/>
    <cellStyle name="AlignmentComma 2 3 2" xfId="2382" xr:uid="{59243C17-25A9-4D5E-8671-A27C9472F704}"/>
    <cellStyle name="AlignmentComma 2 4" xfId="2383" xr:uid="{051C980C-E47D-422B-B89A-8F9443522E34}"/>
    <cellStyle name="AlignmentComma 3" xfId="2384" xr:uid="{A2C9572E-A0AB-436B-8687-709EC69D783F}"/>
    <cellStyle name="AlignmentComma 3 2" xfId="2385" xr:uid="{95331912-DA20-4DFB-97E7-F63777052362}"/>
    <cellStyle name="AlignmentComma 4" xfId="2386" xr:uid="{94FF397B-30EB-43FF-B55E-F7C8737871CC}"/>
    <cellStyle name="AlignmentComma 4 2" xfId="2387" xr:uid="{0391915F-4977-48AB-9A80-361782FE7678}"/>
    <cellStyle name="AlignmentComma 5" xfId="2388" xr:uid="{76591CAB-1D41-4CAB-BBF2-768AD614D3F5}"/>
    <cellStyle name="AlignmentComma 5 2" xfId="2389" xr:uid="{14FD5E20-638A-470B-969E-26E7F11F2114}"/>
    <cellStyle name="AlignmentComma 6" xfId="2390" xr:uid="{18D7A79B-3FD6-4211-AB3C-18975904AC30}"/>
    <cellStyle name="AlignmentComma 6 2" xfId="2391" xr:uid="{EDDDAA2E-3582-4230-A0E7-64EC63D6E606}"/>
    <cellStyle name="AnnotationCells" xfId="2392" xr:uid="{9AE1286E-014B-402E-AD21-1222A0CE7AE9}"/>
    <cellStyle name="args.style" xfId="2393" xr:uid="{997CE5B7-E2B0-43E1-96E1-CD06F06B90AA}"/>
    <cellStyle name="arial" xfId="2394" xr:uid="{D8FA3FEB-186B-4FE0-8D98-0E286C851031}"/>
    <cellStyle name="ASR" xfId="1" xr:uid="{00000000-0005-0000-0000-000002000000}"/>
    <cellStyle name="ASR 2" xfId="108" xr:uid="{D91987C3-193C-48C0-B267-5FC785319328}"/>
    <cellStyle name="Ausgabe" xfId="2395" xr:uid="{76C287B1-21FF-42C0-A9F7-D0C6C0ED4E92}"/>
    <cellStyle name="Ausgabe 2" xfId="2396" xr:uid="{2E0F554B-6B6A-442F-90E6-EDDB7462D461}"/>
    <cellStyle name="Auto" xfId="2397" xr:uid="{D5A56B61-DA83-4F0B-BCD9-8E25CF24DE84}"/>
    <cellStyle name="Avertissement 2" xfId="2398" xr:uid="{8CE663A6-D0B7-4428-8A79-0BC82E728865}"/>
    <cellStyle name="Bad" xfId="118" builtinId="27" customBuiltin="1"/>
    <cellStyle name="Bad 10" xfId="2400" xr:uid="{D43CB07F-E8C0-453B-A405-FB47EDF02128}"/>
    <cellStyle name="Bad 11" xfId="2401" xr:uid="{F9AB2F04-773F-4C4B-BA80-5A5D78A91F32}"/>
    <cellStyle name="Bad 12" xfId="2402" xr:uid="{628AA92F-B34A-4F34-A3EB-7AD48101D084}"/>
    <cellStyle name="Bad 13" xfId="2403" xr:uid="{351A5AD3-9C76-494D-89AD-2EC3CB0CBD12}"/>
    <cellStyle name="Bad 14" xfId="2404" xr:uid="{A7F1F5EE-774A-4DFD-9764-7FBAD1AB3D01}"/>
    <cellStyle name="Bad 15" xfId="2405" xr:uid="{849697D0-0576-4EB5-85ED-6A7608F7D221}"/>
    <cellStyle name="Bad 16" xfId="2406" xr:uid="{81BA3368-FF98-45B9-8EDF-802097DDF30D}"/>
    <cellStyle name="Bad 17" xfId="2407" xr:uid="{E4F387E0-738B-46F7-9BAB-6478628856C1}"/>
    <cellStyle name="Bad 18" xfId="2408" xr:uid="{37F840B0-EE22-484B-9303-AF81FFE29AC1}"/>
    <cellStyle name="Bad 19" xfId="2409" xr:uid="{3C19A0F6-16E0-423A-80F4-57CC9F04C971}"/>
    <cellStyle name="Bad 2" xfId="2410" xr:uid="{71C9EF57-4ABF-4E24-8B33-DD7C2EE335A1}"/>
    <cellStyle name="Bad 20" xfId="2411" xr:uid="{CA68514E-6605-4234-86AD-17F08A40D50B}"/>
    <cellStyle name="Bad 21" xfId="2412" xr:uid="{D1AEA771-B652-4FF2-9208-6045342B5D68}"/>
    <cellStyle name="Bad 22" xfId="2413" xr:uid="{0407078D-752E-460E-B39D-581CD0274726}"/>
    <cellStyle name="Bad 23" xfId="2414" xr:uid="{54042241-7A96-499E-89B6-2FBDDE2D9F52}"/>
    <cellStyle name="Bad 24" xfId="2415" xr:uid="{741367B3-D706-42AD-957C-9601DDE59A6B}"/>
    <cellStyle name="Bad 25" xfId="2416" xr:uid="{C4294371-5168-48A2-BADE-2833C8A2C139}"/>
    <cellStyle name="Bad 26" xfId="2417" xr:uid="{01A719AA-BAD3-4AD1-858B-E02DBEDA4955}"/>
    <cellStyle name="Bad 27" xfId="2418" xr:uid="{C79E4FC2-CADC-44B7-9E99-A970ADE6B24F}"/>
    <cellStyle name="Bad 28" xfId="2419" xr:uid="{7138CD32-C737-4DC4-9826-03B9F18B0003}"/>
    <cellStyle name="Bad 29" xfId="2420" xr:uid="{2AC0A3E3-B626-4A37-BE22-64800424B24C}"/>
    <cellStyle name="Bad 3" xfId="2421" xr:uid="{F3820447-020B-4401-B785-EE8550DAAFA2}"/>
    <cellStyle name="Bad 30" xfId="2422" xr:uid="{3009ED9B-3B8D-4B6C-8C04-4AD347F8D3CF}"/>
    <cellStyle name="Bad 31" xfId="2423" xr:uid="{56246FE5-E3CA-4458-91C8-85EABA497666}"/>
    <cellStyle name="Bad 32" xfId="2424" xr:uid="{2F68A5A7-23E5-47F0-9BEF-3DFC18461D43}"/>
    <cellStyle name="Bad 33" xfId="2425" xr:uid="{10E17C62-A1EF-4D5A-BD0C-3E7B893A47CE}"/>
    <cellStyle name="Bad 34" xfId="2399" xr:uid="{DA4AB97B-B06E-4868-AD47-EB5A0A507597}"/>
    <cellStyle name="Bad 4" xfId="2426" xr:uid="{C288C080-3502-4363-BA51-9913CD9C5E09}"/>
    <cellStyle name="Bad 5" xfId="2427" xr:uid="{0B9DEA9D-1F4B-41F1-981C-BC656008F74A}"/>
    <cellStyle name="Bad 6" xfId="2428" xr:uid="{EF6F9ECE-CD39-4A34-837C-940154A1BA5C}"/>
    <cellStyle name="Bad 7" xfId="2429" xr:uid="{AA83BC70-48FC-443B-8E95-A388651B2C23}"/>
    <cellStyle name="Bad 8" xfId="2430" xr:uid="{A964C120-43CF-468D-9641-9C3A3DF943C0}"/>
    <cellStyle name="Bad 9" xfId="2431" xr:uid="{85ABFB64-F565-405A-B3F7-6BB5B5BDA976}"/>
    <cellStyle name="Berechnung" xfId="2432" xr:uid="{95AFF44B-0944-4A02-9097-F9AAC6E4FED1}"/>
    <cellStyle name="Berechnung 2" xfId="2433" xr:uid="{DC4E34A9-F652-406C-BC29-3FA4D5E3642A}"/>
    <cellStyle name="Bold/Border" xfId="2434" xr:uid="{CB220670-1739-4201-8E27-2E0D0CEA8203}"/>
    <cellStyle name="Border Heavy" xfId="2435" xr:uid="{1D167CB1-CC9E-4EA8-924F-5EF5E1DD47E4}"/>
    <cellStyle name="Border Thin" xfId="2436" xr:uid="{46B63B3F-8737-4868-B17B-4119BEA2B412}"/>
    <cellStyle name="Border Thin 10" xfId="2437" xr:uid="{FB97C93C-C880-4675-861B-8052A79808B4}"/>
    <cellStyle name="Border Thin 11" xfId="2438" xr:uid="{4155DB09-582F-4FB6-81DA-4716F0703FBE}"/>
    <cellStyle name="Border Thin 12" xfId="2439" xr:uid="{425C7E78-4676-4D06-9314-52EA90F820A6}"/>
    <cellStyle name="Border Thin 2" xfId="2440" xr:uid="{1F49577C-AFBF-4E9D-881A-3A5B06B9E95B}"/>
    <cellStyle name="Border Thin 2 2" xfId="2441" xr:uid="{DD6A7AC6-7CDA-4976-B2E1-CD78793C14C3}"/>
    <cellStyle name="Border Thin 2 2 2" xfId="2442" xr:uid="{7A26CEEA-AA19-4D71-87A1-44CA7BBCD3C3}"/>
    <cellStyle name="Border Thin 2 3" xfId="2443" xr:uid="{8D6D6F3A-07EE-4B63-969A-80EEE0A044C6}"/>
    <cellStyle name="Border Thin 2 4" xfId="2444" xr:uid="{4A79DF70-438A-49BC-8FE8-4EF5C2ACD0D4}"/>
    <cellStyle name="Border Thin 2 5" xfId="2445" xr:uid="{851D6E90-5309-47E4-A25A-47B78E33CAED}"/>
    <cellStyle name="Border Thin 2 6" xfId="2446" xr:uid="{54CECBE3-A715-4FC2-9CDA-4150728B0F46}"/>
    <cellStyle name="Border Thin 2 7" xfId="2447" xr:uid="{2143E990-CC97-4818-9905-67C3D306636A}"/>
    <cellStyle name="Border Thin 3" xfId="2448" xr:uid="{C4250DA2-A7DF-4236-B3B7-70AEEBDA2226}"/>
    <cellStyle name="Border Thin 3 2" xfId="2449" xr:uid="{DD23902B-D9E9-4CBD-A4D8-4A8A906867EE}"/>
    <cellStyle name="Border Thin 3 3" xfId="2450" xr:uid="{6391AF32-3E6A-4047-B3A9-109A73EEE04E}"/>
    <cellStyle name="Border Thin 3 4" xfId="2451" xr:uid="{32E390A3-B9DC-4D8C-AD7D-95621F7A46DE}"/>
    <cellStyle name="Border Thin 3 5" xfId="2452" xr:uid="{5DE41BE8-6619-49D2-9492-689C0EB8B8A4}"/>
    <cellStyle name="Border Thin 3 6" xfId="2453" xr:uid="{CB901565-A1AC-4C3E-8493-1FA2632651CB}"/>
    <cellStyle name="Border Thin 3 7" xfId="2454" xr:uid="{AE74338F-A397-4861-B7F8-0C6F50ACDBCE}"/>
    <cellStyle name="Border Thin 4" xfId="2455" xr:uid="{E83AADB3-1460-4D79-83C0-1DA60AB1F53B}"/>
    <cellStyle name="Border Thin 4 2" xfId="2456" xr:uid="{E99FA5DA-43AA-48C9-84C8-60F1B48BB7DB}"/>
    <cellStyle name="Border Thin 4 3" xfId="2457" xr:uid="{12D798C8-92A3-48B3-BD15-4764048C1584}"/>
    <cellStyle name="Border Thin 4 4" xfId="2458" xr:uid="{EA71A864-83B6-4C79-9875-1A3F31744CE1}"/>
    <cellStyle name="Border Thin 4 5" xfId="2459" xr:uid="{15AB9E45-1685-4C2F-9377-D6EDE2C2055F}"/>
    <cellStyle name="Border Thin 4 6" xfId="2460" xr:uid="{9DBF512D-7FE7-4DB8-B527-53A4CD785741}"/>
    <cellStyle name="Border Thin 4 7" xfId="2461" xr:uid="{8A70CC11-1A53-4081-B3AA-281E9502BAF9}"/>
    <cellStyle name="Border Thin 5" xfId="2462" xr:uid="{350C1087-4140-4A7F-A78F-579258656AEB}"/>
    <cellStyle name="Border Thin 5 2" xfId="2463" xr:uid="{77A81321-FC8C-424B-8148-FF72DAAB7BE0}"/>
    <cellStyle name="Border Thin 5 3" xfId="2464" xr:uid="{28EBD87F-56FB-4CC1-8665-C34AE3D69D9C}"/>
    <cellStyle name="Border Thin 5 4" xfId="2465" xr:uid="{1488A773-7579-47A6-96A4-AFF3498B020E}"/>
    <cellStyle name="Border Thin 5 5" xfId="2466" xr:uid="{E6E332E0-DE98-4C3F-8131-99D20D583175}"/>
    <cellStyle name="Border Thin 5 6" xfId="2467" xr:uid="{25C4327E-D75C-47CF-9649-A795E5D1B1D5}"/>
    <cellStyle name="Border Thin 5 7" xfId="2468" xr:uid="{EF641CA7-885C-42A5-9ABE-F1B95F1EE43A}"/>
    <cellStyle name="Border Thin 6" xfId="2469" xr:uid="{8674B697-378F-4BA4-89E4-86295759CB09}"/>
    <cellStyle name="Border Thin 6 2" xfId="2470" xr:uid="{D6448DEC-B001-4721-A996-21A82163321B}"/>
    <cellStyle name="Border Thin 6 3" xfId="2471" xr:uid="{9B886326-1D60-4234-BAA2-4741D9687329}"/>
    <cellStyle name="Border Thin 6 4" xfId="2472" xr:uid="{30F50915-A301-4C57-B720-EAE83E1699EE}"/>
    <cellStyle name="Border Thin 6 5" xfId="2473" xr:uid="{F8AD8082-3916-4A99-8E83-6CA555678612}"/>
    <cellStyle name="Border Thin 6 6" xfId="2474" xr:uid="{B22D1169-5F5B-4369-BF4D-42BE82538C9A}"/>
    <cellStyle name="Border Thin 6 7" xfId="2475" xr:uid="{8F77AD61-74CA-4FD5-8E06-F286901350DA}"/>
    <cellStyle name="Border Thin 7" xfId="2476" xr:uid="{0711391D-CEEA-4B1D-82CE-033ADA2A97C5}"/>
    <cellStyle name="Border Thin 8" xfId="2477" xr:uid="{C4A8627B-2C7D-47DE-A23D-A7B59150BA6F}"/>
    <cellStyle name="Border Thin 9" xfId="2478" xr:uid="{33EA5C8B-9BAD-4BA3-A102-D678D331343E}"/>
    <cellStyle name="BOX - COLUMN BOXES" xfId="2479" xr:uid="{5BFAD101-6100-4589-A00B-66B36647A3A8}"/>
    <cellStyle name="Buena" xfId="2480" xr:uid="{CADF50BB-F84C-42C4-9F9D-AADB16587E9A}"/>
    <cellStyle name="Bullet" xfId="2481" xr:uid="{64DAC097-0F7D-46E3-B5C8-1F26CACCC80F}"/>
    <cellStyle name="Calc Currency (0)" xfId="2482" xr:uid="{158C554F-B666-4708-A237-681A5A81D60A}"/>
    <cellStyle name="Calc Currency (2)" xfId="2483" xr:uid="{E7287D2F-9A01-49A0-B1EB-CF563B1EA9B0}"/>
    <cellStyle name="Calc Percent (0)" xfId="2484" xr:uid="{BE64FE37-F8B0-49AE-AEA9-B19151C1002E}"/>
    <cellStyle name="Calc Percent (1)" xfId="2485" xr:uid="{CF1F6ED4-4404-4B4D-8F06-D10A6CE163C1}"/>
    <cellStyle name="Calc Percent (2)" xfId="2486" xr:uid="{6F434DFD-869A-4DE3-A3DA-8CC3F96C322A}"/>
    <cellStyle name="Calc Units (0)" xfId="2487" xr:uid="{DE0DADFD-6EB7-47F3-9881-1109DBE84B5E}"/>
    <cellStyle name="Calc Units (1)" xfId="2488" xr:uid="{07B3F1CD-6D04-4941-9E13-F0AF190B9AF0}"/>
    <cellStyle name="Calcolo" xfId="2489" xr:uid="{58435426-BC6D-4EE0-A32F-DECD4A1E66E0}"/>
    <cellStyle name="Calcolo 2" xfId="2490" xr:uid="{381261D3-C953-477D-AC05-095E2D64088E}"/>
    <cellStyle name="Calcul 2" xfId="2491" xr:uid="{729DBE53-5AA4-4D08-9C14-D8A90F50841D}"/>
    <cellStyle name="Calcul 2 2" xfId="2492" xr:uid="{C0A2D8E3-C748-43ED-BD7F-DCE75CFC7BF7}"/>
    <cellStyle name="Calculation" xfId="122" builtinId="22" customBuiltin="1"/>
    <cellStyle name="Calculation 10" xfId="2494" xr:uid="{3F687801-A0F9-42B9-9DF5-8EBEA939934D}"/>
    <cellStyle name="Calculation 10 2" xfId="2495" xr:uid="{9BE22586-783E-429F-9E68-0F6008F5A941}"/>
    <cellStyle name="Calculation 11" xfId="2496" xr:uid="{0EC0C4AC-366E-43AA-8F2E-AB974E6BA09B}"/>
    <cellStyle name="Calculation 11 2" xfId="2497" xr:uid="{7C2991E4-8126-45C8-A643-AF0F3D6C7E95}"/>
    <cellStyle name="Calculation 12" xfId="2498" xr:uid="{3EB42342-2765-4782-B84B-D11BE44DB266}"/>
    <cellStyle name="Calculation 12 2" xfId="2499" xr:uid="{4F4132AC-5F63-41DB-9841-C7A6DCB43D22}"/>
    <cellStyle name="Calculation 13" xfId="2500" xr:uid="{1CAE9300-4117-4F1C-96CA-5AE1B43ACF48}"/>
    <cellStyle name="Calculation 13 2" xfId="2501" xr:uid="{ECE64FAD-7289-46AA-A617-A4E8DE260D3B}"/>
    <cellStyle name="Calculation 14" xfId="2502" xr:uid="{08975AC6-C3EE-4542-9522-E9D96F1038DA}"/>
    <cellStyle name="Calculation 14 2" xfId="2503" xr:uid="{99AED8C5-8DD2-41FB-ADF0-06978E52EE54}"/>
    <cellStyle name="Calculation 15" xfId="2504" xr:uid="{5377D549-A711-4BE3-A4C7-C25C511262C5}"/>
    <cellStyle name="Calculation 15 2" xfId="2505" xr:uid="{8237A568-9B00-4EC4-BF73-6ADF627A0B36}"/>
    <cellStyle name="Calculation 16" xfId="2506" xr:uid="{09A0A5DA-D49B-4A19-85B9-E247817427DA}"/>
    <cellStyle name="Calculation 16 2" xfId="2507" xr:uid="{BC4B409E-AFBF-4341-889E-EACCF9932843}"/>
    <cellStyle name="Calculation 17" xfId="2508" xr:uid="{A1F86DB7-1AD5-47E7-9C07-B44E5A30EA3C}"/>
    <cellStyle name="Calculation 17 2" xfId="2509" xr:uid="{BC53FAF4-AB6F-47F9-81B5-B219F96FD12B}"/>
    <cellStyle name="Calculation 18" xfId="2510" xr:uid="{91C497C3-040F-494B-9EFC-4428E3A63AEB}"/>
    <cellStyle name="Calculation 18 2" xfId="2511" xr:uid="{3BCEADFA-2612-41A7-A090-EAAA71ED584F}"/>
    <cellStyle name="Calculation 19" xfId="2512" xr:uid="{2040EE31-4A64-4722-9BD8-07235EB937FB}"/>
    <cellStyle name="Calculation 19 2" xfId="2513" xr:uid="{6074CAF4-C148-4B79-8623-68BD3B2E4223}"/>
    <cellStyle name="Calculation 2" xfId="2514" xr:uid="{03390CC9-9498-4CAF-A3EF-D7F958ED2BDC}"/>
    <cellStyle name="Calculation 2 2" xfId="2515" xr:uid="{17C9F3DC-D9F8-473D-AB2B-85DBE23AB829}"/>
    <cellStyle name="Calculation 20" xfId="2516" xr:uid="{A9F486DB-22D7-4B49-A51A-9E4E25D67C5A}"/>
    <cellStyle name="Calculation 20 2" xfId="2517" xr:uid="{2E5B00C4-7A7A-4066-A2C3-D43D134F46B8}"/>
    <cellStyle name="Calculation 21" xfId="2518" xr:uid="{D5C8A645-3E8D-43F2-B04C-947A4AF3A5BB}"/>
    <cellStyle name="Calculation 21 2" xfId="2519" xr:uid="{F3C65F52-ACF4-4328-9BA3-662AAF99BD2B}"/>
    <cellStyle name="Calculation 22" xfId="2520" xr:uid="{80F16AEA-E67E-45FB-AEDC-4E12A191880A}"/>
    <cellStyle name="Calculation 22 2" xfId="2521" xr:uid="{BC9D434D-F224-4930-8E98-C25D491AB241}"/>
    <cellStyle name="Calculation 23" xfId="2522" xr:uid="{528CF2EE-7E4A-4D75-A557-933E5F5F81B5}"/>
    <cellStyle name="Calculation 23 2" xfId="2523" xr:uid="{A66D5EDF-9FFE-4247-9B28-18FEE4782BAC}"/>
    <cellStyle name="Calculation 24" xfId="2524" xr:uid="{C189E831-3B31-4DF5-A804-B7DCDB16ED47}"/>
    <cellStyle name="Calculation 24 2" xfId="2525" xr:uid="{9F5B0613-37C2-49B4-B935-C9FF6913D572}"/>
    <cellStyle name="Calculation 25" xfId="2526" xr:uid="{FD1E9FD8-6946-4341-9BB8-265136E6F152}"/>
    <cellStyle name="Calculation 25 2" xfId="2527" xr:uid="{4C1D3B8E-826A-407F-85BC-D4A7E7FE98C6}"/>
    <cellStyle name="Calculation 26" xfId="2528" xr:uid="{BA10428F-B416-4606-AEE6-1C536BFD2B08}"/>
    <cellStyle name="Calculation 26 2" xfId="2529" xr:uid="{853AFE43-6974-4F2A-84C6-E3E8CFE6D6D2}"/>
    <cellStyle name="Calculation 27" xfId="2530" xr:uid="{A29D1C18-0C70-42F0-AD7F-C27DA5421349}"/>
    <cellStyle name="Calculation 27 2" xfId="2531" xr:uid="{20178C6C-D2E3-4C1F-942F-ABAA0112BC56}"/>
    <cellStyle name="Calculation 28" xfId="2532" xr:uid="{FE79AB68-91F6-4506-8CD9-36034E1EDA8F}"/>
    <cellStyle name="Calculation 28 2" xfId="2533" xr:uid="{C10A15F1-3363-4F0E-86A3-E3D1F0C61EF6}"/>
    <cellStyle name="Calculation 29" xfId="2534" xr:uid="{7B093CF6-868C-484B-99AC-B9100A7C1276}"/>
    <cellStyle name="Calculation 29 2" xfId="2535" xr:uid="{AE33C587-DFAF-43E8-B849-FE5B88FE0663}"/>
    <cellStyle name="Calculation 3" xfId="2536" xr:uid="{5A7C261C-7426-45A5-881C-84BFC10FB9B6}"/>
    <cellStyle name="Calculation 3 2" xfId="2537" xr:uid="{7F885CB9-9377-4EDA-AE09-EFAA4AC70FD2}"/>
    <cellStyle name="Calculation 30" xfId="2538" xr:uid="{38CD2A48-A6BD-42C9-8F7F-FEF71FAA61BA}"/>
    <cellStyle name="Calculation 30 2" xfId="2539" xr:uid="{5E35C2F3-66D2-4206-AE26-32CD92615177}"/>
    <cellStyle name="Calculation 31" xfId="2540" xr:uid="{9EB6A664-41C5-4A5E-BCE9-7BF00C48C1E9}"/>
    <cellStyle name="Calculation 31 2" xfId="2541" xr:uid="{FBDE1B7B-09AB-4EC6-9332-3AACFEC3B1CC}"/>
    <cellStyle name="Calculation 32" xfId="2542" xr:uid="{9CA02FE0-AA59-47EF-90CE-6B52142B9B21}"/>
    <cellStyle name="Calculation 32 2" xfId="2543" xr:uid="{767893DB-BA04-4A7B-831F-5DA65978DB4F}"/>
    <cellStyle name="Calculation 33" xfId="2544" xr:uid="{0887C24B-EEB1-48A9-94C0-2FA8A69CB7DA}"/>
    <cellStyle name="Calculation 33 2" xfId="2545" xr:uid="{74C9F63B-C7BE-4170-95B0-7D79516EDE4F}"/>
    <cellStyle name="Calculation 34" xfId="2546" xr:uid="{BB85C066-A5B2-49F9-9F7B-CB219E7BE6F2}"/>
    <cellStyle name="Calculation 35" xfId="2493" xr:uid="{0A4EE260-59D4-4370-BA63-0583BB30BB57}"/>
    <cellStyle name="Calculation 4" xfId="2547" xr:uid="{DA7CA3A5-C9B5-469A-847A-7E35F3E0B445}"/>
    <cellStyle name="Calculation 4 2" xfId="2548" xr:uid="{B8D6A509-E43D-4DDA-859B-21DE01BCC6EF}"/>
    <cellStyle name="Calculation 5" xfId="2549" xr:uid="{C436FE2C-6F76-4BDE-B7A3-8A99676012B1}"/>
    <cellStyle name="Calculation 5 2" xfId="2550" xr:uid="{E2F28218-F63A-47CD-9234-9EA7C40A54D1}"/>
    <cellStyle name="Calculation 6" xfId="2551" xr:uid="{AE742836-EFE9-4772-BF93-F28366D72BA5}"/>
    <cellStyle name="Calculation 6 2" xfId="2552" xr:uid="{24A5ABA7-9D28-45F8-B92E-526A9766B11F}"/>
    <cellStyle name="Calculation 7" xfId="2553" xr:uid="{4C4B8413-605A-4AC8-A9DD-9161FBCBEE89}"/>
    <cellStyle name="Calculation 7 2" xfId="2554" xr:uid="{6EC2B5AA-DB29-4138-84A5-91C12DA338D2}"/>
    <cellStyle name="Calculation 8" xfId="2555" xr:uid="{CA45DF94-5871-4C7D-9972-8A69AD34C905}"/>
    <cellStyle name="Calculation 8 2" xfId="2556" xr:uid="{DC42325F-B9DA-4C53-96C1-3430EC67F392}"/>
    <cellStyle name="Calculation 9" xfId="2557" xr:uid="{D8A15997-FD82-4611-AADB-28B9ACF40937}"/>
    <cellStyle name="Calculation 9 2" xfId="2558" xr:uid="{7D4C4F66-7FF9-441C-9298-CA92092F4E38}"/>
    <cellStyle name="Cálculo" xfId="2559" xr:uid="{87B461C8-5063-423D-A9E5-854EEBE2B343}"/>
    <cellStyle name="Cálculo 2" xfId="2560" xr:uid="{E06FD2C0-173F-4A50-82AD-595594579194}"/>
    <cellStyle name="Celda de comprobación" xfId="2561" xr:uid="{1376D2BC-DC48-49FE-8F5A-B82F140D238B}"/>
    <cellStyle name="Celda de comprobación 2" xfId="2562" xr:uid="{571EF14E-F420-4ED2-92CB-3519E570C1BB}"/>
    <cellStyle name="Celda de comprobación 2 10" xfId="2563" xr:uid="{CC8CA301-338E-4734-8CA7-46B8AE88CC1A}"/>
    <cellStyle name="Celda de comprobación 2 10 2" xfId="2564" xr:uid="{04F89D4A-1307-4B36-B194-2944339F6FB0}"/>
    <cellStyle name="Celda de comprobación 2 10 2 2" xfId="2565" xr:uid="{EA32BDE2-C7FA-4955-A767-1FA8CC12E3A7}"/>
    <cellStyle name="Celda de comprobación 2 10 3" xfId="2566" xr:uid="{38DF349A-5FE7-4274-B153-736EBB5CFAA6}"/>
    <cellStyle name="Celda de comprobación 2 11" xfId="2567" xr:uid="{2F988B9F-ADA2-4EDB-8035-B4A3924CEBF8}"/>
    <cellStyle name="Celda de comprobación 2 11 2" xfId="2568" xr:uid="{FAA5EB55-57C6-489F-BA0F-EE5EF015A362}"/>
    <cellStyle name="Celda de comprobación 2 11 2 2" xfId="2569" xr:uid="{4077D3AC-818F-4DCA-BABF-6539F65A47A9}"/>
    <cellStyle name="Celda de comprobación 2 11 3" xfId="2570" xr:uid="{03DC6F86-6156-4812-8887-E3774B21EBEB}"/>
    <cellStyle name="Celda de comprobación 2 12" xfId="2571" xr:uid="{7B13CF53-9AA7-4442-9BB9-60FEB5222B6B}"/>
    <cellStyle name="Celda de comprobación 2 12 2" xfId="2572" xr:uid="{4D9BB210-DB2D-4C5E-B046-FF1077D419E6}"/>
    <cellStyle name="Celda de comprobación 2 12 2 2" xfId="2573" xr:uid="{7E4E65B1-347C-4407-8218-63A39A8BC4F5}"/>
    <cellStyle name="Celda de comprobación 2 12 3" xfId="2574" xr:uid="{8F22F758-3666-41A1-A84B-89CAEC6C4FC8}"/>
    <cellStyle name="Celda de comprobación 2 13" xfId="2575" xr:uid="{26DC799F-6C29-474A-87B9-528D488CCD6D}"/>
    <cellStyle name="Celda de comprobación 2 13 2" xfId="2576" xr:uid="{A20299A1-375D-4318-8AF4-836A74A7DD12}"/>
    <cellStyle name="Celda de comprobación 2 13 2 2" xfId="2577" xr:uid="{EF1098FD-AD26-4726-AB7D-6EF858726904}"/>
    <cellStyle name="Celda de comprobación 2 13 3" xfId="2578" xr:uid="{B1643311-7ED5-4FED-AB88-5FA49BC72C78}"/>
    <cellStyle name="Celda de comprobación 2 2" xfId="2579" xr:uid="{C3A9FF45-6529-4DA7-83D9-61F0BEF3C8E0}"/>
    <cellStyle name="Celda de comprobación 2 2 2" xfId="2580" xr:uid="{51DA5773-02F7-4615-B0B2-A3EA6B2DF9E2}"/>
    <cellStyle name="Celda de comprobación 2 2 2 2" xfId="2581" xr:uid="{3347F793-1C06-4935-860A-300F84E15D7B}"/>
    <cellStyle name="Celda de comprobación 2 2 2 2 2" xfId="2582" xr:uid="{D9A84ECD-DB11-4D08-A588-AF61B19DF227}"/>
    <cellStyle name="Celda de comprobación 2 2 2 3" xfId="2583" xr:uid="{C0C016E7-DD64-4E0F-9D7F-70BB47C7ACDD}"/>
    <cellStyle name="Celda de comprobación 2 2 3" xfId="2584" xr:uid="{14DD7F41-AF1E-4112-A3C7-13DF666BDF2C}"/>
    <cellStyle name="Celda de comprobación 2 2 3 2" xfId="2585" xr:uid="{28F9B094-5BA7-4F3B-B7D8-3E088976F550}"/>
    <cellStyle name="Celda de comprobación 2 2 3 2 2" xfId="2586" xr:uid="{91586CF2-504C-46BB-A3FE-9491E8FADD49}"/>
    <cellStyle name="Celda de comprobación 2 2 3 3" xfId="2587" xr:uid="{1FBFCCCA-C6CB-4920-AA1E-A9F60CFE9E23}"/>
    <cellStyle name="Celda de comprobación 2 2 4" xfId="2588" xr:uid="{4B3172C0-2025-424D-A6D0-7C41AC7F27B5}"/>
    <cellStyle name="Celda de comprobación 2 2 4 2" xfId="2589" xr:uid="{462B564B-409B-4DEA-88D4-47602C9DBAB2}"/>
    <cellStyle name="Celda de comprobación 2 2 4 2 2" xfId="2590" xr:uid="{49566837-3269-49E0-81B8-507FF98876F4}"/>
    <cellStyle name="Celda de comprobación 2 2 4 3" xfId="2591" xr:uid="{27EAE715-2644-49B1-96C9-4C7C9CD9EF18}"/>
    <cellStyle name="Celda de comprobación 2 2 5" xfId="2592" xr:uid="{3F6E3782-7BF3-40BE-97C1-0465327ABB73}"/>
    <cellStyle name="Celda de comprobación 2 2 5 2" xfId="2593" xr:uid="{A2018BFA-05AA-497C-8523-D005993C893B}"/>
    <cellStyle name="Celda de comprobación 2 2 5 2 2" xfId="2594" xr:uid="{E6A00FD9-88EC-4467-BDCF-CC1E2DCFD8DA}"/>
    <cellStyle name="Celda de comprobación 2 2 5 3" xfId="2595" xr:uid="{3D629A46-19AC-441C-BFF6-6228588F8BCB}"/>
    <cellStyle name="Celda de comprobación 2 2 6" xfId="2596" xr:uid="{26C1FDDF-579A-49CA-8D24-934229C0CAE6}"/>
    <cellStyle name="Celda de comprobación 2 2 6 2" xfId="2597" xr:uid="{4EE84F22-63A5-4776-B1B4-8A2C61676F4C}"/>
    <cellStyle name="Celda de comprobación 2 2 6 2 2" xfId="2598" xr:uid="{937EFE28-291F-421A-91D3-C33F178E34BE}"/>
    <cellStyle name="Celda de comprobación 2 2 6 3" xfId="2599" xr:uid="{D17F9CC5-26B6-4E76-BE72-EE87E529EEEF}"/>
    <cellStyle name="Celda de comprobación 2 2 7" xfId="2600" xr:uid="{B45D7258-A85D-4B53-9389-7318CE6AD7C3}"/>
    <cellStyle name="Celda de comprobación 2 2 7 2" xfId="2601" xr:uid="{9D65F37C-12FD-4381-A7AB-096F469ED5AD}"/>
    <cellStyle name="Celda de comprobación 2 2 7 2 2" xfId="2602" xr:uid="{B5DF763C-4942-49BE-9EDF-4F7A6AE6F140}"/>
    <cellStyle name="Celda de comprobación 2 2 7 3" xfId="2603" xr:uid="{DB5DC752-99A5-4FA4-BB4D-6E93E200FAC9}"/>
    <cellStyle name="Celda de comprobación 2 2 8" xfId="2604" xr:uid="{68F02ADD-4DAB-4942-8A80-0CE19ACCE002}"/>
    <cellStyle name="Celda de comprobación 2 2 8 2" xfId="2605" xr:uid="{32705A61-9DFA-4F0E-9244-7F25282DB786}"/>
    <cellStyle name="Celda de comprobación 2 2 8 2 2" xfId="2606" xr:uid="{91B4EB7B-3F7B-4DDF-85E5-3756B64AA2F0}"/>
    <cellStyle name="Celda de comprobación 2 2 8 3" xfId="2607" xr:uid="{6FE5D1C7-64D9-4C77-AFB4-02D8EBC89F42}"/>
    <cellStyle name="Celda de comprobación 2 2 9" xfId="2608" xr:uid="{CC82D91E-340E-4E71-960C-31B47D46833E}"/>
    <cellStyle name="Celda de comprobación 2 2 9 2" xfId="2609" xr:uid="{397E6465-6960-4B4A-AF7B-E5971A759515}"/>
    <cellStyle name="Celda de comprobación 2 2 9 2 2" xfId="2610" xr:uid="{FFEC37C4-9124-43A7-86A3-301BA9C389B0}"/>
    <cellStyle name="Celda de comprobación 2 2 9 3" xfId="2611" xr:uid="{FA66491A-2C49-4ADA-B829-B02AF5F7826D}"/>
    <cellStyle name="Celda de comprobación 2 3" xfId="2612" xr:uid="{3F08580B-4FDB-4F2B-9BC9-0AE73D399071}"/>
    <cellStyle name="Celda de comprobación 2 3 2" xfId="2613" xr:uid="{A6333F19-EEDB-40E8-B6FB-F7717AC9EAB2}"/>
    <cellStyle name="Celda de comprobación 2 3 2 2" xfId="2614" xr:uid="{38A0AFFC-263D-4501-B04C-EA1DE8608F23}"/>
    <cellStyle name="Celda de comprobación 2 3 2 2 2" xfId="2615" xr:uid="{75B62739-9E25-43C9-90F0-3F2E5A0D317A}"/>
    <cellStyle name="Celda de comprobación 2 3 2 3" xfId="2616" xr:uid="{C1FDBFED-5554-434B-AF40-F29AE930E3EA}"/>
    <cellStyle name="Celda de comprobación 2 3 3" xfId="2617" xr:uid="{DB361CF7-2C03-4515-A6D5-35DEB7DF5728}"/>
    <cellStyle name="Celda de comprobación 2 3 3 2" xfId="2618" xr:uid="{DA5B08C7-7BEA-4A57-82D8-F7B5C076BD0A}"/>
    <cellStyle name="Celda de comprobación 2 3 3 2 2" xfId="2619" xr:uid="{EAFE4B2E-3836-481C-9EBB-EECD51FE4446}"/>
    <cellStyle name="Celda de comprobación 2 3 3 3" xfId="2620" xr:uid="{5B13D607-6ABB-45A6-8DEB-718A53413FBF}"/>
    <cellStyle name="Celda de comprobación 2 3 4" xfId="2621" xr:uid="{033FB670-509E-4D2B-AB2D-2A22BC9F2248}"/>
    <cellStyle name="Celda de comprobación 2 3 4 2" xfId="2622" xr:uid="{767AC46F-2A87-460B-AA7E-251371C91F37}"/>
    <cellStyle name="Celda de comprobación 2 3 4 2 2" xfId="2623" xr:uid="{D814CACC-A58E-4419-A6C5-47ADCED45717}"/>
    <cellStyle name="Celda de comprobación 2 3 4 3" xfId="2624" xr:uid="{37A4F84C-FC6A-4859-9E0C-61ACD37E76AC}"/>
    <cellStyle name="Celda de comprobación 2 3 5" xfId="2625" xr:uid="{DA06FE7B-1801-452F-BAD1-4EC1773BCBC3}"/>
    <cellStyle name="Celda de comprobación 2 3 5 2" xfId="2626" xr:uid="{AE1292B5-2572-47A2-B075-B1F63CF7462E}"/>
    <cellStyle name="Celda de comprobación 2 3 5 2 2" xfId="2627" xr:uid="{0996F9B6-1A16-4E59-94FB-51E4F43F37AE}"/>
    <cellStyle name="Celda de comprobación 2 3 5 3" xfId="2628" xr:uid="{18D57EEE-3FDF-4E8F-937F-15214AF37D60}"/>
    <cellStyle name="Celda de comprobación 2 3 6" xfId="2629" xr:uid="{F8B80392-9988-423F-BEBE-211C781B3F84}"/>
    <cellStyle name="Celda de comprobación 2 3 6 2" xfId="2630" xr:uid="{20C675D8-5E97-49C4-88BC-288C939942ED}"/>
    <cellStyle name="Celda de comprobación 2 3 6 2 2" xfId="2631" xr:uid="{E0D05395-B97E-4FE2-8201-07253D287BCF}"/>
    <cellStyle name="Celda de comprobación 2 3 6 3" xfId="2632" xr:uid="{0307CC72-0E60-4901-B8A7-D820EF266DE1}"/>
    <cellStyle name="Celda de comprobación 2 3 7" xfId="2633" xr:uid="{49019221-F6B3-44FF-8801-DAE7FE9FD2A0}"/>
    <cellStyle name="Celda de comprobación 2 3 7 2" xfId="2634" xr:uid="{5A2830A0-77EC-4B38-A38D-86DAC150E537}"/>
    <cellStyle name="Celda de comprobación 2 3 7 2 2" xfId="2635" xr:uid="{4EE8B468-FA01-4C3D-B272-615A6B4997AF}"/>
    <cellStyle name="Celda de comprobación 2 3 7 3" xfId="2636" xr:uid="{CF32C4C1-9E58-40C0-B368-B62A7D36F222}"/>
    <cellStyle name="Celda de comprobación 2 3 8" xfId="2637" xr:uid="{470A28EB-AF96-46BE-B8E5-70EEB2D948CD}"/>
    <cellStyle name="Celda de comprobación 2 3 8 2" xfId="2638" xr:uid="{26269831-C6BF-49B5-A5BC-0C56D19EBC05}"/>
    <cellStyle name="Celda de comprobación 2 3 8 2 2" xfId="2639" xr:uid="{4E33BCF1-E286-4FF0-A1AE-6BBBE900C27C}"/>
    <cellStyle name="Celda de comprobación 2 3 8 3" xfId="2640" xr:uid="{6755668D-9665-4B0F-984C-990217257F67}"/>
    <cellStyle name="Celda de comprobación 2 3 9" xfId="2641" xr:uid="{35326252-B1B9-41A0-8276-DF6096CA045E}"/>
    <cellStyle name="Celda de comprobación 2 3 9 2" xfId="2642" xr:uid="{556DF226-2BFF-48D1-8049-7C4E93AD23A5}"/>
    <cellStyle name="Celda de comprobación 2 3 9 2 2" xfId="2643" xr:uid="{31127B7E-00AA-434F-9A74-75FE777AFE26}"/>
    <cellStyle name="Celda de comprobación 2 3 9 3" xfId="2644" xr:uid="{BAF529C8-79B1-4211-9D3B-560F5AD949F0}"/>
    <cellStyle name="Celda de comprobación 2 4" xfId="2645" xr:uid="{3988A456-8679-4268-84B4-8E94D8A1BEF3}"/>
    <cellStyle name="Celda de comprobación 2 4 2" xfId="2646" xr:uid="{C0D72B9B-A30B-4C02-90EA-CF335F3D62CD}"/>
    <cellStyle name="Celda de comprobación 2 4 2 2" xfId="2647" xr:uid="{405D17A6-AC6B-4D29-B16B-AFD542154FCF}"/>
    <cellStyle name="Celda de comprobación 2 4 2 2 2" xfId="2648" xr:uid="{0838CEFE-04D8-4FF4-A9E3-10D4E63E5578}"/>
    <cellStyle name="Celda de comprobación 2 4 2 3" xfId="2649" xr:uid="{A8931914-7A2F-47C0-864C-E09B6BB65748}"/>
    <cellStyle name="Celda de comprobación 2 4 3" xfId="2650" xr:uid="{4FB4C89B-1EC8-4C82-AA49-BB41D5A0EF7C}"/>
    <cellStyle name="Celda de comprobación 2 4 3 2" xfId="2651" xr:uid="{6DA0C535-AAE4-4CBF-80B5-B74AD1E1BF4C}"/>
    <cellStyle name="Celda de comprobación 2 4 3 2 2" xfId="2652" xr:uid="{C9DD0320-0E48-4E2E-9D53-DB5BE6AD033E}"/>
    <cellStyle name="Celda de comprobación 2 4 3 3" xfId="2653" xr:uid="{4A420D29-154E-422A-8150-F35AFF6D8756}"/>
    <cellStyle name="Celda de comprobación 2 4 4" xfId="2654" xr:uid="{9F25FA9D-0BBF-4B63-BD97-24FF6D339639}"/>
    <cellStyle name="Celda de comprobación 2 4 4 2" xfId="2655" xr:uid="{655F9B55-A71D-4E67-A609-C123D2AC0C0C}"/>
    <cellStyle name="Celda de comprobación 2 4 4 2 2" xfId="2656" xr:uid="{93BDEC60-372F-4806-8F68-26E0CB06C03B}"/>
    <cellStyle name="Celda de comprobación 2 4 4 3" xfId="2657" xr:uid="{AECAE6A9-CB79-4858-81F9-8F48BF009FBA}"/>
    <cellStyle name="Celda de comprobación 2 4 5" xfId="2658" xr:uid="{F31ABE62-F524-4945-A5E5-E0A1096B108D}"/>
    <cellStyle name="Celda de comprobación 2 4 5 2" xfId="2659" xr:uid="{6ACB7AB0-66DC-4CD8-9F71-138BB0DDEDA5}"/>
    <cellStyle name="Celda de comprobación 2 4 5 2 2" xfId="2660" xr:uid="{D4E45911-E35A-4F29-B4BA-C3908891E6C9}"/>
    <cellStyle name="Celda de comprobación 2 4 5 3" xfId="2661" xr:uid="{8D3D49D2-CE8A-4238-9C0D-27042C9E8D16}"/>
    <cellStyle name="Celda de comprobación 2 4 6" xfId="2662" xr:uid="{FE5EFB2A-096A-4982-93C0-668F7E8D2709}"/>
    <cellStyle name="Celda de comprobación 2 4 6 2" xfId="2663" xr:uid="{9D43FE29-E158-4169-A9CF-6920D188010F}"/>
    <cellStyle name="Celda de comprobación 2 4 6 2 2" xfId="2664" xr:uid="{2FC1A67D-8D7C-49C7-BC0B-8F3D2B3633EA}"/>
    <cellStyle name="Celda de comprobación 2 4 6 3" xfId="2665" xr:uid="{6394687F-23C1-45F6-9A41-11E1208870DA}"/>
    <cellStyle name="Celda de comprobación 2 4 7" xfId="2666" xr:uid="{9CA7D82A-C926-43E6-A6AC-28058454A685}"/>
    <cellStyle name="Celda de comprobación 2 4 7 2" xfId="2667" xr:uid="{687264A6-DFB8-4C85-A758-FDDFCAB65596}"/>
    <cellStyle name="Celda de comprobación 2 4 7 2 2" xfId="2668" xr:uid="{7C701E75-72C2-4053-B17E-10B38850E0C0}"/>
    <cellStyle name="Celda de comprobación 2 4 7 3" xfId="2669" xr:uid="{611FF533-915F-4B25-9133-22503D183EF6}"/>
    <cellStyle name="Celda de comprobación 2 4 8" xfId="2670" xr:uid="{7F59332E-1E28-464C-B9B1-042E81F434D4}"/>
    <cellStyle name="Celda de comprobación 2 4 8 2" xfId="2671" xr:uid="{1B217283-7F8A-44AD-8F96-414E106A58B8}"/>
    <cellStyle name="Celda de comprobación 2 4 8 2 2" xfId="2672" xr:uid="{3F5DEC7A-0E4E-4BB8-A4B3-DF53D0A2CAEE}"/>
    <cellStyle name="Celda de comprobación 2 4 8 3" xfId="2673" xr:uid="{1D990D56-F2CB-4EF1-A0D8-A5CFDE033EC4}"/>
    <cellStyle name="Celda de comprobación 2 4 9" xfId="2674" xr:uid="{DD0DB0C3-5824-4B5D-B39C-602FDAA8A121}"/>
    <cellStyle name="Celda de comprobación 2 4 9 2" xfId="2675" xr:uid="{A185E4E6-4412-4889-9471-6586BC247A2F}"/>
    <cellStyle name="Celda de comprobación 2 4 9 2 2" xfId="2676" xr:uid="{9ED845CC-7FB0-4F89-B927-51742FB9F268}"/>
    <cellStyle name="Celda de comprobación 2 4 9 3" xfId="2677" xr:uid="{8476E6BF-F676-4F2B-8507-24E58ECF4515}"/>
    <cellStyle name="Celda de comprobación 2 5" xfId="2678" xr:uid="{3446C5B8-A79B-4813-9164-55B510C3113C}"/>
    <cellStyle name="Celda de comprobación 2 5 2" xfId="2679" xr:uid="{7639A5BF-13E6-4C87-B757-8388DC35E34C}"/>
    <cellStyle name="Celda de comprobación 2 5 2 2" xfId="2680" xr:uid="{629A91AC-9212-46C2-8640-90F135F32ED3}"/>
    <cellStyle name="Celda de comprobación 2 5 2 2 2" xfId="2681" xr:uid="{2B89F076-B5FE-4739-989E-FE93B4F0513B}"/>
    <cellStyle name="Celda de comprobación 2 5 2 3" xfId="2682" xr:uid="{B8A59CA8-19EB-48A8-A0A8-18691E204608}"/>
    <cellStyle name="Celda de comprobación 2 5 3" xfId="2683" xr:uid="{ED78C422-5366-4879-9F39-DBDEF5C2522E}"/>
    <cellStyle name="Celda de comprobación 2 5 3 2" xfId="2684" xr:uid="{7847B011-C806-44BC-8802-FF854748B6E0}"/>
    <cellStyle name="Celda de comprobación 2 5 3 2 2" xfId="2685" xr:uid="{B7D6E445-A4A1-4DD9-A0BF-F612B8D9293E}"/>
    <cellStyle name="Celda de comprobación 2 5 3 3" xfId="2686" xr:uid="{D41C68AC-AB3B-4B90-9D2F-E03CA605541F}"/>
    <cellStyle name="Celda de comprobación 2 5 4" xfId="2687" xr:uid="{EFEC74DE-4790-4DBC-8023-890BB013AEBB}"/>
    <cellStyle name="Celda de comprobación 2 5 4 2" xfId="2688" xr:uid="{A8BBEBDF-2D44-4A43-8E7F-C9B3320FA9D8}"/>
    <cellStyle name="Celda de comprobación 2 5 4 2 2" xfId="2689" xr:uid="{DED251AC-DB39-4F3E-B09B-50950F371166}"/>
    <cellStyle name="Celda de comprobación 2 5 4 3" xfId="2690" xr:uid="{90467F0D-2319-4163-AF12-7EE516A5582D}"/>
    <cellStyle name="Celda de comprobación 2 5 5" xfId="2691" xr:uid="{F42FA9F2-DACE-48B3-B522-FC6DFEFA5C90}"/>
    <cellStyle name="Celda de comprobación 2 5 5 2" xfId="2692" xr:uid="{8B5BE0AD-A17E-4F65-BC94-43D166C49AA1}"/>
    <cellStyle name="Celda de comprobación 2 5 5 2 2" xfId="2693" xr:uid="{404CF45A-5992-46EA-81B1-717C7FCF2A68}"/>
    <cellStyle name="Celda de comprobación 2 5 5 3" xfId="2694" xr:uid="{F44ED6E7-6F9A-4164-BBB1-B15AAF2F614B}"/>
    <cellStyle name="Celda de comprobación 2 5 6" xfId="2695" xr:uid="{1D62D55B-04D4-4036-9B40-DFD89D776B0D}"/>
    <cellStyle name="Celda de comprobación 2 5 6 2" xfId="2696" xr:uid="{2E0786B5-D95D-4D9F-B3F9-3B186F4279C8}"/>
    <cellStyle name="Celda de comprobación 2 5 6 2 2" xfId="2697" xr:uid="{BD47EF8F-B8A4-47C9-821D-46EE6384838B}"/>
    <cellStyle name="Celda de comprobación 2 5 6 3" xfId="2698" xr:uid="{2B324AD9-FEA1-46DF-8CE9-4F72554B4EC4}"/>
    <cellStyle name="Celda de comprobación 2 5 7" xfId="2699" xr:uid="{EEC84A63-5B1A-4422-8A6F-9A5BA46F5BFC}"/>
    <cellStyle name="Celda de comprobación 2 5 7 2" xfId="2700" xr:uid="{E690CBF8-369A-483F-B430-D1A2CA9BF3B0}"/>
    <cellStyle name="Celda de comprobación 2 5 7 2 2" xfId="2701" xr:uid="{DA92E17F-3D76-4A0F-A7FF-79E022DCD883}"/>
    <cellStyle name="Celda de comprobación 2 5 7 3" xfId="2702" xr:uid="{97500CAD-A7DD-4722-96CE-E701E43FA2C4}"/>
    <cellStyle name="Celda de comprobación 2 5 8" xfId="2703" xr:uid="{1FEEF1DA-7BCC-4B3A-BAB0-1408ABCC1BD6}"/>
    <cellStyle name="Celda de comprobación 2 5 8 2" xfId="2704" xr:uid="{C63637D7-1423-4ECC-B2A3-9A00BE26925E}"/>
    <cellStyle name="Celda de comprobación 2 5 8 2 2" xfId="2705" xr:uid="{27B4F305-D97D-4DAA-90F8-D9A6404B391D}"/>
    <cellStyle name="Celda de comprobación 2 5 8 3" xfId="2706" xr:uid="{484AEC4B-C61F-4A2F-AC4B-89A95877C2F3}"/>
    <cellStyle name="Celda de comprobación 2 5 9" xfId="2707" xr:uid="{AE10AA54-3277-47E8-9B0D-140A14BC6B7B}"/>
    <cellStyle name="Celda de comprobación 2 5 9 2" xfId="2708" xr:uid="{41214BC1-D459-42BD-8BEC-F4F178B46C50}"/>
    <cellStyle name="Celda de comprobación 2 5 9 2 2" xfId="2709" xr:uid="{FA9602CC-64DD-48FC-BCD6-C31786321F93}"/>
    <cellStyle name="Celda de comprobación 2 5 9 3" xfId="2710" xr:uid="{0D63B9C0-08DC-44DF-9AC8-1879D52256A2}"/>
    <cellStyle name="Celda de comprobación 2 6" xfId="2711" xr:uid="{4F1C6231-2616-40D8-8D7E-F1607DBDE182}"/>
    <cellStyle name="Celda de comprobación 2 6 2" xfId="2712" xr:uid="{3A938C06-EC22-446B-BCA9-49B75B03B094}"/>
    <cellStyle name="Celda de comprobación 2 6 2 2" xfId="2713" xr:uid="{B568D26E-CC37-4207-B486-8CBD59773497}"/>
    <cellStyle name="Celda de comprobación 2 6 3" xfId="2714" xr:uid="{44D75D19-7830-4403-8DF0-99C327CC5A6B}"/>
    <cellStyle name="Celda de comprobación 2 7" xfId="2715" xr:uid="{F1BB707E-47D4-41AA-BB17-1745C353A29F}"/>
    <cellStyle name="Celda de comprobación 2 7 2" xfId="2716" xr:uid="{FFDEFB6A-129F-4DA3-ACAD-EC692523575B}"/>
    <cellStyle name="Celda de comprobación 2 7 2 2" xfId="2717" xr:uid="{16F36E0A-39F8-40E4-A785-AA320989824A}"/>
    <cellStyle name="Celda de comprobación 2 7 3" xfId="2718" xr:uid="{B98D088E-2D67-4FDD-AAE3-61F3093A01AE}"/>
    <cellStyle name="Celda de comprobación 2 8" xfId="2719" xr:uid="{97568144-4EA3-47AB-B992-6521F05FA17A}"/>
    <cellStyle name="Celda de comprobación 2 8 2" xfId="2720" xr:uid="{DBD178BA-BC44-4A71-8B10-7B8331979056}"/>
    <cellStyle name="Celda de comprobación 2 8 2 2" xfId="2721" xr:uid="{05E2F320-3ED7-4AC4-8FD6-F8943B8028DF}"/>
    <cellStyle name="Celda de comprobación 2 8 3" xfId="2722" xr:uid="{11BEE866-A4DE-4ACD-8122-D6F7FC5DE6E4}"/>
    <cellStyle name="Celda de comprobación 2 9" xfId="2723" xr:uid="{415DD087-028B-4B16-88F2-BFD548A9D75E}"/>
    <cellStyle name="Celda de comprobación 2 9 2" xfId="2724" xr:uid="{F6A112AF-ADD1-40E2-8EE8-F28FFCA4E962}"/>
    <cellStyle name="Celda de comprobación 2 9 2 2" xfId="2725" xr:uid="{9A726833-3566-4D00-8F5E-78BAE80BFD6A}"/>
    <cellStyle name="Celda de comprobación 2 9 3" xfId="2726" xr:uid="{81854305-0B24-4371-8444-0F6B8117E9A6}"/>
    <cellStyle name="Celda de comprobación 3" xfId="2727" xr:uid="{B7B6391D-B7A2-4F7D-B103-8FC1CAE43698}"/>
    <cellStyle name="Celda de comprobación 3 2" xfId="2728" xr:uid="{C2613DEF-A758-4FAB-83A1-F80103640B0A}"/>
    <cellStyle name="Celda de comprobación 3 2 2" xfId="2729" xr:uid="{891613CC-136A-43E9-A894-7631BB6F3B54}"/>
    <cellStyle name="Celda de comprobación 3 3" xfId="2730" xr:uid="{8DF01778-8496-4F34-AFDF-E52F73010B98}"/>
    <cellStyle name="Celda de comprobación 4" xfId="2731" xr:uid="{2B5DAF49-6AB6-4631-A68C-5A6C23493A6D}"/>
    <cellStyle name="Celda de comprobación 4 2" xfId="2732" xr:uid="{AB57AE0A-5EF9-4EE1-B214-A80C515D211C}"/>
    <cellStyle name="Celda vinculada" xfId="2733" xr:uid="{43C25AFD-1EEF-4B0B-8212-6A0EF8D209EA}"/>
    <cellStyle name="Celda vinculada 2" xfId="2734" xr:uid="{6B8012A8-9E90-45BA-BFCF-AF9E1EFAA961}"/>
    <cellStyle name="Celda vinculada 2 10" xfId="2735" xr:uid="{88BD8119-B3BE-4305-90DF-50B5DB0F0152}"/>
    <cellStyle name="Celda vinculada 2 10 2" xfId="2736" xr:uid="{347FC374-098B-4A5E-8BB7-B1DF2B8982D0}"/>
    <cellStyle name="Celda vinculada 2 10 2 2" xfId="2737" xr:uid="{62505692-E8ED-450D-954B-7DAF000A7690}"/>
    <cellStyle name="Celda vinculada 2 10 3" xfId="2738" xr:uid="{1F799514-4DD2-4E96-A2F2-6988E87D7ACA}"/>
    <cellStyle name="Celda vinculada 2 11" xfId="2739" xr:uid="{245A1908-DC0C-477B-A07E-DFEB314E997E}"/>
    <cellStyle name="Celda vinculada 2 11 2" xfId="2740" xr:uid="{491A2DB8-1A42-4728-AD56-4436497ADB53}"/>
    <cellStyle name="Celda vinculada 2 11 2 2" xfId="2741" xr:uid="{7D214CC1-0761-478C-BE06-5DC55820CA3C}"/>
    <cellStyle name="Celda vinculada 2 11 3" xfId="2742" xr:uid="{3B808792-C931-492E-9028-89C69F6FD216}"/>
    <cellStyle name="Celda vinculada 2 12" xfId="2743" xr:uid="{57C49AA4-3AB8-426B-913A-C56D3E2632E8}"/>
    <cellStyle name="Celda vinculada 2 12 2" xfId="2744" xr:uid="{B8C55982-45D8-4F4D-AE87-A9FE011E5B05}"/>
    <cellStyle name="Celda vinculada 2 12 2 2" xfId="2745" xr:uid="{98D9535E-2173-4EA4-A976-E93EDA95E6F4}"/>
    <cellStyle name="Celda vinculada 2 12 3" xfId="2746" xr:uid="{58EE687B-7130-4CBE-8748-FF458386C8A5}"/>
    <cellStyle name="Celda vinculada 2 13" xfId="2747" xr:uid="{09A83AF9-0D13-4418-A2B3-A5AA34AE16CF}"/>
    <cellStyle name="Celda vinculada 2 13 2" xfId="2748" xr:uid="{08E64A5F-6599-49F0-B0B3-AAEF3F586899}"/>
    <cellStyle name="Celda vinculada 2 13 2 2" xfId="2749" xr:uid="{4BB39596-A04D-4450-9F8B-0F11F471E223}"/>
    <cellStyle name="Celda vinculada 2 13 3" xfId="2750" xr:uid="{AAC9304E-5419-421D-A7FE-816694741F4F}"/>
    <cellStyle name="Celda vinculada 2 14" xfId="2751" xr:uid="{120C2BF8-37DB-4728-87F8-1CBFB3083AF0}"/>
    <cellStyle name="Celda vinculada 2 14 2" xfId="2752" xr:uid="{91F4ACD6-6EFD-43F3-94C0-4305BAED7D47}"/>
    <cellStyle name="Celda vinculada 2 15" xfId="2753" xr:uid="{2B71CF94-5EAA-4587-8B0D-980D9437441B}"/>
    <cellStyle name="Celda vinculada 2 2" xfId="2754" xr:uid="{215FAA6A-A670-4E19-AEC3-03A5D3885E98}"/>
    <cellStyle name="Celda vinculada 2 2 10" xfId="2755" xr:uid="{079E90B5-8883-473D-B4A8-94DC10D940DB}"/>
    <cellStyle name="Celda vinculada 2 2 10 2" xfId="2756" xr:uid="{12A72D8D-054A-46A7-9BE2-1BC5EC1550C7}"/>
    <cellStyle name="Celda vinculada 2 2 10 2 2" xfId="2757" xr:uid="{B704817C-79FE-4121-B32A-94E3E6DB4EAD}"/>
    <cellStyle name="Celda vinculada 2 2 10 3" xfId="2758" xr:uid="{BE46570B-93DF-48FE-BBFC-4A4ECE2CF812}"/>
    <cellStyle name="Celda vinculada 2 2 11" xfId="2759" xr:uid="{FE333549-E311-4B8D-9B73-8C78AB80B6B6}"/>
    <cellStyle name="Celda vinculada 2 2 11 2" xfId="2760" xr:uid="{5E292798-A373-437C-9A39-3256BD617726}"/>
    <cellStyle name="Celda vinculada 2 2 11 2 2" xfId="2761" xr:uid="{11CC3F52-B4DA-4C72-93C0-354B0DDDEDD1}"/>
    <cellStyle name="Celda vinculada 2 2 11 3" xfId="2762" xr:uid="{1DE2FD81-AB3B-44F6-AEC9-AFFBA409818C}"/>
    <cellStyle name="Celda vinculada 2 2 12" xfId="2763" xr:uid="{BFF79E22-FEA8-475A-878A-D2EEB68699B8}"/>
    <cellStyle name="Celda vinculada 2 2 12 2" xfId="2764" xr:uid="{0DED06D0-BD47-427D-8BE0-D91397732110}"/>
    <cellStyle name="Celda vinculada 2 2 12 2 2" xfId="2765" xr:uid="{970AA004-C7ED-4DEB-AC42-C57BB2287FB5}"/>
    <cellStyle name="Celda vinculada 2 2 12 3" xfId="2766" xr:uid="{9425CA60-F7A2-41A4-8417-AAD0DDFE4E8C}"/>
    <cellStyle name="Celda vinculada 2 2 13" xfId="2767" xr:uid="{98803A06-984C-4105-A025-05C56535FEB1}"/>
    <cellStyle name="Celda vinculada 2 2 13 2" xfId="2768" xr:uid="{9220D01A-CF8B-4552-AAD7-A7FC682680D2}"/>
    <cellStyle name="Celda vinculada 2 2 14" xfId="2769" xr:uid="{C2472CD9-7CA1-48F2-8801-DF6B0CA3C77B}"/>
    <cellStyle name="Celda vinculada 2 2 2" xfId="2770" xr:uid="{A2A2C758-56FD-4726-8FE4-2619983BCD43}"/>
    <cellStyle name="Celda vinculada 2 2 2 10" xfId="2771" xr:uid="{DC0C9A81-9CF2-4660-BE89-61EE363548AF}"/>
    <cellStyle name="Celda vinculada 2 2 2 10 2" xfId="2772" xr:uid="{762FB694-EABE-4A9F-A86B-0366FAAC849F}"/>
    <cellStyle name="Celda vinculada 2 2 2 10 2 2" xfId="2773" xr:uid="{E5CB3F2E-3B00-47A3-9FE5-F514135018E0}"/>
    <cellStyle name="Celda vinculada 2 2 2 10 3" xfId="2774" xr:uid="{466AD861-04ED-4BFE-AA56-5B9ADFECF3F4}"/>
    <cellStyle name="Celda vinculada 2 2 2 11" xfId="2775" xr:uid="{0FD23BC3-BED5-467C-A3F0-5078CC10DF93}"/>
    <cellStyle name="Celda vinculada 2 2 2 11 2" xfId="2776" xr:uid="{B06D4A8F-FB4B-4081-813B-BB65137514D6}"/>
    <cellStyle name="Celda vinculada 2 2 2 11 2 2" xfId="2777" xr:uid="{CD58F213-882C-49BE-8EE4-23EB819DCA74}"/>
    <cellStyle name="Celda vinculada 2 2 2 11 3" xfId="2778" xr:uid="{52491E1F-7B26-4236-B5E3-984D9E6BB0EF}"/>
    <cellStyle name="Celda vinculada 2 2 2 12" xfId="2779" xr:uid="{42210A34-4AC4-4B23-9CAB-F6CBA6F94BEF}"/>
    <cellStyle name="Celda vinculada 2 2 2 12 2" xfId="2780" xr:uid="{101B44A0-D3E1-41AA-BC90-0C64E30ADAF6}"/>
    <cellStyle name="Celda vinculada 2 2 2 13" xfId="2781" xr:uid="{662ADC3E-27FC-44F0-93E3-8ADBAC264D27}"/>
    <cellStyle name="Celda vinculada 2 2 2 2" xfId="2782" xr:uid="{D51A1ED8-2446-4850-B0FD-A8B038F08A52}"/>
    <cellStyle name="Celda vinculada 2 2 2 2 10" xfId="2783" xr:uid="{51AA0208-1DF9-4EAD-BAA4-B7B88253C62E}"/>
    <cellStyle name="Celda vinculada 2 2 2 2 10 2" xfId="2784" xr:uid="{CAC3B64C-0066-4819-80B9-020DA95EF5B2}"/>
    <cellStyle name="Celda vinculada 2 2 2 2 10 2 2" xfId="2785" xr:uid="{02B7DA9E-B764-4AD5-9B9D-B57D6DE2B4AF}"/>
    <cellStyle name="Celda vinculada 2 2 2 2 10 3" xfId="2786" xr:uid="{7D62E731-46F3-4281-8066-26708276665E}"/>
    <cellStyle name="Celda vinculada 2 2 2 2 11" xfId="2787" xr:uid="{F4CE203B-EA3C-4BD3-872E-5EA5397243F4}"/>
    <cellStyle name="Celda vinculada 2 2 2 2 11 2" xfId="2788" xr:uid="{047AC2CB-3667-446F-ACBC-4318A1954484}"/>
    <cellStyle name="Celda vinculada 2 2 2 2 12" xfId="2789" xr:uid="{21C97D67-153F-484C-85AF-D59B86F7C1AB}"/>
    <cellStyle name="Celda vinculada 2 2 2 2 2" xfId="2790" xr:uid="{C5AB6DC9-9F4B-42CD-B739-7F23322F13EC}"/>
    <cellStyle name="Celda vinculada 2 2 2 2 2 2" xfId="2791" xr:uid="{7AD3B1D9-D18C-40D3-A260-CBE2A11E7A2F}"/>
    <cellStyle name="Celda vinculada 2 2 2 2 2 2 2" xfId="2792" xr:uid="{2FFEB43B-9191-4E17-8909-78069640B3A2}"/>
    <cellStyle name="Celda vinculada 2 2 2 2 2 3" xfId="2793" xr:uid="{1B37350A-DAB6-4BE0-987A-83DA60ACF0DA}"/>
    <cellStyle name="Celda vinculada 2 2 2 2 3" xfId="2794" xr:uid="{51BA856F-145A-4BD8-A052-5FF415828961}"/>
    <cellStyle name="Celda vinculada 2 2 2 2 3 2" xfId="2795" xr:uid="{E9C89B53-3667-49F7-B1CD-2B9F330588A3}"/>
    <cellStyle name="Celda vinculada 2 2 2 2 3 2 2" xfId="2796" xr:uid="{AA5E1188-863F-4C05-B404-D2FBEB9F64D9}"/>
    <cellStyle name="Celda vinculada 2 2 2 2 3 3" xfId="2797" xr:uid="{D6172C3B-1E51-494A-9722-1A66E44A6803}"/>
    <cellStyle name="Celda vinculada 2 2 2 2 4" xfId="2798" xr:uid="{0EE6AD54-9A1C-4C20-9208-78D2B5326220}"/>
    <cellStyle name="Celda vinculada 2 2 2 2 4 2" xfId="2799" xr:uid="{E781CCC7-B3BA-4C4E-9FD3-C934C9A9FFC4}"/>
    <cellStyle name="Celda vinculada 2 2 2 2 4 2 2" xfId="2800" xr:uid="{D0949E19-B159-4E51-81EA-822AD3B73760}"/>
    <cellStyle name="Celda vinculada 2 2 2 2 4 3" xfId="2801" xr:uid="{F1730C2E-94F2-4689-B7B8-52B71F534081}"/>
    <cellStyle name="Celda vinculada 2 2 2 2 5" xfId="2802" xr:uid="{C2E65B04-739B-41D9-9D3E-67134EF418F1}"/>
    <cellStyle name="Celda vinculada 2 2 2 2 5 2" xfId="2803" xr:uid="{4BBF8E34-C31D-4CD5-BF08-5D76B14CEEF4}"/>
    <cellStyle name="Celda vinculada 2 2 2 2 5 2 2" xfId="2804" xr:uid="{50039B06-6A65-45A1-9C7D-55817427602F}"/>
    <cellStyle name="Celda vinculada 2 2 2 2 5 3" xfId="2805" xr:uid="{B6134470-DD3B-42AA-BADE-575133EB32C6}"/>
    <cellStyle name="Celda vinculada 2 2 2 2 6" xfId="2806" xr:uid="{AB7A72E9-31C2-4BDE-B98D-A1000F2A5314}"/>
    <cellStyle name="Celda vinculada 2 2 2 2 6 2" xfId="2807" xr:uid="{15ED2DF1-E7F8-4E42-8994-7ACC9BF05AC7}"/>
    <cellStyle name="Celda vinculada 2 2 2 2 6 2 2" xfId="2808" xr:uid="{D3FF2EA5-852E-47F7-AEC7-2FA2EA3F5459}"/>
    <cellStyle name="Celda vinculada 2 2 2 2 6 3" xfId="2809" xr:uid="{C3F50972-3A3F-4A38-915B-7D4E2E5094C6}"/>
    <cellStyle name="Celda vinculada 2 2 2 2 7" xfId="2810" xr:uid="{10824440-64F3-4F33-B2E2-66C0FB850135}"/>
    <cellStyle name="Celda vinculada 2 2 2 2 7 2" xfId="2811" xr:uid="{759E068C-9EE1-42FB-9A77-D81CC0893A5A}"/>
    <cellStyle name="Celda vinculada 2 2 2 2 7 2 2" xfId="2812" xr:uid="{60AC83CB-005C-4F2A-8830-7C74DB15C571}"/>
    <cellStyle name="Celda vinculada 2 2 2 2 7 3" xfId="2813" xr:uid="{2315FD78-1F55-4EAC-B519-ACF7D9E4E4B2}"/>
    <cellStyle name="Celda vinculada 2 2 2 2 8" xfId="2814" xr:uid="{7C8B6A10-3E72-4E65-AD5C-7EA221A98BB2}"/>
    <cellStyle name="Celda vinculada 2 2 2 2 8 2" xfId="2815" xr:uid="{E10995C3-A991-4226-BDC3-2ABE58F57146}"/>
    <cellStyle name="Celda vinculada 2 2 2 2 8 2 2" xfId="2816" xr:uid="{E9EC7142-3E82-46CC-A37D-D6D63ACAAA1A}"/>
    <cellStyle name="Celda vinculada 2 2 2 2 8 3" xfId="2817" xr:uid="{A9092B80-B5AB-4802-9039-31A3B14DC319}"/>
    <cellStyle name="Celda vinculada 2 2 2 2 9" xfId="2818" xr:uid="{7055325F-4E1D-4983-9F9B-3C568B8901D3}"/>
    <cellStyle name="Celda vinculada 2 2 2 2 9 2" xfId="2819" xr:uid="{B4B8B725-311B-4A14-B15D-5609EB779DF4}"/>
    <cellStyle name="Celda vinculada 2 2 2 2 9 2 2" xfId="2820" xr:uid="{3724D1F2-0DDF-4982-95FD-00FF49ED4C31}"/>
    <cellStyle name="Celda vinculada 2 2 2 2 9 3" xfId="2821" xr:uid="{31D33864-6484-4149-ADA8-1738EB43EE1D}"/>
    <cellStyle name="Celda vinculada 2 2 2 3" xfId="2822" xr:uid="{9FBB51B4-E386-4AFD-ADC8-0A717D7E5971}"/>
    <cellStyle name="Celda vinculada 2 2 2 3 10" xfId="2823" xr:uid="{C097E51F-8DEC-4DA4-BFAE-9DCA9AB8E612}"/>
    <cellStyle name="Celda vinculada 2 2 2 3 10 2" xfId="2824" xr:uid="{2E063F6F-2A98-4B5C-96E5-C271233AC5FB}"/>
    <cellStyle name="Celda vinculada 2 2 2 3 11" xfId="2825" xr:uid="{AEC92E8C-D295-433E-8EFB-4F1D5EACEF7E}"/>
    <cellStyle name="Celda vinculada 2 2 2 3 2" xfId="2826" xr:uid="{D9DB1629-1617-4944-B574-882A74CA4FAD}"/>
    <cellStyle name="Celda vinculada 2 2 2 3 2 2" xfId="2827" xr:uid="{1441AB03-84DF-4A54-B730-296345D77EF4}"/>
    <cellStyle name="Celda vinculada 2 2 2 3 2 2 2" xfId="2828" xr:uid="{F5DA06E5-091C-41F6-B2D5-80CA1F8B87FB}"/>
    <cellStyle name="Celda vinculada 2 2 2 3 2 3" xfId="2829" xr:uid="{3A8B3969-66B6-4E31-AEA1-A8EE901F3B03}"/>
    <cellStyle name="Celda vinculada 2 2 2 3 3" xfId="2830" xr:uid="{91DD8D38-1B91-4DB7-BF91-33CEDF761B0E}"/>
    <cellStyle name="Celda vinculada 2 2 2 3 3 2" xfId="2831" xr:uid="{4A4F59B4-112B-4BEF-8315-CA9D95CAD825}"/>
    <cellStyle name="Celda vinculada 2 2 2 3 3 2 2" xfId="2832" xr:uid="{9AE9FEE3-8BB0-479D-89FB-3336BD04C328}"/>
    <cellStyle name="Celda vinculada 2 2 2 3 3 3" xfId="2833" xr:uid="{9C04413D-6543-4811-B522-00981BC58734}"/>
    <cellStyle name="Celda vinculada 2 2 2 3 4" xfId="2834" xr:uid="{6114B3E1-6745-482B-9FB3-1305908427C2}"/>
    <cellStyle name="Celda vinculada 2 2 2 3 4 2" xfId="2835" xr:uid="{3C2A6D48-BCB5-4C24-99E6-1689DBBDDB3D}"/>
    <cellStyle name="Celda vinculada 2 2 2 3 4 2 2" xfId="2836" xr:uid="{82E2D98F-183E-4C86-9A7F-478C12961B74}"/>
    <cellStyle name="Celda vinculada 2 2 2 3 4 3" xfId="2837" xr:uid="{B3BED993-4312-4ACB-9911-7A8C1E09FE95}"/>
    <cellStyle name="Celda vinculada 2 2 2 3 5" xfId="2838" xr:uid="{439E978E-761C-460E-8C33-4D1B9FEC389E}"/>
    <cellStyle name="Celda vinculada 2 2 2 3 5 2" xfId="2839" xr:uid="{E840B6BE-72AC-423A-9486-F8CC842D92DC}"/>
    <cellStyle name="Celda vinculada 2 2 2 3 5 2 2" xfId="2840" xr:uid="{713380B9-784B-4A4A-9999-B47C2EACF082}"/>
    <cellStyle name="Celda vinculada 2 2 2 3 5 3" xfId="2841" xr:uid="{785897AC-E0BD-47FE-9273-CCFD65741681}"/>
    <cellStyle name="Celda vinculada 2 2 2 3 6" xfId="2842" xr:uid="{8AEB9662-4DAE-45AE-B3C8-B4242539BDEB}"/>
    <cellStyle name="Celda vinculada 2 2 2 3 6 2" xfId="2843" xr:uid="{5D05594E-7F65-43D3-ADBA-286DFCB7D94B}"/>
    <cellStyle name="Celda vinculada 2 2 2 3 6 2 2" xfId="2844" xr:uid="{D5DDD106-5238-44E8-ABD0-484740672591}"/>
    <cellStyle name="Celda vinculada 2 2 2 3 6 3" xfId="2845" xr:uid="{F4D5C440-FB58-4445-B4A2-96984637E5EC}"/>
    <cellStyle name="Celda vinculada 2 2 2 3 7" xfId="2846" xr:uid="{8D2EC7CD-AD23-47E5-A3E4-2D1A7E560EE4}"/>
    <cellStyle name="Celda vinculada 2 2 2 3 7 2" xfId="2847" xr:uid="{2C00F384-A14D-43A7-88BB-04031A0B7A16}"/>
    <cellStyle name="Celda vinculada 2 2 2 3 7 2 2" xfId="2848" xr:uid="{2B341108-D64B-4FE5-83B9-F952FEC2BF5B}"/>
    <cellStyle name="Celda vinculada 2 2 2 3 7 3" xfId="2849" xr:uid="{AF8D6982-3B81-4FA5-8123-5EFAE6B70307}"/>
    <cellStyle name="Celda vinculada 2 2 2 3 8" xfId="2850" xr:uid="{364919ED-F7BB-4A1E-AED7-D0793DDC9B46}"/>
    <cellStyle name="Celda vinculada 2 2 2 3 8 2" xfId="2851" xr:uid="{49D94AC1-6115-488A-8FBD-E7C03D7A31D3}"/>
    <cellStyle name="Celda vinculada 2 2 2 3 8 2 2" xfId="2852" xr:uid="{86C32FDF-EACA-4139-9D23-3C2EAF20CEE3}"/>
    <cellStyle name="Celda vinculada 2 2 2 3 8 3" xfId="2853" xr:uid="{B41B7454-E7DE-4E25-A306-8B07FF70203A}"/>
    <cellStyle name="Celda vinculada 2 2 2 3 9" xfId="2854" xr:uid="{066E63F3-4930-4092-B415-B943736AEEAC}"/>
    <cellStyle name="Celda vinculada 2 2 2 3 9 2" xfId="2855" xr:uid="{01C8B476-B339-4FFC-9FA9-5F6862DCD995}"/>
    <cellStyle name="Celda vinculada 2 2 2 3 9 2 2" xfId="2856" xr:uid="{CF6EB22B-4D84-44C1-A32C-E5805667F016}"/>
    <cellStyle name="Celda vinculada 2 2 2 3 9 3" xfId="2857" xr:uid="{939271F7-2C30-4236-9F0F-3C990AFB4544}"/>
    <cellStyle name="Celda vinculada 2 2 2 4" xfId="2858" xr:uid="{CDF1F6D8-6B9C-4FDB-AE4D-087B892068C0}"/>
    <cellStyle name="Celda vinculada 2 2 2 4 2" xfId="2859" xr:uid="{FB17B03A-4BED-4CF8-B66E-DD4B4349C06F}"/>
    <cellStyle name="Celda vinculada 2 2 2 4 2 2" xfId="2860" xr:uid="{69C5FEA2-4A89-498D-936B-342061707B18}"/>
    <cellStyle name="Celda vinculada 2 2 2 4 3" xfId="2861" xr:uid="{E67E5CEE-AAC9-44D7-8568-8808EF59AD37}"/>
    <cellStyle name="Celda vinculada 2 2 2 5" xfId="2862" xr:uid="{30A91CCB-D044-40AA-8915-BFD36FFCBE5B}"/>
    <cellStyle name="Celda vinculada 2 2 2 5 2" xfId="2863" xr:uid="{6E497E87-8B76-46B4-BB56-2C5287C27010}"/>
    <cellStyle name="Celda vinculada 2 2 2 5 2 2" xfId="2864" xr:uid="{3E5CF1BF-4865-446E-B03E-9CAFC2BE9B72}"/>
    <cellStyle name="Celda vinculada 2 2 2 5 3" xfId="2865" xr:uid="{2B6BCC7B-85C6-4FA2-B654-B5227FEAEDA5}"/>
    <cellStyle name="Celda vinculada 2 2 2 6" xfId="2866" xr:uid="{E43F3E8A-18CE-4435-B474-DEFF1B422D55}"/>
    <cellStyle name="Celda vinculada 2 2 2 6 2" xfId="2867" xr:uid="{4432B0A4-F842-4C46-A3F3-84F595179515}"/>
    <cellStyle name="Celda vinculada 2 2 2 6 2 2" xfId="2868" xr:uid="{C5A73B65-9406-4E2E-A69F-DE845F7F6C71}"/>
    <cellStyle name="Celda vinculada 2 2 2 6 3" xfId="2869" xr:uid="{8F0E5AF5-28A3-4866-BB55-EC2501A37B3E}"/>
    <cellStyle name="Celda vinculada 2 2 2 7" xfId="2870" xr:uid="{D38A1C44-36E9-4FCE-A9F3-6EFE477F5645}"/>
    <cellStyle name="Celda vinculada 2 2 2 7 2" xfId="2871" xr:uid="{177D64BE-5BE5-431B-8F29-F19237BC0F72}"/>
    <cellStyle name="Celda vinculada 2 2 2 7 2 2" xfId="2872" xr:uid="{8CF0F6A3-EF59-486C-BA49-49183C3246FF}"/>
    <cellStyle name="Celda vinculada 2 2 2 7 3" xfId="2873" xr:uid="{79CE2884-8BF5-48D7-A3B0-47F4D272B61D}"/>
    <cellStyle name="Celda vinculada 2 2 2 8" xfId="2874" xr:uid="{15A2D9FC-8208-4A41-8EE4-9A166A946EAF}"/>
    <cellStyle name="Celda vinculada 2 2 2 8 2" xfId="2875" xr:uid="{9EBBB3B2-6538-4D33-8336-78BE32777E0C}"/>
    <cellStyle name="Celda vinculada 2 2 2 8 2 2" xfId="2876" xr:uid="{E0ABCBDA-1DB5-4318-95B0-2CA71D23EC3C}"/>
    <cellStyle name="Celda vinculada 2 2 2 8 3" xfId="2877" xr:uid="{4EDD570E-0FB9-4E3D-B3EB-23E2663D4FF7}"/>
    <cellStyle name="Celda vinculada 2 2 2 9" xfId="2878" xr:uid="{98641D7B-8DD0-4B84-A8D9-0D858887B47D}"/>
    <cellStyle name="Celda vinculada 2 2 2 9 2" xfId="2879" xr:uid="{7272960F-7305-437F-91FE-6E4C31E33848}"/>
    <cellStyle name="Celda vinculada 2 2 2 9 2 2" xfId="2880" xr:uid="{5108EDE7-E10D-4C0D-B40A-7CE4136970F1}"/>
    <cellStyle name="Celda vinculada 2 2 2 9 3" xfId="2881" xr:uid="{1529F7E8-7303-4DBD-BA94-62C5A7993DD3}"/>
    <cellStyle name="Celda vinculada 2 2 3" xfId="2882" xr:uid="{75D4C83E-AC64-44E2-82B1-C6A610080741}"/>
    <cellStyle name="Celda vinculada 2 2 3 10" xfId="2883" xr:uid="{5392518E-7448-44A7-B4B0-A3FCB9373AC1}"/>
    <cellStyle name="Celda vinculada 2 2 3 10 2" xfId="2884" xr:uid="{C230DB80-4BF6-46FD-8FF0-E39499ED8FE6}"/>
    <cellStyle name="Celda vinculada 2 2 3 10 2 2" xfId="2885" xr:uid="{82C5F8BF-6DAB-4034-BE9F-04D949BA06FC}"/>
    <cellStyle name="Celda vinculada 2 2 3 10 3" xfId="2886" xr:uid="{449D76A8-9109-4B06-9784-7DDD69B9A7B3}"/>
    <cellStyle name="Celda vinculada 2 2 3 11" xfId="2887" xr:uid="{FF7DA5DD-FBF0-4871-9B1B-DC145904AD2A}"/>
    <cellStyle name="Celda vinculada 2 2 3 11 2" xfId="2888" xr:uid="{CE1C156E-3A9A-4FDC-A255-F3DC40E74A07}"/>
    <cellStyle name="Celda vinculada 2 2 3 12" xfId="2889" xr:uid="{57D43EA8-5951-4666-AFD3-B4D3E479732F}"/>
    <cellStyle name="Celda vinculada 2 2 3 2" xfId="2890" xr:uid="{3C3D0ECC-0AD6-4175-A015-47B750CCE41D}"/>
    <cellStyle name="Celda vinculada 2 2 3 2 10" xfId="2891" xr:uid="{94B76724-1CF1-4084-AABF-A171E914CE2B}"/>
    <cellStyle name="Celda vinculada 2 2 3 2 10 2" xfId="2892" xr:uid="{89DD28D3-DBBA-4FBE-86EA-C637D2996427}"/>
    <cellStyle name="Celda vinculada 2 2 3 2 11" xfId="2893" xr:uid="{3EF6ECCE-3A72-43B3-8E18-D0B117CF5EB0}"/>
    <cellStyle name="Celda vinculada 2 2 3 2 2" xfId="2894" xr:uid="{9D3F020D-23B0-48A8-B2E7-177B4CCBA5C8}"/>
    <cellStyle name="Celda vinculada 2 2 3 2 2 2" xfId="2895" xr:uid="{47A6C12D-58C0-4D99-B048-59548D777064}"/>
    <cellStyle name="Celda vinculada 2 2 3 2 2 2 2" xfId="2896" xr:uid="{118877DA-E748-4EA0-AB27-4D13B284C60A}"/>
    <cellStyle name="Celda vinculada 2 2 3 2 2 3" xfId="2897" xr:uid="{4A3D310A-A039-4E2B-9D39-D7864C0F31BC}"/>
    <cellStyle name="Celda vinculada 2 2 3 2 3" xfId="2898" xr:uid="{1820B286-2662-4D5C-B795-EB6E116F66BA}"/>
    <cellStyle name="Celda vinculada 2 2 3 2 3 2" xfId="2899" xr:uid="{AB08C7A1-29A4-4BEE-BCF5-0CB6DC7FB0C2}"/>
    <cellStyle name="Celda vinculada 2 2 3 2 3 2 2" xfId="2900" xr:uid="{A68D0FA0-3BF4-4330-BBB4-7896D0293645}"/>
    <cellStyle name="Celda vinculada 2 2 3 2 3 3" xfId="2901" xr:uid="{D14FFB82-3D4E-47D8-84B8-29447970499A}"/>
    <cellStyle name="Celda vinculada 2 2 3 2 4" xfId="2902" xr:uid="{E17C2347-C5E5-4A92-8467-DF88245DA9A7}"/>
    <cellStyle name="Celda vinculada 2 2 3 2 4 2" xfId="2903" xr:uid="{4E3AB38F-D872-4657-9A70-5E4DD6BE0E57}"/>
    <cellStyle name="Celda vinculada 2 2 3 2 4 2 2" xfId="2904" xr:uid="{E9BDEF51-904D-4259-B5B4-59FA49D3C17A}"/>
    <cellStyle name="Celda vinculada 2 2 3 2 4 3" xfId="2905" xr:uid="{7142C15E-5891-4181-AB74-D4603574694A}"/>
    <cellStyle name="Celda vinculada 2 2 3 2 5" xfId="2906" xr:uid="{3D0E9DB1-7C4F-407F-82F6-27D6489B65CE}"/>
    <cellStyle name="Celda vinculada 2 2 3 2 5 2" xfId="2907" xr:uid="{2889A9F5-C2C4-4966-BE77-08ACDF83911A}"/>
    <cellStyle name="Celda vinculada 2 2 3 2 5 2 2" xfId="2908" xr:uid="{7653CC9C-FDF6-4EAD-B52A-3ACA74953398}"/>
    <cellStyle name="Celda vinculada 2 2 3 2 5 3" xfId="2909" xr:uid="{6B6E99F9-D9DC-4113-B6A5-F96E7F0BC639}"/>
    <cellStyle name="Celda vinculada 2 2 3 2 6" xfId="2910" xr:uid="{6727696C-7FB0-4914-B0ED-10F78C6B5645}"/>
    <cellStyle name="Celda vinculada 2 2 3 2 6 2" xfId="2911" xr:uid="{5EC4D120-AB2B-46CF-B0FF-8B3630FA94DB}"/>
    <cellStyle name="Celda vinculada 2 2 3 2 6 2 2" xfId="2912" xr:uid="{83AC0D34-E502-465B-88DF-B08E1D4B65CC}"/>
    <cellStyle name="Celda vinculada 2 2 3 2 6 3" xfId="2913" xr:uid="{0DECA9B1-4F82-48D3-8B01-576099DC0A79}"/>
    <cellStyle name="Celda vinculada 2 2 3 2 7" xfId="2914" xr:uid="{CBED932A-3A3A-4A3E-8F84-4C444E0E94C6}"/>
    <cellStyle name="Celda vinculada 2 2 3 2 7 2" xfId="2915" xr:uid="{EE14D72F-77C9-4085-A796-B0C84B584D0B}"/>
    <cellStyle name="Celda vinculada 2 2 3 2 7 2 2" xfId="2916" xr:uid="{C984A26E-2888-4A1C-A161-A1B3FADDC514}"/>
    <cellStyle name="Celda vinculada 2 2 3 2 7 3" xfId="2917" xr:uid="{676A6372-9B32-4178-B06D-C688A8F01E75}"/>
    <cellStyle name="Celda vinculada 2 2 3 2 8" xfId="2918" xr:uid="{19073E44-E37E-4E88-83B4-BDABBE43CD5D}"/>
    <cellStyle name="Celda vinculada 2 2 3 2 8 2" xfId="2919" xr:uid="{0722E3A8-C6DA-45B1-884C-DFFA5B700BB4}"/>
    <cellStyle name="Celda vinculada 2 2 3 2 8 2 2" xfId="2920" xr:uid="{3AC7149B-2F21-49D2-8ECA-B36912FA5CF7}"/>
    <cellStyle name="Celda vinculada 2 2 3 2 8 3" xfId="2921" xr:uid="{836FB452-7280-4235-A101-CF1DA045294F}"/>
    <cellStyle name="Celda vinculada 2 2 3 2 9" xfId="2922" xr:uid="{B5FFC64C-9B52-4190-8F37-D45C7EA7C801}"/>
    <cellStyle name="Celda vinculada 2 2 3 2 9 2" xfId="2923" xr:uid="{C7A116D2-24A3-4A26-A1BE-6E20F4C03A67}"/>
    <cellStyle name="Celda vinculada 2 2 3 2 9 2 2" xfId="2924" xr:uid="{7D4A2883-E2A6-49E0-B3A6-CACD2C189E19}"/>
    <cellStyle name="Celda vinculada 2 2 3 2 9 3" xfId="2925" xr:uid="{1C12B839-B1F9-4C4D-AF1F-7F217F307636}"/>
    <cellStyle name="Celda vinculada 2 2 3 3" xfId="2926" xr:uid="{6021F91A-C14F-4F65-ADA4-EDE990F3709F}"/>
    <cellStyle name="Celda vinculada 2 2 3 3 2" xfId="2927" xr:uid="{8DF1DA73-C7D5-4B14-9E03-6E350C387116}"/>
    <cellStyle name="Celda vinculada 2 2 3 3 2 2" xfId="2928" xr:uid="{E2C40C3D-A6C3-4655-A854-B2B616AE510C}"/>
    <cellStyle name="Celda vinculada 2 2 3 3 3" xfId="2929" xr:uid="{A6106F66-EC62-4627-B3F3-60938C3996ED}"/>
    <cellStyle name="Celda vinculada 2 2 3 4" xfId="2930" xr:uid="{C4F843D3-13F6-4447-9650-A9143D2CE9CF}"/>
    <cellStyle name="Celda vinculada 2 2 3 4 2" xfId="2931" xr:uid="{E09F1A24-6E1E-4AA9-94C2-DF24F4A4A52B}"/>
    <cellStyle name="Celda vinculada 2 2 3 4 2 2" xfId="2932" xr:uid="{12B695D1-BA1A-4523-A77C-92D8D1AC40A0}"/>
    <cellStyle name="Celda vinculada 2 2 3 4 3" xfId="2933" xr:uid="{41D56585-7C5F-465E-B433-CCC9F5058D9D}"/>
    <cellStyle name="Celda vinculada 2 2 3 5" xfId="2934" xr:uid="{240226FB-D186-422A-9A19-E17A56B1832B}"/>
    <cellStyle name="Celda vinculada 2 2 3 5 2" xfId="2935" xr:uid="{C23102BD-055A-471A-B500-646C36B45EAE}"/>
    <cellStyle name="Celda vinculada 2 2 3 5 2 2" xfId="2936" xr:uid="{DEB2A353-4C9C-4589-BBFC-D11E8BF0A873}"/>
    <cellStyle name="Celda vinculada 2 2 3 5 3" xfId="2937" xr:uid="{6A60108F-DBF2-48FD-B197-AF22F6D2C9A5}"/>
    <cellStyle name="Celda vinculada 2 2 3 6" xfId="2938" xr:uid="{F7161F33-9758-4447-84B2-4DE693AF4426}"/>
    <cellStyle name="Celda vinculada 2 2 3 6 2" xfId="2939" xr:uid="{067F216C-AE43-45BF-B2C9-FC3AEF0ED3A5}"/>
    <cellStyle name="Celda vinculada 2 2 3 6 2 2" xfId="2940" xr:uid="{043B5694-4346-4C1E-8096-8F591F538ACE}"/>
    <cellStyle name="Celda vinculada 2 2 3 6 3" xfId="2941" xr:uid="{2ECCFFD0-B797-499B-B881-D336D8C295AF}"/>
    <cellStyle name="Celda vinculada 2 2 3 7" xfId="2942" xr:uid="{90324C3A-27BC-4E45-97B2-5E3C2C8D453C}"/>
    <cellStyle name="Celda vinculada 2 2 3 7 2" xfId="2943" xr:uid="{09EC6D53-A0AE-48C7-874A-316EBE1C3576}"/>
    <cellStyle name="Celda vinculada 2 2 3 7 2 2" xfId="2944" xr:uid="{6AEFB9AB-6D4F-4737-A661-DBBAE82D37FC}"/>
    <cellStyle name="Celda vinculada 2 2 3 7 3" xfId="2945" xr:uid="{2CE326A5-CF96-4F6A-878E-EF439C76A926}"/>
    <cellStyle name="Celda vinculada 2 2 3 8" xfId="2946" xr:uid="{52727AAC-CCAC-48B3-B5B0-28F6402E0F12}"/>
    <cellStyle name="Celda vinculada 2 2 3 8 2" xfId="2947" xr:uid="{C4289E2D-F77A-46D3-BC01-D03042E67899}"/>
    <cellStyle name="Celda vinculada 2 2 3 8 2 2" xfId="2948" xr:uid="{FFD5395F-61C3-4C12-963B-516E390122A2}"/>
    <cellStyle name="Celda vinculada 2 2 3 8 3" xfId="2949" xr:uid="{840D5CC5-82D4-46A2-A268-B92C8F7C6672}"/>
    <cellStyle name="Celda vinculada 2 2 3 9" xfId="2950" xr:uid="{82C8CD03-DEE2-4C09-BE87-2863A4D63E18}"/>
    <cellStyle name="Celda vinculada 2 2 3 9 2" xfId="2951" xr:uid="{F780E344-DC31-4AD1-9B00-9B8E54E3C1B9}"/>
    <cellStyle name="Celda vinculada 2 2 3 9 2 2" xfId="2952" xr:uid="{1810C4BB-234B-4AAE-9758-322124EB39D1}"/>
    <cellStyle name="Celda vinculada 2 2 3 9 3" xfId="2953" xr:uid="{061D1C98-EE1C-4C21-B9DC-715A1A0E871E}"/>
    <cellStyle name="Celda vinculada 2 2 4" xfId="2954" xr:uid="{EA404B9D-A0ED-442D-A61C-0F5C6F380D24}"/>
    <cellStyle name="Celda vinculada 2 2 4 10" xfId="2955" xr:uid="{DBA5AF1E-7AD1-40EC-B992-46AF1136DEB9}"/>
    <cellStyle name="Celda vinculada 2 2 4 10 2" xfId="2956" xr:uid="{60CCFC3A-3F82-42DE-A990-10F23D05B8F4}"/>
    <cellStyle name="Celda vinculada 2 2 4 11" xfId="2957" xr:uid="{7A1725DB-C7F5-4DAE-911C-7AAAABE79CCA}"/>
    <cellStyle name="Celda vinculada 2 2 4 2" xfId="2958" xr:uid="{3A1901C8-AC13-433C-B27A-A967DBD5ADCD}"/>
    <cellStyle name="Celda vinculada 2 2 4 2 2" xfId="2959" xr:uid="{CAAC3678-6525-4E21-B143-5003842D938C}"/>
    <cellStyle name="Celda vinculada 2 2 4 2 2 2" xfId="2960" xr:uid="{9178FF12-60EA-48C4-B6C1-455046A9F315}"/>
    <cellStyle name="Celda vinculada 2 2 4 2 3" xfId="2961" xr:uid="{396B3260-3A29-4AC9-B75E-B779F683204F}"/>
    <cellStyle name="Celda vinculada 2 2 4 3" xfId="2962" xr:uid="{A05FFA02-849F-4118-ACF9-EDA0C862F276}"/>
    <cellStyle name="Celda vinculada 2 2 4 3 2" xfId="2963" xr:uid="{75A95AED-8CFE-4CD8-8519-79817115DDF2}"/>
    <cellStyle name="Celda vinculada 2 2 4 3 2 2" xfId="2964" xr:uid="{E2B7B050-565D-49B7-823B-110E8BF511CB}"/>
    <cellStyle name="Celda vinculada 2 2 4 3 3" xfId="2965" xr:uid="{97EAA96A-C95F-4D7D-B63D-6076298CDA7F}"/>
    <cellStyle name="Celda vinculada 2 2 4 4" xfId="2966" xr:uid="{CC3590A2-FA08-4935-B29D-8F8A60A26F66}"/>
    <cellStyle name="Celda vinculada 2 2 4 4 2" xfId="2967" xr:uid="{A7713944-EC31-491B-906B-949A567D21CB}"/>
    <cellStyle name="Celda vinculada 2 2 4 4 2 2" xfId="2968" xr:uid="{5910B14B-455B-4070-8E59-31C907BB2D9A}"/>
    <cellStyle name="Celda vinculada 2 2 4 4 3" xfId="2969" xr:uid="{EE0A76C1-D66C-4F4D-B468-0A19EC436318}"/>
    <cellStyle name="Celda vinculada 2 2 4 5" xfId="2970" xr:uid="{EEBF7C2B-5FDD-4300-A6A9-7262C59FEB12}"/>
    <cellStyle name="Celda vinculada 2 2 4 5 2" xfId="2971" xr:uid="{44205BF1-9C84-47B0-B5E2-C96F1AD6C348}"/>
    <cellStyle name="Celda vinculada 2 2 4 5 2 2" xfId="2972" xr:uid="{01EC367C-B007-4683-9AF9-8D5990431815}"/>
    <cellStyle name="Celda vinculada 2 2 4 5 3" xfId="2973" xr:uid="{DD237F4B-4B49-464F-85B8-D8DDA66E95FB}"/>
    <cellStyle name="Celda vinculada 2 2 4 6" xfId="2974" xr:uid="{FF97115A-920F-4D5F-B7E4-603EFCB48044}"/>
    <cellStyle name="Celda vinculada 2 2 4 6 2" xfId="2975" xr:uid="{50736BA8-3B66-4795-85A7-D5A0BCFF3942}"/>
    <cellStyle name="Celda vinculada 2 2 4 6 2 2" xfId="2976" xr:uid="{16A715B1-04E1-411C-9C88-EBF40D141FF5}"/>
    <cellStyle name="Celda vinculada 2 2 4 6 3" xfId="2977" xr:uid="{C0635660-2345-4737-9D56-CF3FDEF12FA2}"/>
    <cellStyle name="Celda vinculada 2 2 4 7" xfId="2978" xr:uid="{93E36B98-BED4-472F-8605-E35767E0CA0F}"/>
    <cellStyle name="Celda vinculada 2 2 4 7 2" xfId="2979" xr:uid="{10E5374F-3982-4A09-96D9-11DFDE8B0D30}"/>
    <cellStyle name="Celda vinculada 2 2 4 7 2 2" xfId="2980" xr:uid="{3186D6F0-4543-4749-8405-137D3C4C5BA3}"/>
    <cellStyle name="Celda vinculada 2 2 4 7 3" xfId="2981" xr:uid="{A0462828-E8AE-4641-AFDF-381D1AB0AFDA}"/>
    <cellStyle name="Celda vinculada 2 2 4 8" xfId="2982" xr:uid="{9A15C878-48E7-4B80-91CD-56CB750BB1FB}"/>
    <cellStyle name="Celda vinculada 2 2 4 8 2" xfId="2983" xr:uid="{0A0FA427-E758-47E2-BF64-2A1733BC8960}"/>
    <cellStyle name="Celda vinculada 2 2 4 8 2 2" xfId="2984" xr:uid="{B893DB11-5C1B-465E-9016-9855F25AB671}"/>
    <cellStyle name="Celda vinculada 2 2 4 8 3" xfId="2985" xr:uid="{B17D8E19-89A1-443C-B16C-2379CCA60FE2}"/>
    <cellStyle name="Celda vinculada 2 2 4 9" xfId="2986" xr:uid="{24AD8488-5F52-45E4-B826-715DF5210FAA}"/>
    <cellStyle name="Celda vinculada 2 2 4 9 2" xfId="2987" xr:uid="{271CB573-7EF0-41F7-878B-5D05B99C0188}"/>
    <cellStyle name="Celda vinculada 2 2 4 9 2 2" xfId="2988" xr:uid="{21880D14-A131-4393-B2B6-013449325C4B}"/>
    <cellStyle name="Celda vinculada 2 2 4 9 3" xfId="2989" xr:uid="{F9958DD6-BE1B-4ADA-878B-D5576E773D7D}"/>
    <cellStyle name="Celda vinculada 2 2 5" xfId="2990" xr:uid="{871EB6A7-EE46-4400-9B22-13959448BA12}"/>
    <cellStyle name="Celda vinculada 2 2 5 2" xfId="2991" xr:uid="{43F1D6C8-56D8-4923-AE36-F6731BB713BF}"/>
    <cellStyle name="Celda vinculada 2 2 5 2 2" xfId="2992" xr:uid="{14B57F58-127E-4248-8703-299CF1074598}"/>
    <cellStyle name="Celda vinculada 2 2 5 3" xfId="2993" xr:uid="{6D1D2545-C704-4913-A3F2-74F80BE5A76A}"/>
    <cellStyle name="Celda vinculada 2 2 6" xfId="2994" xr:uid="{AFA83214-3C78-43B1-9441-AB269B77D584}"/>
    <cellStyle name="Celda vinculada 2 2 6 2" xfId="2995" xr:uid="{A8400544-CE8D-4309-8506-A793AD3E7FD1}"/>
    <cellStyle name="Celda vinculada 2 2 6 2 2" xfId="2996" xr:uid="{7C0122A9-1D3F-4339-B330-171884F6302A}"/>
    <cellStyle name="Celda vinculada 2 2 6 3" xfId="2997" xr:uid="{CC398C74-DB94-4641-9F1B-279217CE5A97}"/>
    <cellStyle name="Celda vinculada 2 2 7" xfId="2998" xr:uid="{D7F16DC2-2299-4B8B-8549-38E33B8E8C94}"/>
    <cellStyle name="Celda vinculada 2 2 7 2" xfId="2999" xr:uid="{659EAB20-4039-46AE-A8EC-AD2D5F8DD87C}"/>
    <cellStyle name="Celda vinculada 2 2 7 2 2" xfId="3000" xr:uid="{CC9304E4-4597-4F27-B080-4814008153E9}"/>
    <cellStyle name="Celda vinculada 2 2 7 3" xfId="3001" xr:uid="{19C79377-8ED4-4571-9566-C93A47729EC3}"/>
    <cellStyle name="Celda vinculada 2 2 8" xfId="3002" xr:uid="{757029BC-7F1B-4BC7-A731-1B965822CCCB}"/>
    <cellStyle name="Celda vinculada 2 2 8 2" xfId="3003" xr:uid="{6B218141-853F-4029-8074-360FF2546C4A}"/>
    <cellStyle name="Celda vinculada 2 2 8 2 2" xfId="3004" xr:uid="{B0E9C206-16A0-441E-A238-2408CBE0399E}"/>
    <cellStyle name="Celda vinculada 2 2 8 3" xfId="3005" xr:uid="{B5433387-B717-433E-ACE5-DAFD91276CA1}"/>
    <cellStyle name="Celda vinculada 2 2 9" xfId="3006" xr:uid="{3939F0A9-D8EF-4A3D-8D1B-7E6CD817F9CE}"/>
    <cellStyle name="Celda vinculada 2 2 9 2" xfId="3007" xr:uid="{8D14B975-7FD8-401F-B75D-82F77854CBE3}"/>
    <cellStyle name="Celda vinculada 2 2 9 2 2" xfId="3008" xr:uid="{E020404C-961A-400D-9659-9C4E1FCA03F9}"/>
    <cellStyle name="Celda vinculada 2 2 9 3" xfId="3009" xr:uid="{FDEC73C8-AF3C-42EB-A93C-7A453FADE319}"/>
    <cellStyle name="Celda vinculada 2 3" xfId="3010" xr:uid="{E5DCE7F8-04CF-43CF-AFE6-1DA5F99BED32}"/>
    <cellStyle name="Celda vinculada 2 3 10" xfId="3011" xr:uid="{AC189BAF-2771-4A3A-AB52-A0F57F02D78B}"/>
    <cellStyle name="Celda vinculada 2 3 10 2" xfId="3012" xr:uid="{C41A6377-320C-48DF-B477-6C6384006171}"/>
    <cellStyle name="Celda vinculada 2 3 10 2 2" xfId="3013" xr:uid="{09AB1C75-CA39-4BAB-BE90-C384F1C2732B}"/>
    <cellStyle name="Celda vinculada 2 3 10 3" xfId="3014" xr:uid="{01750453-4F47-473C-9956-F655A8272860}"/>
    <cellStyle name="Celda vinculada 2 3 11" xfId="3015" xr:uid="{B487CC5D-9D17-4F02-8C89-2C52D48B94A1}"/>
    <cellStyle name="Celda vinculada 2 3 11 2" xfId="3016" xr:uid="{FC19CBD5-25EB-4B47-84D8-BF309A5C053E}"/>
    <cellStyle name="Celda vinculada 2 3 11 2 2" xfId="3017" xr:uid="{DF76BB9D-22B4-4EDF-844F-E1EDF100A182}"/>
    <cellStyle name="Celda vinculada 2 3 11 3" xfId="3018" xr:uid="{6C1A239D-7C4B-49D4-BC19-7FDEDE2BAA4D}"/>
    <cellStyle name="Celda vinculada 2 3 12" xfId="3019" xr:uid="{91FEDFD9-E66C-41EF-AC8C-9140729BA392}"/>
    <cellStyle name="Celda vinculada 2 3 12 2" xfId="3020" xr:uid="{C8018208-FFDA-4C5E-BBD2-62835EB87CD2}"/>
    <cellStyle name="Celda vinculada 2 3 13" xfId="3021" xr:uid="{F4152319-DEA9-4777-A79D-5F00419B8C3E}"/>
    <cellStyle name="Celda vinculada 2 3 2" xfId="3022" xr:uid="{836EBBA5-3720-49EB-9F38-6CB497317F18}"/>
    <cellStyle name="Celda vinculada 2 3 2 10" xfId="3023" xr:uid="{0ED7C98B-A53E-4320-A527-CB018C840205}"/>
    <cellStyle name="Celda vinculada 2 3 2 10 2" xfId="3024" xr:uid="{2810159D-ECE4-428C-AB0D-A21310D78AA8}"/>
    <cellStyle name="Celda vinculada 2 3 2 10 2 2" xfId="3025" xr:uid="{D2000E27-7C39-452B-91A4-612CC6C158A5}"/>
    <cellStyle name="Celda vinculada 2 3 2 10 3" xfId="3026" xr:uid="{FA0D4D08-0F80-4473-A638-E0AFFA9A22B9}"/>
    <cellStyle name="Celda vinculada 2 3 2 11" xfId="3027" xr:uid="{0164CF72-77C8-477E-B2F2-4FFA58F6D22D}"/>
    <cellStyle name="Celda vinculada 2 3 2 11 2" xfId="3028" xr:uid="{A9B15829-FE60-4D7A-BE04-CCBA2F3B2E97}"/>
    <cellStyle name="Celda vinculada 2 3 2 12" xfId="3029" xr:uid="{C8A3FE27-5194-4272-AED8-8F0E0E2EC458}"/>
    <cellStyle name="Celda vinculada 2 3 2 2" xfId="3030" xr:uid="{B49D7F34-36A6-48C5-B9D1-7CBD6E0245B4}"/>
    <cellStyle name="Celda vinculada 2 3 2 2 2" xfId="3031" xr:uid="{085BA8EC-6580-4886-B1B1-52E877D27139}"/>
    <cellStyle name="Celda vinculada 2 3 2 2 2 2" xfId="3032" xr:uid="{2BA471D5-3A90-4C32-ACA3-1BD34D26B8D8}"/>
    <cellStyle name="Celda vinculada 2 3 2 2 3" xfId="3033" xr:uid="{8E258D88-2469-4031-8BBF-780DFCD95ED7}"/>
    <cellStyle name="Celda vinculada 2 3 2 3" xfId="3034" xr:uid="{ED4A4300-78B4-4428-9B0E-A43F136C585A}"/>
    <cellStyle name="Celda vinculada 2 3 2 3 2" xfId="3035" xr:uid="{ABEFC233-166F-44FB-A57B-2FEB843F742B}"/>
    <cellStyle name="Celda vinculada 2 3 2 3 2 2" xfId="3036" xr:uid="{D77A6D56-5A80-40D8-8407-AD42BA7CF1B8}"/>
    <cellStyle name="Celda vinculada 2 3 2 3 3" xfId="3037" xr:uid="{D4C298E8-1E17-403D-89F1-D7E5046C92E8}"/>
    <cellStyle name="Celda vinculada 2 3 2 4" xfId="3038" xr:uid="{D4184B7B-9E98-42A4-8BBF-02785EC1252A}"/>
    <cellStyle name="Celda vinculada 2 3 2 4 2" xfId="3039" xr:uid="{6A1AEB96-3E01-4A9C-A646-3E647B54FE4C}"/>
    <cellStyle name="Celda vinculada 2 3 2 4 2 2" xfId="3040" xr:uid="{3F9C9469-385D-4CDA-9A0E-F1E8A7745C75}"/>
    <cellStyle name="Celda vinculada 2 3 2 4 3" xfId="3041" xr:uid="{0601063B-5995-427E-9F36-3B981CEE5BC8}"/>
    <cellStyle name="Celda vinculada 2 3 2 5" xfId="3042" xr:uid="{B966342C-B68A-450D-8E10-6F2D17ECDD2C}"/>
    <cellStyle name="Celda vinculada 2 3 2 5 2" xfId="3043" xr:uid="{80562D4A-30D8-403E-944A-02C212B80B67}"/>
    <cellStyle name="Celda vinculada 2 3 2 5 2 2" xfId="3044" xr:uid="{C9D2C6F5-84AC-4E14-BE94-CD907E3A552C}"/>
    <cellStyle name="Celda vinculada 2 3 2 5 3" xfId="3045" xr:uid="{359D425D-FE99-4540-B7CE-A1CE058A314A}"/>
    <cellStyle name="Celda vinculada 2 3 2 6" xfId="3046" xr:uid="{FDFF4A9E-4482-49A8-9F4C-2A699F5EAD45}"/>
    <cellStyle name="Celda vinculada 2 3 2 6 2" xfId="3047" xr:uid="{9AE498F9-4B16-438F-B0BA-ACE7CE65382B}"/>
    <cellStyle name="Celda vinculada 2 3 2 6 2 2" xfId="3048" xr:uid="{6A1BA6ED-9ADB-40EF-AFF1-BB59DA47C347}"/>
    <cellStyle name="Celda vinculada 2 3 2 6 3" xfId="3049" xr:uid="{333B8D74-9C49-49AF-BDA0-72982AC289BE}"/>
    <cellStyle name="Celda vinculada 2 3 2 7" xfId="3050" xr:uid="{80C763A1-8907-499A-A996-89DBB8731BD0}"/>
    <cellStyle name="Celda vinculada 2 3 2 7 2" xfId="3051" xr:uid="{B21065B0-3D89-4995-A206-7BF2C696EB98}"/>
    <cellStyle name="Celda vinculada 2 3 2 7 2 2" xfId="3052" xr:uid="{4ADC12D0-7E2A-4BDC-A38B-C9B6173D339F}"/>
    <cellStyle name="Celda vinculada 2 3 2 7 3" xfId="3053" xr:uid="{681615F2-54D2-4B33-A6C7-8D18CDE83585}"/>
    <cellStyle name="Celda vinculada 2 3 2 8" xfId="3054" xr:uid="{BF741269-781D-42C0-B040-68172CB851EC}"/>
    <cellStyle name="Celda vinculada 2 3 2 8 2" xfId="3055" xr:uid="{F0997B40-726D-472F-B81F-908607A35B10}"/>
    <cellStyle name="Celda vinculada 2 3 2 8 2 2" xfId="3056" xr:uid="{18CABA3F-FCDD-4BDE-A662-A2A229FF9F56}"/>
    <cellStyle name="Celda vinculada 2 3 2 8 3" xfId="3057" xr:uid="{E25A38CF-919C-465F-8F52-3C6B21EF74B7}"/>
    <cellStyle name="Celda vinculada 2 3 2 9" xfId="3058" xr:uid="{81412F4B-8E43-4D11-B95A-662BEA06B0CA}"/>
    <cellStyle name="Celda vinculada 2 3 2 9 2" xfId="3059" xr:uid="{B23C6FDD-21E8-47BB-8BB5-D3AFB3002059}"/>
    <cellStyle name="Celda vinculada 2 3 2 9 2 2" xfId="3060" xr:uid="{418D9921-E437-4166-BBDB-A9B298E1CC81}"/>
    <cellStyle name="Celda vinculada 2 3 2 9 3" xfId="3061" xr:uid="{E04588D4-ADDE-4061-9172-F8F480126CB2}"/>
    <cellStyle name="Celda vinculada 2 3 3" xfId="3062" xr:uid="{296C10AF-7A1A-46E5-B276-532590E33CD1}"/>
    <cellStyle name="Celda vinculada 2 3 3 10" xfId="3063" xr:uid="{ABFBFD14-5449-4B28-A891-1E81F5E9D594}"/>
    <cellStyle name="Celda vinculada 2 3 3 10 2" xfId="3064" xr:uid="{6658B76A-54C8-4BCC-9A5B-7248767AD5D6}"/>
    <cellStyle name="Celda vinculada 2 3 3 11" xfId="3065" xr:uid="{34945B29-C670-4C08-9BEA-4531E1D96D6F}"/>
    <cellStyle name="Celda vinculada 2 3 3 2" xfId="3066" xr:uid="{A0E83A00-789E-4B7B-8F42-B35E506A9745}"/>
    <cellStyle name="Celda vinculada 2 3 3 2 2" xfId="3067" xr:uid="{2B4D179F-2F8E-45AF-ADEE-D5BCC6AF13F5}"/>
    <cellStyle name="Celda vinculada 2 3 3 2 2 2" xfId="3068" xr:uid="{61D0F8EA-DC6A-4780-A060-DF8092EE9ED0}"/>
    <cellStyle name="Celda vinculada 2 3 3 2 3" xfId="3069" xr:uid="{DF540D1F-6E26-4769-BA9D-30710495458F}"/>
    <cellStyle name="Celda vinculada 2 3 3 3" xfId="3070" xr:uid="{975FB8A7-1E2D-46A1-9C37-3DF00DBA33E7}"/>
    <cellStyle name="Celda vinculada 2 3 3 3 2" xfId="3071" xr:uid="{74DC784E-7FD5-4FA5-932F-F9C4868AF936}"/>
    <cellStyle name="Celda vinculada 2 3 3 3 2 2" xfId="3072" xr:uid="{ACC512DA-A0FA-4BED-9BB1-EA2C4C7D5245}"/>
    <cellStyle name="Celda vinculada 2 3 3 3 3" xfId="3073" xr:uid="{9E59C942-9D46-4EB3-86E7-08A09D61B2B7}"/>
    <cellStyle name="Celda vinculada 2 3 3 4" xfId="3074" xr:uid="{8AD65ED3-6894-47D1-A1C1-3E7D3FBCCF84}"/>
    <cellStyle name="Celda vinculada 2 3 3 4 2" xfId="3075" xr:uid="{AA91FA50-F244-42D8-A6D9-CF3D773F4413}"/>
    <cellStyle name="Celda vinculada 2 3 3 4 2 2" xfId="3076" xr:uid="{6B625BB1-29A0-4605-9367-2823E2FD17DE}"/>
    <cellStyle name="Celda vinculada 2 3 3 4 3" xfId="3077" xr:uid="{2F9ADB74-D271-4020-B661-E8E1D208C6F1}"/>
    <cellStyle name="Celda vinculada 2 3 3 5" xfId="3078" xr:uid="{114A3190-443B-4CC4-ABAB-34711E076091}"/>
    <cellStyle name="Celda vinculada 2 3 3 5 2" xfId="3079" xr:uid="{29962CFA-C24E-4894-AE14-4444A0D786C2}"/>
    <cellStyle name="Celda vinculada 2 3 3 5 2 2" xfId="3080" xr:uid="{C3091443-2FD2-4478-AFF7-CF8636799287}"/>
    <cellStyle name="Celda vinculada 2 3 3 5 3" xfId="3081" xr:uid="{7C0CA57F-B094-4235-88F0-AEDF8D957424}"/>
    <cellStyle name="Celda vinculada 2 3 3 6" xfId="3082" xr:uid="{692FE2ED-BA77-473A-BE4F-42888E34416D}"/>
    <cellStyle name="Celda vinculada 2 3 3 6 2" xfId="3083" xr:uid="{B172C838-CC31-4CE0-9B4A-E58889616EE6}"/>
    <cellStyle name="Celda vinculada 2 3 3 6 2 2" xfId="3084" xr:uid="{FEF3BBC1-A31C-4A0C-B35C-AD8B8A387CDB}"/>
    <cellStyle name="Celda vinculada 2 3 3 6 3" xfId="3085" xr:uid="{7A3A659B-75C8-47C9-BC1C-C8BB4BA6D275}"/>
    <cellStyle name="Celda vinculada 2 3 3 7" xfId="3086" xr:uid="{AAAACB04-C012-4773-8812-24D573DC2579}"/>
    <cellStyle name="Celda vinculada 2 3 3 7 2" xfId="3087" xr:uid="{47EC648F-99BA-46F4-B02A-28F7A2EA2134}"/>
    <cellStyle name="Celda vinculada 2 3 3 7 2 2" xfId="3088" xr:uid="{2ECAE256-4A31-42A9-8AB1-8389885C0622}"/>
    <cellStyle name="Celda vinculada 2 3 3 7 3" xfId="3089" xr:uid="{B6F2A02D-F68F-4A9F-B653-C112560B593B}"/>
    <cellStyle name="Celda vinculada 2 3 3 8" xfId="3090" xr:uid="{1968322E-0687-496E-8322-997D820D5162}"/>
    <cellStyle name="Celda vinculada 2 3 3 8 2" xfId="3091" xr:uid="{D2261F38-81FC-4B8D-8AB7-8DF0F11F7296}"/>
    <cellStyle name="Celda vinculada 2 3 3 8 2 2" xfId="3092" xr:uid="{7786FE5D-B47F-4134-AB84-E91B8C1988CB}"/>
    <cellStyle name="Celda vinculada 2 3 3 8 3" xfId="3093" xr:uid="{DA9C8E1E-588F-4AB6-A136-3E18AFE9FA3D}"/>
    <cellStyle name="Celda vinculada 2 3 3 9" xfId="3094" xr:uid="{6CB22BD3-9E25-4E83-B2F6-E67F07418C2B}"/>
    <cellStyle name="Celda vinculada 2 3 3 9 2" xfId="3095" xr:uid="{743E63CD-85F3-4CA2-922F-E8F69721AE44}"/>
    <cellStyle name="Celda vinculada 2 3 3 9 2 2" xfId="3096" xr:uid="{B6319A81-2F6C-4EBF-8FC9-E68FCA3D0133}"/>
    <cellStyle name="Celda vinculada 2 3 3 9 3" xfId="3097" xr:uid="{FF8D9F77-4023-4BF6-8A96-12126A3CD75C}"/>
    <cellStyle name="Celda vinculada 2 3 4" xfId="3098" xr:uid="{B55BBBCF-91C7-4481-B4FE-5B7331EFB626}"/>
    <cellStyle name="Celda vinculada 2 3 4 2" xfId="3099" xr:uid="{5FAC8D63-9E59-4C67-9CD9-CAE26813FF55}"/>
    <cellStyle name="Celda vinculada 2 3 4 2 2" xfId="3100" xr:uid="{F4CFE10E-E5DE-441C-8A91-C6E8AE630548}"/>
    <cellStyle name="Celda vinculada 2 3 4 3" xfId="3101" xr:uid="{EAB92029-6FF7-4C36-A27D-4F02E88233F4}"/>
    <cellStyle name="Celda vinculada 2 3 5" xfId="3102" xr:uid="{1BA75668-22EE-4437-8C45-09E8764B0B4E}"/>
    <cellStyle name="Celda vinculada 2 3 5 2" xfId="3103" xr:uid="{B5CE4C99-146C-4A55-9806-F1C818B796D8}"/>
    <cellStyle name="Celda vinculada 2 3 5 2 2" xfId="3104" xr:uid="{EC64B827-B9FF-48EF-9498-4E1EB0B64A80}"/>
    <cellStyle name="Celda vinculada 2 3 5 3" xfId="3105" xr:uid="{B6247438-40B3-4128-AABF-42EEA35E13C4}"/>
    <cellStyle name="Celda vinculada 2 3 6" xfId="3106" xr:uid="{E02BCC62-41DC-4692-A279-116BAFE8261E}"/>
    <cellStyle name="Celda vinculada 2 3 6 2" xfId="3107" xr:uid="{1255E1E0-784F-463F-90DA-29C3E700C721}"/>
    <cellStyle name="Celda vinculada 2 3 6 2 2" xfId="3108" xr:uid="{34B88F01-5310-40C5-A1A6-581EB080CAB5}"/>
    <cellStyle name="Celda vinculada 2 3 6 3" xfId="3109" xr:uid="{EB811D5A-003A-491A-80C7-5769229E5E76}"/>
    <cellStyle name="Celda vinculada 2 3 7" xfId="3110" xr:uid="{FB9822F3-9FA1-4938-9291-6C15E1F601AD}"/>
    <cellStyle name="Celda vinculada 2 3 7 2" xfId="3111" xr:uid="{7E7E09C0-7A61-42CF-A199-8B09A51D61B2}"/>
    <cellStyle name="Celda vinculada 2 3 7 2 2" xfId="3112" xr:uid="{273FD353-7E44-4997-A894-DF84B72A982C}"/>
    <cellStyle name="Celda vinculada 2 3 7 3" xfId="3113" xr:uid="{39BA440C-54EC-462F-8768-A48131C2FAB1}"/>
    <cellStyle name="Celda vinculada 2 3 8" xfId="3114" xr:uid="{4DD8981C-3093-49C2-A407-B5D4731B8C21}"/>
    <cellStyle name="Celda vinculada 2 3 8 2" xfId="3115" xr:uid="{C545B283-A626-4F97-B50C-2073898FFA6E}"/>
    <cellStyle name="Celda vinculada 2 3 8 2 2" xfId="3116" xr:uid="{4AD50B24-D500-410A-8EA5-2375FCA5D0F4}"/>
    <cellStyle name="Celda vinculada 2 3 8 3" xfId="3117" xr:uid="{C7A757AB-C831-4435-9945-E503B54CD70B}"/>
    <cellStyle name="Celda vinculada 2 3 9" xfId="3118" xr:uid="{67902DC4-B382-4F6A-9911-A87A0BFA8B9E}"/>
    <cellStyle name="Celda vinculada 2 3 9 2" xfId="3119" xr:uid="{E034B2D0-FA4E-404B-9A72-D19D9D21A7C9}"/>
    <cellStyle name="Celda vinculada 2 3 9 2 2" xfId="3120" xr:uid="{D235AAEE-B2AE-4DDE-BEF1-2312A059549B}"/>
    <cellStyle name="Celda vinculada 2 3 9 3" xfId="3121" xr:uid="{D90F8FF4-1C74-42C6-9ECC-BD289129816C}"/>
    <cellStyle name="Celda vinculada 2 4" xfId="3122" xr:uid="{6C755F5D-AE39-4325-9B0D-8F6FCB3EFA67}"/>
    <cellStyle name="Celda vinculada 2 4 10" xfId="3123" xr:uid="{CA63AAE5-A8EE-44C7-9670-EE7E08F480F3}"/>
    <cellStyle name="Celda vinculada 2 4 10 2" xfId="3124" xr:uid="{F6B613A1-D7A6-4246-96D0-2BB1C953D103}"/>
    <cellStyle name="Celda vinculada 2 4 10 2 2" xfId="3125" xr:uid="{A5745BBD-D744-477B-B3BA-F3355F2BC3AA}"/>
    <cellStyle name="Celda vinculada 2 4 10 3" xfId="3126" xr:uid="{6C7573FD-95AD-43EA-BF2B-7C10C81922EF}"/>
    <cellStyle name="Celda vinculada 2 4 11" xfId="3127" xr:uid="{2E55858F-8F32-464E-9550-026F155EC8D8}"/>
    <cellStyle name="Celda vinculada 2 4 11 2" xfId="3128" xr:uid="{9B49482A-4224-4F8F-B961-BCA4D60E9C73}"/>
    <cellStyle name="Celda vinculada 2 4 12" xfId="3129" xr:uid="{2C6CD996-37E5-41D0-B2DF-575610E39555}"/>
    <cellStyle name="Celda vinculada 2 4 2" xfId="3130" xr:uid="{BA110AD0-D66E-4160-9072-15C981428CA5}"/>
    <cellStyle name="Celda vinculada 2 4 2 10" xfId="3131" xr:uid="{69F01CCE-7BDA-4736-B305-6BAAEB832CBE}"/>
    <cellStyle name="Celda vinculada 2 4 2 10 2" xfId="3132" xr:uid="{49E63C61-9A77-4CE4-A42E-E53DF13A4E11}"/>
    <cellStyle name="Celda vinculada 2 4 2 11" xfId="3133" xr:uid="{FEF40E0B-E2B2-4AFF-8CC8-CDD095B201DB}"/>
    <cellStyle name="Celda vinculada 2 4 2 2" xfId="3134" xr:uid="{DC1BC3F1-3E6C-484E-9563-259B1CF92C7F}"/>
    <cellStyle name="Celda vinculada 2 4 2 2 2" xfId="3135" xr:uid="{1140F6AA-7187-49EB-AF2A-FEFE61E3CD78}"/>
    <cellStyle name="Celda vinculada 2 4 2 2 2 2" xfId="3136" xr:uid="{CF1AD030-FD32-4DA5-97B0-9440517F3056}"/>
    <cellStyle name="Celda vinculada 2 4 2 2 3" xfId="3137" xr:uid="{D1B1AEB9-F6C3-42F4-BB1D-E8969CAE7910}"/>
    <cellStyle name="Celda vinculada 2 4 2 3" xfId="3138" xr:uid="{E687D16A-EA63-45E1-83A7-B96676EF8B1D}"/>
    <cellStyle name="Celda vinculada 2 4 2 3 2" xfId="3139" xr:uid="{30BA1203-5AAB-4143-B248-CD7802843B42}"/>
    <cellStyle name="Celda vinculada 2 4 2 3 2 2" xfId="3140" xr:uid="{C25EF59B-87A4-4675-B7B8-B0A3263B402E}"/>
    <cellStyle name="Celda vinculada 2 4 2 3 3" xfId="3141" xr:uid="{970543D9-CCD7-44A8-90CD-98338F979D04}"/>
    <cellStyle name="Celda vinculada 2 4 2 4" xfId="3142" xr:uid="{C1987B3F-17EF-4725-AABF-C1126BC4F61F}"/>
    <cellStyle name="Celda vinculada 2 4 2 4 2" xfId="3143" xr:uid="{094DE826-EB7F-45E5-ACB7-2C4005B63E9A}"/>
    <cellStyle name="Celda vinculada 2 4 2 4 2 2" xfId="3144" xr:uid="{7E05B727-0B3D-41BB-B131-1710298394DB}"/>
    <cellStyle name="Celda vinculada 2 4 2 4 3" xfId="3145" xr:uid="{EB528032-6A29-4859-B88E-9B59E40383F6}"/>
    <cellStyle name="Celda vinculada 2 4 2 5" xfId="3146" xr:uid="{42A7D732-5D72-4956-8AB6-9570D22EB244}"/>
    <cellStyle name="Celda vinculada 2 4 2 5 2" xfId="3147" xr:uid="{152E5ADC-AD07-4FA8-8F25-01C2DFB55A03}"/>
    <cellStyle name="Celda vinculada 2 4 2 5 2 2" xfId="3148" xr:uid="{C148FEE7-6915-4C7F-85EA-E7C9F0A1C037}"/>
    <cellStyle name="Celda vinculada 2 4 2 5 3" xfId="3149" xr:uid="{59D96906-78CC-46E3-9CBA-F039A143EECD}"/>
    <cellStyle name="Celda vinculada 2 4 2 6" xfId="3150" xr:uid="{B9FFE22C-7AC7-4763-BB99-84FF5A1C8754}"/>
    <cellStyle name="Celda vinculada 2 4 2 6 2" xfId="3151" xr:uid="{9FAA7C6A-C8E9-4AC1-BB80-F48EA0ADE99E}"/>
    <cellStyle name="Celda vinculada 2 4 2 6 2 2" xfId="3152" xr:uid="{5531FE5A-3105-4E14-B2FD-31CE8621E4C9}"/>
    <cellStyle name="Celda vinculada 2 4 2 6 3" xfId="3153" xr:uid="{F8B6DE35-1FCE-4A4E-8443-82FAB44C6F52}"/>
    <cellStyle name="Celda vinculada 2 4 2 7" xfId="3154" xr:uid="{4DD9F554-36F6-4677-8203-8D0178608E94}"/>
    <cellStyle name="Celda vinculada 2 4 2 7 2" xfId="3155" xr:uid="{0C60F202-7A4B-41EB-ACE4-7C4740C92E69}"/>
    <cellStyle name="Celda vinculada 2 4 2 7 2 2" xfId="3156" xr:uid="{3DCE54C6-638F-423C-BE9D-0B76551BF91F}"/>
    <cellStyle name="Celda vinculada 2 4 2 7 3" xfId="3157" xr:uid="{AFB3370E-0E37-49FF-9E2A-4DCDFB9DE9FF}"/>
    <cellStyle name="Celda vinculada 2 4 2 8" xfId="3158" xr:uid="{9FD10A21-0426-45C2-A49C-227E2252F020}"/>
    <cellStyle name="Celda vinculada 2 4 2 8 2" xfId="3159" xr:uid="{928990B0-CB9C-4919-B4E3-93C8D70DC1FF}"/>
    <cellStyle name="Celda vinculada 2 4 2 8 2 2" xfId="3160" xr:uid="{37433FEB-6AD9-4278-8643-969B06DE29D0}"/>
    <cellStyle name="Celda vinculada 2 4 2 8 3" xfId="3161" xr:uid="{3305EBC3-DE76-4551-B48F-11973A0D4539}"/>
    <cellStyle name="Celda vinculada 2 4 2 9" xfId="3162" xr:uid="{D9E2DF8E-05B2-4214-B467-10021E39ADA6}"/>
    <cellStyle name="Celda vinculada 2 4 2 9 2" xfId="3163" xr:uid="{94EB7B67-F446-4E18-B7EF-7012A475132F}"/>
    <cellStyle name="Celda vinculada 2 4 2 9 2 2" xfId="3164" xr:uid="{CEE8D28C-3B05-4C1B-A7C2-2316DBE3DC06}"/>
    <cellStyle name="Celda vinculada 2 4 2 9 3" xfId="3165" xr:uid="{887A65B1-32ED-4406-8779-9EECC7E72A8D}"/>
    <cellStyle name="Celda vinculada 2 4 3" xfId="3166" xr:uid="{23C5B646-6CC4-4DB2-872C-7B6494810608}"/>
    <cellStyle name="Celda vinculada 2 4 3 2" xfId="3167" xr:uid="{D849AD99-E2E0-4E9F-8238-EBF5802350B0}"/>
    <cellStyle name="Celda vinculada 2 4 3 2 2" xfId="3168" xr:uid="{0FEDA2A8-F72A-4D23-9274-006A42E53CE9}"/>
    <cellStyle name="Celda vinculada 2 4 3 3" xfId="3169" xr:uid="{4A54DBF2-251A-4C4A-928B-2FEA594D47DC}"/>
    <cellStyle name="Celda vinculada 2 4 4" xfId="3170" xr:uid="{FE909A7F-9B6B-4FE5-86D8-36911544CDEC}"/>
    <cellStyle name="Celda vinculada 2 4 4 2" xfId="3171" xr:uid="{BBF1D6C7-C371-484C-9F7D-B016C2329A59}"/>
    <cellStyle name="Celda vinculada 2 4 4 2 2" xfId="3172" xr:uid="{97AE8214-4F54-4D65-9122-1CC659B66890}"/>
    <cellStyle name="Celda vinculada 2 4 4 3" xfId="3173" xr:uid="{C2819419-4087-49DD-B14F-4CBDE2E96468}"/>
    <cellStyle name="Celda vinculada 2 4 5" xfId="3174" xr:uid="{E5755154-0B1C-47A0-86D3-95F19A8D3BE0}"/>
    <cellStyle name="Celda vinculada 2 4 5 2" xfId="3175" xr:uid="{5C9BCE39-ACD1-4F8B-AD81-CFC00E0FFB0B}"/>
    <cellStyle name="Celda vinculada 2 4 5 2 2" xfId="3176" xr:uid="{2E293400-BF4D-4B0A-8DE1-1AD136FC5DCD}"/>
    <cellStyle name="Celda vinculada 2 4 5 3" xfId="3177" xr:uid="{BA21ED96-9F2F-47EB-BE31-0EB6FF25D809}"/>
    <cellStyle name="Celda vinculada 2 4 6" xfId="3178" xr:uid="{058DCDE7-B0EE-4B6A-BE44-92C442B93C62}"/>
    <cellStyle name="Celda vinculada 2 4 6 2" xfId="3179" xr:uid="{8FA484FB-A1BC-4976-98C8-CD257CB3CF79}"/>
    <cellStyle name="Celda vinculada 2 4 6 2 2" xfId="3180" xr:uid="{F8D41FFA-FBC2-4733-9D4D-9A1C081954F7}"/>
    <cellStyle name="Celda vinculada 2 4 6 3" xfId="3181" xr:uid="{FA8BC869-0ABD-4695-886B-144AFCF866D4}"/>
    <cellStyle name="Celda vinculada 2 4 7" xfId="3182" xr:uid="{9B4BD4F2-E83D-4C42-9D97-7F5518C3DD71}"/>
    <cellStyle name="Celda vinculada 2 4 7 2" xfId="3183" xr:uid="{463EB092-7425-4EE7-9EBF-3A15E3857A1B}"/>
    <cellStyle name="Celda vinculada 2 4 7 2 2" xfId="3184" xr:uid="{ED168FDF-23C9-4E0B-989A-9FEB975DC6BB}"/>
    <cellStyle name="Celda vinculada 2 4 7 3" xfId="3185" xr:uid="{AA1FE6FB-7AB2-473F-82AE-81BC61CB9B54}"/>
    <cellStyle name="Celda vinculada 2 4 8" xfId="3186" xr:uid="{4612A2C7-EC5C-4264-BE67-F65FFDA09C9F}"/>
    <cellStyle name="Celda vinculada 2 4 8 2" xfId="3187" xr:uid="{CCA272A1-8016-4C65-B019-A75425276160}"/>
    <cellStyle name="Celda vinculada 2 4 8 2 2" xfId="3188" xr:uid="{1FC08709-A896-4CBA-BF56-AB1B325F5056}"/>
    <cellStyle name="Celda vinculada 2 4 8 3" xfId="3189" xr:uid="{92448386-7A75-416E-ACE3-0455F846008F}"/>
    <cellStyle name="Celda vinculada 2 4 9" xfId="3190" xr:uid="{C17EA68F-C4BA-4AFD-A321-4E81DF8DE0D5}"/>
    <cellStyle name="Celda vinculada 2 4 9 2" xfId="3191" xr:uid="{0741899B-A984-45AF-A9A4-F3D55F1AA8DC}"/>
    <cellStyle name="Celda vinculada 2 4 9 2 2" xfId="3192" xr:uid="{DD56818B-9B06-4A8C-8B1A-D01BFDE7782F}"/>
    <cellStyle name="Celda vinculada 2 4 9 3" xfId="3193" xr:uid="{CE39CEEF-AE25-448F-A7E7-E7C7DB85DAE1}"/>
    <cellStyle name="Celda vinculada 2 5" xfId="3194" xr:uid="{7D317C0B-05C1-40C4-AF3D-35DAD7800EB1}"/>
    <cellStyle name="Celda vinculada 2 5 10" xfId="3195" xr:uid="{D47054B5-2C0B-4F87-9CC9-BADD075A9762}"/>
    <cellStyle name="Celda vinculada 2 5 10 2" xfId="3196" xr:uid="{3C9BAD86-7C41-42A6-96DA-2AA52532791A}"/>
    <cellStyle name="Celda vinculada 2 5 11" xfId="3197" xr:uid="{926C2D12-E728-4737-BE79-B1FAAA643BFA}"/>
    <cellStyle name="Celda vinculada 2 5 2" xfId="3198" xr:uid="{74F85D58-5E21-430A-9712-FD2F6FFD9403}"/>
    <cellStyle name="Celda vinculada 2 5 2 2" xfId="3199" xr:uid="{DC9C2EEF-0290-4580-83F5-6D37072FB1E3}"/>
    <cellStyle name="Celda vinculada 2 5 2 2 2" xfId="3200" xr:uid="{016094A3-5F3E-412F-B64B-F4477BA5DF74}"/>
    <cellStyle name="Celda vinculada 2 5 2 3" xfId="3201" xr:uid="{2F1D0178-CBAE-47BE-ADEB-8B0144027D1B}"/>
    <cellStyle name="Celda vinculada 2 5 3" xfId="3202" xr:uid="{C4356FC5-20CC-455D-A18A-0AFBFE87CC72}"/>
    <cellStyle name="Celda vinculada 2 5 3 2" xfId="3203" xr:uid="{B80F7AD9-B383-4E65-B3BB-736EAAF61D55}"/>
    <cellStyle name="Celda vinculada 2 5 3 2 2" xfId="3204" xr:uid="{400BE757-FE90-4628-A7F2-0D978320E2A1}"/>
    <cellStyle name="Celda vinculada 2 5 3 3" xfId="3205" xr:uid="{B22BBD5E-3421-49E3-ABCC-D8FB78C061D5}"/>
    <cellStyle name="Celda vinculada 2 5 4" xfId="3206" xr:uid="{C957479E-973C-457E-B97A-129F9700813A}"/>
    <cellStyle name="Celda vinculada 2 5 4 2" xfId="3207" xr:uid="{7C16D8A8-150F-48B5-9969-6CAF75B73C84}"/>
    <cellStyle name="Celda vinculada 2 5 4 2 2" xfId="3208" xr:uid="{DFF9B35E-50BF-45DB-9935-272BBBCA4D35}"/>
    <cellStyle name="Celda vinculada 2 5 4 3" xfId="3209" xr:uid="{B4DB8C49-7215-48B8-BFD9-47463F007E26}"/>
    <cellStyle name="Celda vinculada 2 5 5" xfId="3210" xr:uid="{2465B2B4-DE63-4D1E-9230-5063052E6986}"/>
    <cellStyle name="Celda vinculada 2 5 5 2" xfId="3211" xr:uid="{340BFDAB-27CA-413E-8017-C8C26C9E1711}"/>
    <cellStyle name="Celda vinculada 2 5 5 2 2" xfId="3212" xr:uid="{E7F67CCF-070E-4B7E-A7AB-0034F9D51E3D}"/>
    <cellStyle name="Celda vinculada 2 5 5 3" xfId="3213" xr:uid="{DDF2E1C5-0685-41ED-BAA1-495798BB852E}"/>
    <cellStyle name="Celda vinculada 2 5 6" xfId="3214" xr:uid="{C6D2E1A2-1E84-4C66-8B43-9A153A54DD40}"/>
    <cellStyle name="Celda vinculada 2 5 6 2" xfId="3215" xr:uid="{48AF46DE-15C1-485F-8067-1612447CA22B}"/>
    <cellStyle name="Celda vinculada 2 5 6 2 2" xfId="3216" xr:uid="{43F65A6A-E32F-4E0A-BE3C-0BE1E0AB078A}"/>
    <cellStyle name="Celda vinculada 2 5 6 3" xfId="3217" xr:uid="{765E839D-A9BF-4138-ACCA-96CB948E5567}"/>
    <cellStyle name="Celda vinculada 2 5 7" xfId="3218" xr:uid="{02869431-956A-4FFC-8DF6-7F6948A41621}"/>
    <cellStyle name="Celda vinculada 2 5 7 2" xfId="3219" xr:uid="{ECC7D009-520F-4D34-A611-8110E462EC92}"/>
    <cellStyle name="Celda vinculada 2 5 7 2 2" xfId="3220" xr:uid="{91615942-E0FA-4851-9D13-6EFE0F945B4E}"/>
    <cellStyle name="Celda vinculada 2 5 7 3" xfId="3221" xr:uid="{185BBBFB-DD43-42FC-A5F9-EB9594575A28}"/>
    <cellStyle name="Celda vinculada 2 5 8" xfId="3222" xr:uid="{3B968456-7A7E-42EE-878F-AC1D55BBB328}"/>
    <cellStyle name="Celda vinculada 2 5 8 2" xfId="3223" xr:uid="{6768B4DA-C8DD-47BF-AF67-3D64A2687C86}"/>
    <cellStyle name="Celda vinculada 2 5 8 2 2" xfId="3224" xr:uid="{6DC76AF0-60AC-4A3B-8FF5-ACBD528AA70F}"/>
    <cellStyle name="Celda vinculada 2 5 8 3" xfId="3225" xr:uid="{A162F98B-B227-436A-B812-421499C9D322}"/>
    <cellStyle name="Celda vinculada 2 5 9" xfId="3226" xr:uid="{62D59A38-6617-4B7E-94F7-8668471FE905}"/>
    <cellStyle name="Celda vinculada 2 5 9 2" xfId="3227" xr:uid="{9744E204-6562-46B0-A094-A963DC141274}"/>
    <cellStyle name="Celda vinculada 2 5 9 2 2" xfId="3228" xr:uid="{71C584BD-BC33-47C5-A4FF-6F4956843A82}"/>
    <cellStyle name="Celda vinculada 2 5 9 3" xfId="3229" xr:uid="{62376AD9-9E64-47B2-B1E1-F10815E96CEB}"/>
    <cellStyle name="Celda vinculada 2 6" xfId="3230" xr:uid="{DD51564A-CB55-47CC-B368-382E23054CAB}"/>
    <cellStyle name="Celda vinculada 2 6 2" xfId="3231" xr:uid="{F2E39FAB-4CED-4A8D-8AF2-E282C423A64F}"/>
    <cellStyle name="Celda vinculada 2 6 2 2" xfId="3232" xr:uid="{4ABCDFBF-3C6E-467A-8E5D-C3B5244E6BCF}"/>
    <cellStyle name="Celda vinculada 2 6 3" xfId="3233" xr:uid="{B3B7F21B-3717-474A-86F8-0E2D7F027A84}"/>
    <cellStyle name="Celda vinculada 2 7" xfId="3234" xr:uid="{CFA80B56-8025-48D9-BC02-31F4D35EEE58}"/>
    <cellStyle name="Celda vinculada 2 7 2" xfId="3235" xr:uid="{628AEABD-7B6A-4BD6-AA78-687A03DE1355}"/>
    <cellStyle name="Celda vinculada 2 7 2 2" xfId="3236" xr:uid="{CA5F1EFC-DB44-49F6-8F0F-6F003D20996E}"/>
    <cellStyle name="Celda vinculada 2 7 3" xfId="3237" xr:uid="{F975D405-841E-4FF7-9CE8-86D0D2502354}"/>
    <cellStyle name="Celda vinculada 2 8" xfId="3238" xr:uid="{96E55555-EEF3-4248-816F-1C393B1759DB}"/>
    <cellStyle name="Celda vinculada 2 8 2" xfId="3239" xr:uid="{EF9ADD3A-0594-41C5-A0BE-58CAA4F50910}"/>
    <cellStyle name="Celda vinculada 2 8 2 2" xfId="3240" xr:uid="{FEEC4F96-02A2-4BC8-8FF5-6018BF57E441}"/>
    <cellStyle name="Celda vinculada 2 8 3" xfId="3241" xr:uid="{E4CCEE8B-8494-441F-8A3A-D13F9503B22D}"/>
    <cellStyle name="Celda vinculada 2 9" xfId="3242" xr:uid="{88D58908-78CE-40ED-A7FE-51A38B0E6B61}"/>
    <cellStyle name="Celda vinculada 2 9 2" xfId="3243" xr:uid="{D4DBACF0-4E2C-48DD-9F4A-7B5063DF5215}"/>
    <cellStyle name="Celda vinculada 2 9 2 2" xfId="3244" xr:uid="{71E3905B-8124-42B2-B9F4-02C7D409520B}"/>
    <cellStyle name="Celda vinculada 2 9 3" xfId="3245" xr:uid="{2350B6C2-FA41-460D-BDDC-21A40D150AE3}"/>
    <cellStyle name="Celda vinculada 3" xfId="3246" xr:uid="{1A198394-DCCB-4042-B549-D1EDCEA87EFA}"/>
    <cellStyle name="Celda vinculada 3 10" xfId="3247" xr:uid="{660643DC-6B27-4AF6-A5B4-319BC49850D1}"/>
    <cellStyle name="Celda vinculada 3 10 2" xfId="3248" xr:uid="{52E0C77C-DE80-48C8-AFE5-45D7D7B0CFAC}"/>
    <cellStyle name="Celda vinculada 3 10 2 2" xfId="3249" xr:uid="{43713E5B-1491-4299-A524-84A0AB8DED8A}"/>
    <cellStyle name="Celda vinculada 3 10 3" xfId="3250" xr:uid="{691EB86B-A5A2-41FD-9757-B8AA5C6940ED}"/>
    <cellStyle name="Celda vinculada 3 11" xfId="3251" xr:uid="{832F6DC4-A370-41BC-BDED-9EC5EB3A3B9A}"/>
    <cellStyle name="Celda vinculada 3 11 2" xfId="3252" xr:uid="{8863BCC0-5282-4ED7-BF16-72B2C67EED06}"/>
    <cellStyle name="Celda vinculada 3 11 2 2" xfId="3253" xr:uid="{A1F2D304-12BB-4112-B167-5EC66C64404A}"/>
    <cellStyle name="Celda vinculada 3 11 3" xfId="3254" xr:uid="{781A0F1E-D18A-476C-B033-CFBCA90D9459}"/>
    <cellStyle name="Celda vinculada 3 12" xfId="3255" xr:uid="{D624D2A2-F976-4F8E-9B33-FD66EC68C8E7}"/>
    <cellStyle name="Celda vinculada 3 12 2" xfId="3256" xr:uid="{296EC094-DEF3-47F4-9E14-76384F1343DE}"/>
    <cellStyle name="Celda vinculada 3 12 2 2" xfId="3257" xr:uid="{8CB0A557-5CAF-4CA5-BDF8-C868B5AE6D4B}"/>
    <cellStyle name="Celda vinculada 3 12 3" xfId="3258" xr:uid="{1EEED7FB-FCE0-4BB3-88C2-6FB951D64062}"/>
    <cellStyle name="Celda vinculada 3 13" xfId="3259" xr:uid="{AFABC09D-1AA4-42FE-9688-58EA8A3C1FDB}"/>
    <cellStyle name="Celda vinculada 3 13 2" xfId="3260" xr:uid="{E413907B-7C42-40EF-9DC4-41BDC424DD6F}"/>
    <cellStyle name="Celda vinculada 3 14" xfId="3261" xr:uid="{0337166F-5E5E-4240-B6E5-BBA19BADFA28}"/>
    <cellStyle name="Celda vinculada 3 2" xfId="3262" xr:uid="{D27D775D-21FF-4483-896D-CD2CA8882F4D}"/>
    <cellStyle name="Celda vinculada 3 2 10" xfId="3263" xr:uid="{27102032-4920-4AFE-A7FF-CBDC89016C68}"/>
    <cellStyle name="Celda vinculada 3 2 10 2" xfId="3264" xr:uid="{1B97B610-C7FB-43ED-9967-D63FC7A5ED87}"/>
    <cellStyle name="Celda vinculada 3 2 10 2 2" xfId="3265" xr:uid="{B2C7F63A-3218-4CD5-83E9-1424CB99372E}"/>
    <cellStyle name="Celda vinculada 3 2 10 3" xfId="3266" xr:uid="{54FDACE6-E24B-4B80-9906-0AFBA2B7F2D8}"/>
    <cellStyle name="Celda vinculada 3 2 11" xfId="3267" xr:uid="{467F5FD2-2E7B-4457-8A10-BB7127F3715C}"/>
    <cellStyle name="Celda vinculada 3 2 11 2" xfId="3268" xr:uid="{92AE3803-8D31-4A97-962B-E73831E33AFE}"/>
    <cellStyle name="Celda vinculada 3 2 11 2 2" xfId="3269" xr:uid="{AECDD316-4F66-4891-831F-FE52BFF535A2}"/>
    <cellStyle name="Celda vinculada 3 2 11 3" xfId="3270" xr:uid="{74FCB264-A1AC-449D-9130-E9B9FFBFE472}"/>
    <cellStyle name="Celda vinculada 3 2 12" xfId="3271" xr:uid="{ECE43D49-8B0E-41F8-AEEF-32AE60A0BA5D}"/>
    <cellStyle name="Celda vinculada 3 2 12 2" xfId="3272" xr:uid="{9EEC52B8-92B0-4DFD-B752-CEBDB46BAAFA}"/>
    <cellStyle name="Celda vinculada 3 2 13" xfId="3273" xr:uid="{65B7AFAC-D4E5-428E-8071-1151F882CAC6}"/>
    <cellStyle name="Celda vinculada 3 2 2" xfId="3274" xr:uid="{6CC7A483-092C-4FA8-ABEB-6C1F42C12D8D}"/>
    <cellStyle name="Celda vinculada 3 2 2 10" xfId="3275" xr:uid="{DDCE2351-B4BE-41D0-9118-5F058198386E}"/>
    <cellStyle name="Celda vinculada 3 2 2 10 2" xfId="3276" xr:uid="{E16CC0AA-CA1E-494B-8EF3-2F3505381928}"/>
    <cellStyle name="Celda vinculada 3 2 2 10 2 2" xfId="3277" xr:uid="{3C9EF482-BB2A-4ADA-980A-1E883080FB20}"/>
    <cellStyle name="Celda vinculada 3 2 2 10 3" xfId="3278" xr:uid="{C865A6AE-9BF6-4069-B4D1-11822245E108}"/>
    <cellStyle name="Celda vinculada 3 2 2 11" xfId="3279" xr:uid="{419038A0-8F3C-46D1-AE2E-EFC4CE56867E}"/>
    <cellStyle name="Celda vinculada 3 2 2 11 2" xfId="3280" xr:uid="{79F4C5B3-F4E4-4F8A-988F-EDF218F5F407}"/>
    <cellStyle name="Celda vinculada 3 2 2 12" xfId="3281" xr:uid="{EFD0D62C-2F01-40F2-B423-15683EFAC592}"/>
    <cellStyle name="Celda vinculada 3 2 2 2" xfId="3282" xr:uid="{9CF12232-E9BC-4E92-AD62-9D54BAE4B13B}"/>
    <cellStyle name="Celda vinculada 3 2 2 2 2" xfId="3283" xr:uid="{44C2E181-7282-4338-BBAD-BC640ACF380A}"/>
    <cellStyle name="Celda vinculada 3 2 2 2 2 2" xfId="3284" xr:uid="{261E9382-D7CC-430B-A1A0-385E74A62E3E}"/>
    <cellStyle name="Celda vinculada 3 2 2 2 3" xfId="3285" xr:uid="{144EC822-01FD-4212-BD7C-ED2FFAAC8442}"/>
    <cellStyle name="Celda vinculada 3 2 2 3" xfId="3286" xr:uid="{A6E7176D-F35C-4C11-A87D-7B36511197A7}"/>
    <cellStyle name="Celda vinculada 3 2 2 3 2" xfId="3287" xr:uid="{59A132FC-79B8-4111-8398-54C7C8A704C6}"/>
    <cellStyle name="Celda vinculada 3 2 2 3 2 2" xfId="3288" xr:uid="{B80FAD78-529E-457B-A009-6F3E40AA7CB7}"/>
    <cellStyle name="Celda vinculada 3 2 2 3 3" xfId="3289" xr:uid="{23152E9A-0786-4726-B7D9-655A1C17AEEA}"/>
    <cellStyle name="Celda vinculada 3 2 2 4" xfId="3290" xr:uid="{CEA5576B-1C86-4FD5-85AF-D2136930D787}"/>
    <cellStyle name="Celda vinculada 3 2 2 4 2" xfId="3291" xr:uid="{9C0BBBFA-3B88-48E6-8518-53A9CFE93CC1}"/>
    <cellStyle name="Celda vinculada 3 2 2 4 2 2" xfId="3292" xr:uid="{96A0210A-D0BA-425B-8995-20495D3DAFA5}"/>
    <cellStyle name="Celda vinculada 3 2 2 4 3" xfId="3293" xr:uid="{A1C9A1FA-19E3-4B8C-8ADC-E25AE9591611}"/>
    <cellStyle name="Celda vinculada 3 2 2 5" xfId="3294" xr:uid="{6C5B8ADC-49B3-4E68-9B07-41A89A714218}"/>
    <cellStyle name="Celda vinculada 3 2 2 5 2" xfId="3295" xr:uid="{2456E02F-358D-48E0-9E5C-AFFB3FF659B2}"/>
    <cellStyle name="Celda vinculada 3 2 2 5 2 2" xfId="3296" xr:uid="{7179C5DE-6FDE-447A-BB94-C0D8D6AA6338}"/>
    <cellStyle name="Celda vinculada 3 2 2 5 3" xfId="3297" xr:uid="{FF0560FE-E8F2-4F8F-A0CF-2A8CF43DA6B4}"/>
    <cellStyle name="Celda vinculada 3 2 2 6" xfId="3298" xr:uid="{375B997E-C57B-4D7A-8C87-0D369841FFC4}"/>
    <cellStyle name="Celda vinculada 3 2 2 6 2" xfId="3299" xr:uid="{A38BACFD-262D-425E-9191-720A924E9852}"/>
    <cellStyle name="Celda vinculada 3 2 2 6 2 2" xfId="3300" xr:uid="{BF4730B1-59C7-4CA5-8B5A-C6368CACDD51}"/>
    <cellStyle name="Celda vinculada 3 2 2 6 3" xfId="3301" xr:uid="{F9CCA517-A9D8-47A6-B39C-B8AFA5F9FB21}"/>
    <cellStyle name="Celda vinculada 3 2 2 7" xfId="3302" xr:uid="{31B2AD13-DF52-49FF-B6BD-C85D5755094E}"/>
    <cellStyle name="Celda vinculada 3 2 2 7 2" xfId="3303" xr:uid="{849F94D0-1244-403F-BFC7-411D8A579801}"/>
    <cellStyle name="Celda vinculada 3 2 2 7 2 2" xfId="3304" xr:uid="{3741CDDE-A6A4-4851-9FAE-8042277F355E}"/>
    <cellStyle name="Celda vinculada 3 2 2 7 3" xfId="3305" xr:uid="{949C3F81-DAC3-4503-844E-EAB1A4C780CE}"/>
    <cellStyle name="Celda vinculada 3 2 2 8" xfId="3306" xr:uid="{F3F5941A-4987-4924-824C-DD02F5C9FFE3}"/>
    <cellStyle name="Celda vinculada 3 2 2 8 2" xfId="3307" xr:uid="{A47BD529-707C-4C31-A668-BBFC57FA881C}"/>
    <cellStyle name="Celda vinculada 3 2 2 8 2 2" xfId="3308" xr:uid="{B371E246-CE4C-4B3D-BF62-B4F2A14DDE88}"/>
    <cellStyle name="Celda vinculada 3 2 2 8 3" xfId="3309" xr:uid="{E6C1E5F2-A798-40E1-98C0-37A2FF92D8D1}"/>
    <cellStyle name="Celda vinculada 3 2 2 9" xfId="3310" xr:uid="{160D7146-AA53-4835-BE7D-197188B96E6C}"/>
    <cellStyle name="Celda vinculada 3 2 2 9 2" xfId="3311" xr:uid="{1E13801E-73BC-4656-B61B-50A6FB8600A2}"/>
    <cellStyle name="Celda vinculada 3 2 2 9 2 2" xfId="3312" xr:uid="{983198C4-56E4-4387-AEC6-0C79ED106051}"/>
    <cellStyle name="Celda vinculada 3 2 2 9 3" xfId="3313" xr:uid="{213D66B0-C5A7-4813-8A6B-70743EC8ED3D}"/>
    <cellStyle name="Celda vinculada 3 2 3" xfId="3314" xr:uid="{76391002-6342-4A68-8FAF-667654952E98}"/>
    <cellStyle name="Celda vinculada 3 2 3 10" xfId="3315" xr:uid="{3C349DA8-F7FF-4367-825C-40BEFCA4B67E}"/>
    <cellStyle name="Celda vinculada 3 2 3 10 2" xfId="3316" xr:uid="{0B6FC143-2F01-4F54-9D20-D4113DE962D9}"/>
    <cellStyle name="Celda vinculada 3 2 3 11" xfId="3317" xr:uid="{07494A0E-D263-4920-AC4B-E051E014ADA6}"/>
    <cellStyle name="Celda vinculada 3 2 3 2" xfId="3318" xr:uid="{56C10C9C-B3D4-41A6-A658-1B964A60964C}"/>
    <cellStyle name="Celda vinculada 3 2 3 2 2" xfId="3319" xr:uid="{CC1391F1-1ED2-4FC2-9E92-2104D4C6435F}"/>
    <cellStyle name="Celda vinculada 3 2 3 2 2 2" xfId="3320" xr:uid="{F4C22EA4-4E92-4D21-AB20-732898A5E1CC}"/>
    <cellStyle name="Celda vinculada 3 2 3 2 3" xfId="3321" xr:uid="{40884B50-32BB-4C5D-AA0C-7D0EB10B4A38}"/>
    <cellStyle name="Celda vinculada 3 2 3 3" xfId="3322" xr:uid="{76F61492-F7B7-4657-AC8E-B0FD47FC1101}"/>
    <cellStyle name="Celda vinculada 3 2 3 3 2" xfId="3323" xr:uid="{25E1AD21-D6AC-48BD-9345-FE2634C6A393}"/>
    <cellStyle name="Celda vinculada 3 2 3 3 2 2" xfId="3324" xr:uid="{C5614DE0-BBD0-41DA-8B94-12A0D441B9B3}"/>
    <cellStyle name="Celda vinculada 3 2 3 3 3" xfId="3325" xr:uid="{0F7D6C9B-F0FA-4515-A3D9-E0C4A42D17E2}"/>
    <cellStyle name="Celda vinculada 3 2 3 4" xfId="3326" xr:uid="{AE2069B7-9605-4EEC-BE12-23477AFE7490}"/>
    <cellStyle name="Celda vinculada 3 2 3 4 2" xfId="3327" xr:uid="{1F3C0FD3-6A5E-4B47-980D-7508D5D1E7D9}"/>
    <cellStyle name="Celda vinculada 3 2 3 4 2 2" xfId="3328" xr:uid="{08B9BB4E-0789-46BD-80DC-033A9888B399}"/>
    <cellStyle name="Celda vinculada 3 2 3 4 3" xfId="3329" xr:uid="{94DC36A2-D1C4-440C-A541-F80B3C8A45BF}"/>
    <cellStyle name="Celda vinculada 3 2 3 5" xfId="3330" xr:uid="{4E53347A-C994-4A7C-B9A2-A58256217713}"/>
    <cellStyle name="Celda vinculada 3 2 3 5 2" xfId="3331" xr:uid="{75E82267-0281-491F-99D4-264E6D26AC51}"/>
    <cellStyle name="Celda vinculada 3 2 3 5 2 2" xfId="3332" xr:uid="{994949A9-1855-461C-ADC9-4B14837D3D5A}"/>
    <cellStyle name="Celda vinculada 3 2 3 5 3" xfId="3333" xr:uid="{A48BBD64-02E6-433A-9DDD-C094008AF909}"/>
    <cellStyle name="Celda vinculada 3 2 3 6" xfId="3334" xr:uid="{A17E4273-414B-422E-B74B-20C94F78E497}"/>
    <cellStyle name="Celda vinculada 3 2 3 6 2" xfId="3335" xr:uid="{4ED90D3F-09F8-4EF9-BA84-48840DF9454F}"/>
    <cellStyle name="Celda vinculada 3 2 3 6 2 2" xfId="3336" xr:uid="{89C7D1E2-ADBA-452F-B079-A1795473020C}"/>
    <cellStyle name="Celda vinculada 3 2 3 6 3" xfId="3337" xr:uid="{8B1D2CF3-12A9-460B-A6CD-DC9F98C88655}"/>
    <cellStyle name="Celda vinculada 3 2 3 7" xfId="3338" xr:uid="{89D875E2-F5FB-4D92-94C8-9ABBE2EE8943}"/>
    <cellStyle name="Celda vinculada 3 2 3 7 2" xfId="3339" xr:uid="{01866E33-1111-453E-8BF9-0C8D7BFE7217}"/>
    <cellStyle name="Celda vinculada 3 2 3 7 2 2" xfId="3340" xr:uid="{1346A50B-D3AE-4773-B7CD-8B389F05A021}"/>
    <cellStyle name="Celda vinculada 3 2 3 7 3" xfId="3341" xr:uid="{2EC18072-4BC1-4A27-8155-47A5F16304FD}"/>
    <cellStyle name="Celda vinculada 3 2 3 8" xfId="3342" xr:uid="{E920A932-124F-40AD-BD56-159525DC67E0}"/>
    <cellStyle name="Celda vinculada 3 2 3 8 2" xfId="3343" xr:uid="{2DC785FD-5AE8-4775-A607-36E3CB27AD65}"/>
    <cellStyle name="Celda vinculada 3 2 3 8 2 2" xfId="3344" xr:uid="{D81C3F0F-FB91-4DD7-A6BB-C34564579578}"/>
    <cellStyle name="Celda vinculada 3 2 3 8 3" xfId="3345" xr:uid="{446CB45E-9565-432E-8538-729BABAF123B}"/>
    <cellStyle name="Celda vinculada 3 2 3 9" xfId="3346" xr:uid="{06C9ECD2-802A-4C53-AAA6-FEE2C1DC87BD}"/>
    <cellStyle name="Celda vinculada 3 2 3 9 2" xfId="3347" xr:uid="{BEA7E13F-1D3C-46EB-B758-41E3ACC110C3}"/>
    <cellStyle name="Celda vinculada 3 2 3 9 2 2" xfId="3348" xr:uid="{001B762F-7839-4F30-AC7B-4594748B5906}"/>
    <cellStyle name="Celda vinculada 3 2 3 9 3" xfId="3349" xr:uid="{9B6481D6-6347-456D-92DF-C381ACA8B4BA}"/>
    <cellStyle name="Celda vinculada 3 2 4" xfId="3350" xr:uid="{A04B6AF2-087D-455D-A625-490F2FFEA44D}"/>
    <cellStyle name="Celda vinculada 3 2 4 2" xfId="3351" xr:uid="{A83C129A-BDEF-4D4E-A0F8-0120C31B75A5}"/>
    <cellStyle name="Celda vinculada 3 2 4 2 2" xfId="3352" xr:uid="{04973EA0-05BE-4B69-A049-7198A9FE54C4}"/>
    <cellStyle name="Celda vinculada 3 2 4 3" xfId="3353" xr:uid="{F3282B50-C65F-48E4-A376-27843B63F506}"/>
    <cellStyle name="Celda vinculada 3 2 5" xfId="3354" xr:uid="{47A21221-E9E8-48F3-AFA0-C5D512FEE6D1}"/>
    <cellStyle name="Celda vinculada 3 2 5 2" xfId="3355" xr:uid="{12C7048E-05F5-46C7-AF6D-50DEE92DEF05}"/>
    <cellStyle name="Celda vinculada 3 2 5 2 2" xfId="3356" xr:uid="{810389EC-25A5-4043-B0CC-94122E0C850F}"/>
    <cellStyle name="Celda vinculada 3 2 5 3" xfId="3357" xr:uid="{0173F7E9-CFD2-4530-A868-A834CF9AB7DD}"/>
    <cellStyle name="Celda vinculada 3 2 6" xfId="3358" xr:uid="{3D18AB52-1101-47C4-9799-7BBF572B9D3D}"/>
    <cellStyle name="Celda vinculada 3 2 6 2" xfId="3359" xr:uid="{E5F290CE-5A31-4F35-B8E1-4A2C8CB116AC}"/>
    <cellStyle name="Celda vinculada 3 2 6 2 2" xfId="3360" xr:uid="{0ACB10BE-6594-4339-A1E1-CA5C0F60387A}"/>
    <cellStyle name="Celda vinculada 3 2 6 3" xfId="3361" xr:uid="{ED3D5806-4A16-43DA-9176-757ADF357D99}"/>
    <cellStyle name="Celda vinculada 3 2 7" xfId="3362" xr:uid="{AD95642C-6045-4772-80B5-92B01C01FCDF}"/>
    <cellStyle name="Celda vinculada 3 2 7 2" xfId="3363" xr:uid="{66A54FF8-996C-4C1F-8D48-40A5D7B00438}"/>
    <cellStyle name="Celda vinculada 3 2 7 2 2" xfId="3364" xr:uid="{FAAC2245-8CEC-4063-B781-D0E151167578}"/>
    <cellStyle name="Celda vinculada 3 2 7 3" xfId="3365" xr:uid="{4D134E5E-6E31-4F0E-8C8D-1347A0C25C4B}"/>
    <cellStyle name="Celda vinculada 3 2 8" xfId="3366" xr:uid="{BD0682A3-DE2F-43A0-9827-9677359BC489}"/>
    <cellStyle name="Celda vinculada 3 2 8 2" xfId="3367" xr:uid="{004EC150-68D7-4913-98F2-BE3485512562}"/>
    <cellStyle name="Celda vinculada 3 2 8 2 2" xfId="3368" xr:uid="{54597194-7BD3-4167-B78E-561019FD5DCB}"/>
    <cellStyle name="Celda vinculada 3 2 8 3" xfId="3369" xr:uid="{E097EF08-E60C-40B8-BF3E-B6F36CEDB0AD}"/>
    <cellStyle name="Celda vinculada 3 2 9" xfId="3370" xr:uid="{C441D225-A134-4FDC-AB2F-F11AEA95E16C}"/>
    <cellStyle name="Celda vinculada 3 2 9 2" xfId="3371" xr:uid="{1A635C6C-38B7-4BFF-AC0C-1CC6FB1B51A2}"/>
    <cellStyle name="Celda vinculada 3 2 9 2 2" xfId="3372" xr:uid="{99B29606-0801-4671-BE2A-E92D39535A4A}"/>
    <cellStyle name="Celda vinculada 3 2 9 3" xfId="3373" xr:uid="{CE6014E7-C5A7-4D9F-90F5-6ACC4E2A007D}"/>
    <cellStyle name="Celda vinculada 3 3" xfId="3374" xr:uid="{112B1DA7-2788-43CD-9BA4-9C969B4442FC}"/>
    <cellStyle name="Celda vinculada 3 3 10" xfId="3375" xr:uid="{1C32C9BA-C5B5-4606-B298-D9F3BFD7D1A4}"/>
    <cellStyle name="Celda vinculada 3 3 10 2" xfId="3376" xr:uid="{23BB2BFE-F2A8-4755-8E4D-D5B1C2483140}"/>
    <cellStyle name="Celda vinculada 3 3 10 2 2" xfId="3377" xr:uid="{B983AEF4-19D1-4D1C-BB0E-8F72D7EC5BD2}"/>
    <cellStyle name="Celda vinculada 3 3 10 3" xfId="3378" xr:uid="{6272BEA4-21A0-4E68-8087-AE069ED0DE75}"/>
    <cellStyle name="Celda vinculada 3 3 11" xfId="3379" xr:uid="{5E690921-7F83-4C62-9645-C0118CD9BC38}"/>
    <cellStyle name="Celda vinculada 3 3 11 2" xfId="3380" xr:uid="{0D3920A2-0E43-44AC-BADD-46D481C65ECD}"/>
    <cellStyle name="Celda vinculada 3 3 12" xfId="3381" xr:uid="{E8FC814A-23A2-4C25-84A8-B520A6F9BE2E}"/>
    <cellStyle name="Celda vinculada 3 3 2" xfId="3382" xr:uid="{50335E04-DF20-4AED-A494-230D52DE5188}"/>
    <cellStyle name="Celda vinculada 3 3 2 10" xfId="3383" xr:uid="{1CBFE2AE-AA22-40BD-95AF-A932B929344A}"/>
    <cellStyle name="Celda vinculada 3 3 2 10 2" xfId="3384" xr:uid="{65FC5C2F-C129-4226-ACE1-E3AD2087DD43}"/>
    <cellStyle name="Celda vinculada 3 3 2 11" xfId="3385" xr:uid="{45FA65AA-67E2-48D4-ABCF-A6873E092AF7}"/>
    <cellStyle name="Celda vinculada 3 3 2 2" xfId="3386" xr:uid="{8E5AF008-54E9-4732-BAC7-E3E43C743D1F}"/>
    <cellStyle name="Celda vinculada 3 3 2 2 2" xfId="3387" xr:uid="{F5931957-1D6C-4AC3-ACF4-F9F7D74AD600}"/>
    <cellStyle name="Celda vinculada 3 3 2 2 2 2" xfId="3388" xr:uid="{E495316D-406B-42DC-B599-685DF65481CF}"/>
    <cellStyle name="Celda vinculada 3 3 2 2 3" xfId="3389" xr:uid="{CA230C33-DE90-4A54-8991-DF95FDA2A5F7}"/>
    <cellStyle name="Celda vinculada 3 3 2 3" xfId="3390" xr:uid="{84202A09-129E-4F41-8814-85D758F56098}"/>
    <cellStyle name="Celda vinculada 3 3 2 3 2" xfId="3391" xr:uid="{9ACF08DC-70CA-4FDD-BCA4-B821C21E79F1}"/>
    <cellStyle name="Celda vinculada 3 3 2 3 2 2" xfId="3392" xr:uid="{40068719-0920-46BD-BF5B-FE202DCF1E44}"/>
    <cellStyle name="Celda vinculada 3 3 2 3 3" xfId="3393" xr:uid="{968A0606-16CE-44F3-91F6-E6DA3810BCB6}"/>
    <cellStyle name="Celda vinculada 3 3 2 4" xfId="3394" xr:uid="{E1A4BAF5-8355-42DB-93C3-F286D60CBBB7}"/>
    <cellStyle name="Celda vinculada 3 3 2 4 2" xfId="3395" xr:uid="{B1D4C339-88B1-4355-9B72-16536043FEA1}"/>
    <cellStyle name="Celda vinculada 3 3 2 4 2 2" xfId="3396" xr:uid="{3AB88445-F086-4976-8999-A6A84D63E8CA}"/>
    <cellStyle name="Celda vinculada 3 3 2 4 3" xfId="3397" xr:uid="{AFE2F103-69E2-45C2-B439-30DB7B053AF8}"/>
    <cellStyle name="Celda vinculada 3 3 2 5" xfId="3398" xr:uid="{CAC89054-4F40-4AB1-B23D-8A9BDE506FE7}"/>
    <cellStyle name="Celda vinculada 3 3 2 5 2" xfId="3399" xr:uid="{8E0D7B94-69A5-4482-9635-C03A9FDBA919}"/>
    <cellStyle name="Celda vinculada 3 3 2 5 2 2" xfId="3400" xr:uid="{B4948CBC-A895-4597-B8A6-B10C8C9E5B26}"/>
    <cellStyle name="Celda vinculada 3 3 2 5 3" xfId="3401" xr:uid="{9C24125C-679B-49C0-9C44-F4824E28BB3F}"/>
    <cellStyle name="Celda vinculada 3 3 2 6" xfId="3402" xr:uid="{5A746371-6752-452D-A5E9-BE4500ADAEA4}"/>
    <cellStyle name="Celda vinculada 3 3 2 6 2" xfId="3403" xr:uid="{1F56C0B2-1372-4524-B544-076257F16B02}"/>
    <cellStyle name="Celda vinculada 3 3 2 6 2 2" xfId="3404" xr:uid="{12C465FA-9E3E-4F8A-B21B-062FBEF75DB7}"/>
    <cellStyle name="Celda vinculada 3 3 2 6 3" xfId="3405" xr:uid="{46AEE39D-2077-4A80-B333-363A2C7AE998}"/>
    <cellStyle name="Celda vinculada 3 3 2 7" xfId="3406" xr:uid="{43DF6CDF-2652-4101-96A0-5DDD7F42EF24}"/>
    <cellStyle name="Celda vinculada 3 3 2 7 2" xfId="3407" xr:uid="{0D34A523-1CA4-48CE-987A-83374B240A79}"/>
    <cellStyle name="Celda vinculada 3 3 2 7 2 2" xfId="3408" xr:uid="{DBC66031-A41A-4D77-BF27-2D779581575A}"/>
    <cellStyle name="Celda vinculada 3 3 2 7 3" xfId="3409" xr:uid="{198D7519-DAB5-41B9-BD23-93B1303BE109}"/>
    <cellStyle name="Celda vinculada 3 3 2 8" xfId="3410" xr:uid="{9218488A-067B-46F7-9B40-8E870E548289}"/>
    <cellStyle name="Celda vinculada 3 3 2 8 2" xfId="3411" xr:uid="{29CDC254-AF21-4BDB-8222-1E630A1F2A19}"/>
    <cellStyle name="Celda vinculada 3 3 2 8 2 2" xfId="3412" xr:uid="{94123F78-C455-47CF-96F2-2AB37B0A0451}"/>
    <cellStyle name="Celda vinculada 3 3 2 8 3" xfId="3413" xr:uid="{F161F672-7F04-42FB-885E-67F920919C59}"/>
    <cellStyle name="Celda vinculada 3 3 2 9" xfId="3414" xr:uid="{452C42F5-47C9-4427-BB39-A67F461CA899}"/>
    <cellStyle name="Celda vinculada 3 3 2 9 2" xfId="3415" xr:uid="{6C8D70F7-F7FF-4DFA-82C2-4B976A57A197}"/>
    <cellStyle name="Celda vinculada 3 3 2 9 2 2" xfId="3416" xr:uid="{A0ACAAB7-4B1D-4109-B7D5-161C1616A086}"/>
    <cellStyle name="Celda vinculada 3 3 2 9 3" xfId="3417" xr:uid="{5365134B-17EB-40DB-9468-EB556DF549F4}"/>
    <cellStyle name="Celda vinculada 3 3 3" xfId="3418" xr:uid="{3E9E3683-1EC1-4505-A9DD-141D2999F32C}"/>
    <cellStyle name="Celda vinculada 3 3 3 2" xfId="3419" xr:uid="{4C36407D-67E2-4E48-816A-077325A07F52}"/>
    <cellStyle name="Celda vinculada 3 3 3 2 2" xfId="3420" xr:uid="{A322DA44-EEE6-4DBE-BC7A-4C71A36FEFC5}"/>
    <cellStyle name="Celda vinculada 3 3 3 3" xfId="3421" xr:uid="{B80F2E4A-12A0-47F9-9779-ECCFCB12C269}"/>
    <cellStyle name="Celda vinculada 3 3 4" xfId="3422" xr:uid="{91DB2CB1-59DD-4F3D-B74A-849875A3CECF}"/>
    <cellStyle name="Celda vinculada 3 3 4 2" xfId="3423" xr:uid="{D246595C-CAFC-4240-8EF3-FE722E9AB3BE}"/>
    <cellStyle name="Celda vinculada 3 3 4 2 2" xfId="3424" xr:uid="{3CBAB8BD-DBA2-44CF-A787-6C22A2331656}"/>
    <cellStyle name="Celda vinculada 3 3 4 3" xfId="3425" xr:uid="{CB0DA478-4C43-4648-B83C-87B8482A9771}"/>
    <cellStyle name="Celda vinculada 3 3 5" xfId="3426" xr:uid="{280016CA-91AE-4293-91AF-2CAD87B3CC3E}"/>
    <cellStyle name="Celda vinculada 3 3 5 2" xfId="3427" xr:uid="{6AF55AE2-4793-4219-8F9D-104936CC8E07}"/>
    <cellStyle name="Celda vinculada 3 3 5 2 2" xfId="3428" xr:uid="{579C94A6-201A-4F9E-8448-291B8ED7B4B8}"/>
    <cellStyle name="Celda vinculada 3 3 5 3" xfId="3429" xr:uid="{C34D474F-F720-4EC1-BA57-7BEA574FC922}"/>
    <cellStyle name="Celda vinculada 3 3 6" xfId="3430" xr:uid="{180CF65E-20C2-40EB-83B9-3B8AD7CDC4E4}"/>
    <cellStyle name="Celda vinculada 3 3 6 2" xfId="3431" xr:uid="{86052D1B-8787-46C2-AE4A-3487A36E0D90}"/>
    <cellStyle name="Celda vinculada 3 3 6 2 2" xfId="3432" xr:uid="{2C136886-C390-465D-801E-8CE02AD7B66D}"/>
    <cellStyle name="Celda vinculada 3 3 6 3" xfId="3433" xr:uid="{BA5D2772-C10D-425B-B86B-76D143BE63BC}"/>
    <cellStyle name="Celda vinculada 3 3 7" xfId="3434" xr:uid="{79B21002-4385-4152-8D42-7EE32A083582}"/>
    <cellStyle name="Celda vinculada 3 3 7 2" xfId="3435" xr:uid="{D34A8EED-4093-47EC-BE68-07B5E8689FC5}"/>
    <cellStyle name="Celda vinculada 3 3 7 2 2" xfId="3436" xr:uid="{E9F2C07A-4AED-46F8-A5D2-281B139790E4}"/>
    <cellStyle name="Celda vinculada 3 3 7 3" xfId="3437" xr:uid="{4866EAE9-9BB3-4936-AE4F-EEA0EFF583D5}"/>
    <cellStyle name="Celda vinculada 3 3 8" xfId="3438" xr:uid="{7B5BEFCE-C720-42E4-97B1-57AD19BA2330}"/>
    <cellStyle name="Celda vinculada 3 3 8 2" xfId="3439" xr:uid="{A131E708-370C-4BE9-858B-C91BE0EFF56C}"/>
    <cellStyle name="Celda vinculada 3 3 8 2 2" xfId="3440" xr:uid="{7AA233D1-CD5C-45F2-B58A-03A2148EA1D3}"/>
    <cellStyle name="Celda vinculada 3 3 8 3" xfId="3441" xr:uid="{ACD7AB87-BF81-4503-BE39-141C5B687C3F}"/>
    <cellStyle name="Celda vinculada 3 3 9" xfId="3442" xr:uid="{2CCC0AC7-0EAC-49FB-90E7-56C70983C3B1}"/>
    <cellStyle name="Celda vinculada 3 3 9 2" xfId="3443" xr:uid="{276125C1-C431-43FB-BBCC-02F83FC5C4BA}"/>
    <cellStyle name="Celda vinculada 3 3 9 2 2" xfId="3444" xr:uid="{DB974AE4-0E6D-4D8C-9B72-34733401EEE6}"/>
    <cellStyle name="Celda vinculada 3 3 9 3" xfId="3445" xr:uid="{CFD981D0-DF02-4869-A16F-071D485DDBA0}"/>
    <cellStyle name="Celda vinculada 3 4" xfId="3446" xr:uid="{9F7D721A-EAD3-4569-A319-064913AAB367}"/>
    <cellStyle name="Celda vinculada 3 4 10" xfId="3447" xr:uid="{F93D9F27-76EF-462A-AA5F-CF68933F866E}"/>
    <cellStyle name="Celda vinculada 3 4 10 2" xfId="3448" xr:uid="{33E61A62-8BC0-4106-A59E-8AB36A3C5BB7}"/>
    <cellStyle name="Celda vinculada 3 4 11" xfId="3449" xr:uid="{808F82B2-44D5-44CA-94C2-1E8340D14222}"/>
    <cellStyle name="Celda vinculada 3 4 2" xfId="3450" xr:uid="{33557EED-C6D4-441F-AE7A-1EA67890BD38}"/>
    <cellStyle name="Celda vinculada 3 4 2 2" xfId="3451" xr:uid="{1DFC8E4B-950F-4A2E-8742-711EA645B321}"/>
    <cellStyle name="Celda vinculada 3 4 2 2 2" xfId="3452" xr:uid="{B0784B45-DC1A-45EA-901C-EFF2922FD9E5}"/>
    <cellStyle name="Celda vinculada 3 4 2 3" xfId="3453" xr:uid="{E7B85F1F-B2A2-4B52-A247-AEBBC7DEFC6A}"/>
    <cellStyle name="Celda vinculada 3 4 3" xfId="3454" xr:uid="{0CC7DB8F-A66C-412F-A72D-067C08FC4A2F}"/>
    <cellStyle name="Celda vinculada 3 4 3 2" xfId="3455" xr:uid="{8C28FFED-59A9-45C3-AB55-B4F7B3B870B3}"/>
    <cellStyle name="Celda vinculada 3 4 3 2 2" xfId="3456" xr:uid="{EBE9738D-3AEB-40F1-9E9A-38CC7BD28771}"/>
    <cellStyle name="Celda vinculada 3 4 3 3" xfId="3457" xr:uid="{71A7F8FA-4C1D-462B-B6E3-F323C8D67AE8}"/>
    <cellStyle name="Celda vinculada 3 4 4" xfId="3458" xr:uid="{8B5E1E7C-C1B5-46D1-8166-EABBA027B703}"/>
    <cellStyle name="Celda vinculada 3 4 4 2" xfId="3459" xr:uid="{6B543E3D-5F0E-4305-AD93-CBC58F80C7B8}"/>
    <cellStyle name="Celda vinculada 3 4 4 2 2" xfId="3460" xr:uid="{B2F203BF-2160-43E4-A3F4-21C0BC373460}"/>
    <cellStyle name="Celda vinculada 3 4 4 3" xfId="3461" xr:uid="{03360F99-143A-476A-A06E-AAEB6D16C33E}"/>
    <cellStyle name="Celda vinculada 3 4 5" xfId="3462" xr:uid="{360F7DB1-49CA-4CCA-BCFE-E8B548F3CDE8}"/>
    <cellStyle name="Celda vinculada 3 4 5 2" xfId="3463" xr:uid="{E8FFB003-C8DB-4012-8094-6E7156F3EEA8}"/>
    <cellStyle name="Celda vinculada 3 4 5 2 2" xfId="3464" xr:uid="{F517B6DA-2FD7-49AC-887F-216ED759C0CE}"/>
    <cellStyle name="Celda vinculada 3 4 5 3" xfId="3465" xr:uid="{FDF4AB02-0E7F-45F3-BADD-9BEFDA43D439}"/>
    <cellStyle name="Celda vinculada 3 4 6" xfId="3466" xr:uid="{C52475E7-1007-43F6-A1E0-D04B223A1480}"/>
    <cellStyle name="Celda vinculada 3 4 6 2" xfId="3467" xr:uid="{AE6CE895-AA68-4FBF-8D86-05CBCA221980}"/>
    <cellStyle name="Celda vinculada 3 4 6 2 2" xfId="3468" xr:uid="{36D47DC4-F14F-4462-81B4-580573F0D66C}"/>
    <cellStyle name="Celda vinculada 3 4 6 3" xfId="3469" xr:uid="{88D069DC-9B81-4DF1-9BEC-1FA569029E16}"/>
    <cellStyle name="Celda vinculada 3 4 7" xfId="3470" xr:uid="{2C161A60-8496-473F-BCDC-2ECC0B8FA96F}"/>
    <cellStyle name="Celda vinculada 3 4 7 2" xfId="3471" xr:uid="{46C24A10-5808-445C-99EA-334699FA4185}"/>
    <cellStyle name="Celda vinculada 3 4 7 2 2" xfId="3472" xr:uid="{3D469581-1D92-42D9-9BAC-61B9DFF1C991}"/>
    <cellStyle name="Celda vinculada 3 4 7 3" xfId="3473" xr:uid="{EBE0E9B4-B2BA-4840-ADA5-A72E35F015B4}"/>
    <cellStyle name="Celda vinculada 3 4 8" xfId="3474" xr:uid="{1CEA0C93-E6C8-44BC-966C-A15B1FFEAE3B}"/>
    <cellStyle name="Celda vinculada 3 4 8 2" xfId="3475" xr:uid="{0AC58C60-13B1-4B99-B3BC-23C354D7E1C8}"/>
    <cellStyle name="Celda vinculada 3 4 8 2 2" xfId="3476" xr:uid="{62CDB13E-CCCE-48A7-A726-7041FE989672}"/>
    <cellStyle name="Celda vinculada 3 4 8 3" xfId="3477" xr:uid="{25C8DC64-1BB8-4811-97EC-3B2483E6C9D0}"/>
    <cellStyle name="Celda vinculada 3 4 9" xfId="3478" xr:uid="{5CFEEED3-EE53-41A4-810A-EB2A90EB1E73}"/>
    <cellStyle name="Celda vinculada 3 4 9 2" xfId="3479" xr:uid="{2D33C089-3544-41EE-BD89-41F36BAEAC55}"/>
    <cellStyle name="Celda vinculada 3 4 9 2 2" xfId="3480" xr:uid="{C70569BF-B8D5-42BF-9737-C18A8BD64FF9}"/>
    <cellStyle name="Celda vinculada 3 4 9 3" xfId="3481" xr:uid="{0318F8A7-EF6C-46C4-A0E9-C8DB00ABB9FB}"/>
    <cellStyle name="Celda vinculada 3 5" xfId="3482" xr:uid="{D23D28B2-C08E-450F-BAD8-82E9FDA72000}"/>
    <cellStyle name="Celda vinculada 3 5 2" xfId="3483" xr:uid="{C6D7CA38-EDB5-42D7-914C-7CC1F27C8597}"/>
    <cellStyle name="Celda vinculada 3 5 2 2" xfId="3484" xr:uid="{A67DA519-9725-4F37-9808-C5A24CDDDADC}"/>
    <cellStyle name="Celda vinculada 3 5 3" xfId="3485" xr:uid="{785F6445-F11B-43D7-B3B6-DA0EC41A0513}"/>
    <cellStyle name="Celda vinculada 3 6" xfId="3486" xr:uid="{3116C139-2D66-46B9-9F0E-4E8A21EF2B1B}"/>
    <cellStyle name="Celda vinculada 3 6 2" xfId="3487" xr:uid="{F322C231-5545-4583-A7BC-6EECB4725A7C}"/>
    <cellStyle name="Celda vinculada 3 6 2 2" xfId="3488" xr:uid="{B3C22F57-AE62-4FFA-B0EF-6BDCA4044E5C}"/>
    <cellStyle name="Celda vinculada 3 6 3" xfId="3489" xr:uid="{5D37B974-C9E3-44EA-ADC0-7AB68A3F5265}"/>
    <cellStyle name="Celda vinculada 3 7" xfId="3490" xr:uid="{8BEF1B46-F793-4694-B3D2-A073DE67E7E7}"/>
    <cellStyle name="Celda vinculada 3 7 2" xfId="3491" xr:uid="{235FCE21-C5EA-4A32-87C0-F0D53FA16EE9}"/>
    <cellStyle name="Celda vinculada 3 7 2 2" xfId="3492" xr:uid="{7C9AAD13-4B76-4505-968C-7D9BF2B4B9D6}"/>
    <cellStyle name="Celda vinculada 3 7 3" xfId="3493" xr:uid="{82529F84-A38C-434F-A285-7E6A2F6E507B}"/>
    <cellStyle name="Celda vinculada 3 8" xfId="3494" xr:uid="{D7CDE85D-F55B-4CE3-B0D6-DC391DC126BA}"/>
    <cellStyle name="Celda vinculada 3 8 2" xfId="3495" xr:uid="{E437DA14-BA18-45A2-A606-335C7FD8C73C}"/>
    <cellStyle name="Celda vinculada 3 8 2 2" xfId="3496" xr:uid="{96E330F2-BA96-4E70-B39D-9750650624E3}"/>
    <cellStyle name="Celda vinculada 3 8 3" xfId="3497" xr:uid="{1D91B570-9899-4F71-AAD2-E792AD9BA178}"/>
    <cellStyle name="Celda vinculada 3 9" xfId="3498" xr:uid="{80A72204-1AE8-498C-B089-8C8322547C90}"/>
    <cellStyle name="Celda vinculada 3 9 2" xfId="3499" xr:uid="{07C0041B-3EB1-45FC-A75F-DF43323D673C}"/>
    <cellStyle name="Celda vinculada 3 9 2 2" xfId="3500" xr:uid="{705C6777-EA50-4848-B236-DE02B5439001}"/>
    <cellStyle name="Celda vinculada 3 9 3" xfId="3501" xr:uid="{75533458-60CC-4DF6-851F-6A479DA06FED}"/>
    <cellStyle name="Celda vinculada 4" xfId="3502" xr:uid="{7532F12D-B323-4EDD-A8E6-B203C826A484}"/>
    <cellStyle name="Celda vinculada 4 10" xfId="3503" xr:uid="{1278A098-FD9D-4304-A71A-81D1D9A23B0A}"/>
    <cellStyle name="Celda vinculada 4 10 2" xfId="3504" xr:uid="{8E9C458C-5C79-48FB-8BB3-DD94B9B6B24F}"/>
    <cellStyle name="Celda vinculada 4 10 2 2" xfId="3505" xr:uid="{0F76F614-F84C-4827-BC2B-C1A0465FEF72}"/>
    <cellStyle name="Celda vinculada 4 10 3" xfId="3506" xr:uid="{BE981D4D-7DE3-4DC0-B11F-3ABE89F26D13}"/>
    <cellStyle name="Celda vinculada 4 11" xfId="3507" xr:uid="{7AFEF3A4-EB8B-4485-B669-707057F973DE}"/>
    <cellStyle name="Celda vinculada 4 11 2" xfId="3508" xr:uid="{6C293AF3-30D4-4503-ADD4-5C3DF6F0A2C1}"/>
    <cellStyle name="Celda vinculada 4 11 2 2" xfId="3509" xr:uid="{2B839664-F1A9-43C1-80FA-9BB5BF88AD39}"/>
    <cellStyle name="Celda vinculada 4 11 3" xfId="3510" xr:uid="{B8EF38BC-A942-47AC-B6AA-7B3BEE39A74C}"/>
    <cellStyle name="Celda vinculada 4 12" xfId="3511" xr:uid="{98169CAB-3F92-460E-8A96-E4E4088F2E9F}"/>
    <cellStyle name="Celda vinculada 4 12 2" xfId="3512" xr:uid="{26EE0A33-46B4-4288-919C-E67006B6A2E4}"/>
    <cellStyle name="Celda vinculada 4 13" xfId="3513" xr:uid="{240A7654-6A8D-47D1-91F8-9B2246539C00}"/>
    <cellStyle name="Celda vinculada 4 2" xfId="3514" xr:uid="{2C11B6FF-3BE9-46F7-AE40-A28F43DF5C93}"/>
    <cellStyle name="Celda vinculada 4 2 10" xfId="3515" xr:uid="{DCA119A0-69B5-4946-BEAC-F1548D2BE574}"/>
    <cellStyle name="Celda vinculada 4 2 10 2" xfId="3516" xr:uid="{EE055CFD-5C74-4872-B1D3-925588482D48}"/>
    <cellStyle name="Celda vinculada 4 2 10 2 2" xfId="3517" xr:uid="{E9B6F3F8-5269-4B3E-9F89-03C30BC228A9}"/>
    <cellStyle name="Celda vinculada 4 2 10 3" xfId="3518" xr:uid="{13E531AC-AD97-4B38-86B3-C9885DA65491}"/>
    <cellStyle name="Celda vinculada 4 2 11" xfId="3519" xr:uid="{92925ACF-DEE3-4020-80FB-302E0D09B84C}"/>
    <cellStyle name="Celda vinculada 4 2 11 2" xfId="3520" xr:uid="{99E73F6C-CD04-485C-AD19-013C8418038B}"/>
    <cellStyle name="Celda vinculada 4 2 12" xfId="3521" xr:uid="{1FC5BAA1-CB5D-4060-BBB8-B4EC2742CAF3}"/>
    <cellStyle name="Celda vinculada 4 2 2" xfId="3522" xr:uid="{ECE8E3BB-9B10-4645-981C-D3F9AE646022}"/>
    <cellStyle name="Celda vinculada 4 2 2 2" xfId="3523" xr:uid="{AB1EF489-1C3E-4721-B2FC-D449DFF244FE}"/>
    <cellStyle name="Celda vinculada 4 2 2 2 2" xfId="3524" xr:uid="{FB1B8F4A-9E04-4EEE-98AA-0B4BFCAC478D}"/>
    <cellStyle name="Celda vinculada 4 2 2 3" xfId="3525" xr:uid="{A5A80B6F-C264-4B52-A860-84394A1B2087}"/>
    <cellStyle name="Celda vinculada 4 2 3" xfId="3526" xr:uid="{76F9E9E2-A1DB-4256-B319-CFF2704D90EB}"/>
    <cellStyle name="Celda vinculada 4 2 3 2" xfId="3527" xr:uid="{B0B749C8-4272-43F9-B55D-2EF383402DA0}"/>
    <cellStyle name="Celda vinculada 4 2 3 2 2" xfId="3528" xr:uid="{28D9CC1C-7A9E-4555-AEE4-D23B7F0A029A}"/>
    <cellStyle name="Celda vinculada 4 2 3 3" xfId="3529" xr:uid="{4E2F8AA1-DEB1-4274-AF0A-833B816D413D}"/>
    <cellStyle name="Celda vinculada 4 2 4" xfId="3530" xr:uid="{780F395B-933B-45C1-A3D7-12CE3001AB9F}"/>
    <cellStyle name="Celda vinculada 4 2 4 2" xfId="3531" xr:uid="{7A659F24-3B05-47F0-923B-AD40594C65FA}"/>
    <cellStyle name="Celda vinculada 4 2 4 2 2" xfId="3532" xr:uid="{467339C0-C303-4E8D-AED8-F56A3FC72DEF}"/>
    <cellStyle name="Celda vinculada 4 2 4 3" xfId="3533" xr:uid="{1230B99E-6707-4DF0-93FD-DEE078ED0E29}"/>
    <cellStyle name="Celda vinculada 4 2 5" xfId="3534" xr:uid="{3792B4B8-102F-4CC1-A20D-A75F74F0D604}"/>
    <cellStyle name="Celda vinculada 4 2 5 2" xfId="3535" xr:uid="{B25CF413-BA3E-4B8B-B0E0-44290B5F54A1}"/>
    <cellStyle name="Celda vinculada 4 2 5 2 2" xfId="3536" xr:uid="{84C43D34-C96A-4485-8EEA-FC7111171581}"/>
    <cellStyle name="Celda vinculada 4 2 5 3" xfId="3537" xr:uid="{9F2DF455-CDB7-4527-8839-9DA9962F22B1}"/>
    <cellStyle name="Celda vinculada 4 2 6" xfId="3538" xr:uid="{66A445BD-DDB1-4C97-9A70-13D418847244}"/>
    <cellStyle name="Celda vinculada 4 2 6 2" xfId="3539" xr:uid="{DCBFF56A-BADC-4F4B-A44C-FAFF89727E21}"/>
    <cellStyle name="Celda vinculada 4 2 6 2 2" xfId="3540" xr:uid="{4D1D1384-3FFB-4F50-A942-8099AECF5B7E}"/>
    <cellStyle name="Celda vinculada 4 2 6 3" xfId="3541" xr:uid="{289F14C0-ACA9-432D-9B48-16D4626B3A8B}"/>
    <cellStyle name="Celda vinculada 4 2 7" xfId="3542" xr:uid="{A7B5F638-0373-42AB-8AE2-8EAA1A7945ED}"/>
    <cellStyle name="Celda vinculada 4 2 7 2" xfId="3543" xr:uid="{57FCF499-2A3F-415B-AE5E-7013A199B48C}"/>
    <cellStyle name="Celda vinculada 4 2 7 2 2" xfId="3544" xr:uid="{DACDC66D-114D-4E59-9AB8-F50EC0142517}"/>
    <cellStyle name="Celda vinculada 4 2 7 3" xfId="3545" xr:uid="{A0807FB7-7873-409D-AB8F-94DCDB029A49}"/>
    <cellStyle name="Celda vinculada 4 2 8" xfId="3546" xr:uid="{32F6206C-51BF-450F-8627-51A68FB77BAC}"/>
    <cellStyle name="Celda vinculada 4 2 8 2" xfId="3547" xr:uid="{B98AAC4B-8BF1-4E4C-B577-BCBFB39DFD05}"/>
    <cellStyle name="Celda vinculada 4 2 8 2 2" xfId="3548" xr:uid="{E9F77BA7-AA3D-4C6D-8154-7BCAFF9B1803}"/>
    <cellStyle name="Celda vinculada 4 2 8 3" xfId="3549" xr:uid="{D689C8DB-BDBB-4248-9AFB-C89668B092E1}"/>
    <cellStyle name="Celda vinculada 4 2 9" xfId="3550" xr:uid="{76B5FAED-7E79-44F1-9B7D-585A9DF18B64}"/>
    <cellStyle name="Celda vinculada 4 2 9 2" xfId="3551" xr:uid="{B9DAA7BF-4501-41CF-9152-2A6B24140C35}"/>
    <cellStyle name="Celda vinculada 4 2 9 2 2" xfId="3552" xr:uid="{D26F31C3-DDB9-4484-9935-F3D5E1394C3C}"/>
    <cellStyle name="Celda vinculada 4 2 9 3" xfId="3553" xr:uid="{D523E247-4D1F-4156-90AE-6F3F156D0B29}"/>
    <cellStyle name="Celda vinculada 4 3" xfId="3554" xr:uid="{52D7213C-6D66-4129-842F-E8B865792C21}"/>
    <cellStyle name="Celda vinculada 4 3 10" xfId="3555" xr:uid="{6D702F45-C269-4C8F-833A-CC7C87844E92}"/>
    <cellStyle name="Celda vinculada 4 3 10 2" xfId="3556" xr:uid="{EDD710BC-892C-43C4-A22C-EE63432A1BAD}"/>
    <cellStyle name="Celda vinculada 4 3 11" xfId="3557" xr:uid="{6E6EE45E-9586-4C3E-BC09-6271FA2B9191}"/>
    <cellStyle name="Celda vinculada 4 3 2" xfId="3558" xr:uid="{6D6D5D04-317F-43C2-BBA7-1F1B794781AB}"/>
    <cellStyle name="Celda vinculada 4 3 2 2" xfId="3559" xr:uid="{8D5E84AB-3AEC-4103-9E03-BBFD26D80638}"/>
    <cellStyle name="Celda vinculada 4 3 2 2 2" xfId="3560" xr:uid="{59FB9210-1CC6-4518-9B8E-BF247208C0C6}"/>
    <cellStyle name="Celda vinculada 4 3 2 3" xfId="3561" xr:uid="{E7CC99A2-F744-4C52-BC3F-DA9BD863C62F}"/>
    <cellStyle name="Celda vinculada 4 3 3" xfId="3562" xr:uid="{59465016-95C4-4665-8ED9-983EC3685185}"/>
    <cellStyle name="Celda vinculada 4 3 3 2" xfId="3563" xr:uid="{3246A218-DC54-478A-8D2D-309760795E42}"/>
    <cellStyle name="Celda vinculada 4 3 3 2 2" xfId="3564" xr:uid="{9CC9FA47-0633-44C4-9C71-870A1824E610}"/>
    <cellStyle name="Celda vinculada 4 3 3 3" xfId="3565" xr:uid="{7F9CC1FF-0E15-47DB-9D37-6FBEDF58DC76}"/>
    <cellStyle name="Celda vinculada 4 3 4" xfId="3566" xr:uid="{827DF460-C931-4ADA-9ABE-D5A1A913E17A}"/>
    <cellStyle name="Celda vinculada 4 3 4 2" xfId="3567" xr:uid="{FD693891-8090-4313-A366-514FAF52B912}"/>
    <cellStyle name="Celda vinculada 4 3 4 2 2" xfId="3568" xr:uid="{BD7ED459-A4B4-427A-A0D3-3BE3AFF5CE62}"/>
    <cellStyle name="Celda vinculada 4 3 4 3" xfId="3569" xr:uid="{E0802231-1251-45CD-B63A-6D5B9BF0928E}"/>
    <cellStyle name="Celda vinculada 4 3 5" xfId="3570" xr:uid="{473E9140-959B-4256-AFFB-7B7BA7A9B50E}"/>
    <cellStyle name="Celda vinculada 4 3 5 2" xfId="3571" xr:uid="{75BE7141-39D2-46DD-BB02-DCB1DCB48D85}"/>
    <cellStyle name="Celda vinculada 4 3 5 2 2" xfId="3572" xr:uid="{A4A0E2A5-B44F-472C-83BB-55F49F65DCF4}"/>
    <cellStyle name="Celda vinculada 4 3 5 3" xfId="3573" xr:uid="{0F1798A8-6C33-4AD0-BCD9-B40B1A0969D4}"/>
    <cellStyle name="Celda vinculada 4 3 6" xfId="3574" xr:uid="{773CE78D-C5CC-42CF-A455-5004E8AF6877}"/>
    <cellStyle name="Celda vinculada 4 3 6 2" xfId="3575" xr:uid="{BCB7C00E-D2A8-4662-94B8-A649B0B40649}"/>
    <cellStyle name="Celda vinculada 4 3 6 2 2" xfId="3576" xr:uid="{652A3B84-06FA-4AB4-ADBB-A4459750ECD3}"/>
    <cellStyle name="Celda vinculada 4 3 6 3" xfId="3577" xr:uid="{09275162-531E-4D9D-8FD9-F4058668DBB7}"/>
    <cellStyle name="Celda vinculada 4 3 7" xfId="3578" xr:uid="{8E24B25B-57EB-4F61-B4FA-7E0550716303}"/>
    <cellStyle name="Celda vinculada 4 3 7 2" xfId="3579" xr:uid="{E4E907E3-0429-46F6-81AA-69DBDC6C4A65}"/>
    <cellStyle name="Celda vinculada 4 3 7 2 2" xfId="3580" xr:uid="{B7A5CF3B-4930-4C5E-9D34-D58FC141D6A2}"/>
    <cellStyle name="Celda vinculada 4 3 7 3" xfId="3581" xr:uid="{F936A614-F793-4790-B3C2-77B6525CA870}"/>
    <cellStyle name="Celda vinculada 4 3 8" xfId="3582" xr:uid="{7F054D2C-8D0B-4C7E-9FC4-1991C2590196}"/>
    <cellStyle name="Celda vinculada 4 3 8 2" xfId="3583" xr:uid="{1C20CAF9-0FC7-4879-A46E-DFE31388B0A8}"/>
    <cellStyle name="Celda vinculada 4 3 8 2 2" xfId="3584" xr:uid="{68BD895B-1CEB-4229-817A-77BAB4C09A8C}"/>
    <cellStyle name="Celda vinculada 4 3 8 3" xfId="3585" xr:uid="{C3704FA3-37E7-4809-9E15-62BC63301AF1}"/>
    <cellStyle name="Celda vinculada 4 3 9" xfId="3586" xr:uid="{537F56CA-B63F-4803-8740-35A2C5E6F215}"/>
    <cellStyle name="Celda vinculada 4 3 9 2" xfId="3587" xr:uid="{15FA3832-5169-43D8-BA82-5BC4C257E6F6}"/>
    <cellStyle name="Celda vinculada 4 3 9 2 2" xfId="3588" xr:uid="{54B8B373-EA75-485E-8888-B8B62135D076}"/>
    <cellStyle name="Celda vinculada 4 3 9 3" xfId="3589" xr:uid="{E816F028-C3F8-49C9-A2B2-EEE887C46D6F}"/>
    <cellStyle name="Celda vinculada 4 4" xfId="3590" xr:uid="{8B54A98D-4CB0-4378-A2FF-7E3E0C6DC811}"/>
    <cellStyle name="Celda vinculada 4 4 2" xfId="3591" xr:uid="{FE20E01F-BB27-4528-B763-99FD2C4FFA63}"/>
    <cellStyle name="Celda vinculada 4 4 2 2" xfId="3592" xr:uid="{38FC3B16-EB6B-4519-B0EA-AF71B05AE27E}"/>
    <cellStyle name="Celda vinculada 4 4 3" xfId="3593" xr:uid="{DAC57328-67E6-4E18-A63A-D6280D209897}"/>
    <cellStyle name="Celda vinculada 4 5" xfId="3594" xr:uid="{E867C43D-A401-4957-8624-01DF0399BD79}"/>
    <cellStyle name="Celda vinculada 4 5 2" xfId="3595" xr:uid="{C2329686-9A13-45D6-A985-2F1B1DF9EBBA}"/>
    <cellStyle name="Celda vinculada 4 5 2 2" xfId="3596" xr:uid="{3BF9F834-CCD8-4693-80D2-768467A269EA}"/>
    <cellStyle name="Celda vinculada 4 5 3" xfId="3597" xr:uid="{9BCCA9A7-05B1-4E74-8C29-83AC49E8C1B3}"/>
    <cellStyle name="Celda vinculada 4 6" xfId="3598" xr:uid="{F939A0B3-514F-4A63-9941-104868609F2D}"/>
    <cellStyle name="Celda vinculada 4 6 2" xfId="3599" xr:uid="{CAE5C3FD-F1A5-4D6A-A4A7-BFE96535BC99}"/>
    <cellStyle name="Celda vinculada 4 6 2 2" xfId="3600" xr:uid="{09A3CF63-6B18-43EA-94D9-D4DD014193DE}"/>
    <cellStyle name="Celda vinculada 4 6 3" xfId="3601" xr:uid="{D2156F51-AE43-4AC3-AB61-63D588EA80E5}"/>
    <cellStyle name="Celda vinculada 4 7" xfId="3602" xr:uid="{E58CE8E4-33D5-44BB-B955-B19560DA75C6}"/>
    <cellStyle name="Celda vinculada 4 7 2" xfId="3603" xr:uid="{B6265301-EBD2-4A3A-80A9-243788063D59}"/>
    <cellStyle name="Celda vinculada 4 7 2 2" xfId="3604" xr:uid="{168E7688-B573-4F7E-AA41-637FED015BDD}"/>
    <cellStyle name="Celda vinculada 4 7 3" xfId="3605" xr:uid="{DF5BF324-A8C6-47F6-A462-98ED3B7E37D5}"/>
    <cellStyle name="Celda vinculada 4 8" xfId="3606" xr:uid="{943F3935-4C24-42D6-AC4C-19DD1863364C}"/>
    <cellStyle name="Celda vinculada 4 8 2" xfId="3607" xr:uid="{4A35B1B3-820D-47A0-81DC-D9499B02CD9C}"/>
    <cellStyle name="Celda vinculada 4 8 2 2" xfId="3608" xr:uid="{EDD8A805-4A63-454B-8742-32D85F70080F}"/>
    <cellStyle name="Celda vinculada 4 8 3" xfId="3609" xr:uid="{79AB5A9F-A4E1-4E29-A8AD-A411996FDDCF}"/>
    <cellStyle name="Celda vinculada 4 9" xfId="3610" xr:uid="{1639A7DE-44EE-4BB7-B864-57A38F4DEE28}"/>
    <cellStyle name="Celda vinculada 4 9 2" xfId="3611" xr:uid="{037921D0-8A7B-47C5-89DD-225E1FB910EC}"/>
    <cellStyle name="Celda vinculada 4 9 2 2" xfId="3612" xr:uid="{DA57E95D-FB56-449C-9204-B4F39327029C}"/>
    <cellStyle name="Celda vinculada 4 9 3" xfId="3613" xr:uid="{343ACB33-E30D-4BDC-A779-707FB548A5F0}"/>
    <cellStyle name="Cella collegata" xfId="3614" xr:uid="{6D4D2B73-6824-469C-B904-195D598AA279}"/>
    <cellStyle name="Cella collegata 2" xfId="3615" xr:uid="{8B6A4C78-E58D-492E-B396-774EC146642C}"/>
    <cellStyle name="Cella collegata 2 10" xfId="3616" xr:uid="{91A1316D-A161-4A54-B09C-4902679A2E46}"/>
    <cellStyle name="Cella collegata 2 10 2" xfId="3617" xr:uid="{E77970BE-9CED-471A-A549-EFBEB939D036}"/>
    <cellStyle name="Cella collegata 2 10 2 2" xfId="3618" xr:uid="{CDA9CB82-9253-4A69-9845-E152B5A76ED0}"/>
    <cellStyle name="Cella collegata 2 10 3" xfId="3619" xr:uid="{7A2005A3-B532-489C-B01C-6A8E6264F7EA}"/>
    <cellStyle name="Cella collegata 2 11" xfId="3620" xr:uid="{3165EF4A-62F1-4849-B6DE-35BD529E73CF}"/>
    <cellStyle name="Cella collegata 2 11 2" xfId="3621" xr:uid="{5238F818-424F-4807-BA17-8DA878754513}"/>
    <cellStyle name="Cella collegata 2 11 2 2" xfId="3622" xr:uid="{3F8F1BD0-0606-4D3B-AF87-3B49611A0BFD}"/>
    <cellStyle name="Cella collegata 2 11 3" xfId="3623" xr:uid="{6540A867-9354-4BDD-AD1A-65058E5F54C0}"/>
    <cellStyle name="Cella collegata 2 12" xfId="3624" xr:uid="{0319CF38-86E9-4331-BC4E-CD42D54BB2F2}"/>
    <cellStyle name="Cella collegata 2 12 2" xfId="3625" xr:uid="{7E1A8B51-5FC6-45A8-B7D7-959537E8E982}"/>
    <cellStyle name="Cella collegata 2 12 2 2" xfId="3626" xr:uid="{DFA2986A-1EA5-492C-9015-D71A1C577E6B}"/>
    <cellStyle name="Cella collegata 2 12 3" xfId="3627" xr:uid="{18073D7B-8123-486B-9D9E-ED882E951F72}"/>
    <cellStyle name="Cella collegata 2 13" xfId="3628" xr:uid="{C9A6D299-70BF-4B19-B6FF-FC8149E4016B}"/>
    <cellStyle name="Cella collegata 2 13 2" xfId="3629" xr:uid="{87B7AE26-BD2A-4556-B3CD-BDAD380F66D4}"/>
    <cellStyle name="Cella collegata 2 13 2 2" xfId="3630" xr:uid="{AA0D544C-A00C-42ED-8EF0-BEE047A580D1}"/>
    <cellStyle name="Cella collegata 2 13 3" xfId="3631" xr:uid="{4E0D99E5-B5D6-4437-9EBC-9C57AEBEDD67}"/>
    <cellStyle name="Cella collegata 2 14" xfId="3632" xr:uid="{A87F3B2C-4D1C-43A8-95A6-30BE8AD4F90D}"/>
    <cellStyle name="Cella collegata 2 14 2" xfId="3633" xr:uid="{99D3264C-6607-44CC-94FA-F510B6514F5F}"/>
    <cellStyle name="Cella collegata 2 15" xfId="3634" xr:uid="{BAB7D44B-86A7-4BEC-8874-6E7D6FB4E826}"/>
    <cellStyle name="Cella collegata 2 2" xfId="3635" xr:uid="{CA70091D-D43C-4304-890D-9F1939A4BA58}"/>
    <cellStyle name="Cella collegata 2 2 10" xfId="3636" xr:uid="{510382C1-52C9-4E4E-BA58-103C76D06C39}"/>
    <cellStyle name="Cella collegata 2 2 10 2" xfId="3637" xr:uid="{2B5964E9-1F63-4259-B8EC-DF3E963A75B4}"/>
    <cellStyle name="Cella collegata 2 2 10 2 2" xfId="3638" xr:uid="{07EFBFCC-0DBB-489C-8E5A-5104299A5E5E}"/>
    <cellStyle name="Cella collegata 2 2 10 3" xfId="3639" xr:uid="{F2F004C5-68A5-4FA0-BB26-EB99F4D0377E}"/>
    <cellStyle name="Cella collegata 2 2 11" xfId="3640" xr:uid="{E600C315-BF73-402C-B757-176E47582374}"/>
    <cellStyle name="Cella collegata 2 2 11 2" xfId="3641" xr:uid="{47CC807B-6F59-4360-A4A8-7812635CCD9B}"/>
    <cellStyle name="Cella collegata 2 2 11 2 2" xfId="3642" xr:uid="{CBFCB2BA-DED6-4621-AE0B-4B74445BAC2E}"/>
    <cellStyle name="Cella collegata 2 2 11 3" xfId="3643" xr:uid="{61B29D35-2D73-4AF6-B69D-2E3E5A8F1109}"/>
    <cellStyle name="Cella collegata 2 2 12" xfId="3644" xr:uid="{05A89251-B62B-45E7-9C5C-96242DE7A30E}"/>
    <cellStyle name="Cella collegata 2 2 12 2" xfId="3645" xr:uid="{B78BF8BC-F719-4901-B97C-B7FE9FD39D26}"/>
    <cellStyle name="Cella collegata 2 2 12 2 2" xfId="3646" xr:uid="{43DF99A5-EAB0-4FE9-BEEC-64637CED8A28}"/>
    <cellStyle name="Cella collegata 2 2 12 3" xfId="3647" xr:uid="{2ABA3EBA-64CC-436C-851B-C8431FA19194}"/>
    <cellStyle name="Cella collegata 2 2 13" xfId="3648" xr:uid="{85B57C5F-FB25-4C11-A017-6E4C257641C0}"/>
    <cellStyle name="Cella collegata 2 2 13 2" xfId="3649" xr:uid="{4F2B147B-3562-49CC-B495-B71FD73358A8}"/>
    <cellStyle name="Cella collegata 2 2 14" xfId="3650" xr:uid="{26A75D50-F461-4C39-BCF8-7EB64625D170}"/>
    <cellStyle name="Cella collegata 2 2 2" xfId="3651" xr:uid="{6533C704-D137-4D02-A2CB-256912EE184D}"/>
    <cellStyle name="Cella collegata 2 2 2 10" xfId="3652" xr:uid="{89542642-538F-4570-94DB-75011B5458DE}"/>
    <cellStyle name="Cella collegata 2 2 2 10 2" xfId="3653" xr:uid="{4C5E86EF-CEC4-4364-9217-2A1185422CEF}"/>
    <cellStyle name="Cella collegata 2 2 2 10 2 2" xfId="3654" xr:uid="{E67D979C-F58F-4AE1-9C99-FA00A71F0767}"/>
    <cellStyle name="Cella collegata 2 2 2 10 3" xfId="3655" xr:uid="{580E27F0-604B-40B5-BAFD-C56997684A19}"/>
    <cellStyle name="Cella collegata 2 2 2 11" xfId="3656" xr:uid="{DE386BDE-B8CA-473C-A6A8-78156969AC30}"/>
    <cellStyle name="Cella collegata 2 2 2 11 2" xfId="3657" xr:uid="{EC324225-A032-46A4-90E1-48479818F3CB}"/>
    <cellStyle name="Cella collegata 2 2 2 11 2 2" xfId="3658" xr:uid="{A1D5C8E5-6902-4700-992F-8FC931B8FE9F}"/>
    <cellStyle name="Cella collegata 2 2 2 11 3" xfId="3659" xr:uid="{72838F8F-A45C-4FF1-975E-12F0C45D9A5B}"/>
    <cellStyle name="Cella collegata 2 2 2 12" xfId="3660" xr:uid="{D3DE753D-314D-4F56-A447-C21D8174408C}"/>
    <cellStyle name="Cella collegata 2 2 2 12 2" xfId="3661" xr:uid="{1F339D7E-8968-4547-8398-2981F65DA900}"/>
    <cellStyle name="Cella collegata 2 2 2 13" xfId="3662" xr:uid="{E924F943-F4DE-4733-8543-66B8B0F7AC53}"/>
    <cellStyle name="Cella collegata 2 2 2 2" xfId="3663" xr:uid="{B25B50E7-96BC-4508-8613-1667577FF0A0}"/>
    <cellStyle name="Cella collegata 2 2 2 2 10" xfId="3664" xr:uid="{B0F3828C-EE07-4C54-83B4-7CCB1C20B360}"/>
    <cellStyle name="Cella collegata 2 2 2 2 10 2" xfId="3665" xr:uid="{A4379453-05C5-497B-AB36-9C533D447998}"/>
    <cellStyle name="Cella collegata 2 2 2 2 10 2 2" xfId="3666" xr:uid="{87A3C988-A950-410A-8D00-42F22522FDF7}"/>
    <cellStyle name="Cella collegata 2 2 2 2 10 3" xfId="3667" xr:uid="{2B820072-8162-424F-A1D8-8C38A7194895}"/>
    <cellStyle name="Cella collegata 2 2 2 2 11" xfId="3668" xr:uid="{19538576-BBAB-41E1-9C78-7F87B5DB4FD2}"/>
    <cellStyle name="Cella collegata 2 2 2 2 11 2" xfId="3669" xr:uid="{72FB4C3D-4FB1-41FE-81F8-7597F52818EF}"/>
    <cellStyle name="Cella collegata 2 2 2 2 12" xfId="3670" xr:uid="{46CAE4EA-AEEF-4DD9-A68E-26D41FB040FD}"/>
    <cellStyle name="Cella collegata 2 2 2 2 2" xfId="3671" xr:uid="{3CEBD6B0-E433-47D5-A274-A7D4B0D9816F}"/>
    <cellStyle name="Cella collegata 2 2 2 2 2 2" xfId="3672" xr:uid="{40304789-5DFC-44A0-B9CC-FF38654E9776}"/>
    <cellStyle name="Cella collegata 2 2 2 2 2 2 2" xfId="3673" xr:uid="{5EB3866E-7862-4D03-B4F6-4CAD2FBFA1C9}"/>
    <cellStyle name="Cella collegata 2 2 2 2 2 3" xfId="3674" xr:uid="{C0704681-6674-4687-9282-E128AC6654E6}"/>
    <cellStyle name="Cella collegata 2 2 2 2 3" xfId="3675" xr:uid="{6D9969F3-DB7E-49EB-AFCD-F3079005CAE6}"/>
    <cellStyle name="Cella collegata 2 2 2 2 3 2" xfId="3676" xr:uid="{E39F4689-4BF8-4D65-827A-CE1239EA5EA9}"/>
    <cellStyle name="Cella collegata 2 2 2 2 3 2 2" xfId="3677" xr:uid="{CCB68CD7-155B-43F7-B17D-68DC54286A69}"/>
    <cellStyle name="Cella collegata 2 2 2 2 3 3" xfId="3678" xr:uid="{1730BC62-3C52-49E0-BFAA-5440CFA79088}"/>
    <cellStyle name="Cella collegata 2 2 2 2 4" xfId="3679" xr:uid="{A8883F83-0578-453B-9990-17B94617758A}"/>
    <cellStyle name="Cella collegata 2 2 2 2 4 2" xfId="3680" xr:uid="{2F12D0F8-A252-47BB-8921-4D05C5DB8BCD}"/>
    <cellStyle name="Cella collegata 2 2 2 2 4 2 2" xfId="3681" xr:uid="{1B7A1D8A-EDF3-4500-85E7-06D8A4BD5868}"/>
    <cellStyle name="Cella collegata 2 2 2 2 4 3" xfId="3682" xr:uid="{DF5C4515-CD9E-4312-A753-95485E5E743B}"/>
    <cellStyle name="Cella collegata 2 2 2 2 5" xfId="3683" xr:uid="{350E1973-FC65-47FC-9593-47E24FC5D623}"/>
    <cellStyle name="Cella collegata 2 2 2 2 5 2" xfId="3684" xr:uid="{4EDD2A41-62C5-4210-BE4B-147D0B9CE87D}"/>
    <cellStyle name="Cella collegata 2 2 2 2 5 2 2" xfId="3685" xr:uid="{55CB6FF9-C0DC-4E24-A6FB-75777C7F3AE4}"/>
    <cellStyle name="Cella collegata 2 2 2 2 5 3" xfId="3686" xr:uid="{70FF5727-6224-45EB-974F-8060F10D5F1A}"/>
    <cellStyle name="Cella collegata 2 2 2 2 6" xfId="3687" xr:uid="{DCF9A5CA-DF36-4737-B040-3FC488427EA7}"/>
    <cellStyle name="Cella collegata 2 2 2 2 6 2" xfId="3688" xr:uid="{311A951A-5BE6-4930-A156-8011907B7E52}"/>
    <cellStyle name="Cella collegata 2 2 2 2 6 2 2" xfId="3689" xr:uid="{FDBF48E4-1DAA-42AD-B266-0D40191EBE5F}"/>
    <cellStyle name="Cella collegata 2 2 2 2 6 3" xfId="3690" xr:uid="{A371D364-1106-44F6-B213-C5F637288E5F}"/>
    <cellStyle name="Cella collegata 2 2 2 2 7" xfId="3691" xr:uid="{3179ACA7-A153-453E-9502-0931A081A8BF}"/>
    <cellStyle name="Cella collegata 2 2 2 2 7 2" xfId="3692" xr:uid="{A3DFAF86-6039-4876-AC87-726DC413275D}"/>
    <cellStyle name="Cella collegata 2 2 2 2 7 2 2" xfId="3693" xr:uid="{24114E81-4ECD-4572-BD81-6750D9E00C89}"/>
    <cellStyle name="Cella collegata 2 2 2 2 7 3" xfId="3694" xr:uid="{8071DE12-3E11-4153-88F8-2BEDDE3C672B}"/>
    <cellStyle name="Cella collegata 2 2 2 2 8" xfId="3695" xr:uid="{87A07DEF-E272-4246-A91C-476D5A792AE4}"/>
    <cellStyle name="Cella collegata 2 2 2 2 8 2" xfId="3696" xr:uid="{DBF69FA8-DBAF-4492-BA5C-FE7BA7AE25A0}"/>
    <cellStyle name="Cella collegata 2 2 2 2 8 2 2" xfId="3697" xr:uid="{7A05E01B-DE91-4AF3-94A1-7EC0320D378B}"/>
    <cellStyle name="Cella collegata 2 2 2 2 8 3" xfId="3698" xr:uid="{3B30178D-07E3-4378-93EE-028EF986324C}"/>
    <cellStyle name="Cella collegata 2 2 2 2 9" xfId="3699" xr:uid="{A2AEEBA5-8180-4699-B0D6-70B9F320940B}"/>
    <cellStyle name="Cella collegata 2 2 2 2 9 2" xfId="3700" xr:uid="{FC6869EF-77C3-434C-A43B-11E8A60EA8A2}"/>
    <cellStyle name="Cella collegata 2 2 2 2 9 2 2" xfId="3701" xr:uid="{C85A7801-7DB4-4246-B21E-8D1D89A4E929}"/>
    <cellStyle name="Cella collegata 2 2 2 2 9 3" xfId="3702" xr:uid="{58DB0AE5-D56D-4CE9-950E-499A357C3BBE}"/>
    <cellStyle name="Cella collegata 2 2 2 3" xfId="3703" xr:uid="{F800277F-F8E1-4FC8-B56A-7244E1A5696E}"/>
    <cellStyle name="Cella collegata 2 2 2 3 10" xfId="3704" xr:uid="{D4D4101A-8BD1-42B2-9B1E-60BF3132809C}"/>
    <cellStyle name="Cella collegata 2 2 2 3 10 2" xfId="3705" xr:uid="{86216BC5-9F7A-4177-A36E-5C4980BADE9F}"/>
    <cellStyle name="Cella collegata 2 2 2 3 11" xfId="3706" xr:uid="{89823F2F-7B8C-4CC7-B981-4697DFE677CA}"/>
    <cellStyle name="Cella collegata 2 2 2 3 2" xfId="3707" xr:uid="{995446A2-84D5-4D60-B238-023D8E7C1822}"/>
    <cellStyle name="Cella collegata 2 2 2 3 2 2" xfId="3708" xr:uid="{AEE149B8-B18B-46FE-BBFA-0F372491D5D8}"/>
    <cellStyle name="Cella collegata 2 2 2 3 2 2 2" xfId="3709" xr:uid="{D604270C-65B7-4D96-ADDB-E305C19F5321}"/>
    <cellStyle name="Cella collegata 2 2 2 3 2 3" xfId="3710" xr:uid="{00A74A42-5F19-4011-BE8B-91CA7BDE30C7}"/>
    <cellStyle name="Cella collegata 2 2 2 3 3" xfId="3711" xr:uid="{AE0B90DD-A580-4394-847E-03F262517963}"/>
    <cellStyle name="Cella collegata 2 2 2 3 3 2" xfId="3712" xr:uid="{654E7101-8DBF-4CA9-BF7A-71D8BC52696D}"/>
    <cellStyle name="Cella collegata 2 2 2 3 3 2 2" xfId="3713" xr:uid="{BC024261-0983-4D7C-A167-ACBC99C5ADB6}"/>
    <cellStyle name="Cella collegata 2 2 2 3 3 3" xfId="3714" xr:uid="{334E06BD-97FF-46FB-8CC6-30796BBB8926}"/>
    <cellStyle name="Cella collegata 2 2 2 3 4" xfId="3715" xr:uid="{1089D413-B15A-4A16-A563-717DE5DF3C83}"/>
    <cellStyle name="Cella collegata 2 2 2 3 4 2" xfId="3716" xr:uid="{2C210729-B2E8-421B-882D-690DC8235952}"/>
    <cellStyle name="Cella collegata 2 2 2 3 4 2 2" xfId="3717" xr:uid="{72CB7527-8AC0-4779-BD0C-17143A75C81D}"/>
    <cellStyle name="Cella collegata 2 2 2 3 4 3" xfId="3718" xr:uid="{B3E3F2ED-9FD1-4EB7-A666-C61362FB83FB}"/>
    <cellStyle name="Cella collegata 2 2 2 3 5" xfId="3719" xr:uid="{77FD5EA7-CD4D-4DF6-B71F-875CD94AC782}"/>
    <cellStyle name="Cella collegata 2 2 2 3 5 2" xfId="3720" xr:uid="{A8CE760F-182A-43D4-A72E-CE8BBD444253}"/>
    <cellStyle name="Cella collegata 2 2 2 3 5 2 2" xfId="3721" xr:uid="{66BB47D6-84AA-4350-8B1B-9AE9CCC58928}"/>
    <cellStyle name="Cella collegata 2 2 2 3 5 3" xfId="3722" xr:uid="{EE2C1FEC-89AA-4584-B460-3DCB6989F2D4}"/>
    <cellStyle name="Cella collegata 2 2 2 3 6" xfId="3723" xr:uid="{F4598879-3C96-4B83-9802-239C5EFB1F53}"/>
    <cellStyle name="Cella collegata 2 2 2 3 6 2" xfId="3724" xr:uid="{26239145-BF86-4393-B3DA-FE4B3F811A6D}"/>
    <cellStyle name="Cella collegata 2 2 2 3 6 2 2" xfId="3725" xr:uid="{AA799B74-23F1-408C-A5B7-1C3E3CCB03C7}"/>
    <cellStyle name="Cella collegata 2 2 2 3 6 3" xfId="3726" xr:uid="{325E48E6-30A7-4017-A232-CA52EE4A6A27}"/>
    <cellStyle name="Cella collegata 2 2 2 3 7" xfId="3727" xr:uid="{96D3C226-AB91-4692-81CF-E1E2B3A37CDF}"/>
    <cellStyle name="Cella collegata 2 2 2 3 7 2" xfId="3728" xr:uid="{E0313CFD-00E8-4263-BFB3-282072EC792A}"/>
    <cellStyle name="Cella collegata 2 2 2 3 7 2 2" xfId="3729" xr:uid="{68FB18C6-6A61-46CD-9752-BC3FBFAA900B}"/>
    <cellStyle name="Cella collegata 2 2 2 3 7 3" xfId="3730" xr:uid="{2F0A4968-D768-4F2D-94A7-00C6150C32DA}"/>
    <cellStyle name="Cella collegata 2 2 2 3 8" xfId="3731" xr:uid="{2EBC7E24-3822-49C9-A07C-FFF4E00D2708}"/>
    <cellStyle name="Cella collegata 2 2 2 3 8 2" xfId="3732" xr:uid="{2329F6D4-5DB7-4DD8-888C-8A0FF5DB08B1}"/>
    <cellStyle name="Cella collegata 2 2 2 3 8 2 2" xfId="3733" xr:uid="{8EF7B73B-86BA-4625-A46A-63558E9BD112}"/>
    <cellStyle name="Cella collegata 2 2 2 3 8 3" xfId="3734" xr:uid="{A60BE7F2-9111-495D-9B3C-41CF6238435F}"/>
    <cellStyle name="Cella collegata 2 2 2 3 9" xfId="3735" xr:uid="{2D9BF507-6EE2-4AE2-A760-B69404F60A11}"/>
    <cellStyle name="Cella collegata 2 2 2 3 9 2" xfId="3736" xr:uid="{B898E3E4-2F48-4290-B58A-4956C760B6BA}"/>
    <cellStyle name="Cella collegata 2 2 2 3 9 2 2" xfId="3737" xr:uid="{B5F8CF32-4F01-40E4-B1A8-F17DC39AE0D9}"/>
    <cellStyle name="Cella collegata 2 2 2 3 9 3" xfId="3738" xr:uid="{02B6E657-706E-47AC-9192-C4E98546CE98}"/>
    <cellStyle name="Cella collegata 2 2 2 4" xfId="3739" xr:uid="{EC3A111E-8F02-4FD2-A7D3-F07E49F0C209}"/>
    <cellStyle name="Cella collegata 2 2 2 4 2" xfId="3740" xr:uid="{A927A4F7-8153-4AD1-99A3-37BC6E6BF66F}"/>
    <cellStyle name="Cella collegata 2 2 2 4 2 2" xfId="3741" xr:uid="{0B10FEE1-40AD-4943-B128-DD55A1637D2E}"/>
    <cellStyle name="Cella collegata 2 2 2 4 3" xfId="3742" xr:uid="{3E305AEF-29E9-4344-A862-B20E62CD4C9D}"/>
    <cellStyle name="Cella collegata 2 2 2 5" xfId="3743" xr:uid="{F476BAC3-C6BA-455F-927D-F7058C935048}"/>
    <cellStyle name="Cella collegata 2 2 2 5 2" xfId="3744" xr:uid="{144197F2-BA2B-483F-9498-905FE6C5B721}"/>
    <cellStyle name="Cella collegata 2 2 2 5 2 2" xfId="3745" xr:uid="{C69D8B1D-48BA-4258-96B7-84871716E53C}"/>
    <cellStyle name="Cella collegata 2 2 2 5 3" xfId="3746" xr:uid="{C1CB98B3-6EAF-4507-97E9-1CFD70441B01}"/>
    <cellStyle name="Cella collegata 2 2 2 6" xfId="3747" xr:uid="{89DBEEF4-E7B7-4131-946A-AF40CB2B17C8}"/>
    <cellStyle name="Cella collegata 2 2 2 6 2" xfId="3748" xr:uid="{A01965FA-C260-4261-977A-B53FBC10D7FC}"/>
    <cellStyle name="Cella collegata 2 2 2 6 2 2" xfId="3749" xr:uid="{7F3A8A6B-152B-4DCD-A8AC-45FCA68C192F}"/>
    <cellStyle name="Cella collegata 2 2 2 6 3" xfId="3750" xr:uid="{CE3C5AA9-D172-402E-9A7F-02BCD8C5F100}"/>
    <cellStyle name="Cella collegata 2 2 2 7" xfId="3751" xr:uid="{2C6CC689-92D3-4699-8505-A8155B506FFB}"/>
    <cellStyle name="Cella collegata 2 2 2 7 2" xfId="3752" xr:uid="{67332DC5-14EC-49CC-92E2-9A17BF808487}"/>
    <cellStyle name="Cella collegata 2 2 2 7 2 2" xfId="3753" xr:uid="{1CFBAE77-9A25-4D2D-8515-4B4D348AF63E}"/>
    <cellStyle name="Cella collegata 2 2 2 7 3" xfId="3754" xr:uid="{7E71B1CC-25E8-497C-BE04-7704B89B6570}"/>
    <cellStyle name="Cella collegata 2 2 2 8" xfId="3755" xr:uid="{5D2092D4-CFBF-4FA8-92ED-F7F332F0917A}"/>
    <cellStyle name="Cella collegata 2 2 2 8 2" xfId="3756" xr:uid="{AC6CE080-03E7-409C-9C86-1370D00252A4}"/>
    <cellStyle name="Cella collegata 2 2 2 8 2 2" xfId="3757" xr:uid="{40FE9DCE-F2D2-4546-B842-D84B8C110A5E}"/>
    <cellStyle name="Cella collegata 2 2 2 8 3" xfId="3758" xr:uid="{E974EBA7-AA3D-4860-9C5A-622770FAA561}"/>
    <cellStyle name="Cella collegata 2 2 2 9" xfId="3759" xr:uid="{B2ECDDF7-7848-4E97-9624-D3A338BFE7DC}"/>
    <cellStyle name="Cella collegata 2 2 2 9 2" xfId="3760" xr:uid="{79380486-C53D-42BB-BEC7-BD1429499AC3}"/>
    <cellStyle name="Cella collegata 2 2 2 9 2 2" xfId="3761" xr:uid="{ADDB4042-6CF5-462D-8D2C-93CABAA1014C}"/>
    <cellStyle name="Cella collegata 2 2 2 9 3" xfId="3762" xr:uid="{A45A040E-5690-47DF-811E-D39963EFA15B}"/>
    <cellStyle name="Cella collegata 2 2 3" xfId="3763" xr:uid="{6667A3CF-3E09-46ED-BF5D-923D04C3EF1A}"/>
    <cellStyle name="Cella collegata 2 2 3 10" xfId="3764" xr:uid="{9D46A37B-2204-4723-8269-8502D5A4F7BF}"/>
    <cellStyle name="Cella collegata 2 2 3 10 2" xfId="3765" xr:uid="{BBFEDBE3-C75C-4FC7-8704-E4681B3726F7}"/>
    <cellStyle name="Cella collegata 2 2 3 10 2 2" xfId="3766" xr:uid="{D0A3036D-2106-463B-A925-B66BF9ACF2CC}"/>
    <cellStyle name="Cella collegata 2 2 3 10 3" xfId="3767" xr:uid="{7889705B-CAFF-47AF-A7D7-E31735B47638}"/>
    <cellStyle name="Cella collegata 2 2 3 11" xfId="3768" xr:uid="{CEFA599C-14B7-4B60-8AD3-7769767EFC7F}"/>
    <cellStyle name="Cella collegata 2 2 3 11 2" xfId="3769" xr:uid="{16D8DD8B-17BB-47DE-8C7C-BD2E2F1433CB}"/>
    <cellStyle name="Cella collegata 2 2 3 12" xfId="3770" xr:uid="{3DCBE4A6-BD86-4B63-9D58-BCE7F4863AF4}"/>
    <cellStyle name="Cella collegata 2 2 3 2" xfId="3771" xr:uid="{955392AB-ECC8-4736-ABC1-4008C8277A9C}"/>
    <cellStyle name="Cella collegata 2 2 3 2 10" xfId="3772" xr:uid="{EFB3B4E0-6EE1-4976-903C-BF0B6FA2C5D5}"/>
    <cellStyle name="Cella collegata 2 2 3 2 10 2" xfId="3773" xr:uid="{716D5819-67B5-401A-81D1-FF50DB50F0ED}"/>
    <cellStyle name="Cella collegata 2 2 3 2 11" xfId="3774" xr:uid="{79BA40CA-575D-4FD3-AB91-F6DBC1853600}"/>
    <cellStyle name="Cella collegata 2 2 3 2 2" xfId="3775" xr:uid="{A4D56F49-5179-457C-91AD-E0A954D59707}"/>
    <cellStyle name="Cella collegata 2 2 3 2 2 2" xfId="3776" xr:uid="{67E206E7-445B-4F3E-B5B4-69E4342B6998}"/>
    <cellStyle name="Cella collegata 2 2 3 2 2 2 2" xfId="3777" xr:uid="{661FE272-2AE8-444F-A33A-A90195937CEB}"/>
    <cellStyle name="Cella collegata 2 2 3 2 2 3" xfId="3778" xr:uid="{B616AC9C-24F9-49A7-A041-72573B647ACE}"/>
    <cellStyle name="Cella collegata 2 2 3 2 3" xfId="3779" xr:uid="{5167F769-1B43-4E15-8D76-FFF45BE2CB19}"/>
    <cellStyle name="Cella collegata 2 2 3 2 3 2" xfId="3780" xr:uid="{05094669-6A20-4A5D-A89D-4B6D5E85BEF7}"/>
    <cellStyle name="Cella collegata 2 2 3 2 3 2 2" xfId="3781" xr:uid="{400D2B08-1CAC-4B77-BB1A-E9345CE6D70B}"/>
    <cellStyle name="Cella collegata 2 2 3 2 3 3" xfId="3782" xr:uid="{5298270C-68CA-4C44-B55B-4E03D5F83106}"/>
    <cellStyle name="Cella collegata 2 2 3 2 4" xfId="3783" xr:uid="{A0842BFA-D708-4EF1-9BF6-C7196F6F41DD}"/>
    <cellStyle name="Cella collegata 2 2 3 2 4 2" xfId="3784" xr:uid="{DA7C2872-7E57-4AEC-A22E-7DA508EC6E2C}"/>
    <cellStyle name="Cella collegata 2 2 3 2 4 2 2" xfId="3785" xr:uid="{57E3CCB1-E0AE-41A8-A4DD-EC2AAEFB8DCD}"/>
    <cellStyle name="Cella collegata 2 2 3 2 4 3" xfId="3786" xr:uid="{2EE61B62-D164-41C3-ABC0-1557AF2D7711}"/>
    <cellStyle name="Cella collegata 2 2 3 2 5" xfId="3787" xr:uid="{C94F95C8-D39A-499F-9D7D-70CC1AB609DD}"/>
    <cellStyle name="Cella collegata 2 2 3 2 5 2" xfId="3788" xr:uid="{CE04DED7-7248-44F8-BCA9-0396DCD090EC}"/>
    <cellStyle name="Cella collegata 2 2 3 2 5 2 2" xfId="3789" xr:uid="{B8D404FD-E1F2-416E-990E-8D62BA88091D}"/>
    <cellStyle name="Cella collegata 2 2 3 2 5 3" xfId="3790" xr:uid="{90985188-2030-4AF5-9A37-6B1391E5110B}"/>
    <cellStyle name="Cella collegata 2 2 3 2 6" xfId="3791" xr:uid="{6B9A453B-86B8-4635-8F17-BF9F12D1C892}"/>
    <cellStyle name="Cella collegata 2 2 3 2 6 2" xfId="3792" xr:uid="{6EEF4DEB-FA20-4627-9CFB-4D398C3E8A33}"/>
    <cellStyle name="Cella collegata 2 2 3 2 6 2 2" xfId="3793" xr:uid="{90852149-FC68-4017-94D6-6300898B5550}"/>
    <cellStyle name="Cella collegata 2 2 3 2 6 3" xfId="3794" xr:uid="{AC7D75D6-15B8-4964-A046-7D4C769E5670}"/>
    <cellStyle name="Cella collegata 2 2 3 2 7" xfId="3795" xr:uid="{090EEA72-E194-4A0F-AFE5-F11F6FEF128D}"/>
    <cellStyle name="Cella collegata 2 2 3 2 7 2" xfId="3796" xr:uid="{882D3029-089C-4A8D-8E26-14111A58A976}"/>
    <cellStyle name="Cella collegata 2 2 3 2 7 2 2" xfId="3797" xr:uid="{C312603E-2218-42E6-93B8-11A93E46E497}"/>
    <cellStyle name="Cella collegata 2 2 3 2 7 3" xfId="3798" xr:uid="{FB65A1E4-33FC-44D7-8899-26C3CC704B03}"/>
    <cellStyle name="Cella collegata 2 2 3 2 8" xfId="3799" xr:uid="{0C07522F-8791-40A7-A48A-B3884403647F}"/>
    <cellStyle name="Cella collegata 2 2 3 2 8 2" xfId="3800" xr:uid="{66885B8A-F3CF-40B5-AC47-4001AAEA178B}"/>
    <cellStyle name="Cella collegata 2 2 3 2 8 2 2" xfId="3801" xr:uid="{5FA7DB5E-F9D6-4D33-BD38-96C1876412FB}"/>
    <cellStyle name="Cella collegata 2 2 3 2 8 3" xfId="3802" xr:uid="{42239D50-B79A-4C33-9A10-4C4C3C239ACA}"/>
    <cellStyle name="Cella collegata 2 2 3 2 9" xfId="3803" xr:uid="{47A1B049-8542-425B-AE37-38DC1D7A127D}"/>
    <cellStyle name="Cella collegata 2 2 3 2 9 2" xfId="3804" xr:uid="{35DF2ADF-6B65-498B-BDEA-28553630AFFC}"/>
    <cellStyle name="Cella collegata 2 2 3 2 9 2 2" xfId="3805" xr:uid="{7DF4AF9F-3C7D-4B60-800A-79175AF75DCD}"/>
    <cellStyle name="Cella collegata 2 2 3 2 9 3" xfId="3806" xr:uid="{F68CC3B6-EDE0-4F3C-AB9D-CC5302AA6594}"/>
    <cellStyle name="Cella collegata 2 2 3 3" xfId="3807" xr:uid="{C30A8048-71E1-4048-B547-1D0A6A7CF832}"/>
    <cellStyle name="Cella collegata 2 2 3 3 2" xfId="3808" xr:uid="{A2483F7B-ECB3-4489-9E0C-EA2BA4346263}"/>
    <cellStyle name="Cella collegata 2 2 3 3 2 2" xfId="3809" xr:uid="{A053ED57-94D0-4886-8725-CC3581CA6C35}"/>
    <cellStyle name="Cella collegata 2 2 3 3 3" xfId="3810" xr:uid="{1AA453BE-DD27-45C9-B027-124B2C76C816}"/>
    <cellStyle name="Cella collegata 2 2 3 4" xfId="3811" xr:uid="{B804AAEC-84C7-4B72-96D4-AC5C32B3C5A9}"/>
    <cellStyle name="Cella collegata 2 2 3 4 2" xfId="3812" xr:uid="{CB6A7CC0-93EA-4314-BD21-9071FD9A84B1}"/>
    <cellStyle name="Cella collegata 2 2 3 4 2 2" xfId="3813" xr:uid="{9AF970CC-0E90-4C4A-8A06-AC15727392ED}"/>
    <cellStyle name="Cella collegata 2 2 3 4 3" xfId="3814" xr:uid="{8FC4CD0E-41DC-4F9B-8F0A-37A1F0C33525}"/>
    <cellStyle name="Cella collegata 2 2 3 5" xfId="3815" xr:uid="{49922A1B-8E33-486A-91C2-47B6D5EA1EC1}"/>
    <cellStyle name="Cella collegata 2 2 3 5 2" xfId="3816" xr:uid="{51E7CCB0-7515-43F4-9DF7-F2E4A333928F}"/>
    <cellStyle name="Cella collegata 2 2 3 5 2 2" xfId="3817" xr:uid="{25AB325F-E81C-48C3-B920-D7ED4CD8A578}"/>
    <cellStyle name="Cella collegata 2 2 3 5 3" xfId="3818" xr:uid="{AEB85B05-6426-443B-A036-10B63061336A}"/>
    <cellStyle name="Cella collegata 2 2 3 6" xfId="3819" xr:uid="{C1051D49-5E57-40CE-A55A-B52ED54C07C7}"/>
    <cellStyle name="Cella collegata 2 2 3 6 2" xfId="3820" xr:uid="{6AE91D94-87F5-4804-9E17-915670D493CB}"/>
    <cellStyle name="Cella collegata 2 2 3 6 2 2" xfId="3821" xr:uid="{B5EF31EE-AA65-424A-BA44-A56D5EDDB8B0}"/>
    <cellStyle name="Cella collegata 2 2 3 6 3" xfId="3822" xr:uid="{B9241D71-F390-4B4D-BFD8-285531D643FD}"/>
    <cellStyle name="Cella collegata 2 2 3 7" xfId="3823" xr:uid="{FB06DF95-92FC-482E-98B3-14B1ED5A7B04}"/>
    <cellStyle name="Cella collegata 2 2 3 7 2" xfId="3824" xr:uid="{13FC2870-3AD3-498B-AEBB-1A1DC9571C4C}"/>
    <cellStyle name="Cella collegata 2 2 3 7 2 2" xfId="3825" xr:uid="{30FB14E1-776F-4D01-BD1A-05BABC9092BE}"/>
    <cellStyle name="Cella collegata 2 2 3 7 3" xfId="3826" xr:uid="{DDC05C99-3A92-4C43-9C9F-F0E0C5B62C4F}"/>
    <cellStyle name="Cella collegata 2 2 3 8" xfId="3827" xr:uid="{8F6AC79F-104C-468D-8F9D-A2670CCE8E47}"/>
    <cellStyle name="Cella collegata 2 2 3 8 2" xfId="3828" xr:uid="{DFCEB1E5-45E0-4D80-9795-2DC260F3D451}"/>
    <cellStyle name="Cella collegata 2 2 3 8 2 2" xfId="3829" xr:uid="{5E122F74-E61A-43FB-B8CB-A5A6250ED36B}"/>
    <cellStyle name="Cella collegata 2 2 3 8 3" xfId="3830" xr:uid="{9FA196A8-78B6-410B-B4E0-59A51D1BEEC3}"/>
    <cellStyle name="Cella collegata 2 2 3 9" xfId="3831" xr:uid="{50E0ED89-464E-4984-B54E-EAC3A0CF5CE9}"/>
    <cellStyle name="Cella collegata 2 2 3 9 2" xfId="3832" xr:uid="{22AA89B0-8190-412C-9973-84D1A4262250}"/>
    <cellStyle name="Cella collegata 2 2 3 9 2 2" xfId="3833" xr:uid="{7CDD9394-92DB-4BC3-AB30-42AB2DD3418A}"/>
    <cellStyle name="Cella collegata 2 2 3 9 3" xfId="3834" xr:uid="{7BFD52CD-DFE7-4E33-926B-DECA9691DA57}"/>
    <cellStyle name="Cella collegata 2 2 4" xfId="3835" xr:uid="{0768E4D7-18BD-455E-A0CA-9F8D728711A5}"/>
    <cellStyle name="Cella collegata 2 2 4 10" xfId="3836" xr:uid="{571224EB-A636-44A3-A654-1C0DC8BA8EC4}"/>
    <cellStyle name="Cella collegata 2 2 4 10 2" xfId="3837" xr:uid="{6BAB40E8-64B7-47BC-B039-CAB079230D6E}"/>
    <cellStyle name="Cella collegata 2 2 4 11" xfId="3838" xr:uid="{52593F9F-D246-4134-BF10-1FF83F04F7FB}"/>
    <cellStyle name="Cella collegata 2 2 4 2" xfId="3839" xr:uid="{6AB7ECDB-993F-455D-B3C1-4D907049FD08}"/>
    <cellStyle name="Cella collegata 2 2 4 2 2" xfId="3840" xr:uid="{0105FAA4-A738-422D-88F5-23E5C47C2784}"/>
    <cellStyle name="Cella collegata 2 2 4 2 2 2" xfId="3841" xr:uid="{80F7FEC3-F563-4EE3-9A7D-E350A9992F70}"/>
    <cellStyle name="Cella collegata 2 2 4 2 3" xfId="3842" xr:uid="{794B9375-77D3-4873-8035-5F248EBF60FA}"/>
    <cellStyle name="Cella collegata 2 2 4 3" xfId="3843" xr:uid="{13317C30-D77B-41BD-B3EF-DCD45157A223}"/>
    <cellStyle name="Cella collegata 2 2 4 3 2" xfId="3844" xr:uid="{48AD0B58-0293-45FB-92C3-09E037FCFA2E}"/>
    <cellStyle name="Cella collegata 2 2 4 3 2 2" xfId="3845" xr:uid="{6E529FFC-2AFA-4AE8-8308-C5638997BDE7}"/>
    <cellStyle name="Cella collegata 2 2 4 3 3" xfId="3846" xr:uid="{433F64DE-D3F3-4725-AD67-6406F33B0065}"/>
    <cellStyle name="Cella collegata 2 2 4 4" xfId="3847" xr:uid="{8C88EEA6-C1CD-4CA6-B52B-D0BD436529D7}"/>
    <cellStyle name="Cella collegata 2 2 4 4 2" xfId="3848" xr:uid="{B9539AA8-A3FB-4791-901D-C65678505DC7}"/>
    <cellStyle name="Cella collegata 2 2 4 4 2 2" xfId="3849" xr:uid="{FC271FBC-8BA7-4814-B861-B6D9C5444C6C}"/>
    <cellStyle name="Cella collegata 2 2 4 4 3" xfId="3850" xr:uid="{3ABD82DA-1180-43A8-8589-680908FC6EDF}"/>
    <cellStyle name="Cella collegata 2 2 4 5" xfId="3851" xr:uid="{5A2795C8-0934-417D-9DAF-BDC418AB4120}"/>
    <cellStyle name="Cella collegata 2 2 4 5 2" xfId="3852" xr:uid="{EABE6094-D467-4C75-A496-2E96590B7ECF}"/>
    <cellStyle name="Cella collegata 2 2 4 5 2 2" xfId="3853" xr:uid="{74BEF670-50BF-4C3B-B615-88FF70A4E0A4}"/>
    <cellStyle name="Cella collegata 2 2 4 5 3" xfId="3854" xr:uid="{198A4F6A-D004-49A6-83F1-45A512370061}"/>
    <cellStyle name="Cella collegata 2 2 4 6" xfId="3855" xr:uid="{0021C850-31E7-49FE-9C1F-F3034DF03121}"/>
    <cellStyle name="Cella collegata 2 2 4 6 2" xfId="3856" xr:uid="{3710EE15-864F-442B-8078-34F1E15534B7}"/>
    <cellStyle name="Cella collegata 2 2 4 6 2 2" xfId="3857" xr:uid="{D3E72E8E-92B1-4BE8-A089-2F0C6AB3471F}"/>
    <cellStyle name="Cella collegata 2 2 4 6 3" xfId="3858" xr:uid="{4B3EA6DD-4B55-41C1-B22A-F7405AAC5872}"/>
    <cellStyle name="Cella collegata 2 2 4 7" xfId="3859" xr:uid="{D7512614-73AA-43DF-8D41-88301A78B5BF}"/>
    <cellStyle name="Cella collegata 2 2 4 7 2" xfId="3860" xr:uid="{FA766D45-7055-4991-B6FF-7D123A0454AC}"/>
    <cellStyle name="Cella collegata 2 2 4 7 2 2" xfId="3861" xr:uid="{B74A6108-0AD2-4336-ACE7-B11D2E3D34DF}"/>
    <cellStyle name="Cella collegata 2 2 4 7 3" xfId="3862" xr:uid="{472B9218-EEAC-4E62-A9F9-86F7983AFD2E}"/>
    <cellStyle name="Cella collegata 2 2 4 8" xfId="3863" xr:uid="{DBEDA67C-E96A-410C-A93E-B3F06F353905}"/>
    <cellStyle name="Cella collegata 2 2 4 8 2" xfId="3864" xr:uid="{40117ECF-2F10-4C7A-88EB-420EF4B196D1}"/>
    <cellStyle name="Cella collegata 2 2 4 8 2 2" xfId="3865" xr:uid="{B675CD5A-79C9-4828-A2F5-C39AB3A67188}"/>
    <cellStyle name="Cella collegata 2 2 4 8 3" xfId="3866" xr:uid="{D0D92961-16D6-4EC3-AAEF-CF1D3128F9CB}"/>
    <cellStyle name="Cella collegata 2 2 4 9" xfId="3867" xr:uid="{E691879F-53D5-41D9-AB82-7175AA771EF9}"/>
    <cellStyle name="Cella collegata 2 2 4 9 2" xfId="3868" xr:uid="{8C230D60-9E01-4DFF-8532-E0D8CD3F2F6A}"/>
    <cellStyle name="Cella collegata 2 2 4 9 2 2" xfId="3869" xr:uid="{8AF1E2D7-7D25-4839-BA67-0298A11AB24A}"/>
    <cellStyle name="Cella collegata 2 2 4 9 3" xfId="3870" xr:uid="{02FFF17A-1149-42DA-B9F8-13A4C6EEA79A}"/>
    <cellStyle name="Cella collegata 2 2 5" xfId="3871" xr:uid="{ED4C6238-5C91-4AD8-9851-7C2E3A980904}"/>
    <cellStyle name="Cella collegata 2 2 5 2" xfId="3872" xr:uid="{402F54D8-DA2C-4701-886A-6C31201A04AE}"/>
    <cellStyle name="Cella collegata 2 2 5 2 2" xfId="3873" xr:uid="{E63B475F-A5E8-4EAA-98DC-8B834D1A43A6}"/>
    <cellStyle name="Cella collegata 2 2 5 3" xfId="3874" xr:uid="{5EB65EAA-72BB-4486-A9C1-0BA86C2F2A8E}"/>
    <cellStyle name="Cella collegata 2 2 6" xfId="3875" xr:uid="{EE398578-1D84-4609-88F8-B2F1A5933AA9}"/>
    <cellStyle name="Cella collegata 2 2 6 2" xfId="3876" xr:uid="{808300B8-82C6-4083-B494-1C277772E0DD}"/>
    <cellStyle name="Cella collegata 2 2 6 2 2" xfId="3877" xr:uid="{A1109C87-DD89-415D-B9DE-4D0D5848FC28}"/>
    <cellStyle name="Cella collegata 2 2 6 3" xfId="3878" xr:uid="{23F880D2-6FB7-424C-8655-AE7A23F8A691}"/>
    <cellStyle name="Cella collegata 2 2 7" xfId="3879" xr:uid="{008108DC-F0FD-4001-B58D-18DA8616958C}"/>
    <cellStyle name="Cella collegata 2 2 7 2" xfId="3880" xr:uid="{E77FA1FA-99A2-46F4-A4E3-B819D8955183}"/>
    <cellStyle name="Cella collegata 2 2 7 2 2" xfId="3881" xr:uid="{CFCE8511-3C88-42B6-8F2B-84C867520BDF}"/>
    <cellStyle name="Cella collegata 2 2 7 3" xfId="3882" xr:uid="{81D59563-646D-40F3-8863-521EA573B131}"/>
    <cellStyle name="Cella collegata 2 2 8" xfId="3883" xr:uid="{2384707A-12D5-4FF3-B320-04553E06A64D}"/>
    <cellStyle name="Cella collegata 2 2 8 2" xfId="3884" xr:uid="{A7743EF7-D273-4F15-A3E5-464F5AA9C661}"/>
    <cellStyle name="Cella collegata 2 2 8 2 2" xfId="3885" xr:uid="{7D499236-46B2-42AF-B6A6-BD2835717396}"/>
    <cellStyle name="Cella collegata 2 2 8 3" xfId="3886" xr:uid="{BFED43AC-1E41-4A8E-B99F-84A50B2F1A7D}"/>
    <cellStyle name="Cella collegata 2 2 9" xfId="3887" xr:uid="{EBD95B0E-2604-429A-92C1-B56CD1915FEF}"/>
    <cellStyle name="Cella collegata 2 2 9 2" xfId="3888" xr:uid="{38901B0F-7617-43C5-BF1F-60943778A356}"/>
    <cellStyle name="Cella collegata 2 2 9 2 2" xfId="3889" xr:uid="{ADB25206-E8D4-4714-AB34-FFD1936E5CC9}"/>
    <cellStyle name="Cella collegata 2 2 9 3" xfId="3890" xr:uid="{154711E0-150E-4A15-ABB2-3BA465118F1B}"/>
    <cellStyle name="Cella collegata 2 3" xfId="3891" xr:uid="{D627737E-1312-4B7D-AC36-00F8B1CD3AF1}"/>
    <cellStyle name="Cella collegata 2 3 10" xfId="3892" xr:uid="{A697F74D-F54B-41D4-8C5E-735DE1A4B833}"/>
    <cellStyle name="Cella collegata 2 3 10 2" xfId="3893" xr:uid="{259BFA4A-47CD-446D-9AA2-2ED6837662E0}"/>
    <cellStyle name="Cella collegata 2 3 10 2 2" xfId="3894" xr:uid="{73B38A12-2812-4B95-9CC9-D83682A18452}"/>
    <cellStyle name="Cella collegata 2 3 10 3" xfId="3895" xr:uid="{C8B9A5D6-51BC-4A0D-AA8D-FED25B4788F3}"/>
    <cellStyle name="Cella collegata 2 3 11" xfId="3896" xr:uid="{2C66F740-1B48-4421-8605-E21BA569FA7F}"/>
    <cellStyle name="Cella collegata 2 3 11 2" xfId="3897" xr:uid="{97DDF8E6-F6FF-46DF-B1A9-12919DA18D93}"/>
    <cellStyle name="Cella collegata 2 3 11 2 2" xfId="3898" xr:uid="{6543382E-27EB-4574-ABEE-1C15FAB6B12D}"/>
    <cellStyle name="Cella collegata 2 3 11 3" xfId="3899" xr:uid="{EBF70B41-0443-49EA-85B9-B6709B2AAA5E}"/>
    <cellStyle name="Cella collegata 2 3 12" xfId="3900" xr:uid="{AF44DFEC-9BFF-4624-BF4F-9F88CE4966ED}"/>
    <cellStyle name="Cella collegata 2 3 12 2" xfId="3901" xr:uid="{DA55C5C3-C307-4A62-A12D-40E9C04C95EC}"/>
    <cellStyle name="Cella collegata 2 3 13" xfId="3902" xr:uid="{53E6C379-655C-402C-B366-BCC87A4B653D}"/>
    <cellStyle name="Cella collegata 2 3 2" xfId="3903" xr:uid="{4054EDBB-58CB-46B5-8F64-75B35AFDD558}"/>
    <cellStyle name="Cella collegata 2 3 2 10" xfId="3904" xr:uid="{8778A3B7-8C63-450C-92ED-F62DE390B284}"/>
    <cellStyle name="Cella collegata 2 3 2 10 2" xfId="3905" xr:uid="{E14B4508-76C5-4E6F-A7A5-9C4F48D62019}"/>
    <cellStyle name="Cella collegata 2 3 2 10 2 2" xfId="3906" xr:uid="{B102D15E-6F63-4CF6-BF34-F6A8E59DFD51}"/>
    <cellStyle name="Cella collegata 2 3 2 10 3" xfId="3907" xr:uid="{43E6986E-9DDE-4EA3-ACD5-A7AA12324955}"/>
    <cellStyle name="Cella collegata 2 3 2 11" xfId="3908" xr:uid="{DB657258-AF4B-44D3-AEB4-28807ACBAC0B}"/>
    <cellStyle name="Cella collegata 2 3 2 11 2" xfId="3909" xr:uid="{F19365C1-5126-4B37-9B05-D2F4F2161C2B}"/>
    <cellStyle name="Cella collegata 2 3 2 12" xfId="3910" xr:uid="{A032930B-C5CA-4645-AAB3-2EBE87EA3B8A}"/>
    <cellStyle name="Cella collegata 2 3 2 2" xfId="3911" xr:uid="{675D8594-B368-4C89-888E-DD5250B2C67A}"/>
    <cellStyle name="Cella collegata 2 3 2 2 2" xfId="3912" xr:uid="{1C37A20B-71A0-4AEA-B548-2DB26815DBA0}"/>
    <cellStyle name="Cella collegata 2 3 2 2 2 2" xfId="3913" xr:uid="{736974BB-46B7-4C59-BD4D-7497BF54837E}"/>
    <cellStyle name="Cella collegata 2 3 2 2 3" xfId="3914" xr:uid="{96456D80-5587-4091-840D-41E2A42CA2D2}"/>
    <cellStyle name="Cella collegata 2 3 2 3" xfId="3915" xr:uid="{33E381D6-860E-4E8E-A4D9-CF23458864E1}"/>
    <cellStyle name="Cella collegata 2 3 2 3 2" xfId="3916" xr:uid="{983E41A6-4665-4C98-AD27-F921008D4A23}"/>
    <cellStyle name="Cella collegata 2 3 2 3 2 2" xfId="3917" xr:uid="{EED4D31E-A207-4308-AD67-18571213DEA2}"/>
    <cellStyle name="Cella collegata 2 3 2 3 3" xfId="3918" xr:uid="{5CB76E58-0CE5-4103-8002-5696450DAE3A}"/>
    <cellStyle name="Cella collegata 2 3 2 4" xfId="3919" xr:uid="{FC050298-748C-475E-9B0B-BDCC3750C341}"/>
    <cellStyle name="Cella collegata 2 3 2 4 2" xfId="3920" xr:uid="{C2A96246-9E51-4E95-8222-EC7E4D7A0E26}"/>
    <cellStyle name="Cella collegata 2 3 2 4 2 2" xfId="3921" xr:uid="{2A4408C2-C240-4BCE-AB8D-2BCEE84CBC4D}"/>
    <cellStyle name="Cella collegata 2 3 2 4 3" xfId="3922" xr:uid="{55997D56-C6AF-4FE7-8F7A-B59CFCB2EB88}"/>
    <cellStyle name="Cella collegata 2 3 2 5" xfId="3923" xr:uid="{CD63B255-7838-40E4-9924-31CE6A8643A6}"/>
    <cellStyle name="Cella collegata 2 3 2 5 2" xfId="3924" xr:uid="{31A67173-4C42-4634-AF2B-A7529E671143}"/>
    <cellStyle name="Cella collegata 2 3 2 5 2 2" xfId="3925" xr:uid="{A96EC5B9-0698-4955-91CF-84EB62D88827}"/>
    <cellStyle name="Cella collegata 2 3 2 5 3" xfId="3926" xr:uid="{C0F08ADD-E170-4244-8A25-7A35DA9121F6}"/>
    <cellStyle name="Cella collegata 2 3 2 6" xfId="3927" xr:uid="{44A6E2C3-092D-4448-852B-81CDBF34DAA8}"/>
    <cellStyle name="Cella collegata 2 3 2 6 2" xfId="3928" xr:uid="{79AE2FF1-64BF-4BAB-8AE4-6015FF2B82A0}"/>
    <cellStyle name="Cella collegata 2 3 2 6 2 2" xfId="3929" xr:uid="{3CC65A65-4B42-4E53-BC2E-9C4513B5E00B}"/>
    <cellStyle name="Cella collegata 2 3 2 6 3" xfId="3930" xr:uid="{BD70AB0A-3A6B-466B-8501-6682DCF05076}"/>
    <cellStyle name="Cella collegata 2 3 2 7" xfId="3931" xr:uid="{6D512C51-CA03-4756-94EC-B191DA3C3EC2}"/>
    <cellStyle name="Cella collegata 2 3 2 7 2" xfId="3932" xr:uid="{DC58821D-C364-4814-8BF5-96E66EB1061F}"/>
    <cellStyle name="Cella collegata 2 3 2 7 2 2" xfId="3933" xr:uid="{AC1B04FE-5F20-4753-9586-30179181B467}"/>
    <cellStyle name="Cella collegata 2 3 2 7 3" xfId="3934" xr:uid="{48E34AA6-1B6C-4FF2-8260-8FFB414CB74C}"/>
    <cellStyle name="Cella collegata 2 3 2 8" xfId="3935" xr:uid="{CAE1266B-9523-446B-8F91-9A263B553D8D}"/>
    <cellStyle name="Cella collegata 2 3 2 8 2" xfId="3936" xr:uid="{4D05B87E-B7D2-4CFF-BC37-0BF57659D975}"/>
    <cellStyle name="Cella collegata 2 3 2 8 2 2" xfId="3937" xr:uid="{62F04357-D9A5-4959-9478-AFC0FC008A59}"/>
    <cellStyle name="Cella collegata 2 3 2 8 3" xfId="3938" xr:uid="{CB139BC4-C3B8-4BEE-B8D9-D29E59E40C07}"/>
    <cellStyle name="Cella collegata 2 3 2 9" xfId="3939" xr:uid="{C92DD18E-85CF-4031-9D0D-89CB382630BB}"/>
    <cellStyle name="Cella collegata 2 3 2 9 2" xfId="3940" xr:uid="{E97A402A-AF5B-4A17-9E93-1AE27B9D2EB6}"/>
    <cellStyle name="Cella collegata 2 3 2 9 2 2" xfId="3941" xr:uid="{C1BCA585-07DC-4C27-BE28-0B4A9199FDA6}"/>
    <cellStyle name="Cella collegata 2 3 2 9 3" xfId="3942" xr:uid="{4C49BCF7-0126-4119-8647-5D7DF960920C}"/>
    <cellStyle name="Cella collegata 2 3 3" xfId="3943" xr:uid="{3160CE74-AFE1-4FCC-9BAC-232593D52791}"/>
    <cellStyle name="Cella collegata 2 3 3 10" xfId="3944" xr:uid="{C97887AC-DBA0-4EF1-B286-AB241A52A036}"/>
    <cellStyle name="Cella collegata 2 3 3 10 2" xfId="3945" xr:uid="{8966F691-CD14-4921-ACFE-F89A81B37E1F}"/>
    <cellStyle name="Cella collegata 2 3 3 11" xfId="3946" xr:uid="{98FB2690-37A5-40FD-9A5E-9D9E52DE06B4}"/>
    <cellStyle name="Cella collegata 2 3 3 2" xfId="3947" xr:uid="{4B7BF79E-0813-48B8-B080-7F477934BD62}"/>
    <cellStyle name="Cella collegata 2 3 3 2 2" xfId="3948" xr:uid="{14DD5001-21D5-42CC-8F26-C2BB111504DE}"/>
    <cellStyle name="Cella collegata 2 3 3 2 2 2" xfId="3949" xr:uid="{0E19BABA-9C7A-4D29-9B03-CF07061A8DC0}"/>
    <cellStyle name="Cella collegata 2 3 3 2 3" xfId="3950" xr:uid="{0F82EF52-118C-45E7-AA5E-B2FB378D8CFF}"/>
    <cellStyle name="Cella collegata 2 3 3 3" xfId="3951" xr:uid="{222FC083-D567-46DD-A5C9-0B712DEEB166}"/>
    <cellStyle name="Cella collegata 2 3 3 3 2" xfId="3952" xr:uid="{F56C0C9B-64CA-4FB9-BE07-580A36714F1E}"/>
    <cellStyle name="Cella collegata 2 3 3 3 2 2" xfId="3953" xr:uid="{FEB4DBA1-5AB8-4497-8D9F-F93A97D6B02E}"/>
    <cellStyle name="Cella collegata 2 3 3 3 3" xfId="3954" xr:uid="{42F4844D-D821-41FF-86FF-BDAE44C0FF05}"/>
    <cellStyle name="Cella collegata 2 3 3 4" xfId="3955" xr:uid="{A7256AEF-5492-4BEA-A9F5-5BF6397F3206}"/>
    <cellStyle name="Cella collegata 2 3 3 4 2" xfId="3956" xr:uid="{D168F187-84F8-4A81-9125-A07AAFF3AECA}"/>
    <cellStyle name="Cella collegata 2 3 3 4 2 2" xfId="3957" xr:uid="{3ABEA160-A2D6-4690-9670-5FA2A4C68674}"/>
    <cellStyle name="Cella collegata 2 3 3 4 3" xfId="3958" xr:uid="{42601A59-474E-4B5B-A82D-B993F6F77B64}"/>
    <cellStyle name="Cella collegata 2 3 3 5" xfId="3959" xr:uid="{8DBBFC8F-FBC6-40D5-A9BA-5FC91C5E5147}"/>
    <cellStyle name="Cella collegata 2 3 3 5 2" xfId="3960" xr:uid="{75979427-C7E4-4F97-9B37-89458CAAB7D8}"/>
    <cellStyle name="Cella collegata 2 3 3 5 2 2" xfId="3961" xr:uid="{511C769E-B937-4A97-B01B-7AD3D30D8B1F}"/>
    <cellStyle name="Cella collegata 2 3 3 5 3" xfId="3962" xr:uid="{DAEF2A49-D6AC-456F-8726-39EBFD90FA0A}"/>
    <cellStyle name="Cella collegata 2 3 3 6" xfId="3963" xr:uid="{294E1888-D867-4532-86B1-37981AA00C62}"/>
    <cellStyle name="Cella collegata 2 3 3 6 2" xfId="3964" xr:uid="{2B4C6E61-806A-44BF-94FA-A0B20024D592}"/>
    <cellStyle name="Cella collegata 2 3 3 6 2 2" xfId="3965" xr:uid="{575ACD5B-C626-4BBB-9184-ECE0EE3F9B6F}"/>
    <cellStyle name="Cella collegata 2 3 3 6 3" xfId="3966" xr:uid="{21E11FAB-CEC4-4376-8435-EDFBBCBF60E5}"/>
    <cellStyle name="Cella collegata 2 3 3 7" xfId="3967" xr:uid="{DA478278-1E01-43B9-9A1F-C07FAD28C32A}"/>
    <cellStyle name="Cella collegata 2 3 3 7 2" xfId="3968" xr:uid="{2B43A247-A3CD-4CE9-97E3-3E853EB4A83B}"/>
    <cellStyle name="Cella collegata 2 3 3 7 2 2" xfId="3969" xr:uid="{103E45E0-B313-4BBA-991A-D848AD2CDE50}"/>
    <cellStyle name="Cella collegata 2 3 3 7 3" xfId="3970" xr:uid="{E041D29A-1429-4D6C-A6B3-E3506C5063BD}"/>
    <cellStyle name="Cella collegata 2 3 3 8" xfId="3971" xr:uid="{C0088AD9-0980-4E57-A707-FE6C80338B46}"/>
    <cellStyle name="Cella collegata 2 3 3 8 2" xfId="3972" xr:uid="{16AF4BC2-B7E9-4A29-A8D7-91F081B2D40C}"/>
    <cellStyle name="Cella collegata 2 3 3 8 2 2" xfId="3973" xr:uid="{BD68BB25-664A-4D67-B79C-CBECC6893C53}"/>
    <cellStyle name="Cella collegata 2 3 3 8 3" xfId="3974" xr:uid="{5E126AB3-07D2-4028-B3BD-91D2B3D6EBC7}"/>
    <cellStyle name="Cella collegata 2 3 3 9" xfId="3975" xr:uid="{BF6BAC06-AE6A-44CE-9F1D-51F637E976E4}"/>
    <cellStyle name="Cella collegata 2 3 3 9 2" xfId="3976" xr:uid="{D19F8F0C-AB83-4C53-AB8D-A5650237E118}"/>
    <cellStyle name="Cella collegata 2 3 3 9 2 2" xfId="3977" xr:uid="{2695318D-814E-4FF2-904E-57BB6AEDF1AD}"/>
    <cellStyle name="Cella collegata 2 3 3 9 3" xfId="3978" xr:uid="{BAB562E6-7455-4C47-8C76-A799C8D78163}"/>
    <cellStyle name="Cella collegata 2 3 4" xfId="3979" xr:uid="{F13F7AF5-8745-4B7F-9AA7-D69BFCC78D58}"/>
    <cellStyle name="Cella collegata 2 3 4 2" xfId="3980" xr:uid="{6C9DE7AA-A173-439F-B811-81F45876A949}"/>
    <cellStyle name="Cella collegata 2 3 4 2 2" xfId="3981" xr:uid="{B3399EF9-CDB0-4D5F-8530-1DF882EA89B3}"/>
    <cellStyle name="Cella collegata 2 3 4 3" xfId="3982" xr:uid="{4C91E1AB-81CF-435F-873B-B642C4592915}"/>
    <cellStyle name="Cella collegata 2 3 5" xfId="3983" xr:uid="{F7B21215-2DA2-4A0C-89CC-8D7683B423AF}"/>
    <cellStyle name="Cella collegata 2 3 5 2" xfId="3984" xr:uid="{457C1FCD-935A-4A1A-B0E3-AF920E38A0D9}"/>
    <cellStyle name="Cella collegata 2 3 5 2 2" xfId="3985" xr:uid="{64771BA0-7ADA-47F1-BC08-0499A8DC5DB8}"/>
    <cellStyle name="Cella collegata 2 3 5 3" xfId="3986" xr:uid="{5255C259-9BA4-4F15-BC57-E34BA48590C5}"/>
    <cellStyle name="Cella collegata 2 3 6" xfId="3987" xr:uid="{CD5E6E87-78E3-46D3-8342-5DA105F1DDCE}"/>
    <cellStyle name="Cella collegata 2 3 6 2" xfId="3988" xr:uid="{97BCBCA3-9CFB-47AA-9CA4-8FBFC7CEE667}"/>
    <cellStyle name="Cella collegata 2 3 6 2 2" xfId="3989" xr:uid="{09937877-DFA1-4383-A4B5-D486A543274A}"/>
    <cellStyle name="Cella collegata 2 3 6 3" xfId="3990" xr:uid="{B3EBE8C6-6C09-4607-9B64-A31776DDC66A}"/>
    <cellStyle name="Cella collegata 2 3 7" xfId="3991" xr:uid="{2390D077-1949-4A17-8E44-C95B4B74A9CC}"/>
    <cellStyle name="Cella collegata 2 3 7 2" xfId="3992" xr:uid="{DFB7C58D-4B7E-4378-9CE0-B874DC671B9E}"/>
    <cellStyle name="Cella collegata 2 3 7 2 2" xfId="3993" xr:uid="{75C67485-6A0F-42D4-8881-02AB375E0E99}"/>
    <cellStyle name="Cella collegata 2 3 7 3" xfId="3994" xr:uid="{FA67C6C4-A1FC-4293-AB73-36E3005C4F31}"/>
    <cellStyle name="Cella collegata 2 3 8" xfId="3995" xr:uid="{022AD9C4-4A4E-421E-9F6A-4255E373AB1A}"/>
    <cellStyle name="Cella collegata 2 3 8 2" xfId="3996" xr:uid="{D6374393-839E-405A-9913-DD139A6B1BA0}"/>
    <cellStyle name="Cella collegata 2 3 8 2 2" xfId="3997" xr:uid="{63E79243-D14C-4942-8F90-5028B11F7B4F}"/>
    <cellStyle name="Cella collegata 2 3 8 3" xfId="3998" xr:uid="{5679981F-B37F-4DD3-A560-C8FCFE67A2B0}"/>
    <cellStyle name="Cella collegata 2 3 9" xfId="3999" xr:uid="{B0A971F1-F780-4120-A63B-3F62D09673B4}"/>
    <cellStyle name="Cella collegata 2 3 9 2" xfId="4000" xr:uid="{B94C0214-D451-4C65-9028-DB6E236242AA}"/>
    <cellStyle name="Cella collegata 2 3 9 2 2" xfId="4001" xr:uid="{B63585B4-F2FB-42B4-928B-20324CD58EFA}"/>
    <cellStyle name="Cella collegata 2 3 9 3" xfId="4002" xr:uid="{396C2551-5CAC-4FF1-A14F-A3CF1F2C64DE}"/>
    <cellStyle name="Cella collegata 2 4" xfId="4003" xr:uid="{C0188335-DE62-44BA-9AC7-6D9C33C91AD7}"/>
    <cellStyle name="Cella collegata 2 4 10" xfId="4004" xr:uid="{80BE87EA-30F4-4E68-8716-4110AA9A3AAC}"/>
    <cellStyle name="Cella collegata 2 4 10 2" xfId="4005" xr:uid="{F4DDD7FE-46B7-41D3-A8F6-BF2EA92C8DAB}"/>
    <cellStyle name="Cella collegata 2 4 10 2 2" xfId="4006" xr:uid="{ECAAEFD8-921C-43E8-956E-FDCD329804ED}"/>
    <cellStyle name="Cella collegata 2 4 10 3" xfId="4007" xr:uid="{87619525-9D97-4D02-B710-DE396F8973FB}"/>
    <cellStyle name="Cella collegata 2 4 11" xfId="4008" xr:uid="{DA63D538-C4BF-4DF0-B1F6-2C3AA1EDA97F}"/>
    <cellStyle name="Cella collegata 2 4 11 2" xfId="4009" xr:uid="{0BE4BDFF-F3C6-44C7-BA90-2052EB1C1DCF}"/>
    <cellStyle name="Cella collegata 2 4 12" xfId="4010" xr:uid="{AAFD96C0-E999-43A6-BB46-01AED2DEC6F3}"/>
    <cellStyle name="Cella collegata 2 4 2" xfId="4011" xr:uid="{BB3FFACA-009E-42B2-88E9-C32BD946A39C}"/>
    <cellStyle name="Cella collegata 2 4 2 10" xfId="4012" xr:uid="{C06F571F-C83E-42DD-A43B-0856A6A98EE2}"/>
    <cellStyle name="Cella collegata 2 4 2 10 2" xfId="4013" xr:uid="{4D622DF2-AC8C-46D1-9023-8AA21D9E6162}"/>
    <cellStyle name="Cella collegata 2 4 2 11" xfId="4014" xr:uid="{048EC729-4C41-4C52-8047-6D4E9BE2283D}"/>
    <cellStyle name="Cella collegata 2 4 2 2" xfId="4015" xr:uid="{0277B148-D896-4B3E-BEBB-FDF7E9C07717}"/>
    <cellStyle name="Cella collegata 2 4 2 2 2" xfId="4016" xr:uid="{4E733972-113D-4FF0-994D-F1D0E5AADF6B}"/>
    <cellStyle name="Cella collegata 2 4 2 2 2 2" xfId="4017" xr:uid="{AD67D6C6-F08B-4D45-971B-392536FDE234}"/>
    <cellStyle name="Cella collegata 2 4 2 2 3" xfId="4018" xr:uid="{6D2F4AF2-1225-4AC8-90BA-C2C4C8FE1E16}"/>
    <cellStyle name="Cella collegata 2 4 2 3" xfId="4019" xr:uid="{93238134-42FB-448F-A44B-DDAD98AC9810}"/>
    <cellStyle name="Cella collegata 2 4 2 3 2" xfId="4020" xr:uid="{52A67907-7F2B-4B99-A275-95E1CE49A028}"/>
    <cellStyle name="Cella collegata 2 4 2 3 2 2" xfId="4021" xr:uid="{3C433891-2F25-4540-B82F-3DB5D09CD091}"/>
    <cellStyle name="Cella collegata 2 4 2 3 3" xfId="4022" xr:uid="{91873DBB-735F-4C04-9914-7F96DDE53717}"/>
    <cellStyle name="Cella collegata 2 4 2 4" xfId="4023" xr:uid="{36F563A4-B04B-4C04-A09F-5792F9678478}"/>
    <cellStyle name="Cella collegata 2 4 2 4 2" xfId="4024" xr:uid="{8ADE3D06-0354-412D-81AC-F3DD378E5D52}"/>
    <cellStyle name="Cella collegata 2 4 2 4 2 2" xfId="4025" xr:uid="{887A308C-5F69-409B-955D-4F7734821176}"/>
    <cellStyle name="Cella collegata 2 4 2 4 3" xfId="4026" xr:uid="{65E7ACDA-E6FE-4E8E-BF37-DC15D323CEB0}"/>
    <cellStyle name="Cella collegata 2 4 2 5" xfId="4027" xr:uid="{2BFBD386-DC50-4899-B2AA-76ACA2EFF9BC}"/>
    <cellStyle name="Cella collegata 2 4 2 5 2" xfId="4028" xr:uid="{8B234EC6-1B45-4715-929A-0727E517A8CE}"/>
    <cellStyle name="Cella collegata 2 4 2 5 2 2" xfId="4029" xr:uid="{0F39E348-F069-4893-8AD6-09DFD1E02E6D}"/>
    <cellStyle name="Cella collegata 2 4 2 5 3" xfId="4030" xr:uid="{D77B1182-24AC-4F52-A50C-241C74CB11E1}"/>
    <cellStyle name="Cella collegata 2 4 2 6" xfId="4031" xr:uid="{0B99BC7E-C7AE-4F7D-B4D0-ED6B7BD4D9E5}"/>
    <cellStyle name="Cella collegata 2 4 2 6 2" xfId="4032" xr:uid="{E1676E07-AF18-4440-9718-DC8E509FC61B}"/>
    <cellStyle name="Cella collegata 2 4 2 6 2 2" xfId="4033" xr:uid="{2E4A189B-E16D-47C8-9A71-6D2A786D774B}"/>
    <cellStyle name="Cella collegata 2 4 2 6 3" xfId="4034" xr:uid="{6BA165EF-2943-4ABB-AF57-D69398D4556A}"/>
    <cellStyle name="Cella collegata 2 4 2 7" xfId="4035" xr:uid="{ABB9569C-18A8-4C60-811E-94A1A753B4C6}"/>
    <cellStyle name="Cella collegata 2 4 2 7 2" xfId="4036" xr:uid="{A0F689C5-0DD1-493A-B3F3-141BA89C7271}"/>
    <cellStyle name="Cella collegata 2 4 2 7 2 2" xfId="4037" xr:uid="{34A893E5-9384-45E1-B594-4A87079681CB}"/>
    <cellStyle name="Cella collegata 2 4 2 7 3" xfId="4038" xr:uid="{3839FA88-6751-48EB-822C-39453A9E60EA}"/>
    <cellStyle name="Cella collegata 2 4 2 8" xfId="4039" xr:uid="{9C5E47EA-C621-4F39-9553-B151DC066B50}"/>
    <cellStyle name="Cella collegata 2 4 2 8 2" xfId="4040" xr:uid="{ACEFC1C0-B2F5-4F64-AE64-DB09B22C8E6F}"/>
    <cellStyle name="Cella collegata 2 4 2 8 2 2" xfId="4041" xr:uid="{B2F6A7DB-56D7-4131-9519-3F5C515F30B7}"/>
    <cellStyle name="Cella collegata 2 4 2 8 3" xfId="4042" xr:uid="{0C154E14-8BFF-4E18-9CF2-AD29990435F9}"/>
    <cellStyle name="Cella collegata 2 4 2 9" xfId="4043" xr:uid="{01C43EA5-BAD7-41E3-A7BD-55E983D1CEA4}"/>
    <cellStyle name="Cella collegata 2 4 2 9 2" xfId="4044" xr:uid="{FD4435B6-4BC7-491E-A8F2-A96982EA53F0}"/>
    <cellStyle name="Cella collegata 2 4 2 9 2 2" xfId="4045" xr:uid="{9A3ADADA-805B-41C3-AF19-BBF096FCC16B}"/>
    <cellStyle name="Cella collegata 2 4 2 9 3" xfId="4046" xr:uid="{8B5AEA15-581A-4451-9F6E-BA4C921F500F}"/>
    <cellStyle name="Cella collegata 2 4 3" xfId="4047" xr:uid="{9559E4FC-85F4-47CC-B115-3BCDCEBB0BBF}"/>
    <cellStyle name="Cella collegata 2 4 3 2" xfId="4048" xr:uid="{0B537564-9648-41BC-A52A-7DE4A7A849A2}"/>
    <cellStyle name="Cella collegata 2 4 3 2 2" xfId="4049" xr:uid="{E90980D1-6507-4A01-B442-9B12E5ECFBFA}"/>
    <cellStyle name="Cella collegata 2 4 3 3" xfId="4050" xr:uid="{EA88D8F9-0BCE-4D00-926B-AD95DE9A7254}"/>
    <cellStyle name="Cella collegata 2 4 4" xfId="4051" xr:uid="{3B2F7501-E6BD-4B34-9582-3D7EE18C5D0D}"/>
    <cellStyle name="Cella collegata 2 4 4 2" xfId="4052" xr:uid="{51071BF8-CEBD-4897-A726-C075DC52CAC5}"/>
    <cellStyle name="Cella collegata 2 4 4 2 2" xfId="4053" xr:uid="{D54188F6-5A83-47BA-BA55-A41F419A37D2}"/>
    <cellStyle name="Cella collegata 2 4 4 3" xfId="4054" xr:uid="{8F4C49C9-CE76-446D-B56C-51D3C7BDDC24}"/>
    <cellStyle name="Cella collegata 2 4 5" xfId="4055" xr:uid="{CC0FECD1-AADB-4933-9213-08F174DBA956}"/>
    <cellStyle name="Cella collegata 2 4 5 2" xfId="4056" xr:uid="{0C58E876-C284-451B-B1D8-DF4D36FCF3C3}"/>
    <cellStyle name="Cella collegata 2 4 5 2 2" xfId="4057" xr:uid="{B183739E-1399-4F7D-823B-EF4BAF2192C5}"/>
    <cellStyle name="Cella collegata 2 4 5 3" xfId="4058" xr:uid="{2CF07F96-E092-4B57-80FF-200F234A2D32}"/>
    <cellStyle name="Cella collegata 2 4 6" xfId="4059" xr:uid="{352DA0CC-D905-4E68-9B36-32DCEDC67FE2}"/>
    <cellStyle name="Cella collegata 2 4 6 2" xfId="4060" xr:uid="{EA5144FF-DF24-4286-9486-A48E957CE3F0}"/>
    <cellStyle name="Cella collegata 2 4 6 2 2" xfId="4061" xr:uid="{56297458-821E-4E70-996D-030EC7A0135E}"/>
    <cellStyle name="Cella collegata 2 4 6 3" xfId="4062" xr:uid="{86375FBA-6019-4C85-AE68-E43ED69CE52F}"/>
    <cellStyle name="Cella collegata 2 4 7" xfId="4063" xr:uid="{D2828300-C5FE-4FC1-A9EC-F25D9682B1F6}"/>
    <cellStyle name="Cella collegata 2 4 7 2" xfId="4064" xr:uid="{CF2B0158-8BF2-4FEF-A444-BF55BBD6351D}"/>
    <cellStyle name="Cella collegata 2 4 7 2 2" xfId="4065" xr:uid="{C2BDCDD7-D727-4F54-AFFF-3CFB2B462655}"/>
    <cellStyle name="Cella collegata 2 4 7 3" xfId="4066" xr:uid="{AB753525-80A1-48F6-B319-1C442F57038B}"/>
    <cellStyle name="Cella collegata 2 4 8" xfId="4067" xr:uid="{8E25F0FE-F059-4053-A68F-CEC3C9D97161}"/>
    <cellStyle name="Cella collegata 2 4 8 2" xfId="4068" xr:uid="{21662EB6-0D17-4429-ABDB-5A2EFF414EE2}"/>
    <cellStyle name="Cella collegata 2 4 8 2 2" xfId="4069" xr:uid="{8B273D73-C21A-4649-A1C3-BB9741642352}"/>
    <cellStyle name="Cella collegata 2 4 8 3" xfId="4070" xr:uid="{06485CC2-E5F9-46BD-8641-AA86270D55A8}"/>
    <cellStyle name="Cella collegata 2 4 9" xfId="4071" xr:uid="{62A7B804-C82C-42DA-B0C8-99CF0525B838}"/>
    <cellStyle name="Cella collegata 2 4 9 2" xfId="4072" xr:uid="{D71DFF88-D12F-48EE-AA26-420E6257BB9B}"/>
    <cellStyle name="Cella collegata 2 4 9 2 2" xfId="4073" xr:uid="{C8572AD3-48F4-490D-AC01-99A499D168C0}"/>
    <cellStyle name="Cella collegata 2 4 9 3" xfId="4074" xr:uid="{C6F212C3-3585-41DB-99EC-103A03B8F728}"/>
    <cellStyle name="Cella collegata 2 5" xfId="4075" xr:uid="{67A081AC-2601-4F81-8368-2684BABB021B}"/>
    <cellStyle name="Cella collegata 2 5 10" xfId="4076" xr:uid="{6DBD297F-8958-4E5D-8EE0-37F159A1E77F}"/>
    <cellStyle name="Cella collegata 2 5 10 2" xfId="4077" xr:uid="{6B799AC4-1AA0-40F0-99BA-527107FB2551}"/>
    <cellStyle name="Cella collegata 2 5 11" xfId="4078" xr:uid="{32E21480-568D-4385-8ED4-B85F9821D3C1}"/>
    <cellStyle name="Cella collegata 2 5 2" xfId="4079" xr:uid="{DE9CAAA9-2188-4974-A6BB-4D495F960B9F}"/>
    <cellStyle name="Cella collegata 2 5 2 2" xfId="4080" xr:uid="{D4794BB5-0BAD-4DC9-AFEC-26B1E508A2C3}"/>
    <cellStyle name="Cella collegata 2 5 2 2 2" xfId="4081" xr:uid="{3FC77E92-0F0A-44F4-AD61-6E0CB0E42700}"/>
    <cellStyle name="Cella collegata 2 5 2 3" xfId="4082" xr:uid="{D926A23C-5DB7-4EB3-BC41-DC2A221950A5}"/>
    <cellStyle name="Cella collegata 2 5 3" xfId="4083" xr:uid="{29F2FDA6-F950-48C0-95AD-59C634381133}"/>
    <cellStyle name="Cella collegata 2 5 3 2" xfId="4084" xr:uid="{D0E48B6C-CF44-4CF4-B61B-1D7A48BFA0A3}"/>
    <cellStyle name="Cella collegata 2 5 3 2 2" xfId="4085" xr:uid="{288401A3-FB9F-4DD2-85EF-9AA2A91B68B0}"/>
    <cellStyle name="Cella collegata 2 5 3 3" xfId="4086" xr:uid="{E695BAA1-DE25-461F-BAF7-57BFE60D6592}"/>
    <cellStyle name="Cella collegata 2 5 4" xfId="4087" xr:uid="{96F231D5-075E-49BA-9092-CD6B4D4E97F6}"/>
    <cellStyle name="Cella collegata 2 5 4 2" xfId="4088" xr:uid="{299BBE27-A72C-4B2C-9CA6-2694149D7789}"/>
    <cellStyle name="Cella collegata 2 5 4 2 2" xfId="4089" xr:uid="{0EAE10E3-7C11-4EEC-95FC-01A341F6E5CF}"/>
    <cellStyle name="Cella collegata 2 5 4 3" xfId="4090" xr:uid="{1D409EEF-61D8-4906-A07D-F7DBAE6D1383}"/>
    <cellStyle name="Cella collegata 2 5 5" xfId="4091" xr:uid="{2666F137-B69E-4823-86BA-81D6003E0BA8}"/>
    <cellStyle name="Cella collegata 2 5 5 2" xfId="4092" xr:uid="{F397AD53-6477-4F87-93E9-CD7898B84416}"/>
    <cellStyle name="Cella collegata 2 5 5 2 2" xfId="4093" xr:uid="{E3970B9C-972D-4825-85AF-E34A80713705}"/>
    <cellStyle name="Cella collegata 2 5 5 3" xfId="4094" xr:uid="{5EC40ACB-66C4-4A73-A5DE-F51D0A309DEC}"/>
    <cellStyle name="Cella collegata 2 5 6" xfId="4095" xr:uid="{D044749C-10AF-4156-8EEC-7BD2DE1FA863}"/>
    <cellStyle name="Cella collegata 2 5 6 2" xfId="4096" xr:uid="{6A7F9FE7-40D2-4C20-AF81-7CE11855C63B}"/>
    <cellStyle name="Cella collegata 2 5 6 2 2" xfId="4097" xr:uid="{49B61C2B-F3C5-43EC-B477-E737FC3D5318}"/>
    <cellStyle name="Cella collegata 2 5 6 3" xfId="4098" xr:uid="{7FDBE458-73B6-42AD-B60D-72141264CFB0}"/>
    <cellStyle name="Cella collegata 2 5 7" xfId="4099" xr:uid="{7321978D-21E9-4EF5-94CE-9E24BC8E5EC5}"/>
    <cellStyle name="Cella collegata 2 5 7 2" xfId="4100" xr:uid="{8380EC28-E81B-46EB-8434-7C1A2723F145}"/>
    <cellStyle name="Cella collegata 2 5 7 2 2" xfId="4101" xr:uid="{C8351A09-FB0D-4207-98A0-44D84CB9F7F4}"/>
    <cellStyle name="Cella collegata 2 5 7 3" xfId="4102" xr:uid="{D9790DB9-DFC6-40C1-B8E3-C56A478C278B}"/>
    <cellStyle name="Cella collegata 2 5 8" xfId="4103" xr:uid="{DA9703C8-A707-4FDA-908A-5415B1A1DE6D}"/>
    <cellStyle name="Cella collegata 2 5 8 2" xfId="4104" xr:uid="{D47F9BEB-E998-4B94-A288-DF8B5D0FE2E8}"/>
    <cellStyle name="Cella collegata 2 5 8 2 2" xfId="4105" xr:uid="{D55252BA-7942-4911-8987-D1F0DA90E0D0}"/>
    <cellStyle name="Cella collegata 2 5 8 3" xfId="4106" xr:uid="{01195425-CEB5-4EB4-B319-456147DBDE2C}"/>
    <cellStyle name="Cella collegata 2 5 9" xfId="4107" xr:uid="{FA771DAD-34FA-423F-9A7F-0ACC85F50583}"/>
    <cellStyle name="Cella collegata 2 5 9 2" xfId="4108" xr:uid="{512215BF-03BD-45AB-AB72-23876DDE0A6A}"/>
    <cellStyle name="Cella collegata 2 5 9 2 2" xfId="4109" xr:uid="{78CEC084-DBCB-478F-A763-AE23C94FB38B}"/>
    <cellStyle name="Cella collegata 2 5 9 3" xfId="4110" xr:uid="{DB7FCFF5-718B-4217-B6A4-E9F4CE565147}"/>
    <cellStyle name="Cella collegata 2 6" xfId="4111" xr:uid="{D767C147-1CBC-4C7B-BAC0-6EEAABD400A8}"/>
    <cellStyle name="Cella collegata 2 6 2" xfId="4112" xr:uid="{263ED0DD-00AF-4E01-BADD-F5311A4B42B0}"/>
    <cellStyle name="Cella collegata 2 6 2 2" xfId="4113" xr:uid="{F5B0F1BD-B9C4-4892-837A-591943ED7BBB}"/>
    <cellStyle name="Cella collegata 2 6 3" xfId="4114" xr:uid="{AF46100E-B1CA-4A38-A53E-0C51F77377F2}"/>
    <cellStyle name="Cella collegata 2 7" xfId="4115" xr:uid="{8861569D-E87D-44E0-8457-265EEC509F95}"/>
    <cellStyle name="Cella collegata 2 7 2" xfId="4116" xr:uid="{06C50112-47B4-4E4D-A537-A20FB3DD6813}"/>
    <cellStyle name="Cella collegata 2 7 2 2" xfId="4117" xr:uid="{4E85B549-58BE-4613-BFF8-DFB402447068}"/>
    <cellStyle name="Cella collegata 2 7 3" xfId="4118" xr:uid="{81C96308-DB48-4CC8-9ABF-AEFF99306EBF}"/>
    <cellStyle name="Cella collegata 2 8" xfId="4119" xr:uid="{79AC0C10-210A-4D0B-A804-FB16C7ADEEF7}"/>
    <cellStyle name="Cella collegata 2 8 2" xfId="4120" xr:uid="{F30DFEEF-502F-4112-8491-9F41AC7C767F}"/>
    <cellStyle name="Cella collegata 2 8 2 2" xfId="4121" xr:uid="{E5AA430C-FD87-4A45-AA9B-4B42F4B97551}"/>
    <cellStyle name="Cella collegata 2 8 3" xfId="4122" xr:uid="{48DF2E07-FB88-47A3-AE5F-2E5C4754240D}"/>
    <cellStyle name="Cella collegata 2 9" xfId="4123" xr:uid="{7E94E9C5-314D-44A3-8F5A-24E4C93E3DBE}"/>
    <cellStyle name="Cella collegata 2 9 2" xfId="4124" xr:uid="{9D1AC099-5FA0-4881-99DF-7CF2FD014EA0}"/>
    <cellStyle name="Cella collegata 2 9 2 2" xfId="4125" xr:uid="{014BD7ED-DFD1-44C3-A07B-80C654DCE861}"/>
    <cellStyle name="Cella collegata 2 9 3" xfId="4126" xr:uid="{B9D5FEE4-22B5-437B-B467-B306841E89F1}"/>
    <cellStyle name="Cella collegata 3" xfId="4127" xr:uid="{62930F63-2539-45CB-858B-549BF229E2A0}"/>
    <cellStyle name="Cella collegata 3 10" xfId="4128" xr:uid="{44D0815F-A9F8-49D4-A258-89BF2558E26C}"/>
    <cellStyle name="Cella collegata 3 10 2" xfId="4129" xr:uid="{00FA857E-DF64-471B-89D0-2184A5DEA255}"/>
    <cellStyle name="Cella collegata 3 10 2 2" xfId="4130" xr:uid="{9C0C9792-D19A-48AC-902D-684346264604}"/>
    <cellStyle name="Cella collegata 3 10 3" xfId="4131" xr:uid="{F82728C4-B999-44FA-AFA2-28E3875DB516}"/>
    <cellStyle name="Cella collegata 3 11" xfId="4132" xr:uid="{7DC7F84F-B607-48EF-A8B4-C69710DE1B85}"/>
    <cellStyle name="Cella collegata 3 11 2" xfId="4133" xr:uid="{11C07BA9-8233-4704-B70B-A28B1DEFE555}"/>
    <cellStyle name="Cella collegata 3 11 2 2" xfId="4134" xr:uid="{42A065CB-3511-4BA1-AE96-4050B5FC57FC}"/>
    <cellStyle name="Cella collegata 3 11 3" xfId="4135" xr:uid="{6398A2A5-CB6F-4A20-830B-2245042C8690}"/>
    <cellStyle name="Cella collegata 3 12" xfId="4136" xr:uid="{3F77A928-ED3D-4239-86D8-56658DD4BAE2}"/>
    <cellStyle name="Cella collegata 3 12 2" xfId="4137" xr:uid="{B9FBB027-3C94-4106-8169-1DA802DEE9A2}"/>
    <cellStyle name="Cella collegata 3 12 2 2" xfId="4138" xr:uid="{E4015BED-3380-4EA6-AFE4-5FB9D7C0634D}"/>
    <cellStyle name="Cella collegata 3 12 3" xfId="4139" xr:uid="{1E98A375-058C-4557-BB42-291B52F32412}"/>
    <cellStyle name="Cella collegata 3 13" xfId="4140" xr:uid="{7A7F8879-32D5-4409-A381-D8D02A779FBA}"/>
    <cellStyle name="Cella collegata 3 13 2" xfId="4141" xr:uid="{5D73E74F-4AF6-4E9C-94A6-E3FC0870A93F}"/>
    <cellStyle name="Cella collegata 3 14" xfId="4142" xr:uid="{FA93E10C-64FB-446C-8F35-9B5549FEA698}"/>
    <cellStyle name="Cella collegata 3 2" xfId="4143" xr:uid="{706D4437-A1A7-48C1-B1E9-67EC7684EE0E}"/>
    <cellStyle name="Cella collegata 3 2 10" xfId="4144" xr:uid="{3C74BA06-550E-4104-928F-C5DACC1549DF}"/>
    <cellStyle name="Cella collegata 3 2 10 2" xfId="4145" xr:uid="{847C057B-1E41-4120-9411-AB0C19F534F1}"/>
    <cellStyle name="Cella collegata 3 2 10 2 2" xfId="4146" xr:uid="{29E62276-D3C6-494B-8A03-67DFDF653102}"/>
    <cellStyle name="Cella collegata 3 2 10 3" xfId="4147" xr:uid="{DFA1B3C3-0FCF-4419-94E4-EA41DEBC3599}"/>
    <cellStyle name="Cella collegata 3 2 11" xfId="4148" xr:uid="{E6CCC806-FA1A-4955-8588-C9165BBB6F48}"/>
    <cellStyle name="Cella collegata 3 2 11 2" xfId="4149" xr:uid="{8A5F7C59-0C6E-42C6-83F4-04EB1A551FF8}"/>
    <cellStyle name="Cella collegata 3 2 11 2 2" xfId="4150" xr:uid="{1CB4EE4A-893E-4389-9CD5-3A09BDE6D931}"/>
    <cellStyle name="Cella collegata 3 2 11 3" xfId="4151" xr:uid="{4BFFB6B1-2FCC-4A37-8A25-C8EBB955A01B}"/>
    <cellStyle name="Cella collegata 3 2 12" xfId="4152" xr:uid="{3298781A-9C69-4B32-976E-5362CE0ABD96}"/>
    <cellStyle name="Cella collegata 3 2 12 2" xfId="4153" xr:uid="{ECDE487E-B9B8-4475-8EA1-89670BDBA727}"/>
    <cellStyle name="Cella collegata 3 2 13" xfId="4154" xr:uid="{80863CC1-8941-4914-8266-47A5CB11CF41}"/>
    <cellStyle name="Cella collegata 3 2 2" xfId="4155" xr:uid="{1D1F7AEE-5A29-4C33-BD2E-230F72CCE304}"/>
    <cellStyle name="Cella collegata 3 2 2 10" xfId="4156" xr:uid="{C2A9C013-57BE-4E40-8D28-CBDD1E86DB02}"/>
    <cellStyle name="Cella collegata 3 2 2 10 2" xfId="4157" xr:uid="{2A37DBA9-B2EF-4823-9AEB-B7A2228D41F5}"/>
    <cellStyle name="Cella collegata 3 2 2 10 2 2" xfId="4158" xr:uid="{BBFC3D05-100A-4D6B-B8DC-8CCFA5490C6A}"/>
    <cellStyle name="Cella collegata 3 2 2 10 3" xfId="4159" xr:uid="{E5D0AD39-6EFB-4E24-ADFA-6E5AC84D3E57}"/>
    <cellStyle name="Cella collegata 3 2 2 11" xfId="4160" xr:uid="{C0C9261A-32A8-4D9C-97B0-23F3398615BE}"/>
    <cellStyle name="Cella collegata 3 2 2 11 2" xfId="4161" xr:uid="{C969F88A-25DD-4C17-A5AB-F7D3C153ABCE}"/>
    <cellStyle name="Cella collegata 3 2 2 12" xfId="4162" xr:uid="{CD0E57D1-CD7E-4AD5-B26E-3F5C4891A95C}"/>
    <cellStyle name="Cella collegata 3 2 2 2" xfId="4163" xr:uid="{EB836BE1-587B-4423-B2F7-70820156DCA3}"/>
    <cellStyle name="Cella collegata 3 2 2 2 2" xfId="4164" xr:uid="{3BD41E4E-7B0F-489C-90A7-F61A96A90B96}"/>
    <cellStyle name="Cella collegata 3 2 2 2 2 2" xfId="4165" xr:uid="{D7ABD78C-EA4D-4321-B039-AF0895E2B42B}"/>
    <cellStyle name="Cella collegata 3 2 2 2 3" xfId="4166" xr:uid="{3F019012-14C4-43D1-9E52-E8ED9636BE7E}"/>
    <cellStyle name="Cella collegata 3 2 2 3" xfId="4167" xr:uid="{BC256C88-023E-4A0D-BAF4-D199CB7E2EBB}"/>
    <cellStyle name="Cella collegata 3 2 2 3 2" xfId="4168" xr:uid="{978F59D2-D20F-4E89-8882-93F751CB451A}"/>
    <cellStyle name="Cella collegata 3 2 2 3 2 2" xfId="4169" xr:uid="{6545AD67-B7DD-42A3-8534-823F7A2F6F12}"/>
    <cellStyle name="Cella collegata 3 2 2 3 3" xfId="4170" xr:uid="{374DF54E-BF2A-42D0-AB75-A935E28885B6}"/>
    <cellStyle name="Cella collegata 3 2 2 4" xfId="4171" xr:uid="{FB5E5847-0211-4227-82B0-E924C6198F55}"/>
    <cellStyle name="Cella collegata 3 2 2 4 2" xfId="4172" xr:uid="{5EE36AB4-98FF-43D8-AF7F-9A6FF2697815}"/>
    <cellStyle name="Cella collegata 3 2 2 4 2 2" xfId="4173" xr:uid="{867A7E51-22C7-4281-A82A-96E72BEF1AA7}"/>
    <cellStyle name="Cella collegata 3 2 2 4 3" xfId="4174" xr:uid="{4B7DE5E0-1477-4C2E-B020-766C1554A483}"/>
    <cellStyle name="Cella collegata 3 2 2 5" xfId="4175" xr:uid="{E10AE5F0-04E7-4ED6-A1F4-93AB09DE19CC}"/>
    <cellStyle name="Cella collegata 3 2 2 5 2" xfId="4176" xr:uid="{0EFAE835-573B-4B60-A386-F345C5351AE8}"/>
    <cellStyle name="Cella collegata 3 2 2 5 2 2" xfId="4177" xr:uid="{62620B5E-9893-4AAE-8D47-5BB6E6B7EB5F}"/>
    <cellStyle name="Cella collegata 3 2 2 5 3" xfId="4178" xr:uid="{D7B3E982-3EA4-4670-8904-155B74032672}"/>
    <cellStyle name="Cella collegata 3 2 2 6" xfId="4179" xr:uid="{B4028F13-2633-4EF1-82B2-F3E4A6E46D27}"/>
    <cellStyle name="Cella collegata 3 2 2 6 2" xfId="4180" xr:uid="{B5F525B6-81EF-46D1-A52E-941409DFF491}"/>
    <cellStyle name="Cella collegata 3 2 2 6 2 2" xfId="4181" xr:uid="{C6C2B210-D7E4-4720-A83A-AB9A5537895C}"/>
    <cellStyle name="Cella collegata 3 2 2 6 3" xfId="4182" xr:uid="{96A6D7B5-C2DA-4C77-9D93-81B1CA745944}"/>
    <cellStyle name="Cella collegata 3 2 2 7" xfId="4183" xr:uid="{B52FB863-3FFB-4BCE-831E-9447763C7DBD}"/>
    <cellStyle name="Cella collegata 3 2 2 7 2" xfId="4184" xr:uid="{C069938D-F10F-4A06-AA52-C0300204B594}"/>
    <cellStyle name="Cella collegata 3 2 2 7 2 2" xfId="4185" xr:uid="{F6E13CA1-E0D9-4225-B544-9C11FEE1B51A}"/>
    <cellStyle name="Cella collegata 3 2 2 7 3" xfId="4186" xr:uid="{09BDECC1-60C6-46C6-A5DF-3A73468E810B}"/>
    <cellStyle name="Cella collegata 3 2 2 8" xfId="4187" xr:uid="{3108191B-08E1-404C-A6F4-417CCA2AF68E}"/>
    <cellStyle name="Cella collegata 3 2 2 8 2" xfId="4188" xr:uid="{BF16B456-12D0-4546-9D2D-2A61E09BFC31}"/>
    <cellStyle name="Cella collegata 3 2 2 8 2 2" xfId="4189" xr:uid="{9A85548D-4AC8-49F5-9694-6C78D110E109}"/>
    <cellStyle name="Cella collegata 3 2 2 8 3" xfId="4190" xr:uid="{15BAA570-F02F-42FC-B408-C9DB7FDBCDE6}"/>
    <cellStyle name="Cella collegata 3 2 2 9" xfId="4191" xr:uid="{D5003A8C-7425-458A-B88A-F75CDB88191C}"/>
    <cellStyle name="Cella collegata 3 2 2 9 2" xfId="4192" xr:uid="{C8E3FC14-56AA-4623-8DE8-60238E271D78}"/>
    <cellStyle name="Cella collegata 3 2 2 9 2 2" xfId="4193" xr:uid="{86381A13-591D-4683-9D6F-E98988C7E66A}"/>
    <cellStyle name="Cella collegata 3 2 2 9 3" xfId="4194" xr:uid="{9AB7446D-5FF9-41C0-BBAC-EA865EF962FA}"/>
    <cellStyle name="Cella collegata 3 2 3" xfId="4195" xr:uid="{5A4E68B9-8658-4BE6-9B43-49899A526707}"/>
    <cellStyle name="Cella collegata 3 2 3 10" xfId="4196" xr:uid="{E2A8E108-702D-4498-B39F-E732FCD1B33F}"/>
    <cellStyle name="Cella collegata 3 2 3 10 2" xfId="4197" xr:uid="{593E5E8A-5413-4A74-A194-EC30CBE30B41}"/>
    <cellStyle name="Cella collegata 3 2 3 11" xfId="4198" xr:uid="{992A8892-AED4-4AB8-B776-4F42670887FA}"/>
    <cellStyle name="Cella collegata 3 2 3 2" xfId="4199" xr:uid="{4629ED8A-D94E-43EF-B6F3-A7B0BA85BDBC}"/>
    <cellStyle name="Cella collegata 3 2 3 2 2" xfId="4200" xr:uid="{071DD0BD-1992-4BDF-ADCC-1E3953151EFF}"/>
    <cellStyle name="Cella collegata 3 2 3 2 2 2" xfId="4201" xr:uid="{0A32A696-0FA9-4E9E-B6F3-A35509250CE0}"/>
    <cellStyle name="Cella collegata 3 2 3 2 3" xfId="4202" xr:uid="{EF77B158-AB6A-4D56-9CD5-5F0877AFC739}"/>
    <cellStyle name="Cella collegata 3 2 3 3" xfId="4203" xr:uid="{63AE010D-B0F7-4112-BD17-FDABF93933CA}"/>
    <cellStyle name="Cella collegata 3 2 3 3 2" xfId="4204" xr:uid="{18C25061-24BA-4694-95B6-1E1863C10565}"/>
    <cellStyle name="Cella collegata 3 2 3 3 2 2" xfId="4205" xr:uid="{97E2EAF3-B2F2-4B43-99A8-8B1781487061}"/>
    <cellStyle name="Cella collegata 3 2 3 3 3" xfId="4206" xr:uid="{35DAEC5B-45A2-4D43-B386-18B2B342049F}"/>
    <cellStyle name="Cella collegata 3 2 3 4" xfId="4207" xr:uid="{AC8DD5A3-3794-42B0-936E-0CE49078A2AF}"/>
    <cellStyle name="Cella collegata 3 2 3 4 2" xfId="4208" xr:uid="{9CB195E9-BDBA-45B2-95E4-622925C82A1C}"/>
    <cellStyle name="Cella collegata 3 2 3 4 2 2" xfId="4209" xr:uid="{866C5CEC-640E-42DF-B60A-47E55D7BBD14}"/>
    <cellStyle name="Cella collegata 3 2 3 4 3" xfId="4210" xr:uid="{551B8585-D047-4FBB-B775-4CFACD25F016}"/>
    <cellStyle name="Cella collegata 3 2 3 5" xfId="4211" xr:uid="{0333F703-B45C-4A61-A2A0-570FC0E81C0D}"/>
    <cellStyle name="Cella collegata 3 2 3 5 2" xfId="4212" xr:uid="{B94A3185-5DA5-422F-A929-9C2233C7830E}"/>
    <cellStyle name="Cella collegata 3 2 3 5 2 2" xfId="4213" xr:uid="{F6A44DB4-7723-4FA4-A580-B0356F0EC580}"/>
    <cellStyle name="Cella collegata 3 2 3 5 3" xfId="4214" xr:uid="{4E33E340-B7FD-4E16-A128-599AAF9E4007}"/>
    <cellStyle name="Cella collegata 3 2 3 6" xfId="4215" xr:uid="{281C0107-90A2-4250-9E0F-61C15D7F4BC5}"/>
    <cellStyle name="Cella collegata 3 2 3 6 2" xfId="4216" xr:uid="{07D79CEC-8753-46E4-9831-434556CA9384}"/>
    <cellStyle name="Cella collegata 3 2 3 6 2 2" xfId="4217" xr:uid="{8064246E-E79A-4369-9988-EA4C4CAB8F0D}"/>
    <cellStyle name="Cella collegata 3 2 3 6 3" xfId="4218" xr:uid="{9DC7E597-7207-4F18-A7A6-412CA9537849}"/>
    <cellStyle name="Cella collegata 3 2 3 7" xfId="4219" xr:uid="{33ED22ED-9619-4560-9C62-9A23362AEAB7}"/>
    <cellStyle name="Cella collegata 3 2 3 7 2" xfId="4220" xr:uid="{D8BE744D-40A6-4195-A7B6-D2DC2C93309F}"/>
    <cellStyle name="Cella collegata 3 2 3 7 2 2" xfId="4221" xr:uid="{85F50A68-599E-4177-9046-EA5A13548993}"/>
    <cellStyle name="Cella collegata 3 2 3 7 3" xfId="4222" xr:uid="{7DF52FF0-0866-41DD-8DD4-A97BCD04609F}"/>
    <cellStyle name="Cella collegata 3 2 3 8" xfId="4223" xr:uid="{44BAAE78-AD1B-48CE-85A1-93CCBEF91574}"/>
    <cellStyle name="Cella collegata 3 2 3 8 2" xfId="4224" xr:uid="{FAAA1693-49E6-4BBC-9327-DFF5874FADF3}"/>
    <cellStyle name="Cella collegata 3 2 3 8 2 2" xfId="4225" xr:uid="{78642111-9718-43E4-8A0E-17F950D4EB81}"/>
    <cellStyle name="Cella collegata 3 2 3 8 3" xfId="4226" xr:uid="{406DF58F-40AB-4E8F-97E2-E6E22EB2FF4D}"/>
    <cellStyle name="Cella collegata 3 2 3 9" xfId="4227" xr:uid="{465488C7-1F7B-47D6-AC19-37C87D885536}"/>
    <cellStyle name="Cella collegata 3 2 3 9 2" xfId="4228" xr:uid="{33C34FA7-56BC-4717-9367-1F6634263E89}"/>
    <cellStyle name="Cella collegata 3 2 3 9 2 2" xfId="4229" xr:uid="{2A3D7DE1-A7F9-42CF-AA4C-659879AB1687}"/>
    <cellStyle name="Cella collegata 3 2 3 9 3" xfId="4230" xr:uid="{4EE59B4F-DC2E-45EC-99CC-53083FFA74C6}"/>
    <cellStyle name="Cella collegata 3 2 4" xfId="4231" xr:uid="{37EC31F8-5916-4B15-9A42-A7E129276D1A}"/>
    <cellStyle name="Cella collegata 3 2 4 2" xfId="4232" xr:uid="{CC80F092-5C3A-4A9C-9E1F-47B25CD8DC55}"/>
    <cellStyle name="Cella collegata 3 2 4 2 2" xfId="4233" xr:uid="{7B6C2882-2BD1-4D0F-A750-5F07246644AF}"/>
    <cellStyle name="Cella collegata 3 2 4 3" xfId="4234" xr:uid="{93C1BE30-9EEA-4693-B4F8-4D7A9B8A8C20}"/>
    <cellStyle name="Cella collegata 3 2 5" xfId="4235" xr:uid="{58EFDAFF-DBF6-4D5C-8541-B55F0C2924CA}"/>
    <cellStyle name="Cella collegata 3 2 5 2" xfId="4236" xr:uid="{8A43746A-BD1A-472F-A243-751092C5A274}"/>
    <cellStyle name="Cella collegata 3 2 5 2 2" xfId="4237" xr:uid="{561E4F3A-8F6D-40F7-A602-3DBA224171BF}"/>
    <cellStyle name="Cella collegata 3 2 5 3" xfId="4238" xr:uid="{B300EF4E-6880-4E3A-ADE0-F08811B02E85}"/>
    <cellStyle name="Cella collegata 3 2 6" xfId="4239" xr:uid="{21D85139-CE77-4EDF-AB82-8017707C9795}"/>
    <cellStyle name="Cella collegata 3 2 6 2" xfId="4240" xr:uid="{25456BF2-BF81-4DEA-B70E-A76AA8277CE3}"/>
    <cellStyle name="Cella collegata 3 2 6 2 2" xfId="4241" xr:uid="{7ADB3165-FED3-4AB3-9D7A-CCE1F6050523}"/>
    <cellStyle name="Cella collegata 3 2 6 3" xfId="4242" xr:uid="{15E504EF-1807-48AF-B519-72BF4782DABB}"/>
    <cellStyle name="Cella collegata 3 2 7" xfId="4243" xr:uid="{BC83B9A3-91D2-4542-BD96-43E056443882}"/>
    <cellStyle name="Cella collegata 3 2 7 2" xfId="4244" xr:uid="{1A90402C-747C-4D58-8D25-FFE0F19026F6}"/>
    <cellStyle name="Cella collegata 3 2 7 2 2" xfId="4245" xr:uid="{667341BC-3051-44E9-AB41-81E0DF3B5B3E}"/>
    <cellStyle name="Cella collegata 3 2 7 3" xfId="4246" xr:uid="{B240A616-032E-4ABD-92C3-E78A364AEAC4}"/>
    <cellStyle name="Cella collegata 3 2 8" xfId="4247" xr:uid="{5D5388AE-DFBB-4AA2-BEA5-2BE479117BA7}"/>
    <cellStyle name="Cella collegata 3 2 8 2" xfId="4248" xr:uid="{E7FA53D7-E0B4-4BFE-AFCA-03CC5FA34345}"/>
    <cellStyle name="Cella collegata 3 2 8 2 2" xfId="4249" xr:uid="{FFB46EFE-B8A8-42DB-AABF-3920F6D49670}"/>
    <cellStyle name="Cella collegata 3 2 8 3" xfId="4250" xr:uid="{E7E753EE-AA96-4D4F-8CF7-F22508012E5D}"/>
    <cellStyle name="Cella collegata 3 2 9" xfId="4251" xr:uid="{007B1E12-1D43-4A24-BF87-2E1BE40F6F18}"/>
    <cellStyle name="Cella collegata 3 2 9 2" xfId="4252" xr:uid="{8A4C8F72-5008-4B85-98FB-04E8B5FF77FF}"/>
    <cellStyle name="Cella collegata 3 2 9 2 2" xfId="4253" xr:uid="{EDC79B6B-41CE-4801-BDC6-01AF610CA828}"/>
    <cellStyle name="Cella collegata 3 2 9 3" xfId="4254" xr:uid="{EE74F15C-698A-4FEE-8D5F-86A712E8C5DD}"/>
    <cellStyle name="Cella collegata 3 3" xfId="4255" xr:uid="{05DDFAE1-249F-4997-89DB-81F26B61B129}"/>
    <cellStyle name="Cella collegata 3 3 10" xfId="4256" xr:uid="{81763C2A-04C9-42FA-9DED-8FCF25C5B888}"/>
    <cellStyle name="Cella collegata 3 3 10 2" xfId="4257" xr:uid="{502E03BA-F030-4373-BB59-F0EF37DA8C1A}"/>
    <cellStyle name="Cella collegata 3 3 10 2 2" xfId="4258" xr:uid="{F4140CEC-8755-4DF7-8DFE-39491DC3A80C}"/>
    <cellStyle name="Cella collegata 3 3 10 3" xfId="4259" xr:uid="{2683A2DD-FEDC-4027-A833-6F372E1D1D8A}"/>
    <cellStyle name="Cella collegata 3 3 11" xfId="4260" xr:uid="{90A086A8-D836-4BA4-AC30-DD87F4F0D498}"/>
    <cellStyle name="Cella collegata 3 3 11 2" xfId="4261" xr:uid="{94A20A53-32DB-47F5-A4D1-4D9FF91BC454}"/>
    <cellStyle name="Cella collegata 3 3 12" xfId="4262" xr:uid="{742DEB20-65F3-45D7-AAF5-FAF98F167D29}"/>
    <cellStyle name="Cella collegata 3 3 2" xfId="4263" xr:uid="{B07438EF-59E6-40E8-8A55-BAD93593447E}"/>
    <cellStyle name="Cella collegata 3 3 2 10" xfId="4264" xr:uid="{841378E8-FB91-4294-8038-9B6F8E8FD772}"/>
    <cellStyle name="Cella collegata 3 3 2 10 2" xfId="4265" xr:uid="{B1CF60D1-BDB2-4C9B-8716-A9C25580E99B}"/>
    <cellStyle name="Cella collegata 3 3 2 11" xfId="4266" xr:uid="{DA2BC5D1-06C0-42FB-A91F-1C7FC86CC40E}"/>
    <cellStyle name="Cella collegata 3 3 2 2" xfId="4267" xr:uid="{295A716D-BAA4-4F57-BBB5-1D302E4FF7B8}"/>
    <cellStyle name="Cella collegata 3 3 2 2 2" xfId="4268" xr:uid="{123FE458-F3FB-4559-A37E-845845A7E3DD}"/>
    <cellStyle name="Cella collegata 3 3 2 2 2 2" xfId="4269" xr:uid="{13403E63-AFCF-43FF-98C7-293BECD73B8C}"/>
    <cellStyle name="Cella collegata 3 3 2 2 3" xfId="4270" xr:uid="{00DEB56C-C301-4E1C-A34C-B456E71962E5}"/>
    <cellStyle name="Cella collegata 3 3 2 3" xfId="4271" xr:uid="{792C5450-AF82-4615-A2F9-368C5A99BD15}"/>
    <cellStyle name="Cella collegata 3 3 2 3 2" xfId="4272" xr:uid="{30412B35-EFF6-4AB6-A65F-9DFD85C048D9}"/>
    <cellStyle name="Cella collegata 3 3 2 3 2 2" xfId="4273" xr:uid="{B7BF01FD-0C03-445D-BB70-7318C8039169}"/>
    <cellStyle name="Cella collegata 3 3 2 3 3" xfId="4274" xr:uid="{4BB46B4E-0875-4EF3-AD46-B9EBEA73B036}"/>
    <cellStyle name="Cella collegata 3 3 2 4" xfId="4275" xr:uid="{DB054763-36ED-495C-B236-6BBF2CEE7FCB}"/>
    <cellStyle name="Cella collegata 3 3 2 4 2" xfId="4276" xr:uid="{E6BCF559-C608-463F-9CBF-940B50C170D8}"/>
    <cellStyle name="Cella collegata 3 3 2 4 2 2" xfId="4277" xr:uid="{BEA81517-16AD-4296-82DF-1620BDD64BE0}"/>
    <cellStyle name="Cella collegata 3 3 2 4 3" xfId="4278" xr:uid="{88B4E8D5-85B0-4BA0-8529-4DBF1C9A45D0}"/>
    <cellStyle name="Cella collegata 3 3 2 5" xfId="4279" xr:uid="{6E76406C-2CA5-4AA1-BE9B-1955D3BC36E2}"/>
    <cellStyle name="Cella collegata 3 3 2 5 2" xfId="4280" xr:uid="{3EB9EEEA-CBC7-48CE-8902-DD6971AEE007}"/>
    <cellStyle name="Cella collegata 3 3 2 5 2 2" xfId="4281" xr:uid="{5274794F-B250-4BAB-9B47-C9147A2F5B8F}"/>
    <cellStyle name="Cella collegata 3 3 2 5 3" xfId="4282" xr:uid="{17D58965-376A-4044-B3C2-E245DF41F33E}"/>
    <cellStyle name="Cella collegata 3 3 2 6" xfId="4283" xr:uid="{7609EAA9-279B-4251-9E42-5A81DB70EF7F}"/>
    <cellStyle name="Cella collegata 3 3 2 6 2" xfId="4284" xr:uid="{4D50C717-863F-433E-B3F6-2153A9ECA0FF}"/>
    <cellStyle name="Cella collegata 3 3 2 6 2 2" xfId="4285" xr:uid="{1548F42C-4D61-4F35-9480-FB89532DB35E}"/>
    <cellStyle name="Cella collegata 3 3 2 6 3" xfId="4286" xr:uid="{1168AA54-9BA1-4AC9-BA61-6FBF3B1FC2AF}"/>
    <cellStyle name="Cella collegata 3 3 2 7" xfId="4287" xr:uid="{3599A735-AC74-4C5D-9227-681BC9143412}"/>
    <cellStyle name="Cella collegata 3 3 2 7 2" xfId="4288" xr:uid="{C4AE7157-C357-46DC-A3ED-5383A707E2DC}"/>
    <cellStyle name="Cella collegata 3 3 2 7 2 2" xfId="4289" xr:uid="{E80A1775-7D96-4C89-BD09-FB1108225463}"/>
    <cellStyle name="Cella collegata 3 3 2 7 3" xfId="4290" xr:uid="{29B64C26-839C-4831-B5F5-3A31EB8B4139}"/>
    <cellStyle name="Cella collegata 3 3 2 8" xfId="4291" xr:uid="{B207B6A0-EAED-47A0-B18A-6F8EA6D34AF6}"/>
    <cellStyle name="Cella collegata 3 3 2 8 2" xfId="4292" xr:uid="{C8BE419B-5ACD-4AE5-A0F1-48559CB307F0}"/>
    <cellStyle name="Cella collegata 3 3 2 8 2 2" xfId="4293" xr:uid="{269D911C-A06F-4D80-A44C-F87371BC71A1}"/>
    <cellStyle name="Cella collegata 3 3 2 8 3" xfId="4294" xr:uid="{20999DAE-39EB-40AE-8EC2-8F912B793EE0}"/>
    <cellStyle name="Cella collegata 3 3 2 9" xfId="4295" xr:uid="{050C5DC9-EC87-462F-B6FF-90C106B29FBC}"/>
    <cellStyle name="Cella collegata 3 3 2 9 2" xfId="4296" xr:uid="{5D792743-2154-4A69-A621-C9843E141177}"/>
    <cellStyle name="Cella collegata 3 3 2 9 2 2" xfId="4297" xr:uid="{950EFD62-F266-4CDA-A5C9-30F91ACA83F2}"/>
    <cellStyle name="Cella collegata 3 3 2 9 3" xfId="4298" xr:uid="{C82880E2-B8DC-4831-9C30-6784C9D93F3F}"/>
    <cellStyle name="Cella collegata 3 3 3" xfId="4299" xr:uid="{89D9440F-D46C-4425-81C1-7FDF8B2DBAD5}"/>
    <cellStyle name="Cella collegata 3 3 3 2" xfId="4300" xr:uid="{710EDB9B-7900-4FCE-8BB9-AE7188825B07}"/>
    <cellStyle name="Cella collegata 3 3 3 2 2" xfId="4301" xr:uid="{40E584E6-B249-4DCB-A353-20193BE079C5}"/>
    <cellStyle name="Cella collegata 3 3 3 3" xfId="4302" xr:uid="{B4FD289C-C7E2-4022-AE5A-EB53FC78C859}"/>
    <cellStyle name="Cella collegata 3 3 4" xfId="4303" xr:uid="{BCFBB123-2467-4252-A786-8D9441BF165A}"/>
    <cellStyle name="Cella collegata 3 3 4 2" xfId="4304" xr:uid="{229EF659-CF0E-4300-A4D7-35AAC728E6AC}"/>
    <cellStyle name="Cella collegata 3 3 4 2 2" xfId="4305" xr:uid="{CDE953F5-BE83-441A-B284-B7F5E31C4C3C}"/>
    <cellStyle name="Cella collegata 3 3 4 3" xfId="4306" xr:uid="{88171B5B-D461-4C4F-B16A-50E0CF32AA60}"/>
    <cellStyle name="Cella collegata 3 3 5" xfId="4307" xr:uid="{3235C66E-CA4A-40D4-89C0-0D915ADF1A36}"/>
    <cellStyle name="Cella collegata 3 3 5 2" xfId="4308" xr:uid="{7F8A94AF-E954-489D-9FD1-39AF8D61CCCC}"/>
    <cellStyle name="Cella collegata 3 3 5 2 2" xfId="4309" xr:uid="{FE02AFBF-81DD-4C7D-8376-ADDCA1F7F450}"/>
    <cellStyle name="Cella collegata 3 3 5 3" xfId="4310" xr:uid="{61E1711F-F96F-420E-A7AB-FC10DEDD2F16}"/>
    <cellStyle name="Cella collegata 3 3 6" xfId="4311" xr:uid="{4BF934A3-9A2C-4354-8B49-A2B65EAB5D04}"/>
    <cellStyle name="Cella collegata 3 3 6 2" xfId="4312" xr:uid="{EF111195-D053-4FA1-8F07-EE2660DC6F27}"/>
    <cellStyle name="Cella collegata 3 3 6 2 2" xfId="4313" xr:uid="{6CEA31C7-343D-42A0-9C0E-1CC34E4D41CA}"/>
    <cellStyle name="Cella collegata 3 3 6 3" xfId="4314" xr:uid="{A010B1E9-CBD6-44D8-9E99-62F1FB103501}"/>
    <cellStyle name="Cella collegata 3 3 7" xfId="4315" xr:uid="{B8068E1E-8D3B-47BA-A973-3988EC6546A6}"/>
    <cellStyle name="Cella collegata 3 3 7 2" xfId="4316" xr:uid="{D1C8FD5B-EE48-4AA1-B244-BD813330800A}"/>
    <cellStyle name="Cella collegata 3 3 7 2 2" xfId="4317" xr:uid="{5099A928-0039-4F9D-B31A-16AC490E9562}"/>
    <cellStyle name="Cella collegata 3 3 7 3" xfId="4318" xr:uid="{C6323681-2E85-460C-AD2A-91A59367D284}"/>
    <cellStyle name="Cella collegata 3 3 8" xfId="4319" xr:uid="{9D6E50F2-0FB9-45C7-AF88-EB6B2D0B61B3}"/>
    <cellStyle name="Cella collegata 3 3 8 2" xfId="4320" xr:uid="{64C486D0-148E-493D-A00A-981D01BA68F8}"/>
    <cellStyle name="Cella collegata 3 3 8 2 2" xfId="4321" xr:uid="{6FBA4D3B-A731-4EE2-8B09-D30C943D311E}"/>
    <cellStyle name="Cella collegata 3 3 8 3" xfId="4322" xr:uid="{E7927637-3A89-472C-9C76-42740AA6DA05}"/>
    <cellStyle name="Cella collegata 3 3 9" xfId="4323" xr:uid="{20F82186-592C-4199-BF96-0303191E65BB}"/>
    <cellStyle name="Cella collegata 3 3 9 2" xfId="4324" xr:uid="{3E2572B5-C78A-4837-8A5D-2332CD076F53}"/>
    <cellStyle name="Cella collegata 3 3 9 2 2" xfId="4325" xr:uid="{AA2A3033-293F-4405-A442-091EA306186B}"/>
    <cellStyle name="Cella collegata 3 3 9 3" xfId="4326" xr:uid="{8FA8E20B-6DF0-4FA7-B2B5-53D975781262}"/>
    <cellStyle name="Cella collegata 3 4" xfId="4327" xr:uid="{40A35C98-E4F3-4301-BDB7-2338A0260E81}"/>
    <cellStyle name="Cella collegata 3 4 10" xfId="4328" xr:uid="{5D026046-36C0-4806-B1EB-D084748AB0F3}"/>
    <cellStyle name="Cella collegata 3 4 10 2" xfId="4329" xr:uid="{A4A1FFB7-914E-49AA-A669-D73CED3BFA46}"/>
    <cellStyle name="Cella collegata 3 4 11" xfId="4330" xr:uid="{527D39AB-8E57-4578-B56B-7677E23456FA}"/>
    <cellStyle name="Cella collegata 3 4 2" xfId="4331" xr:uid="{83ABAE80-8E33-453D-9C80-325513E3C97C}"/>
    <cellStyle name="Cella collegata 3 4 2 2" xfId="4332" xr:uid="{D1707E7E-AF04-403C-B3F4-59F756DB6C82}"/>
    <cellStyle name="Cella collegata 3 4 2 2 2" xfId="4333" xr:uid="{EB32C357-BD78-4578-BBD0-547EAA40B418}"/>
    <cellStyle name="Cella collegata 3 4 2 3" xfId="4334" xr:uid="{9EB6D546-BA50-4C15-8649-72537C5D0B56}"/>
    <cellStyle name="Cella collegata 3 4 3" xfId="4335" xr:uid="{72677CB4-3573-4339-B478-AA75B2D25DF3}"/>
    <cellStyle name="Cella collegata 3 4 3 2" xfId="4336" xr:uid="{62904FC0-BFFF-437E-BD17-C61E1C88B243}"/>
    <cellStyle name="Cella collegata 3 4 3 2 2" xfId="4337" xr:uid="{46783781-E36A-4CE1-B298-BE394B18B0EE}"/>
    <cellStyle name="Cella collegata 3 4 3 3" xfId="4338" xr:uid="{209B2FA9-A1C4-481F-88EB-FFBEE07B17C0}"/>
    <cellStyle name="Cella collegata 3 4 4" xfId="4339" xr:uid="{D944087F-D56B-4B57-AEDD-6004048A5352}"/>
    <cellStyle name="Cella collegata 3 4 4 2" xfId="4340" xr:uid="{D9412058-A561-45F8-BAEE-027EACEC6BA6}"/>
    <cellStyle name="Cella collegata 3 4 4 2 2" xfId="4341" xr:uid="{1A3383D8-C107-471E-9797-A93C76FAEDE1}"/>
    <cellStyle name="Cella collegata 3 4 4 3" xfId="4342" xr:uid="{455DCFD4-CFFB-4E76-BEE7-D60ECABEC45D}"/>
    <cellStyle name="Cella collegata 3 4 5" xfId="4343" xr:uid="{25422C98-5900-4792-968B-BD51F8AC4B68}"/>
    <cellStyle name="Cella collegata 3 4 5 2" xfId="4344" xr:uid="{32DEEDA6-3D56-4E64-AE1E-E87B8F33D164}"/>
    <cellStyle name="Cella collegata 3 4 5 2 2" xfId="4345" xr:uid="{F19BF41A-B9F7-4DE3-BE7D-1F0B597E76E3}"/>
    <cellStyle name="Cella collegata 3 4 5 3" xfId="4346" xr:uid="{2DD11A99-2C79-4608-B7FE-B7F90F739D2E}"/>
    <cellStyle name="Cella collegata 3 4 6" xfId="4347" xr:uid="{EE113BFA-7797-4BAF-A8A2-0B114818D199}"/>
    <cellStyle name="Cella collegata 3 4 6 2" xfId="4348" xr:uid="{7F41FC24-286E-4263-A5E0-F32B298A0601}"/>
    <cellStyle name="Cella collegata 3 4 6 2 2" xfId="4349" xr:uid="{4C9235CC-D32D-4927-89FF-13DC23B00580}"/>
    <cellStyle name="Cella collegata 3 4 6 3" xfId="4350" xr:uid="{75AD3177-BCBD-4C88-BE5E-3586D4FB1C25}"/>
    <cellStyle name="Cella collegata 3 4 7" xfId="4351" xr:uid="{E9A1A97A-4ADF-480B-ACF1-6D8E369D02BF}"/>
    <cellStyle name="Cella collegata 3 4 7 2" xfId="4352" xr:uid="{281D7763-BA4B-485E-A2D2-7A81C4155E39}"/>
    <cellStyle name="Cella collegata 3 4 7 2 2" xfId="4353" xr:uid="{CF4A10D5-04F0-47F9-9672-63840F93114C}"/>
    <cellStyle name="Cella collegata 3 4 7 3" xfId="4354" xr:uid="{1F953CAF-F9E7-44C5-80EC-91013F4F389D}"/>
    <cellStyle name="Cella collegata 3 4 8" xfId="4355" xr:uid="{80943D07-0EFE-4C4D-BCF4-289FB6C3F491}"/>
    <cellStyle name="Cella collegata 3 4 8 2" xfId="4356" xr:uid="{605F79DD-3381-4DA2-8602-FFCE28942BAE}"/>
    <cellStyle name="Cella collegata 3 4 8 2 2" xfId="4357" xr:uid="{FE20F601-2323-46CE-BDE9-A07B3BFEB7D6}"/>
    <cellStyle name="Cella collegata 3 4 8 3" xfId="4358" xr:uid="{2CB2FB25-8A14-42C8-9EAD-E43D44013314}"/>
    <cellStyle name="Cella collegata 3 4 9" xfId="4359" xr:uid="{FC6D2DE4-062B-47E0-8DC8-49CC15C1CACE}"/>
    <cellStyle name="Cella collegata 3 4 9 2" xfId="4360" xr:uid="{45AEA3E5-1192-45A1-880A-8F53372B937C}"/>
    <cellStyle name="Cella collegata 3 4 9 2 2" xfId="4361" xr:uid="{9AFBD1DC-7968-4063-A072-CBD014C8EB0B}"/>
    <cellStyle name="Cella collegata 3 4 9 3" xfId="4362" xr:uid="{446FE215-0624-41A5-B668-C77AF9938CC3}"/>
    <cellStyle name="Cella collegata 3 5" xfId="4363" xr:uid="{EE6A61B3-310D-4181-A04A-739316F6CB93}"/>
    <cellStyle name="Cella collegata 3 5 2" xfId="4364" xr:uid="{5218932C-BEBC-446A-8599-3AA8080A8874}"/>
    <cellStyle name="Cella collegata 3 5 2 2" xfId="4365" xr:uid="{E500CF7E-EEFB-4E5D-BAAD-24A47B81A034}"/>
    <cellStyle name="Cella collegata 3 5 3" xfId="4366" xr:uid="{28CAA225-CE8F-4F8C-B683-22A137DA7709}"/>
    <cellStyle name="Cella collegata 3 6" xfId="4367" xr:uid="{709FC48D-2299-421F-BB07-84F3786E0944}"/>
    <cellStyle name="Cella collegata 3 6 2" xfId="4368" xr:uid="{37E8400A-B0ED-47F7-889E-F9CE1106A306}"/>
    <cellStyle name="Cella collegata 3 6 2 2" xfId="4369" xr:uid="{B957CBA7-FB36-4BCE-8F04-09526019470A}"/>
    <cellStyle name="Cella collegata 3 6 3" xfId="4370" xr:uid="{0A3E2DF8-3908-409D-9E9C-F3B5D6B7373C}"/>
    <cellStyle name="Cella collegata 3 7" xfId="4371" xr:uid="{FD025022-2DDE-4B6A-8437-5A6E57994341}"/>
    <cellStyle name="Cella collegata 3 7 2" xfId="4372" xr:uid="{9EE3DB90-F123-46F1-B418-92EA4E8B7BDF}"/>
    <cellStyle name="Cella collegata 3 7 2 2" xfId="4373" xr:uid="{DBA005FD-4D7D-475F-86BE-2CA152B6A1B7}"/>
    <cellStyle name="Cella collegata 3 7 3" xfId="4374" xr:uid="{899F99FD-CB2E-4AC3-8A6D-412CA95D29F5}"/>
    <cellStyle name="Cella collegata 3 8" xfId="4375" xr:uid="{0A6F2C0D-F3D9-4D1C-871D-E93465D64AD6}"/>
    <cellStyle name="Cella collegata 3 8 2" xfId="4376" xr:uid="{ED45A797-D95F-4AFB-858E-C7EE96780702}"/>
    <cellStyle name="Cella collegata 3 8 2 2" xfId="4377" xr:uid="{3BA95B9F-E101-474F-906C-963B04CE1267}"/>
    <cellStyle name="Cella collegata 3 8 3" xfId="4378" xr:uid="{18E5CE83-EDB1-429E-8D04-7B3D807E6D9B}"/>
    <cellStyle name="Cella collegata 3 9" xfId="4379" xr:uid="{26862E88-F68E-4A71-82E9-4133B47EDBB3}"/>
    <cellStyle name="Cella collegata 3 9 2" xfId="4380" xr:uid="{7DE717EF-1258-41BC-9C44-8F29641FDC69}"/>
    <cellStyle name="Cella collegata 3 9 2 2" xfId="4381" xr:uid="{8D8DD857-45F9-40D2-98C5-0C939E0DA97D}"/>
    <cellStyle name="Cella collegata 3 9 3" xfId="4382" xr:uid="{9F75FA52-14CF-4019-80A8-01AF10D3914E}"/>
    <cellStyle name="Cella collegata 4" xfId="4383" xr:uid="{84E69A3A-9CF2-43B7-9B44-5FC5421F2A88}"/>
    <cellStyle name="Cella collegata 4 10" xfId="4384" xr:uid="{826F4E16-4EB2-48D0-A939-CBB688091403}"/>
    <cellStyle name="Cella collegata 4 10 2" xfId="4385" xr:uid="{74F4DC4D-B201-433B-9BA8-595098503CFF}"/>
    <cellStyle name="Cella collegata 4 10 2 2" xfId="4386" xr:uid="{C516F472-4946-4DA4-9518-9E279BF5F55F}"/>
    <cellStyle name="Cella collegata 4 10 3" xfId="4387" xr:uid="{67D87BF1-BF10-4978-BF5D-BA8C0AE455E3}"/>
    <cellStyle name="Cella collegata 4 11" xfId="4388" xr:uid="{DDA0D2E5-ADF1-4E7F-BDAE-948A2D336F77}"/>
    <cellStyle name="Cella collegata 4 11 2" xfId="4389" xr:uid="{39D93501-F8A4-410F-945F-1A60181D2BFA}"/>
    <cellStyle name="Cella collegata 4 11 2 2" xfId="4390" xr:uid="{9C21B7BE-CC1B-4B28-8F8A-A2287D369264}"/>
    <cellStyle name="Cella collegata 4 11 3" xfId="4391" xr:uid="{F0CE7CD4-000B-4044-B31B-A1EC387A1FC9}"/>
    <cellStyle name="Cella collegata 4 12" xfId="4392" xr:uid="{FFF290EA-CCC8-4118-A630-618132B5C836}"/>
    <cellStyle name="Cella collegata 4 12 2" xfId="4393" xr:uid="{EA9F75F3-F15B-4C8D-A7CC-E5B7286D3043}"/>
    <cellStyle name="Cella collegata 4 13" xfId="4394" xr:uid="{A927958C-2B92-40FA-A99B-E5DBB92FAEA0}"/>
    <cellStyle name="Cella collegata 4 2" xfId="4395" xr:uid="{4A6C9E6D-77AA-481A-90F8-CBD66583FD02}"/>
    <cellStyle name="Cella collegata 4 2 10" xfId="4396" xr:uid="{6324EE11-0E31-4765-AB69-D661D6ABB434}"/>
    <cellStyle name="Cella collegata 4 2 10 2" xfId="4397" xr:uid="{9748507C-FF8D-4FB8-968C-01A21B24ECB2}"/>
    <cellStyle name="Cella collegata 4 2 10 2 2" xfId="4398" xr:uid="{6512B270-5E74-4766-B3A7-EA15FB1012D6}"/>
    <cellStyle name="Cella collegata 4 2 10 3" xfId="4399" xr:uid="{AE08B02E-A9A2-4DB9-941F-7EFC0D35A8D0}"/>
    <cellStyle name="Cella collegata 4 2 11" xfId="4400" xr:uid="{AE4645FA-2C08-43A2-8A56-41F1AA9FC645}"/>
    <cellStyle name="Cella collegata 4 2 11 2" xfId="4401" xr:uid="{5EDA8E04-B048-4737-B930-D0BC72B766C2}"/>
    <cellStyle name="Cella collegata 4 2 12" xfId="4402" xr:uid="{5E158470-A49E-4EDE-9735-42CF81C3A8C8}"/>
    <cellStyle name="Cella collegata 4 2 2" xfId="4403" xr:uid="{920C6308-D2CE-4605-93A5-A0C78376C53B}"/>
    <cellStyle name="Cella collegata 4 2 2 2" xfId="4404" xr:uid="{F6CB29FF-4580-4AE9-AAEA-39C970C75A34}"/>
    <cellStyle name="Cella collegata 4 2 2 2 2" xfId="4405" xr:uid="{BCA903C7-05F6-4899-A7A5-538AFC76B27D}"/>
    <cellStyle name="Cella collegata 4 2 2 3" xfId="4406" xr:uid="{850A2B9F-C50B-4BA1-8F76-6978DB25CAC7}"/>
    <cellStyle name="Cella collegata 4 2 3" xfId="4407" xr:uid="{A212660B-13A5-480E-A08F-14F27234C93F}"/>
    <cellStyle name="Cella collegata 4 2 3 2" xfId="4408" xr:uid="{B4611669-7637-4D70-A033-AAAE69F8E014}"/>
    <cellStyle name="Cella collegata 4 2 3 2 2" xfId="4409" xr:uid="{700A835E-7C82-46C3-9E7D-E62B9BF6B035}"/>
    <cellStyle name="Cella collegata 4 2 3 3" xfId="4410" xr:uid="{A0752895-DC66-483B-9531-A80CC7FC736A}"/>
    <cellStyle name="Cella collegata 4 2 4" xfId="4411" xr:uid="{6C4C8AD1-2EFE-44AC-95EC-D0641B2C3479}"/>
    <cellStyle name="Cella collegata 4 2 4 2" xfId="4412" xr:uid="{9BBD41E9-3017-4D74-9350-D90D4B191DA8}"/>
    <cellStyle name="Cella collegata 4 2 4 2 2" xfId="4413" xr:uid="{8D343E54-7F0E-4F28-9FE9-5DA4C40066D3}"/>
    <cellStyle name="Cella collegata 4 2 4 3" xfId="4414" xr:uid="{13A61E94-C90D-4704-B9EF-C571830F2EBA}"/>
    <cellStyle name="Cella collegata 4 2 5" xfId="4415" xr:uid="{33895F2C-B798-41BA-82D6-A894E95A63FF}"/>
    <cellStyle name="Cella collegata 4 2 5 2" xfId="4416" xr:uid="{E3ED66AF-CE01-4A52-9FD1-2C483448EE83}"/>
    <cellStyle name="Cella collegata 4 2 5 2 2" xfId="4417" xr:uid="{34D229B1-3A47-43C8-8498-CA95F488E6B2}"/>
    <cellStyle name="Cella collegata 4 2 5 3" xfId="4418" xr:uid="{3C934C3B-3340-43B3-8E2A-7EE93BB96E0E}"/>
    <cellStyle name="Cella collegata 4 2 6" xfId="4419" xr:uid="{90708760-5CEA-4AC1-A88A-70F4C76C058E}"/>
    <cellStyle name="Cella collegata 4 2 6 2" xfId="4420" xr:uid="{970A4F7D-ED47-4409-BE7C-72CE220BC874}"/>
    <cellStyle name="Cella collegata 4 2 6 2 2" xfId="4421" xr:uid="{705BEA08-8232-48A4-AEB6-8B4F66A71491}"/>
    <cellStyle name="Cella collegata 4 2 6 3" xfId="4422" xr:uid="{45B6A8BD-7718-484A-A640-19FA0232ECC2}"/>
    <cellStyle name="Cella collegata 4 2 7" xfId="4423" xr:uid="{F906DB3A-6A0B-4F7F-A3AF-C5135A2EF928}"/>
    <cellStyle name="Cella collegata 4 2 7 2" xfId="4424" xr:uid="{2208E42B-1EC1-4DBE-B1B0-E8A689A8855E}"/>
    <cellStyle name="Cella collegata 4 2 7 2 2" xfId="4425" xr:uid="{DDD6DDBD-FA30-4359-8161-B56985CE9877}"/>
    <cellStyle name="Cella collegata 4 2 7 3" xfId="4426" xr:uid="{7EC7AF35-7FF3-47A9-B655-76A198D1966B}"/>
    <cellStyle name="Cella collegata 4 2 8" xfId="4427" xr:uid="{073F110F-50F1-4863-9683-C6C00B26075C}"/>
    <cellStyle name="Cella collegata 4 2 8 2" xfId="4428" xr:uid="{27AFCAA1-A2D4-4F63-AE0F-260AE43B7434}"/>
    <cellStyle name="Cella collegata 4 2 8 2 2" xfId="4429" xr:uid="{180845D7-083B-4A62-8EFD-30C44C55CE1B}"/>
    <cellStyle name="Cella collegata 4 2 8 3" xfId="4430" xr:uid="{5BBCB2D2-20F6-4FEE-84BD-08DD3D53CBB5}"/>
    <cellStyle name="Cella collegata 4 2 9" xfId="4431" xr:uid="{571FA3DD-D968-4782-988F-2305473BEDBC}"/>
    <cellStyle name="Cella collegata 4 2 9 2" xfId="4432" xr:uid="{94D7F9E6-E2EC-4560-BC60-E474A57C40EA}"/>
    <cellStyle name="Cella collegata 4 2 9 2 2" xfId="4433" xr:uid="{9B945F65-83C4-4E72-B31D-E2C5757AA522}"/>
    <cellStyle name="Cella collegata 4 2 9 3" xfId="4434" xr:uid="{1D0E2C5B-8088-4BAE-B750-0E1C70ECBCDD}"/>
    <cellStyle name="Cella collegata 4 3" xfId="4435" xr:uid="{87E63D56-AED3-469A-82AF-56372AF17615}"/>
    <cellStyle name="Cella collegata 4 3 10" xfId="4436" xr:uid="{A0675766-886A-4ACF-8B58-476A9B4B27CC}"/>
    <cellStyle name="Cella collegata 4 3 10 2" xfId="4437" xr:uid="{45A7F7F1-DD0A-4260-8E91-ACC71E497040}"/>
    <cellStyle name="Cella collegata 4 3 11" xfId="4438" xr:uid="{B76BD415-821F-47C0-9C1A-AD4DC51E048B}"/>
    <cellStyle name="Cella collegata 4 3 2" xfId="4439" xr:uid="{891170E6-CAF6-4C79-B693-9D976C7CE169}"/>
    <cellStyle name="Cella collegata 4 3 2 2" xfId="4440" xr:uid="{A1B1796D-1729-45F9-88FA-000AFD444887}"/>
    <cellStyle name="Cella collegata 4 3 2 2 2" xfId="4441" xr:uid="{44213579-C413-45AC-A999-8688EF54D108}"/>
    <cellStyle name="Cella collegata 4 3 2 3" xfId="4442" xr:uid="{BBBE80E4-D675-4717-8A75-1E4185641E47}"/>
    <cellStyle name="Cella collegata 4 3 3" xfId="4443" xr:uid="{91C81322-0DF9-4A25-A695-30652C547582}"/>
    <cellStyle name="Cella collegata 4 3 3 2" xfId="4444" xr:uid="{69B5D21D-FEBD-4F0F-8F07-FA94EAB8F1D1}"/>
    <cellStyle name="Cella collegata 4 3 3 2 2" xfId="4445" xr:uid="{4CA8FAC3-5F54-489E-A8F4-2CFA9F9FF04F}"/>
    <cellStyle name="Cella collegata 4 3 3 3" xfId="4446" xr:uid="{766CE720-9970-40CA-8926-9294DEEBB5B3}"/>
    <cellStyle name="Cella collegata 4 3 4" xfId="4447" xr:uid="{EDA2D6A3-23BF-4617-99C1-528CC8F8D5B1}"/>
    <cellStyle name="Cella collegata 4 3 4 2" xfId="4448" xr:uid="{08DC0322-7A7D-4034-A5D7-F9420DFEA132}"/>
    <cellStyle name="Cella collegata 4 3 4 2 2" xfId="4449" xr:uid="{52778CC1-8076-44B5-BFA1-A28F57AFC1EC}"/>
    <cellStyle name="Cella collegata 4 3 4 3" xfId="4450" xr:uid="{C7B9C4E7-9F29-4803-AC89-3E4549C80CA1}"/>
    <cellStyle name="Cella collegata 4 3 5" xfId="4451" xr:uid="{5F109DB4-CDC9-4554-B023-FF7C2F16208C}"/>
    <cellStyle name="Cella collegata 4 3 5 2" xfId="4452" xr:uid="{10A7DC8B-B96A-482B-BA71-A38195B4B0FB}"/>
    <cellStyle name="Cella collegata 4 3 5 2 2" xfId="4453" xr:uid="{65A8C1F8-C01E-4CC5-B7F0-03F27F1FC280}"/>
    <cellStyle name="Cella collegata 4 3 5 3" xfId="4454" xr:uid="{847ECEEF-323E-49F2-9D26-9264318A0222}"/>
    <cellStyle name="Cella collegata 4 3 6" xfId="4455" xr:uid="{C16AABCA-B4DC-4E55-A29C-460A3814316A}"/>
    <cellStyle name="Cella collegata 4 3 6 2" xfId="4456" xr:uid="{14CF831B-B5BA-465B-A4C8-08715212EFD7}"/>
    <cellStyle name="Cella collegata 4 3 6 2 2" xfId="4457" xr:uid="{D7D52BC0-CE55-4603-873A-57D6DC9851D8}"/>
    <cellStyle name="Cella collegata 4 3 6 3" xfId="4458" xr:uid="{ACDD3EE7-0992-4C2C-857A-4E30AEC16968}"/>
    <cellStyle name="Cella collegata 4 3 7" xfId="4459" xr:uid="{91F85332-5B21-4BAB-8F16-2834C6EB2AD0}"/>
    <cellStyle name="Cella collegata 4 3 7 2" xfId="4460" xr:uid="{BE9B8EE0-C5CD-4FF1-8F03-33D537C6691A}"/>
    <cellStyle name="Cella collegata 4 3 7 2 2" xfId="4461" xr:uid="{0AF96B4C-A933-44FB-8C3D-41A886786217}"/>
    <cellStyle name="Cella collegata 4 3 7 3" xfId="4462" xr:uid="{9A1419E3-4397-46DE-9F6B-70EE1854F7BC}"/>
    <cellStyle name="Cella collegata 4 3 8" xfId="4463" xr:uid="{6B8FEABA-364C-44C5-8692-93533916E37A}"/>
    <cellStyle name="Cella collegata 4 3 8 2" xfId="4464" xr:uid="{46C8FF5D-CEBE-4050-88FE-082AE3403BDA}"/>
    <cellStyle name="Cella collegata 4 3 8 2 2" xfId="4465" xr:uid="{2E3AB1F8-E52A-468D-9C97-B1E61143A094}"/>
    <cellStyle name="Cella collegata 4 3 8 3" xfId="4466" xr:uid="{05C31DAB-F0FC-4506-B743-D88E19A2D18A}"/>
    <cellStyle name="Cella collegata 4 3 9" xfId="4467" xr:uid="{24CA6D2D-4311-4854-9AC8-8F2DE3B2D03F}"/>
    <cellStyle name="Cella collegata 4 3 9 2" xfId="4468" xr:uid="{953AC6C0-B5EB-4B6B-9E29-9ADE827299A3}"/>
    <cellStyle name="Cella collegata 4 3 9 2 2" xfId="4469" xr:uid="{97F3C96A-34B5-4E04-AF60-A17585F3F710}"/>
    <cellStyle name="Cella collegata 4 3 9 3" xfId="4470" xr:uid="{7C09D9F5-6533-442D-9E77-8A219C0500FC}"/>
    <cellStyle name="Cella collegata 4 4" xfId="4471" xr:uid="{B34BF30C-4127-4986-AABA-E89445193C9F}"/>
    <cellStyle name="Cella collegata 4 4 2" xfId="4472" xr:uid="{61E3E72E-AF2D-4609-9EA3-739B3DB6DECC}"/>
    <cellStyle name="Cella collegata 4 4 2 2" xfId="4473" xr:uid="{F1E7ED22-B7CC-48F2-B0E2-61AA557DE338}"/>
    <cellStyle name="Cella collegata 4 4 3" xfId="4474" xr:uid="{DF2B6928-D7E9-4C1D-A4DC-4AF8FDBBA55A}"/>
    <cellStyle name="Cella collegata 4 5" xfId="4475" xr:uid="{840CD676-52E2-4BFA-9B5F-93D2FB17E20E}"/>
    <cellStyle name="Cella collegata 4 5 2" xfId="4476" xr:uid="{2C2AAA72-5A5E-4A39-BA2B-F6B823A34F8E}"/>
    <cellStyle name="Cella collegata 4 5 2 2" xfId="4477" xr:uid="{D6D1BFD5-FC4F-4087-A210-8456DC483499}"/>
    <cellStyle name="Cella collegata 4 5 3" xfId="4478" xr:uid="{FE52A4BF-977D-44C3-AA6C-EAD7DF414CA5}"/>
    <cellStyle name="Cella collegata 4 6" xfId="4479" xr:uid="{17C66E17-8B90-499A-8971-057C29C7B29F}"/>
    <cellStyle name="Cella collegata 4 6 2" xfId="4480" xr:uid="{F002A1B7-B8E9-4CFF-92CE-8B761D246C3E}"/>
    <cellStyle name="Cella collegata 4 6 2 2" xfId="4481" xr:uid="{D6D3C747-618D-4A34-A911-D8C285314801}"/>
    <cellStyle name="Cella collegata 4 6 3" xfId="4482" xr:uid="{47753A3C-5BDB-40A7-9EB3-A4DC4CF38669}"/>
    <cellStyle name="Cella collegata 4 7" xfId="4483" xr:uid="{ECA5A9A2-D162-45A1-9AE9-8B9F2FAEBA04}"/>
    <cellStyle name="Cella collegata 4 7 2" xfId="4484" xr:uid="{F938B4A3-7BA6-4604-96F8-13590FA8BF3E}"/>
    <cellStyle name="Cella collegata 4 7 2 2" xfId="4485" xr:uid="{AB049030-125B-4F24-9415-74750A6E62F7}"/>
    <cellStyle name="Cella collegata 4 7 3" xfId="4486" xr:uid="{A99514F7-2662-440B-8978-7E6EFCA2A159}"/>
    <cellStyle name="Cella collegata 4 8" xfId="4487" xr:uid="{6813196A-24B1-4975-BC7C-631C551E148D}"/>
    <cellStyle name="Cella collegata 4 8 2" xfId="4488" xr:uid="{92247F9D-AAFA-4BD8-AFDF-A568F060AA08}"/>
    <cellStyle name="Cella collegata 4 8 2 2" xfId="4489" xr:uid="{CF6675A3-AF34-48B5-B164-DDB9D3CE8879}"/>
    <cellStyle name="Cella collegata 4 8 3" xfId="4490" xr:uid="{8E0465C1-2BF2-40CA-8292-38D50122BE3B}"/>
    <cellStyle name="Cella collegata 4 9" xfId="4491" xr:uid="{CF81AAF4-407A-4D1B-B212-836BD78B5AF0}"/>
    <cellStyle name="Cella collegata 4 9 2" xfId="4492" xr:uid="{AD1D91E8-1652-4E49-BB3B-B395CCC07670}"/>
    <cellStyle name="Cella collegata 4 9 2 2" xfId="4493" xr:uid="{D16622A6-2258-4F4D-8D5A-4DA8D5DBEB5F}"/>
    <cellStyle name="Cella collegata 4 9 3" xfId="4494" xr:uid="{4EFE43CF-706E-4544-9C17-031A676A5BF4}"/>
    <cellStyle name="Cella da controllare" xfId="4495" xr:uid="{62CA2666-8D18-4016-B507-847CB23B84D7}"/>
    <cellStyle name="Cella da controllare 2" xfId="4496" xr:uid="{895B57E2-42EB-4422-BB7D-A90558ECDE7E}"/>
    <cellStyle name="Cella da controllare 2 10" xfId="4497" xr:uid="{3BA9F230-A77A-457F-8A0F-A66E8B451089}"/>
    <cellStyle name="Cella da controllare 2 10 2" xfId="4498" xr:uid="{F886915D-D6C9-4B79-8C1F-AD06B91F6D5B}"/>
    <cellStyle name="Cella da controllare 2 10 2 2" xfId="4499" xr:uid="{EF1C4FE1-F33F-4F1F-A90B-1AAB60DE5FEC}"/>
    <cellStyle name="Cella da controllare 2 10 3" xfId="4500" xr:uid="{8FCB7FD1-6343-48FE-8AC1-F39B32030278}"/>
    <cellStyle name="Cella da controllare 2 11" xfId="4501" xr:uid="{0D950235-CC83-463D-8853-2668D5BA5086}"/>
    <cellStyle name="Cella da controllare 2 11 2" xfId="4502" xr:uid="{FEFEC3F3-6179-413C-833C-EB9A03932357}"/>
    <cellStyle name="Cella da controllare 2 11 2 2" xfId="4503" xr:uid="{6B164823-7C20-437C-97CA-51E5CD61648C}"/>
    <cellStyle name="Cella da controllare 2 11 3" xfId="4504" xr:uid="{4C2CC394-7A5E-48C9-B467-D59F7314A73F}"/>
    <cellStyle name="Cella da controllare 2 12" xfId="4505" xr:uid="{3098CB35-13D0-4E6A-9AD1-BB752EAE8564}"/>
    <cellStyle name="Cella da controllare 2 12 2" xfId="4506" xr:uid="{FF2615C7-F212-43BA-ADB2-5614D76FA050}"/>
    <cellStyle name="Cella da controllare 2 12 2 2" xfId="4507" xr:uid="{9A4D1DBF-81CE-48A2-965C-6C09BE4BD834}"/>
    <cellStyle name="Cella da controllare 2 12 3" xfId="4508" xr:uid="{CC7FA986-A685-4E0E-A8A3-4EC6E4DE40C6}"/>
    <cellStyle name="Cella da controllare 2 13" xfId="4509" xr:uid="{75D9CD65-C2C9-4DC7-A71C-1A4F4FDB5655}"/>
    <cellStyle name="Cella da controllare 2 13 2" xfId="4510" xr:uid="{99C3A952-F836-4201-A9C6-670AFB424A91}"/>
    <cellStyle name="Cella da controllare 2 13 2 2" xfId="4511" xr:uid="{13345B32-A7DF-4B40-AC77-E8BF03F9C050}"/>
    <cellStyle name="Cella da controllare 2 13 3" xfId="4512" xr:uid="{91AB70FA-56B4-4024-A7A9-FEAE444692A9}"/>
    <cellStyle name="Cella da controllare 2 2" xfId="4513" xr:uid="{01FBA9E7-9561-40C1-9FB1-6124D6654CF9}"/>
    <cellStyle name="Cella da controllare 2 2 2" xfId="4514" xr:uid="{6B68435B-6375-468D-9027-6F68296D78B0}"/>
    <cellStyle name="Cella da controllare 2 2 2 2" xfId="4515" xr:uid="{E4A42D7F-6923-4703-98FF-23235159F953}"/>
    <cellStyle name="Cella da controllare 2 2 2 2 2" xfId="4516" xr:uid="{92D703F6-D52F-4A83-A0D1-E0C10BEF32DC}"/>
    <cellStyle name="Cella da controllare 2 2 2 3" xfId="4517" xr:uid="{E5A12258-CCC3-4098-9552-17360290AC08}"/>
    <cellStyle name="Cella da controllare 2 2 3" xfId="4518" xr:uid="{226867E0-55C9-4DFE-A05E-2EA335481C59}"/>
    <cellStyle name="Cella da controllare 2 2 3 2" xfId="4519" xr:uid="{6E346B5C-C080-4E64-BB58-B41592ABBE2E}"/>
    <cellStyle name="Cella da controllare 2 2 3 2 2" xfId="4520" xr:uid="{81EBB307-1738-4E37-BAC7-6EDE9C0DBAEF}"/>
    <cellStyle name="Cella da controllare 2 2 3 3" xfId="4521" xr:uid="{C7CA5E36-1862-4775-ABFA-F30DA2992152}"/>
    <cellStyle name="Cella da controllare 2 2 4" xfId="4522" xr:uid="{A5957294-D7E8-4287-8D48-1F380DC80CB5}"/>
    <cellStyle name="Cella da controllare 2 2 4 2" xfId="4523" xr:uid="{D5BA8C3A-A38D-4ECE-84CF-99972E2133D2}"/>
    <cellStyle name="Cella da controllare 2 2 4 2 2" xfId="4524" xr:uid="{BBD8895A-ED41-48C8-B605-86D6A48FF70D}"/>
    <cellStyle name="Cella da controllare 2 2 4 3" xfId="4525" xr:uid="{629E155F-3BAE-4D03-BE31-2A7E1BA094BC}"/>
    <cellStyle name="Cella da controllare 2 2 5" xfId="4526" xr:uid="{132FB522-2A6F-41DD-8CBE-F943B7A0487F}"/>
    <cellStyle name="Cella da controllare 2 2 5 2" xfId="4527" xr:uid="{8B0ECFBB-78F1-4EC0-92F4-FC1AFF2E8E17}"/>
    <cellStyle name="Cella da controllare 2 2 5 2 2" xfId="4528" xr:uid="{C476DE3B-FA25-46E3-8BC4-99671FE37A93}"/>
    <cellStyle name="Cella da controllare 2 2 5 3" xfId="4529" xr:uid="{3AE01534-86F7-4C26-A095-62CCD132A910}"/>
    <cellStyle name="Cella da controllare 2 2 6" xfId="4530" xr:uid="{A176D4AF-0450-49E2-A5D6-0DB9E4194C8C}"/>
    <cellStyle name="Cella da controllare 2 2 6 2" xfId="4531" xr:uid="{69A4F24C-6B4C-4B89-92FB-A907FF111858}"/>
    <cellStyle name="Cella da controllare 2 2 6 2 2" xfId="4532" xr:uid="{95E4AE96-F3FD-4B04-BE36-1A258483B2F0}"/>
    <cellStyle name="Cella da controllare 2 2 6 3" xfId="4533" xr:uid="{A5EC9A80-F278-427D-B466-ADD4BE7F88F3}"/>
    <cellStyle name="Cella da controllare 2 2 7" xfId="4534" xr:uid="{303117EE-AA86-4764-963D-6BBFCABEC5ED}"/>
    <cellStyle name="Cella da controllare 2 2 7 2" xfId="4535" xr:uid="{B8D4FCAE-97EB-4985-BF35-CE4395961AD9}"/>
    <cellStyle name="Cella da controllare 2 2 7 2 2" xfId="4536" xr:uid="{E2402E46-7618-40F3-BFC7-BDB7149D4A2A}"/>
    <cellStyle name="Cella da controllare 2 2 7 3" xfId="4537" xr:uid="{1361A32E-D13E-496E-BF52-4121FB681313}"/>
    <cellStyle name="Cella da controllare 2 2 8" xfId="4538" xr:uid="{7A8A8FEE-99BD-4B0C-95FF-E02F584791BD}"/>
    <cellStyle name="Cella da controllare 2 2 8 2" xfId="4539" xr:uid="{D10E2167-507C-4316-9ADF-0CA30827012F}"/>
    <cellStyle name="Cella da controllare 2 2 8 2 2" xfId="4540" xr:uid="{4DA2563B-D922-4918-8E87-B8222F1DCED0}"/>
    <cellStyle name="Cella da controllare 2 2 8 3" xfId="4541" xr:uid="{D63FDF3C-DEE7-4ED3-B9CF-7482B6301700}"/>
    <cellStyle name="Cella da controllare 2 2 9" xfId="4542" xr:uid="{3E4B1C91-5989-4DD7-AC3E-3A77557E2886}"/>
    <cellStyle name="Cella da controllare 2 2 9 2" xfId="4543" xr:uid="{46B35604-6EDF-4EA5-B4D5-6594B01A2C4A}"/>
    <cellStyle name="Cella da controllare 2 2 9 2 2" xfId="4544" xr:uid="{6E9EB59C-9DEC-4C7A-9F3B-21A6AD46F1C8}"/>
    <cellStyle name="Cella da controllare 2 2 9 3" xfId="4545" xr:uid="{0AE2EB4A-07AA-47A6-A85A-5A7A85703C30}"/>
    <cellStyle name="Cella da controllare 2 3" xfId="4546" xr:uid="{E41EA600-71E2-4654-B09A-469BD7C77262}"/>
    <cellStyle name="Cella da controllare 2 3 2" xfId="4547" xr:uid="{87FBA336-D015-4656-A2F1-FC4B1214BABF}"/>
    <cellStyle name="Cella da controllare 2 3 2 2" xfId="4548" xr:uid="{57D6AB08-AA33-42F9-911E-99353979B0A3}"/>
    <cellStyle name="Cella da controllare 2 3 2 2 2" xfId="4549" xr:uid="{87256588-47D8-4419-8A64-55A2DD66A74F}"/>
    <cellStyle name="Cella da controllare 2 3 2 3" xfId="4550" xr:uid="{FDA5A869-4275-430A-8018-0CF05C0D43D1}"/>
    <cellStyle name="Cella da controllare 2 3 3" xfId="4551" xr:uid="{0BB87E78-EAA8-4331-92DE-D45B3E900A8D}"/>
    <cellStyle name="Cella da controllare 2 3 3 2" xfId="4552" xr:uid="{09E26AE2-C2BE-4D88-BCD5-D609B909C341}"/>
    <cellStyle name="Cella da controllare 2 3 3 2 2" xfId="4553" xr:uid="{7FF500FB-430A-4435-A296-F6F93DDE46A5}"/>
    <cellStyle name="Cella da controllare 2 3 3 3" xfId="4554" xr:uid="{BFEDB38B-B51B-4DA4-859E-34783C2D04B9}"/>
    <cellStyle name="Cella da controllare 2 3 4" xfId="4555" xr:uid="{F78C04BF-D731-4F93-9D63-57F1A421EB55}"/>
    <cellStyle name="Cella da controllare 2 3 4 2" xfId="4556" xr:uid="{B31A292D-F905-48CE-870D-22DC2D7B0BBB}"/>
    <cellStyle name="Cella da controllare 2 3 4 2 2" xfId="4557" xr:uid="{4D1CC50D-41BA-4DF4-BB8E-38A4BCF57040}"/>
    <cellStyle name="Cella da controllare 2 3 4 3" xfId="4558" xr:uid="{FFEB64A4-F694-4387-9A79-DABF2C5981C4}"/>
    <cellStyle name="Cella da controllare 2 3 5" xfId="4559" xr:uid="{9170F08B-B4B3-4C69-BE4A-DC7AD7814D42}"/>
    <cellStyle name="Cella da controllare 2 3 5 2" xfId="4560" xr:uid="{EE15CCD8-A342-41F8-9F38-8FF1998F2FCC}"/>
    <cellStyle name="Cella da controllare 2 3 5 2 2" xfId="4561" xr:uid="{9D5A10F3-46DD-4992-B916-5C5E2ED946E3}"/>
    <cellStyle name="Cella da controllare 2 3 5 3" xfId="4562" xr:uid="{5FD57986-DABC-4058-9ECC-7D88CA669DAD}"/>
    <cellStyle name="Cella da controllare 2 3 6" xfId="4563" xr:uid="{86C853F7-E4BE-4E2A-8817-34CBCC070177}"/>
    <cellStyle name="Cella da controllare 2 3 6 2" xfId="4564" xr:uid="{08BE4C4F-8F1B-4058-97A2-824BABAFCA76}"/>
    <cellStyle name="Cella da controllare 2 3 6 2 2" xfId="4565" xr:uid="{4F5D8A76-9425-4229-80E4-04C9E0FAEEA0}"/>
    <cellStyle name="Cella da controllare 2 3 6 3" xfId="4566" xr:uid="{831F5C11-6BF1-479A-9D47-ACF742948CAD}"/>
    <cellStyle name="Cella da controllare 2 3 7" xfId="4567" xr:uid="{784455E7-A338-47A6-B45A-5139ED1F0A0B}"/>
    <cellStyle name="Cella da controllare 2 3 7 2" xfId="4568" xr:uid="{D8DFC691-4998-45CF-9778-7B3C14E4AB08}"/>
    <cellStyle name="Cella da controllare 2 3 7 2 2" xfId="4569" xr:uid="{BBB03FA3-81A7-4CE7-B9E0-4EF4F0385510}"/>
    <cellStyle name="Cella da controllare 2 3 7 3" xfId="4570" xr:uid="{B9412BE6-AEA8-4CE4-965F-DB6A27B84B54}"/>
    <cellStyle name="Cella da controllare 2 3 8" xfId="4571" xr:uid="{418B2801-A361-4ACC-9944-98DCCBC27769}"/>
    <cellStyle name="Cella da controllare 2 3 8 2" xfId="4572" xr:uid="{593C6509-852C-40AD-B4CA-F5DC45A0F52C}"/>
    <cellStyle name="Cella da controllare 2 3 8 2 2" xfId="4573" xr:uid="{548DCFB8-90A8-48CE-9B68-1FCED5958831}"/>
    <cellStyle name="Cella da controllare 2 3 8 3" xfId="4574" xr:uid="{1A8A447C-0DD6-4DC8-B00E-BDAEE3C7BB13}"/>
    <cellStyle name="Cella da controllare 2 3 9" xfId="4575" xr:uid="{352EB9A3-2A95-479E-B19D-D74DCD54E13B}"/>
    <cellStyle name="Cella da controllare 2 3 9 2" xfId="4576" xr:uid="{435E9E55-C6F1-42F4-818C-D26E55EE75DA}"/>
    <cellStyle name="Cella da controllare 2 3 9 2 2" xfId="4577" xr:uid="{A7938DD1-2136-4BDF-9C58-F2F8B796F775}"/>
    <cellStyle name="Cella da controllare 2 3 9 3" xfId="4578" xr:uid="{8A00AAF9-97E2-4FF0-A7AC-414C4C9069F5}"/>
    <cellStyle name="Cella da controllare 2 4" xfId="4579" xr:uid="{87477F1C-76E5-48C9-96FA-10C6338E9F20}"/>
    <cellStyle name="Cella da controllare 2 4 2" xfId="4580" xr:uid="{58B26C08-4BEB-4DE1-9027-A5B75DEF5CEB}"/>
    <cellStyle name="Cella da controllare 2 4 2 2" xfId="4581" xr:uid="{DAA422C1-E078-4943-80E4-26C77611FB0A}"/>
    <cellStyle name="Cella da controllare 2 4 2 2 2" xfId="4582" xr:uid="{2C0FB09D-691D-42E1-9F2B-89C2C916DD84}"/>
    <cellStyle name="Cella da controllare 2 4 2 3" xfId="4583" xr:uid="{9F3FB03D-4B91-4465-A043-3DD3D19E6588}"/>
    <cellStyle name="Cella da controllare 2 4 3" xfId="4584" xr:uid="{BDB4F123-DFD5-4D44-8DDC-F815AC5A4D33}"/>
    <cellStyle name="Cella da controllare 2 4 3 2" xfId="4585" xr:uid="{9D902947-C7FA-48E5-928B-E5443E2A713B}"/>
    <cellStyle name="Cella da controllare 2 4 3 2 2" xfId="4586" xr:uid="{A25C20AB-3AC8-49D0-A500-B88F91B1852E}"/>
    <cellStyle name="Cella da controllare 2 4 3 3" xfId="4587" xr:uid="{EC871DA5-8683-4DC2-9F78-B45378EDFC5C}"/>
    <cellStyle name="Cella da controllare 2 4 4" xfId="4588" xr:uid="{F23CED49-A474-46B2-9AB1-187559654258}"/>
    <cellStyle name="Cella da controllare 2 4 4 2" xfId="4589" xr:uid="{D8B18885-ABC0-4E13-BD9F-830CF16333ED}"/>
    <cellStyle name="Cella da controllare 2 4 4 2 2" xfId="4590" xr:uid="{3C925E4C-77FE-426C-9896-6D9BCE20351D}"/>
    <cellStyle name="Cella da controllare 2 4 4 3" xfId="4591" xr:uid="{8EAA2361-18B0-4CBF-8049-66BA742F2446}"/>
    <cellStyle name="Cella da controllare 2 4 5" xfId="4592" xr:uid="{B9DCDB99-D200-4E67-B886-93249FF5A9CF}"/>
    <cellStyle name="Cella da controllare 2 4 5 2" xfId="4593" xr:uid="{B9B8DE3C-E53A-4892-8B6A-6B2478F26062}"/>
    <cellStyle name="Cella da controllare 2 4 5 2 2" xfId="4594" xr:uid="{6DB84AFD-56BA-4811-9459-C9221F24CD61}"/>
    <cellStyle name="Cella da controllare 2 4 5 3" xfId="4595" xr:uid="{AFC15089-C9DF-485E-83AB-BCD09E3F67AA}"/>
    <cellStyle name="Cella da controllare 2 4 6" xfId="4596" xr:uid="{C5310F80-E189-4C04-8C34-D7BB7A79FEF4}"/>
    <cellStyle name="Cella da controllare 2 4 6 2" xfId="4597" xr:uid="{14144018-653B-47ED-B39A-610447A5564B}"/>
    <cellStyle name="Cella da controllare 2 4 6 2 2" xfId="4598" xr:uid="{857CA77E-BD2A-45F3-A6E4-20B58490802F}"/>
    <cellStyle name="Cella da controllare 2 4 6 3" xfId="4599" xr:uid="{9043717C-E725-46FA-AE2B-354994A876BA}"/>
    <cellStyle name="Cella da controllare 2 4 7" xfId="4600" xr:uid="{2B61BF2E-3E65-47AB-B1FC-B1884404081E}"/>
    <cellStyle name="Cella da controllare 2 4 7 2" xfId="4601" xr:uid="{8725CE23-8109-4106-9DA2-5039B7460DC3}"/>
    <cellStyle name="Cella da controllare 2 4 7 2 2" xfId="4602" xr:uid="{35B153C8-337B-41FF-8FC4-B3F42F54C39F}"/>
    <cellStyle name="Cella da controllare 2 4 7 3" xfId="4603" xr:uid="{60F601F1-3150-41EF-B9A4-7A12B4A1B72C}"/>
    <cellStyle name="Cella da controllare 2 4 8" xfId="4604" xr:uid="{F2A11A9A-B5FE-4DBE-8D71-1967569170BB}"/>
    <cellStyle name="Cella da controllare 2 4 8 2" xfId="4605" xr:uid="{FF662AB4-2CF5-49A3-BFC9-AAA7D92EBC9A}"/>
    <cellStyle name="Cella da controllare 2 4 8 2 2" xfId="4606" xr:uid="{95138146-6B9D-4BE3-B657-072DC279BF29}"/>
    <cellStyle name="Cella da controllare 2 4 8 3" xfId="4607" xr:uid="{AF4D069E-D1A2-438F-B100-6A4A0BC38F05}"/>
    <cellStyle name="Cella da controllare 2 4 9" xfId="4608" xr:uid="{AB5F5032-90E2-4D22-8563-7E3C58D5069F}"/>
    <cellStyle name="Cella da controllare 2 4 9 2" xfId="4609" xr:uid="{2B21EA80-F3C3-4362-AE6E-DC0CF95867D0}"/>
    <cellStyle name="Cella da controllare 2 4 9 2 2" xfId="4610" xr:uid="{6A99C815-6B8B-44B1-A98B-1B64D011634E}"/>
    <cellStyle name="Cella da controllare 2 4 9 3" xfId="4611" xr:uid="{9E5097DD-F333-44EE-82A1-258400471EF7}"/>
    <cellStyle name="Cella da controllare 2 5" xfId="4612" xr:uid="{6A5C31B7-0529-4984-89A3-0C1670A1414D}"/>
    <cellStyle name="Cella da controllare 2 5 2" xfId="4613" xr:uid="{485ED0EF-4F06-4FFB-9480-DE94603CFEB3}"/>
    <cellStyle name="Cella da controllare 2 5 2 2" xfId="4614" xr:uid="{31B03FE6-FC4F-4FBF-AD9B-0C727831EA31}"/>
    <cellStyle name="Cella da controllare 2 5 2 2 2" xfId="4615" xr:uid="{C89CC76B-32D4-45CC-A20F-F15CC7372EA3}"/>
    <cellStyle name="Cella da controllare 2 5 2 3" xfId="4616" xr:uid="{6198A2ED-ABC7-4EDF-B3FF-0E4267D7A230}"/>
    <cellStyle name="Cella da controllare 2 5 3" xfId="4617" xr:uid="{93670B0C-60C7-4E36-AC95-DE1E62EEBA99}"/>
    <cellStyle name="Cella da controllare 2 5 3 2" xfId="4618" xr:uid="{A1B3BE29-104E-466E-BD6F-D7BB2734C732}"/>
    <cellStyle name="Cella da controllare 2 5 3 2 2" xfId="4619" xr:uid="{0487F3DC-7E01-4028-AFD3-21D0EC2656D4}"/>
    <cellStyle name="Cella da controllare 2 5 3 3" xfId="4620" xr:uid="{EE5FE6F7-0FC4-427C-A047-0128888A7851}"/>
    <cellStyle name="Cella da controllare 2 5 4" xfId="4621" xr:uid="{A31E6DBF-2AD6-4ABC-87E7-9645130947F8}"/>
    <cellStyle name="Cella da controllare 2 5 4 2" xfId="4622" xr:uid="{55700862-7F70-497A-B666-CC3403500733}"/>
    <cellStyle name="Cella da controllare 2 5 4 2 2" xfId="4623" xr:uid="{4218E37C-9711-44DA-B23D-3EAF0F0E7D64}"/>
    <cellStyle name="Cella da controllare 2 5 4 3" xfId="4624" xr:uid="{8A3F7A46-47E9-4C86-BCA1-181674511075}"/>
    <cellStyle name="Cella da controllare 2 5 5" xfId="4625" xr:uid="{53B0CAE3-DCF4-4927-B871-E8587D7C02ED}"/>
    <cellStyle name="Cella da controllare 2 5 5 2" xfId="4626" xr:uid="{048395A2-D08F-401F-A88D-DAB603D0AC6A}"/>
    <cellStyle name="Cella da controllare 2 5 5 2 2" xfId="4627" xr:uid="{FA2E7355-AD17-45E5-BD2D-8A6819CC0804}"/>
    <cellStyle name="Cella da controllare 2 5 5 3" xfId="4628" xr:uid="{D24534B6-3A2E-4984-B719-E3034D419DF4}"/>
    <cellStyle name="Cella da controllare 2 5 6" xfId="4629" xr:uid="{22F98E42-7CA6-420C-A7FB-F4D9F15F98EB}"/>
    <cellStyle name="Cella da controllare 2 5 6 2" xfId="4630" xr:uid="{302A1CE9-A7FD-4622-BEF7-E4A800DF8FF7}"/>
    <cellStyle name="Cella da controllare 2 5 6 2 2" xfId="4631" xr:uid="{0E34F911-8728-417B-AC81-BCCB02E3EFB9}"/>
    <cellStyle name="Cella da controllare 2 5 6 3" xfId="4632" xr:uid="{D0AE5994-C39F-47C4-9AF6-1829F5C72801}"/>
    <cellStyle name="Cella da controllare 2 5 7" xfId="4633" xr:uid="{64578258-FAF5-456A-8847-07B631F56160}"/>
    <cellStyle name="Cella da controllare 2 5 7 2" xfId="4634" xr:uid="{A6CB6BBB-A74D-4DDA-BFE1-AED2F83CBB6D}"/>
    <cellStyle name="Cella da controllare 2 5 7 2 2" xfId="4635" xr:uid="{3CB6A393-0EFC-497D-963F-FC772A41348C}"/>
    <cellStyle name="Cella da controllare 2 5 7 3" xfId="4636" xr:uid="{BCEF23B9-9D1C-419B-9B89-1513AF60980B}"/>
    <cellStyle name="Cella da controllare 2 5 8" xfId="4637" xr:uid="{FEAF4022-0565-4BC6-BF54-F0FFF97D034B}"/>
    <cellStyle name="Cella da controllare 2 5 8 2" xfId="4638" xr:uid="{0F4E2971-D971-41EF-A52E-0342BDAE58FA}"/>
    <cellStyle name="Cella da controllare 2 5 8 2 2" xfId="4639" xr:uid="{5E1E3F0C-4EA3-4AEA-B52E-53A30BA18640}"/>
    <cellStyle name="Cella da controllare 2 5 8 3" xfId="4640" xr:uid="{807A330B-F267-4E2F-BB80-8B5934A66736}"/>
    <cellStyle name="Cella da controllare 2 5 9" xfId="4641" xr:uid="{10BF718B-3E1B-4403-AEDF-85FB392421DC}"/>
    <cellStyle name="Cella da controllare 2 5 9 2" xfId="4642" xr:uid="{D5C1AD61-1A10-4A41-8101-B7144418156B}"/>
    <cellStyle name="Cella da controllare 2 5 9 2 2" xfId="4643" xr:uid="{3E704A8E-720D-4856-948F-3148876F6F77}"/>
    <cellStyle name="Cella da controllare 2 5 9 3" xfId="4644" xr:uid="{5558CD4B-B595-4B67-A0A0-E88FEE2E8D68}"/>
    <cellStyle name="Cella da controllare 2 6" xfId="4645" xr:uid="{F94B03DD-8550-4C0F-87C7-415D74CBF1D3}"/>
    <cellStyle name="Cella da controllare 2 6 2" xfId="4646" xr:uid="{91D86F4B-BC0A-49DE-9CFD-AC3E816DAA8F}"/>
    <cellStyle name="Cella da controllare 2 6 2 2" xfId="4647" xr:uid="{3DAD47DB-0868-4825-A928-95582B42A855}"/>
    <cellStyle name="Cella da controllare 2 6 3" xfId="4648" xr:uid="{60296994-FC07-41D2-B720-1C742D07AE16}"/>
    <cellStyle name="Cella da controllare 2 7" xfId="4649" xr:uid="{7ED0EE68-53A7-4C1C-8717-D2389C1038CD}"/>
    <cellStyle name="Cella da controllare 2 7 2" xfId="4650" xr:uid="{20F65FDC-DD39-4F95-9CBC-4129F1F9A58E}"/>
    <cellStyle name="Cella da controllare 2 7 2 2" xfId="4651" xr:uid="{6398ADE1-7C4E-4FF1-A6A5-1CBD6FB68642}"/>
    <cellStyle name="Cella da controllare 2 7 3" xfId="4652" xr:uid="{74C85784-E8F7-4364-9308-C5E24DFA7CC8}"/>
    <cellStyle name="Cella da controllare 2 8" xfId="4653" xr:uid="{9CAF2849-ED25-4D42-8A9B-9688E9E5C759}"/>
    <cellStyle name="Cella da controllare 2 8 2" xfId="4654" xr:uid="{7D74D848-D5F7-4FE4-8028-3AE352241B09}"/>
    <cellStyle name="Cella da controllare 2 8 2 2" xfId="4655" xr:uid="{B155F9F7-02FE-4241-A2A7-FA0C2D4A8EDE}"/>
    <cellStyle name="Cella da controllare 2 8 3" xfId="4656" xr:uid="{FA604E4A-C2FB-4C0A-8DC3-CEA53FBCF2C2}"/>
    <cellStyle name="Cella da controllare 2 9" xfId="4657" xr:uid="{EBA9A5C9-054B-40EB-B2B5-C57EF9155821}"/>
    <cellStyle name="Cella da controllare 2 9 2" xfId="4658" xr:uid="{403F40EA-CC16-4C3A-AC22-5254BA163986}"/>
    <cellStyle name="Cella da controllare 2 9 2 2" xfId="4659" xr:uid="{E025E2C3-892B-454E-8DF9-D8475588FB26}"/>
    <cellStyle name="Cella da controllare 2 9 3" xfId="4660" xr:uid="{567526EF-6CF5-4FD6-8B19-326EE9715EB5}"/>
    <cellStyle name="Cella da controllare 3" xfId="4661" xr:uid="{DE015D1B-5E53-49C6-BFCB-2E99599F9CB5}"/>
    <cellStyle name="Cella da controllare 3 2" xfId="4662" xr:uid="{12D2AD40-50B0-4A32-8EA4-21CF8826688D}"/>
    <cellStyle name="Cella da controllare 3 2 2" xfId="4663" xr:uid="{CEF5049C-CC7A-4379-BA9C-327EFD6C9302}"/>
    <cellStyle name="Cella da controllare 3 3" xfId="4664" xr:uid="{C4313BD6-B1CB-4627-AD88-64E330A0BAA0}"/>
    <cellStyle name="Cella da controllare 4" xfId="4665" xr:uid="{9C92634D-9C57-40C2-8EFB-37DBC49AAC23}"/>
    <cellStyle name="Cella da controllare 4 2" xfId="4666" xr:uid="{4C615AAA-D6BD-4B53-BA95-471443C19368}"/>
    <cellStyle name="Cellule liée 2" xfId="4667" xr:uid="{AD617B01-9D27-4D01-AD1E-A89141BC40FE}"/>
    <cellStyle name="Cellule liée 2 2" xfId="4668" xr:uid="{76DCBE9C-3D1B-4DF8-A4A8-59C0F29B7FC0}"/>
    <cellStyle name="Cellule liée 2 2 10" xfId="4669" xr:uid="{34EAABA5-3AA9-41D3-BE10-DE10C7A3972E}"/>
    <cellStyle name="Cellule liée 2 2 10 2" xfId="4670" xr:uid="{DD7B2F6F-1568-481F-A470-C6C5AEF59D99}"/>
    <cellStyle name="Cellule liée 2 2 10 2 2" xfId="4671" xr:uid="{86D2F225-F563-4952-B4DE-1C903B37C88F}"/>
    <cellStyle name="Cellule liée 2 2 10 3" xfId="4672" xr:uid="{E23BAA62-088A-4072-B390-F001F98F4153}"/>
    <cellStyle name="Cellule liée 2 2 11" xfId="4673" xr:uid="{B74AF8E8-57E7-4829-AF1A-EF5BCDBBA08F}"/>
    <cellStyle name="Cellule liée 2 2 11 2" xfId="4674" xr:uid="{B16DBB80-289C-4800-87DA-BEAE7302EA2A}"/>
    <cellStyle name="Cellule liée 2 2 11 2 2" xfId="4675" xr:uid="{A2316112-4A93-440C-ACC6-7C1A4EA1A264}"/>
    <cellStyle name="Cellule liée 2 2 11 3" xfId="4676" xr:uid="{6C58023B-22D6-4E7B-A0C8-E2F3BE14450B}"/>
    <cellStyle name="Cellule liée 2 2 12" xfId="4677" xr:uid="{292D2497-7B0B-4D1B-8D8E-70B2446DCB43}"/>
    <cellStyle name="Cellule liée 2 2 12 2" xfId="4678" xr:uid="{2A3E43C9-7949-44A2-B286-6DBEC6F48446}"/>
    <cellStyle name="Cellule liée 2 2 12 2 2" xfId="4679" xr:uid="{2324097B-510F-4128-882C-83E002787FF2}"/>
    <cellStyle name="Cellule liée 2 2 12 3" xfId="4680" xr:uid="{6C6A8B09-5034-4E7E-AD92-E2C998B9D4B7}"/>
    <cellStyle name="Cellule liée 2 2 13" xfId="4681" xr:uid="{84B30CC3-C9BB-4606-A74D-068CA00971A9}"/>
    <cellStyle name="Cellule liée 2 2 13 2" xfId="4682" xr:uid="{1A92C08D-F63C-40C5-A2C1-37154F476DCC}"/>
    <cellStyle name="Cellule liée 2 2 13 2 2" xfId="4683" xr:uid="{8B714766-51FF-4252-82A4-08969F1F7971}"/>
    <cellStyle name="Cellule liée 2 2 13 3" xfId="4684" xr:uid="{23C4F61A-1B4E-4CD5-9288-D3F4B4D54C16}"/>
    <cellStyle name="Cellule liée 2 2 14" xfId="4685" xr:uid="{B8B0CA53-6F7D-41EA-A0B7-2AD6D98B47A6}"/>
    <cellStyle name="Cellule liée 2 2 14 2" xfId="4686" xr:uid="{344B7999-517B-4839-8496-ADFA4F3D32E5}"/>
    <cellStyle name="Cellule liée 2 2 15" xfId="4687" xr:uid="{0821E9DA-776D-4107-9A92-AA516A181F75}"/>
    <cellStyle name="Cellule liée 2 2 2" xfId="4688" xr:uid="{E8409F43-DC86-4508-8605-AD077B9F8A83}"/>
    <cellStyle name="Cellule liée 2 2 2 10" xfId="4689" xr:uid="{DF276760-FCCE-4CA2-A937-FC032612070D}"/>
    <cellStyle name="Cellule liée 2 2 2 10 2" xfId="4690" xr:uid="{6A5AC212-9EB2-4E32-B714-87BA25839671}"/>
    <cellStyle name="Cellule liée 2 2 2 10 2 2" xfId="4691" xr:uid="{C2AA9C9D-1CD6-486F-812D-7BE3EBD2FDE3}"/>
    <cellStyle name="Cellule liée 2 2 2 10 3" xfId="4692" xr:uid="{E5E260EE-6B8A-4F56-ACFC-32F569316AC1}"/>
    <cellStyle name="Cellule liée 2 2 2 11" xfId="4693" xr:uid="{CD43B056-F9D8-4C11-A23A-FDD295B61D1C}"/>
    <cellStyle name="Cellule liée 2 2 2 11 2" xfId="4694" xr:uid="{26007417-76C2-4632-9BC4-E8FAF120364D}"/>
    <cellStyle name="Cellule liée 2 2 2 11 2 2" xfId="4695" xr:uid="{8147C52B-BF13-46A7-BE0C-EC5C24DDA478}"/>
    <cellStyle name="Cellule liée 2 2 2 11 3" xfId="4696" xr:uid="{4D72E8E7-2C84-4654-8EF0-265E7E26E989}"/>
    <cellStyle name="Cellule liée 2 2 2 12" xfId="4697" xr:uid="{C240117E-2C39-47B5-9C27-5BC18F5A0BAA}"/>
    <cellStyle name="Cellule liée 2 2 2 12 2" xfId="4698" xr:uid="{BFC334FC-E9F1-415E-B60D-404531E284B2}"/>
    <cellStyle name="Cellule liée 2 2 2 12 2 2" xfId="4699" xr:uid="{AC9A2D14-8811-4104-9571-3B36EB2F30F3}"/>
    <cellStyle name="Cellule liée 2 2 2 12 3" xfId="4700" xr:uid="{43E1C76E-7AEB-4D16-A5C8-A45CD3EEA323}"/>
    <cellStyle name="Cellule liée 2 2 2 13" xfId="4701" xr:uid="{5D5C96D0-C969-4210-AB7C-753AB2BCE9D4}"/>
    <cellStyle name="Cellule liée 2 2 2 13 2" xfId="4702" xr:uid="{803D1884-4367-4E0C-993C-C54B8B11F9FF}"/>
    <cellStyle name="Cellule liée 2 2 2 14" xfId="4703" xr:uid="{D6B1A763-2B88-4777-A451-BBBC544CB840}"/>
    <cellStyle name="Cellule liée 2 2 2 2" xfId="4704" xr:uid="{C86586EC-ED80-4C22-9A20-389903D59553}"/>
    <cellStyle name="Cellule liée 2 2 2 2 10" xfId="4705" xr:uid="{DF179757-51D2-42F6-9C7B-6F7D81192315}"/>
    <cellStyle name="Cellule liée 2 2 2 2 10 2" xfId="4706" xr:uid="{FAB1D860-BC00-4DF1-A3F9-D8114DFAE66F}"/>
    <cellStyle name="Cellule liée 2 2 2 2 10 2 2" xfId="4707" xr:uid="{D81BD1B7-1DD0-4284-9586-DDED866CA2DB}"/>
    <cellStyle name="Cellule liée 2 2 2 2 10 3" xfId="4708" xr:uid="{E7BDA579-0BE3-4729-ACB0-AC2E3EE02F7D}"/>
    <cellStyle name="Cellule liée 2 2 2 2 11" xfId="4709" xr:uid="{A94363C5-3C98-43D8-B804-16EE40F87C89}"/>
    <cellStyle name="Cellule liée 2 2 2 2 11 2" xfId="4710" xr:uid="{AA4D4E63-FA5A-4475-8CEF-ABCAAAF53C1F}"/>
    <cellStyle name="Cellule liée 2 2 2 2 11 2 2" xfId="4711" xr:uid="{0B9AE638-6064-4F8F-A22E-AF65B650D72F}"/>
    <cellStyle name="Cellule liée 2 2 2 2 11 3" xfId="4712" xr:uid="{5BEFA6D4-B458-4743-BE99-A5A4A31A4BB0}"/>
    <cellStyle name="Cellule liée 2 2 2 2 12" xfId="4713" xr:uid="{F3FD8354-F939-41C6-9C37-CA02C45B6C90}"/>
    <cellStyle name="Cellule liée 2 2 2 2 12 2" xfId="4714" xr:uid="{746FC9AE-2C6A-41BC-B8ED-6161448FAD8B}"/>
    <cellStyle name="Cellule liée 2 2 2 2 13" xfId="4715" xr:uid="{B17B575A-000C-4BF9-89B8-30D3FCB21773}"/>
    <cellStyle name="Cellule liée 2 2 2 2 2" xfId="4716" xr:uid="{7F0A740B-1BEF-41EC-8A73-49109BB27929}"/>
    <cellStyle name="Cellule liée 2 2 2 2 2 10" xfId="4717" xr:uid="{690539B4-CA8F-4AC3-88F3-402747DCCDDA}"/>
    <cellStyle name="Cellule liée 2 2 2 2 2 10 2" xfId="4718" xr:uid="{7E767FA4-E9A8-43E6-BD17-F7C545D788B4}"/>
    <cellStyle name="Cellule liée 2 2 2 2 2 10 2 2" xfId="4719" xr:uid="{129CADBF-3C64-4720-A594-DA39C7F9E610}"/>
    <cellStyle name="Cellule liée 2 2 2 2 2 10 3" xfId="4720" xr:uid="{D3086CD7-9528-4290-8A46-70A813222C02}"/>
    <cellStyle name="Cellule liée 2 2 2 2 2 11" xfId="4721" xr:uid="{1937FF03-9597-4257-BD60-172DF6FFF393}"/>
    <cellStyle name="Cellule liée 2 2 2 2 2 11 2" xfId="4722" xr:uid="{0AC132DF-836F-4084-A097-1435BAEDDABD}"/>
    <cellStyle name="Cellule liée 2 2 2 2 2 12" xfId="4723" xr:uid="{F7D00C04-BBE8-4951-AC68-47ABFA272C76}"/>
    <cellStyle name="Cellule liée 2 2 2 2 2 2" xfId="4724" xr:uid="{D7057859-D8AA-40CD-A931-1A42D907F321}"/>
    <cellStyle name="Cellule liée 2 2 2 2 2 2 2" xfId="4725" xr:uid="{3FC7F958-FA52-4959-AEB6-5B04A84D7744}"/>
    <cellStyle name="Cellule liée 2 2 2 2 2 2 2 2" xfId="4726" xr:uid="{27D3EE67-D908-46BB-8368-84BF60BA0E8D}"/>
    <cellStyle name="Cellule liée 2 2 2 2 2 2 3" xfId="4727" xr:uid="{DEBB6F21-BAC6-4E01-BE19-0982EB8CB04E}"/>
    <cellStyle name="Cellule liée 2 2 2 2 2 3" xfId="4728" xr:uid="{255031A0-4875-4C86-B8C7-8634AC85DAE0}"/>
    <cellStyle name="Cellule liée 2 2 2 2 2 3 2" xfId="4729" xr:uid="{AED7C39D-8EDB-4AA8-885B-200E5036E44D}"/>
    <cellStyle name="Cellule liée 2 2 2 2 2 3 2 2" xfId="4730" xr:uid="{2CD0C47F-CDE4-45E4-A41E-8D841428BD49}"/>
    <cellStyle name="Cellule liée 2 2 2 2 2 3 3" xfId="4731" xr:uid="{24E69E6B-FF73-47C0-B85A-2145352A2A9B}"/>
    <cellStyle name="Cellule liée 2 2 2 2 2 4" xfId="4732" xr:uid="{C1D80FFC-A56B-4A7F-9551-531478D29813}"/>
    <cellStyle name="Cellule liée 2 2 2 2 2 4 2" xfId="4733" xr:uid="{416B1F54-FCA2-4DC1-A33E-68F11B10BDF9}"/>
    <cellStyle name="Cellule liée 2 2 2 2 2 4 2 2" xfId="4734" xr:uid="{9069AB8E-5AB1-4BE9-9321-E94A76A5D7B8}"/>
    <cellStyle name="Cellule liée 2 2 2 2 2 4 3" xfId="4735" xr:uid="{BADD2339-D1FC-4E87-838A-01D30D54B756}"/>
    <cellStyle name="Cellule liée 2 2 2 2 2 5" xfId="4736" xr:uid="{103C4C80-D7BC-4A12-ABBD-322B0032096E}"/>
    <cellStyle name="Cellule liée 2 2 2 2 2 5 2" xfId="4737" xr:uid="{C14FE3CD-3DD4-4CF1-8715-D8469BBE0467}"/>
    <cellStyle name="Cellule liée 2 2 2 2 2 5 2 2" xfId="4738" xr:uid="{4E72053A-C795-471E-B6B4-D4F03E0FD749}"/>
    <cellStyle name="Cellule liée 2 2 2 2 2 5 3" xfId="4739" xr:uid="{6D01C474-A0F0-4759-8768-86A218320BA4}"/>
    <cellStyle name="Cellule liée 2 2 2 2 2 6" xfId="4740" xr:uid="{EDF72472-C23F-4D63-8E1B-4915138B6B4C}"/>
    <cellStyle name="Cellule liée 2 2 2 2 2 6 2" xfId="4741" xr:uid="{06E69640-0A28-439D-BCD1-60B52FB6BF93}"/>
    <cellStyle name="Cellule liée 2 2 2 2 2 6 2 2" xfId="4742" xr:uid="{BB0BBFB3-729F-4531-8F75-EA5E7FBF126B}"/>
    <cellStyle name="Cellule liée 2 2 2 2 2 6 3" xfId="4743" xr:uid="{795CD455-678A-42A5-A42B-026A89DC2084}"/>
    <cellStyle name="Cellule liée 2 2 2 2 2 7" xfId="4744" xr:uid="{FA251579-CAEA-45BA-BC15-A01740C3ECCB}"/>
    <cellStyle name="Cellule liée 2 2 2 2 2 7 2" xfId="4745" xr:uid="{12855DAA-1E76-4660-8D3F-EECE608E5695}"/>
    <cellStyle name="Cellule liée 2 2 2 2 2 7 2 2" xfId="4746" xr:uid="{2AA5CA05-9E43-40E3-AE4D-EF07133F9EE9}"/>
    <cellStyle name="Cellule liée 2 2 2 2 2 7 3" xfId="4747" xr:uid="{61179935-0063-40AD-9FE7-0D588CF8C5F4}"/>
    <cellStyle name="Cellule liée 2 2 2 2 2 8" xfId="4748" xr:uid="{1157EC7B-0155-417B-B1AE-028BF37875D2}"/>
    <cellStyle name="Cellule liée 2 2 2 2 2 8 2" xfId="4749" xr:uid="{08B529C1-AF23-47F9-85F8-F7AE7F4929FF}"/>
    <cellStyle name="Cellule liée 2 2 2 2 2 8 2 2" xfId="4750" xr:uid="{377B5FD2-372F-4544-A14F-364996F1393C}"/>
    <cellStyle name="Cellule liée 2 2 2 2 2 8 3" xfId="4751" xr:uid="{ACED9157-1BDA-4208-B61C-2900407FB685}"/>
    <cellStyle name="Cellule liée 2 2 2 2 2 9" xfId="4752" xr:uid="{F1BFFADD-2499-4F7A-AE8A-C08E49EA442F}"/>
    <cellStyle name="Cellule liée 2 2 2 2 2 9 2" xfId="4753" xr:uid="{420AFA5C-A272-4114-8B4C-B022684FD8D0}"/>
    <cellStyle name="Cellule liée 2 2 2 2 2 9 2 2" xfId="4754" xr:uid="{8CB3EDA9-7F67-44BA-9366-326FFA231EEA}"/>
    <cellStyle name="Cellule liée 2 2 2 2 2 9 3" xfId="4755" xr:uid="{DA67BDBC-2ECA-4C56-A951-6535F9BFE291}"/>
    <cellStyle name="Cellule liée 2 2 2 2 3" xfId="4756" xr:uid="{EF1D25B9-7E39-44F7-8B18-D60310A0B2B6}"/>
    <cellStyle name="Cellule liée 2 2 2 2 3 10" xfId="4757" xr:uid="{0132B850-D11D-4F30-B4AA-8CFC1C2BA8AB}"/>
    <cellStyle name="Cellule liée 2 2 2 2 3 10 2" xfId="4758" xr:uid="{8FE6D011-8693-4891-BC2C-7AC66949C8A3}"/>
    <cellStyle name="Cellule liée 2 2 2 2 3 11" xfId="4759" xr:uid="{418093E4-7644-46F4-BA80-7C6F983EF38E}"/>
    <cellStyle name="Cellule liée 2 2 2 2 3 2" xfId="4760" xr:uid="{56DD92CA-BDC8-4E17-914F-DAF72C6F2706}"/>
    <cellStyle name="Cellule liée 2 2 2 2 3 2 2" xfId="4761" xr:uid="{9471A59E-603E-480E-97FA-6F060FD8034F}"/>
    <cellStyle name="Cellule liée 2 2 2 2 3 2 2 2" xfId="4762" xr:uid="{04EA6250-4CB5-422C-9CD2-D0AF4BE451C8}"/>
    <cellStyle name="Cellule liée 2 2 2 2 3 2 3" xfId="4763" xr:uid="{2B3DE032-D676-4F05-AC58-446D4F0DDDBC}"/>
    <cellStyle name="Cellule liée 2 2 2 2 3 3" xfId="4764" xr:uid="{50E15A28-2E6B-4616-BEF0-A6184819CBCA}"/>
    <cellStyle name="Cellule liée 2 2 2 2 3 3 2" xfId="4765" xr:uid="{A7799790-5870-434C-B7A7-67ADE639FB6D}"/>
    <cellStyle name="Cellule liée 2 2 2 2 3 3 2 2" xfId="4766" xr:uid="{BEFF293B-DC5E-4641-A87A-092F061CCC95}"/>
    <cellStyle name="Cellule liée 2 2 2 2 3 3 3" xfId="4767" xr:uid="{AACA7852-30B5-4F62-95B3-7A634EB64244}"/>
    <cellStyle name="Cellule liée 2 2 2 2 3 4" xfId="4768" xr:uid="{D0F37677-13FC-4A06-B16F-303B5CC28DE4}"/>
    <cellStyle name="Cellule liée 2 2 2 2 3 4 2" xfId="4769" xr:uid="{57FAD3E9-A0B2-4B12-88DA-A291575C26C3}"/>
    <cellStyle name="Cellule liée 2 2 2 2 3 4 2 2" xfId="4770" xr:uid="{BD92F74B-8221-440A-A2FA-802D5D0B1EB7}"/>
    <cellStyle name="Cellule liée 2 2 2 2 3 4 3" xfId="4771" xr:uid="{1B3EC75B-5F0F-4208-82BF-BC57DDC09C76}"/>
    <cellStyle name="Cellule liée 2 2 2 2 3 5" xfId="4772" xr:uid="{0C0AEBE8-C019-4D09-B187-8CA17FECC814}"/>
    <cellStyle name="Cellule liée 2 2 2 2 3 5 2" xfId="4773" xr:uid="{7D9CDFC4-C6F0-4C0C-9942-8180B0D483ED}"/>
    <cellStyle name="Cellule liée 2 2 2 2 3 5 2 2" xfId="4774" xr:uid="{483EE3AC-837D-455D-A37E-003119CE542D}"/>
    <cellStyle name="Cellule liée 2 2 2 2 3 5 3" xfId="4775" xr:uid="{111407AB-DA8C-4D18-8630-C2D8B5C2FD04}"/>
    <cellStyle name="Cellule liée 2 2 2 2 3 6" xfId="4776" xr:uid="{E257F473-1EDB-4BCC-8147-F9DD448BFE37}"/>
    <cellStyle name="Cellule liée 2 2 2 2 3 6 2" xfId="4777" xr:uid="{F1CFCB41-279E-4890-B261-5AFB537C4515}"/>
    <cellStyle name="Cellule liée 2 2 2 2 3 6 2 2" xfId="4778" xr:uid="{68C7115E-787D-4040-8D52-E26CC7D29A7E}"/>
    <cellStyle name="Cellule liée 2 2 2 2 3 6 3" xfId="4779" xr:uid="{9F6B5E4C-3AF0-4D30-8A01-0FDB426A4664}"/>
    <cellStyle name="Cellule liée 2 2 2 2 3 7" xfId="4780" xr:uid="{B1F66A40-3E3C-49B5-863D-32D4F614FA92}"/>
    <cellStyle name="Cellule liée 2 2 2 2 3 7 2" xfId="4781" xr:uid="{2CAF0444-BE3F-4883-BFB1-5311BCAEE98F}"/>
    <cellStyle name="Cellule liée 2 2 2 2 3 7 2 2" xfId="4782" xr:uid="{3CC376F5-5E4C-46E8-A2C5-84941E8E0E3F}"/>
    <cellStyle name="Cellule liée 2 2 2 2 3 7 3" xfId="4783" xr:uid="{BEBCD9B3-C5F9-4F6C-8064-7ECA762E5C6F}"/>
    <cellStyle name="Cellule liée 2 2 2 2 3 8" xfId="4784" xr:uid="{FD7C13CA-FFAD-4261-B4E7-1EE51A188255}"/>
    <cellStyle name="Cellule liée 2 2 2 2 3 8 2" xfId="4785" xr:uid="{5D4D9BCD-EEE8-4459-ADAC-9F1513AA5ED4}"/>
    <cellStyle name="Cellule liée 2 2 2 2 3 8 2 2" xfId="4786" xr:uid="{31D1DA11-23C3-463B-8EAF-2BB5561E7333}"/>
    <cellStyle name="Cellule liée 2 2 2 2 3 8 3" xfId="4787" xr:uid="{D5451FD8-B614-4B14-B655-21BB1ABF4703}"/>
    <cellStyle name="Cellule liée 2 2 2 2 3 9" xfId="4788" xr:uid="{4037B759-9221-471E-BA16-337B942AE041}"/>
    <cellStyle name="Cellule liée 2 2 2 2 3 9 2" xfId="4789" xr:uid="{87D9B207-F8AB-4840-9D59-3AE2B6C6DF37}"/>
    <cellStyle name="Cellule liée 2 2 2 2 3 9 2 2" xfId="4790" xr:uid="{B295AAA6-1938-44E0-BEFD-DC3710DCA503}"/>
    <cellStyle name="Cellule liée 2 2 2 2 3 9 3" xfId="4791" xr:uid="{91ECBD78-9499-45E9-97D4-A9C29935A11E}"/>
    <cellStyle name="Cellule liée 2 2 2 2 4" xfId="4792" xr:uid="{5F2668D6-819C-43A9-8992-E268985759BB}"/>
    <cellStyle name="Cellule liée 2 2 2 2 4 2" xfId="4793" xr:uid="{5BCA9313-9244-4DE3-AA4C-8A9620F68852}"/>
    <cellStyle name="Cellule liée 2 2 2 2 4 2 2" xfId="4794" xr:uid="{CF679F6F-667E-49EF-8671-2A76063BD2B7}"/>
    <cellStyle name="Cellule liée 2 2 2 2 4 3" xfId="4795" xr:uid="{2EF8F7A3-3788-445F-A919-52C8AA6634DB}"/>
    <cellStyle name="Cellule liée 2 2 2 2 5" xfId="4796" xr:uid="{038543BB-64B5-4DDB-A04D-3ADC928D5373}"/>
    <cellStyle name="Cellule liée 2 2 2 2 5 2" xfId="4797" xr:uid="{C0A600EB-9E84-4CB6-A27B-8955D1A150AF}"/>
    <cellStyle name="Cellule liée 2 2 2 2 5 2 2" xfId="4798" xr:uid="{AEB75B97-525A-4823-80CA-33EA1B018720}"/>
    <cellStyle name="Cellule liée 2 2 2 2 5 3" xfId="4799" xr:uid="{E88724B9-52BF-40F1-8A0A-9A79E6521178}"/>
    <cellStyle name="Cellule liée 2 2 2 2 6" xfId="4800" xr:uid="{89D957B7-9F51-47EB-AA77-8086DCC56554}"/>
    <cellStyle name="Cellule liée 2 2 2 2 6 2" xfId="4801" xr:uid="{5FD85AC4-F09A-4D93-99BF-615B4F33C6B7}"/>
    <cellStyle name="Cellule liée 2 2 2 2 6 2 2" xfId="4802" xr:uid="{4FBF4892-BA0D-4FAE-8546-A5BD09117782}"/>
    <cellStyle name="Cellule liée 2 2 2 2 6 3" xfId="4803" xr:uid="{547A1927-85CA-4FAC-B6A9-13A4F25B1A7F}"/>
    <cellStyle name="Cellule liée 2 2 2 2 7" xfId="4804" xr:uid="{265223A8-BB59-4BD9-BA5F-C7C876552956}"/>
    <cellStyle name="Cellule liée 2 2 2 2 7 2" xfId="4805" xr:uid="{CB151125-F079-4A46-8198-B17EDAC64384}"/>
    <cellStyle name="Cellule liée 2 2 2 2 7 2 2" xfId="4806" xr:uid="{11408D63-FBD9-494D-BD62-D24595915A5A}"/>
    <cellStyle name="Cellule liée 2 2 2 2 7 3" xfId="4807" xr:uid="{9F7A2508-BDA7-4FD9-A2CC-FBF9824CADB7}"/>
    <cellStyle name="Cellule liée 2 2 2 2 8" xfId="4808" xr:uid="{59AA262C-129C-4A93-9473-6700E5A3E1F0}"/>
    <cellStyle name="Cellule liée 2 2 2 2 8 2" xfId="4809" xr:uid="{BF445A25-20F5-4BDD-8D38-B2E571A4F2BF}"/>
    <cellStyle name="Cellule liée 2 2 2 2 8 2 2" xfId="4810" xr:uid="{13698D02-3739-4AE0-A677-01EB4079C6C2}"/>
    <cellStyle name="Cellule liée 2 2 2 2 8 3" xfId="4811" xr:uid="{A7D0A0DD-FF11-4FFF-8497-390BDDF1E9CF}"/>
    <cellStyle name="Cellule liée 2 2 2 2 9" xfId="4812" xr:uid="{61C61C42-7D4E-4E95-A635-1BE5ECEF4889}"/>
    <cellStyle name="Cellule liée 2 2 2 2 9 2" xfId="4813" xr:uid="{04A8EE70-C569-44CC-A83D-611A63F8A48A}"/>
    <cellStyle name="Cellule liée 2 2 2 2 9 2 2" xfId="4814" xr:uid="{B0D3B040-D7A1-4F34-AD2F-14C710C62DC2}"/>
    <cellStyle name="Cellule liée 2 2 2 2 9 3" xfId="4815" xr:uid="{6DB9361E-8F46-4D59-856E-9134C5275D32}"/>
    <cellStyle name="Cellule liée 2 2 2 3" xfId="4816" xr:uid="{73384083-7965-4B03-8A71-4A5F52BCFA3A}"/>
    <cellStyle name="Cellule liée 2 2 2 3 10" xfId="4817" xr:uid="{1865CCB9-4C17-4C1B-A516-0EFC03EBE801}"/>
    <cellStyle name="Cellule liée 2 2 2 3 10 2" xfId="4818" xr:uid="{F2B54FA3-8073-47BC-98A0-76C0B193CD79}"/>
    <cellStyle name="Cellule liée 2 2 2 3 10 2 2" xfId="4819" xr:uid="{34E090B9-7299-4D2C-A4DA-363345936316}"/>
    <cellStyle name="Cellule liée 2 2 2 3 10 3" xfId="4820" xr:uid="{E4A6E6DA-C1DC-484C-BDAA-CAC77A4714B3}"/>
    <cellStyle name="Cellule liée 2 2 2 3 11" xfId="4821" xr:uid="{7E9AC9A6-3274-4B93-ADBB-F87D7FAA3D07}"/>
    <cellStyle name="Cellule liée 2 2 2 3 11 2" xfId="4822" xr:uid="{2553489B-18E7-4C28-9407-D794684469C7}"/>
    <cellStyle name="Cellule liée 2 2 2 3 12" xfId="4823" xr:uid="{D1569261-AB16-4F90-BDE8-8665FB6B1E18}"/>
    <cellStyle name="Cellule liée 2 2 2 3 2" xfId="4824" xr:uid="{F6427F4D-FA98-440E-9162-5A5B25D5D00E}"/>
    <cellStyle name="Cellule liée 2 2 2 3 2 10" xfId="4825" xr:uid="{223CAE95-FE06-48DA-A71F-37B5A320445D}"/>
    <cellStyle name="Cellule liée 2 2 2 3 2 10 2" xfId="4826" xr:uid="{B1BA5AF8-9D56-4912-9966-686D6DE601EE}"/>
    <cellStyle name="Cellule liée 2 2 2 3 2 11" xfId="4827" xr:uid="{AF50220F-1BEE-40A0-AAE6-AD4D8F1BCFF5}"/>
    <cellStyle name="Cellule liée 2 2 2 3 2 2" xfId="4828" xr:uid="{BB9858AD-473F-4591-BDFD-6688B2B08787}"/>
    <cellStyle name="Cellule liée 2 2 2 3 2 2 2" xfId="4829" xr:uid="{B3CAF1A2-14E6-4391-ADBD-DE04B94E901B}"/>
    <cellStyle name="Cellule liée 2 2 2 3 2 2 2 2" xfId="4830" xr:uid="{DE23E55B-1818-4A91-A94B-512E82824C9C}"/>
    <cellStyle name="Cellule liée 2 2 2 3 2 2 3" xfId="4831" xr:uid="{98D7EB2A-A87A-4114-816E-A787792C7EBB}"/>
    <cellStyle name="Cellule liée 2 2 2 3 2 3" xfId="4832" xr:uid="{DE67B89E-470C-4AE2-8106-FB185EE9F053}"/>
    <cellStyle name="Cellule liée 2 2 2 3 2 3 2" xfId="4833" xr:uid="{5BCB0F7E-879A-40A5-9B66-3761DF0B8B89}"/>
    <cellStyle name="Cellule liée 2 2 2 3 2 3 2 2" xfId="4834" xr:uid="{3424FF3C-EBBC-4F9F-BD81-E24FAADB14A0}"/>
    <cellStyle name="Cellule liée 2 2 2 3 2 3 3" xfId="4835" xr:uid="{75FECCC1-D5AC-428E-BCC8-74860E14A4F9}"/>
    <cellStyle name="Cellule liée 2 2 2 3 2 4" xfId="4836" xr:uid="{529F35F3-B8DB-4D4D-99D6-766D605FAF28}"/>
    <cellStyle name="Cellule liée 2 2 2 3 2 4 2" xfId="4837" xr:uid="{97480A9D-87DD-497A-B3A2-87174F4A7B30}"/>
    <cellStyle name="Cellule liée 2 2 2 3 2 4 2 2" xfId="4838" xr:uid="{C5F5C1B7-74FD-4507-A86E-B241B098D4B9}"/>
    <cellStyle name="Cellule liée 2 2 2 3 2 4 3" xfId="4839" xr:uid="{42791B27-209A-4175-B2F0-352B0071214E}"/>
    <cellStyle name="Cellule liée 2 2 2 3 2 5" xfId="4840" xr:uid="{40A0AAE2-305F-4D45-B179-41CEE21E8491}"/>
    <cellStyle name="Cellule liée 2 2 2 3 2 5 2" xfId="4841" xr:uid="{827245C3-BBA3-45B3-8C93-DB2A246B4BF4}"/>
    <cellStyle name="Cellule liée 2 2 2 3 2 5 2 2" xfId="4842" xr:uid="{F0E684A1-D6F3-4F1C-B2BE-F80C443400B4}"/>
    <cellStyle name="Cellule liée 2 2 2 3 2 5 3" xfId="4843" xr:uid="{1BDED1AC-31EF-4412-B4A3-706939469B9D}"/>
    <cellStyle name="Cellule liée 2 2 2 3 2 6" xfId="4844" xr:uid="{91883A4F-ABAD-4232-9251-5EC92B8878E1}"/>
    <cellStyle name="Cellule liée 2 2 2 3 2 6 2" xfId="4845" xr:uid="{E2FE7A18-4E2C-4072-AEE6-A172F4066B75}"/>
    <cellStyle name="Cellule liée 2 2 2 3 2 6 2 2" xfId="4846" xr:uid="{EA071DF2-DB08-4802-B7D3-960B46C3F021}"/>
    <cellStyle name="Cellule liée 2 2 2 3 2 6 3" xfId="4847" xr:uid="{5C644050-4AFD-4820-86E8-0093813510D3}"/>
    <cellStyle name="Cellule liée 2 2 2 3 2 7" xfId="4848" xr:uid="{774E40F8-9594-459F-971F-8955030711E6}"/>
    <cellStyle name="Cellule liée 2 2 2 3 2 7 2" xfId="4849" xr:uid="{67F010CC-FB24-4B14-9D68-A3309C829605}"/>
    <cellStyle name="Cellule liée 2 2 2 3 2 7 2 2" xfId="4850" xr:uid="{23195669-9C54-49F8-9FA3-F2D3B0A2095C}"/>
    <cellStyle name="Cellule liée 2 2 2 3 2 7 3" xfId="4851" xr:uid="{2B71CBD5-A202-4FFA-8C7B-2E6892851311}"/>
    <cellStyle name="Cellule liée 2 2 2 3 2 8" xfId="4852" xr:uid="{1EF6DC69-B438-4CB6-86D7-034A6BF5441E}"/>
    <cellStyle name="Cellule liée 2 2 2 3 2 8 2" xfId="4853" xr:uid="{5A5A69F8-9450-4510-9988-C4D987DA271F}"/>
    <cellStyle name="Cellule liée 2 2 2 3 2 8 2 2" xfId="4854" xr:uid="{1BD69988-32A3-4AA9-AC26-1EDA1BEBB4F6}"/>
    <cellStyle name="Cellule liée 2 2 2 3 2 8 3" xfId="4855" xr:uid="{20F6211A-6025-4039-98BF-1E2B51165990}"/>
    <cellStyle name="Cellule liée 2 2 2 3 2 9" xfId="4856" xr:uid="{D5EC2203-E07C-417C-B09F-A527DB5B2872}"/>
    <cellStyle name="Cellule liée 2 2 2 3 2 9 2" xfId="4857" xr:uid="{09AC6D01-4BFA-4029-A964-810238E8B96B}"/>
    <cellStyle name="Cellule liée 2 2 2 3 2 9 2 2" xfId="4858" xr:uid="{30E463E3-D9D6-4686-BAF9-D544417ABC66}"/>
    <cellStyle name="Cellule liée 2 2 2 3 2 9 3" xfId="4859" xr:uid="{935DA283-9012-4456-9EA3-3570F8279E96}"/>
    <cellStyle name="Cellule liée 2 2 2 3 3" xfId="4860" xr:uid="{915E95F2-5C6B-414D-BEFA-C33DB08F91CB}"/>
    <cellStyle name="Cellule liée 2 2 2 3 3 2" xfId="4861" xr:uid="{90015260-25BE-425D-95EC-950CB9663C3C}"/>
    <cellStyle name="Cellule liée 2 2 2 3 3 2 2" xfId="4862" xr:uid="{A42BD622-B1D3-45A1-8BF6-0D33CC7FE65F}"/>
    <cellStyle name="Cellule liée 2 2 2 3 3 3" xfId="4863" xr:uid="{8125262E-5384-49A4-AD71-FBF08D7D569E}"/>
    <cellStyle name="Cellule liée 2 2 2 3 4" xfId="4864" xr:uid="{FADB49A4-B146-435E-860B-CE85E06E7C3F}"/>
    <cellStyle name="Cellule liée 2 2 2 3 4 2" xfId="4865" xr:uid="{5B9B2952-B366-43D8-8C5E-A5D22B49D988}"/>
    <cellStyle name="Cellule liée 2 2 2 3 4 2 2" xfId="4866" xr:uid="{F0485258-E356-46B6-9F05-1993F9A1CAD4}"/>
    <cellStyle name="Cellule liée 2 2 2 3 4 3" xfId="4867" xr:uid="{98952B31-2053-42A9-845D-ED9EA5929B43}"/>
    <cellStyle name="Cellule liée 2 2 2 3 5" xfId="4868" xr:uid="{28944296-3158-4247-9109-47C4D5574E75}"/>
    <cellStyle name="Cellule liée 2 2 2 3 5 2" xfId="4869" xr:uid="{0F7D3CF6-07A7-4CEE-A6F0-70A6769CF1ED}"/>
    <cellStyle name="Cellule liée 2 2 2 3 5 2 2" xfId="4870" xr:uid="{E4391556-494B-4BAD-95BD-11FA3B07043C}"/>
    <cellStyle name="Cellule liée 2 2 2 3 5 3" xfId="4871" xr:uid="{DDC57E06-50C2-4673-BBAF-4E79B68C7869}"/>
    <cellStyle name="Cellule liée 2 2 2 3 6" xfId="4872" xr:uid="{7CF7660B-A41D-4DCC-AC40-A612CEEFBC17}"/>
    <cellStyle name="Cellule liée 2 2 2 3 6 2" xfId="4873" xr:uid="{31A23A2F-83EF-430F-B4B8-D808DE8B8C1E}"/>
    <cellStyle name="Cellule liée 2 2 2 3 6 2 2" xfId="4874" xr:uid="{F00B2E75-7CB9-4B40-A882-C94994CE63B9}"/>
    <cellStyle name="Cellule liée 2 2 2 3 6 3" xfId="4875" xr:uid="{9B18946C-4ACF-4A2C-AB8F-03471838708A}"/>
    <cellStyle name="Cellule liée 2 2 2 3 7" xfId="4876" xr:uid="{A19EFBD5-896E-4DB1-9761-61FC8FFD98D7}"/>
    <cellStyle name="Cellule liée 2 2 2 3 7 2" xfId="4877" xr:uid="{F73EE523-0225-45BA-AEC5-62DCFC43A624}"/>
    <cellStyle name="Cellule liée 2 2 2 3 7 2 2" xfId="4878" xr:uid="{6F5E3D11-1531-4B9B-81F6-F50B8F6B6B7F}"/>
    <cellStyle name="Cellule liée 2 2 2 3 7 3" xfId="4879" xr:uid="{5274A36E-C63A-4EAA-A9F7-F5032C57743E}"/>
    <cellStyle name="Cellule liée 2 2 2 3 8" xfId="4880" xr:uid="{441DA548-C9F1-4FFE-8599-E4865E43EAF4}"/>
    <cellStyle name="Cellule liée 2 2 2 3 8 2" xfId="4881" xr:uid="{69C9E0D7-9CEB-4569-836A-12E33CB628B0}"/>
    <cellStyle name="Cellule liée 2 2 2 3 8 2 2" xfId="4882" xr:uid="{61F692CA-05A2-48D4-B149-EBBAC899826E}"/>
    <cellStyle name="Cellule liée 2 2 2 3 8 3" xfId="4883" xr:uid="{8B4CF426-593A-4329-B465-6A09A1670FD4}"/>
    <cellStyle name="Cellule liée 2 2 2 3 9" xfId="4884" xr:uid="{5E29516E-2B2F-4278-AE87-C61103708898}"/>
    <cellStyle name="Cellule liée 2 2 2 3 9 2" xfId="4885" xr:uid="{E43A4692-79A8-45B9-9781-52BB89015C70}"/>
    <cellStyle name="Cellule liée 2 2 2 3 9 2 2" xfId="4886" xr:uid="{73B3AF3B-28E1-472E-B629-EBB19FC476A2}"/>
    <cellStyle name="Cellule liée 2 2 2 3 9 3" xfId="4887" xr:uid="{B1317937-02B5-4796-BBB2-D9DDE8FC607D}"/>
    <cellStyle name="Cellule liée 2 2 2 4" xfId="4888" xr:uid="{DF0558B8-90BD-421F-AA0A-9E04BAE5DFF1}"/>
    <cellStyle name="Cellule liée 2 2 2 4 10" xfId="4889" xr:uid="{1AE5295E-4AAA-4100-87EF-D887950AEA92}"/>
    <cellStyle name="Cellule liée 2 2 2 4 10 2" xfId="4890" xr:uid="{78B24664-DD52-4C01-8577-7DFE96EE998B}"/>
    <cellStyle name="Cellule liée 2 2 2 4 11" xfId="4891" xr:uid="{73AAAD55-C596-4BC9-A467-AE6004F0DEAB}"/>
    <cellStyle name="Cellule liée 2 2 2 4 2" xfId="4892" xr:uid="{DD9314B2-D2D2-45EC-A34F-7370701793F9}"/>
    <cellStyle name="Cellule liée 2 2 2 4 2 2" xfId="4893" xr:uid="{0FFC6C36-C322-474E-90BE-7A461F26E8E0}"/>
    <cellStyle name="Cellule liée 2 2 2 4 2 2 2" xfId="4894" xr:uid="{B1239F2D-8A0B-4509-9A71-6A5554387F99}"/>
    <cellStyle name="Cellule liée 2 2 2 4 2 3" xfId="4895" xr:uid="{38313561-829F-4622-9B57-35619AC42D8B}"/>
    <cellStyle name="Cellule liée 2 2 2 4 3" xfId="4896" xr:uid="{4EDF13CC-149E-4429-BD83-6523A2E7B98F}"/>
    <cellStyle name="Cellule liée 2 2 2 4 3 2" xfId="4897" xr:uid="{386226B8-7EE3-4069-A306-241492E0D6A2}"/>
    <cellStyle name="Cellule liée 2 2 2 4 3 2 2" xfId="4898" xr:uid="{892980C0-7EEC-48CF-B79B-6CF1C7097381}"/>
    <cellStyle name="Cellule liée 2 2 2 4 3 3" xfId="4899" xr:uid="{141B329B-0EDB-4104-83C6-485466F3A08A}"/>
    <cellStyle name="Cellule liée 2 2 2 4 4" xfId="4900" xr:uid="{3B7CEB27-E7A2-45C5-94CD-2B78138C50DF}"/>
    <cellStyle name="Cellule liée 2 2 2 4 4 2" xfId="4901" xr:uid="{08C8C0C5-B58F-4495-BE6B-ED754A256FA1}"/>
    <cellStyle name="Cellule liée 2 2 2 4 4 2 2" xfId="4902" xr:uid="{051608DD-6BB3-4534-BF4A-5ECAA539842A}"/>
    <cellStyle name="Cellule liée 2 2 2 4 4 3" xfId="4903" xr:uid="{2C497D82-2B81-4E35-B375-5629B2711ADB}"/>
    <cellStyle name="Cellule liée 2 2 2 4 5" xfId="4904" xr:uid="{2C9BD541-7D29-4F60-A568-9C4699E4E5DA}"/>
    <cellStyle name="Cellule liée 2 2 2 4 5 2" xfId="4905" xr:uid="{A1A5D421-C508-40A5-BB92-BD6779F5A6AE}"/>
    <cellStyle name="Cellule liée 2 2 2 4 5 2 2" xfId="4906" xr:uid="{036D82EA-AFD8-4C70-85FB-B58328D30B63}"/>
    <cellStyle name="Cellule liée 2 2 2 4 5 3" xfId="4907" xr:uid="{B6B7BFDB-BDCA-4AE1-AB33-705BC2366507}"/>
    <cellStyle name="Cellule liée 2 2 2 4 6" xfId="4908" xr:uid="{FD46680C-B384-481B-B564-AAAB44A262D3}"/>
    <cellStyle name="Cellule liée 2 2 2 4 6 2" xfId="4909" xr:uid="{8EF9343A-DBD6-4668-BCE4-54981DF3E9F3}"/>
    <cellStyle name="Cellule liée 2 2 2 4 6 2 2" xfId="4910" xr:uid="{D8878E8F-425F-4D68-BA09-CEF6F768CD24}"/>
    <cellStyle name="Cellule liée 2 2 2 4 6 3" xfId="4911" xr:uid="{89F798F0-8BEC-43BC-A091-C31CE1E3D1FA}"/>
    <cellStyle name="Cellule liée 2 2 2 4 7" xfId="4912" xr:uid="{C3A8170C-E800-4B96-BCDC-E8E4FE04F034}"/>
    <cellStyle name="Cellule liée 2 2 2 4 7 2" xfId="4913" xr:uid="{E9519E07-8AF9-465F-9933-832D233CE5A9}"/>
    <cellStyle name="Cellule liée 2 2 2 4 7 2 2" xfId="4914" xr:uid="{3B48E5FA-1A26-4197-9A50-EF995CC42821}"/>
    <cellStyle name="Cellule liée 2 2 2 4 7 3" xfId="4915" xr:uid="{1939348E-E46D-48A7-96E7-98D6214775A0}"/>
    <cellStyle name="Cellule liée 2 2 2 4 8" xfId="4916" xr:uid="{A1221BC0-BEEC-4CF6-9A73-A9A3E2EF5535}"/>
    <cellStyle name="Cellule liée 2 2 2 4 8 2" xfId="4917" xr:uid="{640C342A-60A7-4E3E-AD3B-84F97EE5DE8B}"/>
    <cellStyle name="Cellule liée 2 2 2 4 8 2 2" xfId="4918" xr:uid="{D4FED7EE-D292-437B-94DB-083B2F95CEA5}"/>
    <cellStyle name="Cellule liée 2 2 2 4 8 3" xfId="4919" xr:uid="{2A299191-CEA4-4A0E-8DCE-E893B76F2B5E}"/>
    <cellStyle name="Cellule liée 2 2 2 4 9" xfId="4920" xr:uid="{6B0EDDCC-434E-4DF7-9BC8-A3AD2BCAAA85}"/>
    <cellStyle name="Cellule liée 2 2 2 4 9 2" xfId="4921" xr:uid="{603976D7-7517-4248-B8A1-235FF3359C5C}"/>
    <cellStyle name="Cellule liée 2 2 2 4 9 2 2" xfId="4922" xr:uid="{6E7F0F28-D2DA-42E2-8229-709FBD0A1763}"/>
    <cellStyle name="Cellule liée 2 2 2 4 9 3" xfId="4923" xr:uid="{CA3A2319-DCF0-4266-B68D-3BDD676B4FFA}"/>
    <cellStyle name="Cellule liée 2 2 2 5" xfId="4924" xr:uid="{9B0596E2-1E14-44F7-BEBC-9A4BEC0EC163}"/>
    <cellStyle name="Cellule liée 2 2 2 5 2" xfId="4925" xr:uid="{3D0F751B-7983-47BA-80A0-7488D7E0230D}"/>
    <cellStyle name="Cellule liée 2 2 2 5 2 2" xfId="4926" xr:uid="{18785E5B-9A59-41AC-8363-EB891257D1CA}"/>
    <cellStyle name="Cellule liée 2 2 2 5 3" xfId="4927" xr:uid="{16C74B78-D22A-456A-9769-7CCA17E32C17}"/>
    <cellStyle name="Cellule liée 2 2 2 6" xfId="4928" xr:uid="{A2C8D22B-BBCB-4671-A913-BEC1B99607EB}"/>
    <cellStyle name="Cellule liée 2 2 2 6 2" xfId="4929" xr:uid="{46D61D85-2446-4649-A2E4-8D16BEF56921}"/>
    <cellStyle name="Cellule liée 2 2 2 6 2 2" xfId="4930" xr:uid="{C0082D44-E9B5-45C9-AD2C-6AE1E1FC8C31}"/>
    <cellStyle name="Cellule liée 2 2 2 6 3" xfId="4931" xr:uid="{FB3856E7-8866-4DBE-A77D-B10FEA975F17}"/>
    <cellStyle name="Cellule liée 2 2 2 7" xfId="4932" xr:uid="{0A1E783C-144D-44FE-A40E-982C7958773D}"/>
    <cellStyle name="Cellule liée 2 2 2 7 2" xfId="4933" xr:uid="{D45ACC7B-1842-4953-AD41-3BAA93466009}"/>
    <cellStyle name="Cellule liée 2 2 2 7 2 2" xfId="4934" xr:uid="{5815A205-5F90-4B3B-8561-6DF64C0F1D11}"/>
    <cellStyle name="Cellule liée 2 2 2 7 3" xfId="4935" xr:uid="{DA97C096-FA87-41F0-97A2-BEDDB6852B12}"/>
    <cellStyle name="Cellule liée 2 2 2 8" xfId="4936" xr:uid="{66272210-1C52-4F89-856B-14502E931660}"/>
    <cellStyle name="Cellule liée 2 2 2 8 2" xfId="4937" xr:uid="{9E6ABCB4-1AF4-41AB-B410-8003B067E1B3}"/>
    <cellStyle name="Cellule liée 2 2 2 8 2 2" xfId="4938" xr:uid="{1F351996-DD7A-498E-BE5E-732D33DA29C7}"/>
    <cellStyle name="Cellule liée 2 2 2 8 3" xfId="4939" xr:uid="{A46A7C42-F96C-45A5-84FA-B0DD51BEC0FC}"/>
    <cellStyle name="Cellule liée 2 2 2 9" xfId="4940" xr:uid="{E36CC1E1-2437-412B-9EE9-3249DFF06B26}"/>
    <cellStyle name="Cellule liée 2 2 2 9 2" xfId="4941" xr:uid="{DA998AAC-8890-4C73-8895-35AB15BD4574}"/>
    <cellStyle name="Cellule liée 2 2 2 9 2 2" xfId="4942" xr:uid="{56F9CB55-1F5F-4AE6-AEB6-C86A35B413E4}"/>
    <cellStyle name="Cellule liée 2 2 2 9 3" xfId="4943" xr:uid="{5BCB5D60-7047-4C92-925E-A425D76EEE26}"/>
    <cellStyle name="Cellule liée 2 2 3" xfId="4944" xr:uid="{27994829-527B-4213-87FA-F39ABA97C383}"/>
    <cellStyle name="Cellule liée 2 2 3 10" xfId="4945" xr:uid="{9F8EE1A4-A1BE-4604-9FDC-B47F12DCDCA4}"/>
    <cellStyle name="Cellule liée 2 2 3 10 2" xfId="4946" xr:uid="{DE7B05DB-41EF-472E-8C1C-40BD3AE99D26}"/>
    <cellStyle name="Cellule liée 2 2 3 10 2 2" xfId="4947" xr:uid="{36288766-A638-4784-97D8-482F1D31E6BF}"/>
    <cellStyle name="Cellule liée 2 2 3 10 3" xfId="4948" xr:uid="{38422D7A-621A-441A-9500-C179E4B4F1FB}"/>
    <cellStyle name="Cellule liée 2 2 3 11" xfId="4949" xr:uid="{8E54B946-B0A8-4FE2-86DF-AD4744BEAB7F}"/>
    <cellStyle name="Cellule liée 2 2 3 11 2" xfId="4950" xr:uid="{411F357A-E385-44D4-8BEB-847FF75EA506}"/>
    <cellStyle name="Cellule liée 2 2 3 11 2 2" xfId="4951" xr:uid="{DA02E4C0-CE96-4ED7-B8A7-5C7A6BACAFE4}"/>
    <cellStyle name="Cellule liée 2 2 3 11 3" xfId="4952" xr:uid="{CF806EC9-56FC-418C-A916-FBA301BA6E43}"/>
    <cellStyle name="Cellule liée 2 2 3 12" xfId="4953" xr:uid="{5C136CD5-E42B-4B95-880C-E8937652152F}"/>
    <cellStyle name="Cellule liée 2 2 3 12 2" xfId="4954" xr:uid="{68A6E80C-1F76-4D9E-AAA0-3A263F47A6AA}"/>
    <cellStyle name="Cellule liée 2 2 3 13" xfId="4955" xr:uid="{4B60DBC8-4FDE-4167-8326-D839F49DDDB7}"/>
    <cellStyle name="Cellule liée 2 2 3 2" xfId="4956" xr:uid="{661CD614-E5D5-47C0-B2AE-A321CFE75AAE}"/>
    <cellStyle name="Cellule liée 2 2 3 2 10" xfId="4957" xr:uid="{9E3E599C-4A8F-485C-9BC1-F97F80B84D34}"/>
    <cellStyle name="Cellule liée 2 2 3 2 10 2" xfId="4958" xr:uid="{26E3E126-AA57-4A5B-A5FD-89D2030AB0E2}"/>
    <cellStyle name="Cellule liée 2 2 3 2 10 2 2" xfId="4959" xr:uid="{A2631F64-0B6A-414F-A514-2F5AAD59DF70}"/>
    <cellStyle name="Cellule liée 2 2 3 2 10 3" xfId="4960" xr:uid="{C58842D7-2037-44AF-9E7F-5C300E43BEAB}"/>
    <cellStyle name="Cellule liée 2 2 3 2 11" xfId="4961" xr:uid="{A381C9A9-2713-4985-A18F-3F39A1E685A3}"/>
    <cellStyle name="Cellule liée 2 2 3 2 11 2" xfId="4962" xr:uid="{38F3CE72-1DD8-4368-BAC3-18BC7CBA7168}"/>
    <cellStyle name="Cellule liée 2 2 3 2 12" xfId="4963" xr:uid="{88603628-041E-4444-94B4-FC395D6AF8AF}"/>
    <cellStyle name="Cellule liée 2 2 3 2 2" xfId="4964" xr:uid="{661D228F-88C4-4463-8484-508033A9DACF}"/>
    <cellStyle name="Cellule liée 2 2 3 2 2 2" xfId="4965" xr:uid="{41D43DFC-5954-49B6-866B-1FA4BD172C3A}"/>
    <cellStyle name="Cellule liée 2 2 3 2 2 2 2" xfId="4966" xr:uid="{B712B28E-E1DB-4DA8-B2E6-B9AFF76C21E0}"/>
    <cellStyle name="Cellule liée 2 2 3 2 2 3" xfId="4967" xr:uid="{4D9A6124-A2E3-4F57-B180-00CF4F40E76C}"/>
    <cellStyle name="Cellule liée 2 2 3 2 3" xfId="4968" xr:uid="{F8D082EF-7504-4070-B63A-7DD2A030A033}"/>
    <cellStyle name="Cellule liée 2 2 3 2 3 2" xfId="4969" xr:uid="{EA6AEF78-0120-4F39-83A0-836D6A74536B}"/>
    <cellStyle name="Cellule liée 2 2 3 2 3 2 2" xfId="4970" xr:uid="{42B80737-54A5-4D58-BDFA-4103269D1828}"/>
    <cellStyle name="Cellule liée 2 2 3 2 3 3" xfId="4971" xr:uid="{E6772BBE-C754-4D09-956B-131ECCF02A67}"/>
    <cellStyle name="Cellule liée 2 2 3 2 4" xfId="4972" xr:uid="{3F4EEBE8-C211-4D2D-8B6B-3F1AA46CDABE}"/>
    <cellStyle name="Cellule liée 2 2 3 2 4 2" xfId="4973" xr:uid="{1BCA657B-D694-4E36-8140-3BEB9FAAAAFA}"/>
    <cellStyle name="Cellule liée 2 2 3 2 4 2 2" xfId="4974" xr:uid="{A142C5D0-0003-4806-A507-08182643C7EB}"/>
    <cellStyle name="Cellule liée 2 2 3 2 4 3" xfId="4975" xr:uid="{2F108E27-FA49-42D8-8909-C8BEC1C8BEA1}"/>
    <cellStyle name="Cellule liée 2 2 3 2 5" xfId="4976" xr:uid="{2296A373-AE73-4837-945B-591EB7903BA2}"/>
    <cellStyle name="Cellule liée 2 2 3 2 5 2" xfId="4977" xr:uid="{5427B410-005F-40DE-9F56-8AC047FB4B6F}"/>
    <cellStyle name="Cellule liée 2 2 3 2 5 2 2" xfId="4978" xr:uid="{5843931E-C33F-41FA-9439-B2C2AAAEDEFC}"/>
    <cellStyle name="Cellule liée 2 2 3 2 5 3" xfId="4979" xr:uid="{62C6AF70-038E-49B2-8C70-81D320C8C9F1}"/>
    <cellStyle name="Cellule liée 2 2 3 2 6" xfId="4980" xr:uid="{F5695EF2-D88C-4A22-A1D5-EA6721B3AB59}"/>
    <cellStyle name="Cellule liée 2 2 3 2 6 2" xfId="4981" xr:uid="{F9998DC2-667D-42F0-AACA-D479870449C1}"/>
    <cellStyle name="Cellule liée 2 2 3 2 6 2 2" xfId="4982" xr:uid="{622062E8-31F0-4DBC-8868-658318D60BA1}"/>
    <cellStyle name="Cellule liée 2 2 3 2 6 3" xfId="4983" xr:uid="{5185CD31-00B1-49D2-B9AE-3CA26D6A015B}"/>
    <cellStyle name="Cellule liée 2 2 3 2 7" xfId="4984" xr:uid="{A5616981-D08B-423B-BD72-95B81FB149CE}"/>
    <cellStyle name="Cellule liée 2 2 3 2 7 2" xfId="4985" xr:uid="{A0C46DA4-ABF4-4750-89B5-E647660E0174}"/>
    <cellStyle name="Cellule liée 2 2 3 2 7 2 2" xfId="4986" xr:uid="{1441B266-68F4-47FC-9609-8101E624BD0A}"/>
    <cellStyle name="Cellule liée 2 2 3 2 7 3" xfId="4987" xr:uid="{A1F760E8-E396-480F-9DBD-0E4FE24C720A}"/>
    <cellStyle name="Cellule liée 2 2 3 2 8" xfId="4988" xr:uid="{37ED2B27-1B1E-474A-91B6-F132F5C5CA7D}"/>
    <cellStyle name="Cellule liée 2 2 3 2 8 2" xfId="4989" xr:uid="{BEDEF33F-9F17-438B-A005-5728159DDAF7}"/>
    <cellStyle name="Cellule liée 2 2 3 2 8 2 2" xfId="4990" xr:uid="{F4703AAB-3DAF-4A9C-ACFC-34194A31DF00}"/>
    <cellStyle name="Cellule liée 2 2 3 2 8 3" xfId="4991" xr:uid="{413A67DC-7294-4D2B-9E1B-894C7D2EF15F}"/>
    <cellStyle name="Cellule liée 2 2 3 2 9" xfId="4992" xr:uid="{540E7A22-1D5A-4F60-9A1C-AFDB53BC4C3B}"/>
    <cellStyle name="Cellule liée 2 2 3 2 9 2" xfId="4993" xr:uid="{7CCB271E-49EC-4449-AF7F-B0CB90FC4A72}"/>
    <cellStyle name="Cellule liée 2 2 3 2 9 2 2" xfId="4994" xr:uid="{89D32F7C-C1D6-49A4-B0F5-5C751A5F103B}"/>
    <cellStyle name="Cellule liée 2 2 3 2 9 3" xfId="4995" xr:uid="{DC3DCAA3-7FA1-4603-BB7F-C7055CB744D3}"/>
    <cellStyle name="Cellule liée 2 2 3 3" xfId="4996" xr:uid="{5EAD03B5-BBE6-4701-B647-375C8E1E5AF3}"/>
    <cellStyle name="Cellule liée 2 2 3 3 10" xfId="4997" xr:uid="{3886CCC8-BE4B-433C-97CA-D0B554FE6D34}"/>
    <cellStyle name="Cellule liée 2 2 3 3 10 2" xfId="4998" xr:uid="{7877DEDB-1DCB-4AAF-99B2-4F4DBE1DB4E2}"/>
    <cellStyle name="Cellule liée 2 2 3 3 11" xfId="4999" xr:uid="{7D37CDFE-9487-4881-B587-88145724A8CD}"/>
    <cellStyle name="Cellule liée 2 2 3 3 2" xfId="5000" xr:uid="{AE7B8B0F-91A3-43BE-A938-94BE2F1E4F59}"/>
    <cellStyle name="Cellule liée 2 2 3 3 2 2" xfId="5001" xr:uid="{69477A47-FCEC-4B85-B568-11D77B6C34B7}"/>
    <cellStyle name="Cellule liée 2 2 3 3 2 2 2" xfId="5002" xr:uid="{D637483F-C215-4068-BB7C-7F85CDD55D64}"/>
    <cellStyle name="Cellule liée 2 2 3 3 2 3" xfId="5003" xr:uid="{1274ECCC-E7E4-4465-BA67-B2FC67104F37}"/>
    <cellStyle name="Cellule liée 2 2 3 3 3" xfId="5004" xr:uid="{EA61B4BB-73A5-49EC-85F8-B6493340D425}"/>
    <cellStyle name="Cellule liée 2 2 3 3 3 2" xfId="5005" xr:uid="{4999351F-9C87-40DF-943A-B28C9AA147BD}"/>
    <cellStyle name="Cellule liée 2 2 3 3 3 2 2" xfId="5006" xr:uid="{35D90122-1320-47EA-A85A-99B91118905D}"/>
    <cellStyle name="Cellule liée 2 2 3 3 3 3" xfId="5007" xr:uid="{1B955873-12B4-4DFB-AD60-614A7564424C}"/>
    <cellStyle name="Cellule liée 2 2 3 3 4" xfId="5008" xr:uid="{E0B46AF7-11BB-41DD-B81E-24D70F04ABE6}"/>
    <cellStyle name="Cellule liée 2 2 3 3 4 2" xfId="5009" xr:uid="{06E40269-686A-4B88-8E55-97564A6237F9}"/>
    <cellStyle name="Cellule liée 2 2 3 3 4 2 2" xfId="5010" xr:uid="{B3CF7DE2-DC2D-4F5A-8C55-7A56F8F6DDD6}"/>
    <cellStyle name="Cellule liée 2 2 3 3 4 3" xfId="5011" xr:uid="{22AC9323-480C-489E-A59D-899869D2E4C8}"/>
    <cellStyle name="Cellule liée 2 2 3 3 5" xfId="5012" xr:uid="{85AB5DC3-CF13-4856-8A2E-2B27708FF267}"/>
    <cellStyle name="Cellule liée 2 2 3 3 5 2" xfId="5013" xr:uid="{07A7BFF8-5BBC-49E3-963E-A19EC62CB532}"/>
    <cellStyle name="Cellule liée 2 2 3 3 5 2 2" xfId="5014" xr:uid="{2012F151-7BB3-4E86-83C2-28767AC28671}"/>
    <cellStyle name="Cellule liée 2 2 3 3 5 3" xfId="5015" xr:uid="{BC3CF107-1029-4310-A950-B8BAB663E553}"/>
    <cellStyle name="Cellule liée 2 2 3 3 6" xfId="5016" xr:uid="{896CFBDA-6DA8-46D6-B798-F30C186E6FA2}"/>
    <cellStyle name="Cellule liée 2 2 3 3 6 2" xfId="5017" xr:uid="{1FF6B00C-1522-4FA6-9D54-BC331ECE140D}"/>
    <cellStyle name="Cellule liée 2 2 3 3 6 2 2" xfId="5018" xr:uid="{DC758416-558F-4CBB-AF0A-781079FAEA28}"/>
    <cellStyle name="Cellule liée 2 2 3 3 6 3" xfId="5019" xr:uid="{76803EB3-7AF6-41F5-9FE6-E7BA2C7831E2}"/>
    <cellStyle name="Cellule liée 2 2 3 3 7" xfId="5020" xr:uid="{9C1F6C4F-E5D4-4028-AA6B-19099A607EE0}"/>
    <cellStyle name="Cellule liée 2 2 3 3 7 2" xfId="5021" xr:uid="{995251CA-A300-443D-91E7-298B6175170E}"/>
    <cellStyle name="Cellule liée 2 2 3 3 7 2 2" xfId="5022" xr:uid="{82E65A17-9021-4FA9-BC5A-D814CACC78AA}"/>
    <cellStyle name="Cellule liée 2 2 3 3 7 3" xfId="5023" xr:uid="{82793947-F127-4CE6-9995-EABD317F30F5}"/>
    <cellStyle name="Cellule liée 2 2 3 3 8" xfId="5024" xr:uid="{1E35F324-6374-4F02-826A-B96C407AB199}"/>
    <cellStyle name="Cellule liée 2 2 3 3 8 2" xfId="5025" xr:uid="{B14FDCB0-89B1-4986-8913-FA516E14E40A}"/>
    <cellStyle name="Cellule liée 2 2 3 3 8 2 2" xfId="5026" xr:uid="{F015AA83-C07B-41EB-AD6D-721EE60D126D}"/>
    <cellStyle name="Cellule liée 2 2 3 3 8 3" xfId="5027" xr:uid="{B9F4B490-4866-4177-AF5E-CE84ADD0B151}"/>
    <cellStyle name="Cellule liée 2 2 3 3 9" xfId="5028" xr:uid="{CF5611E9-F649-459F-AA13-21BD698C9AC6}"/>
    <cellStyle name="Cellule liée 2 2 3 3 9 2" xfId="5029" xr:uid="{1446C6B1-2D36-4964-B147-ABE467FB63FD}"/>
    <cellStyle name="Cellule liée 2 2 3 3 9 2 2" xfId="5030" xr:uid="{096F36CD-A9A5-4FDB-8282-D69C6BE6852D}"/>
    <cellStyle name="Cellule liée 2 2 3 3 9 3" xfId="5031" xr:uid="{960BC794-03C3-4DAC-827C-709ECEECFEED}"/>
    <cellStyle name="Cellule liée 2 2 3 4" xfId="5032" xr:uid="{F303CBE1-8B4D-4391-9C4F-64A4C9607337}"/>
    <cellStyle name="Cellule liée 2 2 3 4 2" xfId="5033" xr:uid="{3DB2CF6F-1F41-4FB7-99D6-2E1F4D627581}"/>
    <cellStyle name="Cellule liée 2 2 3 4 2 2" xfId="5034" xr:uid="{BDB78C1A-0C2B-4837-9B8D-D3853ECD4CF5}"/>
    <cellStyle name="Cellule liée 2 2 3 4 3" xfId="5035" xr:uid="{F0EC54AD-F772-4DC3-B623-BEF4A04D46BD}"/>
    <cellStyle name="Cellule liée 2 2 3 5" xfId="5036" xr:uid="{EF5450D1-001D-4E67-B102-6B20F8BE1811}"/>
    <cellStyle name="Cellule liée 2 2 3 5 2" xfId="5037" xr:uid="{FA2D43A8-97C6-4B63-A3ED-95E7A8B4D94A}"/>
    <cellStyle name="Cellule liée 2 2 3 5 2 2" xfId="5038" xr:uid="{2F6BF6C0-118C-4156-8D28-97DE8BFEBAA5}"/>
    <cellStyle name="Cellule liée 2 2 3 5 3" xfId="5039" xr:uid="{EA0C797D-00DE-470E-B7F3-C01050EBACD6}"/>
    <cellStyle name="Cellule liée 2 2 3 6" xfId="5040" xr:uid="{A5F4553F-5ACC-4F72-A56A-D1603B7ED4D1}"/>
    <cellStyle name="Cellule liée 2 2 3 6 2" xfId="5041" xr:uid="{CCAC2D52-6069-4AAB-95D9-607E65FCAD18}"/>
    <cellStyle name="Cellule liée 2 2 3 6 2 2" xfId="5042" xr:uid="{448F668E-D757-481C-9F9F-B74B743BF57E}"/>
    <cellStyle name="Cellule liée 2 2 3 6 3" xfId="5043" xr:uid="{072AF13B-4715-4AB2-9993-CFBEF7B2146F}"/>
    <cellStyle name="Cellule liée 2 2 3 7" xfId="5044" xr:uid="{A953F8A4-6F07-4673-9A3F-B11933B345C0}"/>
    <cellStyle name="Cellule liée 2 2 3 7 2" xfId="5045" xr:uid="{62759E9A-79C7-44E3-A09D-815EEEE12682}"/>
    <cellStyle name="Cellule liée 2 2 3 7 2 2" xfId="5046" xr:uid="{A62F2794-93CD-42CF-A938-E7EBCE58C92D}"/>
    <cellStyle name="Cellule liée 2 2 3 7 3" xfId="5047" xr:uid="{CCB875F4-929C-4481-B5AA-18ADD6616C8E}"/>
    <cellStyle name="Cellule liée 2 2 3 8" xfId="5048" xr:uid="{90BA3823-E9B3-486C-A786-D59265AF1A11}"/>
    <cellStyle name="Cellule liée 2 2 3 8 2" xfId="5049" xr:uid="{7FD3B0C2-66E8-4DBA-B242-28EDF6568BEB}"/>
    <cellStyle name="Cellule liée 2 2 3 8 2 2" xfId="5050" xr:uid="{B80D39CD-22C4-4FCF-BB6F-2C8243433133}"/>
    <cellStyle name="Cellule liée 2 2 3 8 3" xfId="5051" xr:uid="{5BBDE39F-035D-4AF7-BA68-5F7787B3F73A}"/>
    <cellStyle name="Cellule liée 2 2 3 9" xfId="5052" xr:uid="{106B31D6-85F7-4D58-9C9B-58E800F83B54}"/>
    <cellStyle name="Cellule liée 2 2 3 9 2" xfId="5053" xr:uid="{5C7D6DE6-126E-4FB1-B6A0-8D2AED2CBFC4}"/>
    <cellStyle name="Cellule liée 2 2 3 9 2 2" xfId="5054" xr:uid="{5A0F045C-7B19-4F4E-8EBC-230617854824}"/>
    <cellStyle name="Cellule liée 2 2 3 9 3" xfId="5055" xr:uid="{2DF95B26-E4A8-4350-8871-537ABFF86264}"/>
    <cellStyle name="Cellule liée 2 2 4" xfId="5056" xr:uid="{C335FF64-49E8-4B25-842F-004DB928175D}"/>
    <cellStyle name="Cellule liée 2 2 4 10" xfId="5057" xr:uid="{55A6DA03-E7D8-4F00-A4F4-197D3E6FFF27}"/>
    <cellStyle name="Cellule liée 2 2 4 10 2" xfId="5058" xr:uid="{1F15D02F-D1E0-4A3B-B96D-74D66BFC22D1}"/>
    <cellStyle name="Cellule liée 2 2 4 10 2 2" xfId="5059" xr:uid="{18961503-ED4A-470F-BBEB-06FEBA44E1D8}"/>
    <cellStyle name="Cellule liée 2 2 4 10 3" xfId="5060" xr:uid="{A1D63FA6-1FCA-4B9B-8A56-EF23A8E6C1C2}"/>
    <cellStyle name="Cellule liée 2 2 4 11" xfId="5061" xr:uid="{B2BE4CDE-19F6-4935-AE21-14A57ACCD65F}"/>
    <cellStyle name="Cellule liée 2 2 4 11 2" xfId="5062" xr:uid="{A7091320-4832-4D11-BBAD-B7ABFFFDDFCA}"/>
    <cellStyle name="Cellule liée 2 2 4 12" xfId="5063" xr:uid="{7BED086A-DBBB-455E-826C-8CC4BD315543}"/>
    <cellStyle name="Cellule liée 2 2 4 2" xfId="5064" xr:uid="{530289F3-D6CC-4552-A700-E2BBCE12D857}"/>
    <cellStyle name="Cellule liée 2 2 4 2 10" xfId="5065" xr:uid="{7BECCA93-4A7F-40BB-8292-BF6FAAAE7058}"/>
    <cellStyle name="Cellule liée 2 2 4 2 10 2" xfId="5066" xr:uid="{134EB01E-DD2E-4F81-BE5C-ACB20871F86A}"/>
    <cellStyle name="Cellule liée 2 2 4 2 11" xfId="5067" xr:uid="{38A85349-EF35-4980-9257-C9A72C49EF3E}"/>
    <cellStyle name="Cellule liée 2 2 4 2 2" xfId="5068" xr:uid="{62B0CE80-DEE8-4476-8855-E4D643E60587}"/>
    <cellStyle name="Cellule liée 2 2 4 2 2 2" xfId="5069" xr:uid="{4619BA31-295F-4080-83CE-5EA0F4D520B6}"/>
    <cellStyle name="Cellule liée 2 2 4 2 2 2 2" xfId="5070" xr:uid="{75F822D9-6E62-4CD5-9546-B37BA31F534B}"/>
    <cellStyle name="Cellule liée 2 2 4 2 2 3" xfId="5071" xr:uid="{AC058D7D-5BDD-4F70-B4FA-0125C76F163E}"/>
    <cellStyle name="Cellule liée 2 2 4 2 3" xfId="5072" xr:uid="{699DDAC6-726E-4FCF-A70C-541ED05349C3}"/>
    <cellStyle name="Cellule liée 2 2 4 2 3 2" xfId="5073" xr:uid="{F7CFAC1C-9028-4C29-BB3F-262D50AEC39B}"/>
    <cellStyle name="Cellule liée 2 2 4 2 3 2 2" xfId="5074" xr:uid="{68FF5BE5-17FE-4210-BE60-1A9B8E81B054}"/>
    <cellStyle name="Cellule liée 2 2 4 2 3 3" xfId="5075" xr:uid="{6836A317-2CE7-4120-A840-C02F0123EC1F}"/>
    <cellStyle name="Cellule liée 2 2 4 2 4" xfId="5076" xr:uid="{0FD2234F-BE3F-48B0-A721-8B2EA0F00CA6}"/>
    <cellStyle name="Cellule liée 2 2 4 2 4 2" xfId="5077" xr:uid="{3FB364A8-E934-4741-A083-2A37756947F2}"/>
    <cellStyle name="Cellule liée 2 2 4 2 4 2 2" xfId="5078" xr:uid="{8F134B62-3AE6-4AD5-84C4-CACA039DC167}"/>
    <cellStyle name="Cellule liée 2 2 4 2 4 3" xfId="5079" xr:uid="{E745F89F-B533-4316-ADB7-8B9577978E64}"/>
    <cellStyle name="Cellule liée 2 2 4 2 5" xfId="5080" xr:uid="{219B4B25-7822-4DE8-9672-B621601E585B}"/>
    <cellStyle name="Cellule liée 2 2 4 2 5 2" xfId="5081" xr:uid="{54B75ADF-7300-4762-ADBA-0624B05DCCA1}"/>
    <cellStyle name="Cellule liée 2 2 4 2 5 2 2" xfId="5082" xr:uid="{3B195FFD-9B5D-4E54-9C3B-7AF002DC456C}"/>
    <cellStyle name="Cellule liée 2 2 4 2 5 3" xfId="5083" xr:uid="{B9D5931B-66B4-4D4E-9AB0-6F72EBAB2DD0}"/>
    <cellStyle name="Cellule liée 2 2 4 2 6" xfId="5084" xr:uid="{85EF98E7-55FB-4C7C-A340-B4B5F1C9DBBC}"/>
    <cellStyle name="Cellule liée 2 2 4 2 6 2" xfId="5085" xr:uid="{B57B451C-C31A-4A11-A3A9-B5C63C2B94A3}"/>
    <cellStyle name="Cellule liée 2 2 4 2 6 2 2" xfId="5086" xr:uid="{B10DC5E4-86B1-41FF-9E43-039335F73F89}"/>
    <cellStyle name="Cellule liée 2 2 4 2 6 3" xfId="5087" xr:uid="{C684C6BF-ED3F-4105-A872-A341350441DF}"/>
    <cellStyle name="Cellule liée 2 2 4 2 7" xfId="5088" xr:uid="{645700F3-739A-4688-9098-2DE12B3D26CE}"/>
    <cellStyle name="Cellule liée 2 2 4 2 7 2" xfId="5089" xr:uid="{6C40DEBA-AB15-45E7-8AF5-6C82664A7052}"/>
    <cellStyle name="Cellule liée 2 2 4 2 7 2 2" xfId="5090" xr:uid="{D31FBB0B-0A79-4B7E-9E97-A2666FEF1369}"/>
    <cellStyle name="Cellule liée 2 2 4 2 7 3" xfId="5091" xr:uid="{9C7EF52C-B487-4A8B-8F19-A6D50640A8FE}"/>
    <cellStyle name="Cellule liée 2 2 4 2 8" xfId="5092" xr:uid="{8476D54E-F260-44B7-BE77-F72C2DB460F0}"/>
    <cellStyle name="Cellule liée 2 2 4 2 8 2" xfId="5093" xr:uid="{23E308B9-B6A1-4740-A89F-6CC35E2CA464}"/>
    <cellStyle name="Cellule liée 2 2 4 2 8 2 2" xfId="5094" xr:uid="{387C7C3B-8E8F-433C-9F49-309939B36CEE}"/>
    <cellStyle name="Cellule liée 2 2 4 2 8 3" xfId="5095" xr:uid="{BD2BFEDE-4F94-451E-8147-DE6A1A322A28}"/>
    <cellStyle name="Cellule liée 2 2 4 2 9" xfId="5096" xr:uid="{7EDB30F9-43F4-4300-9AAD-A73F440F8915}"/>
    <cellStyle name="Cellule liée 2 2 4 2 9 2" xfId="5097" xr:uid="{E4C96D0B-689F-40EB-883E-B80ADB28776B}"/>
    <cellStyle name="Cellule liée 2 2 4 2 9 2 2" xfId="5098" xr:uid="{3D5ECC2E-07E3-4EFA-A883-FC234D3FC4CD}"/>
    <cellStyle name="Cellule liée 2 2 4 2 9 3" xfId="5099" xr:uid="{B431338C-4D12-4896-8633-FE8D8F6EA3DB}"/>
    <cellStyle name="Cellule liée 2 2 4 3" xfId="5100" xr:uid="{6DD3337E-BA20-4890-9CF7-5B5949B51200}"/>
    <cellStyle name="Cellule liée 2 2 4 3 2" xfId="5101" xr:uid="{1A476D48-DE94-4AA0-8228-46E99CB30C6F}"/>
    <cellStyle name="Cellule liée 2 2 4 3 2 2" xfId="5102" xr:uid="{30D1B4C0-E265-4205-99F8-41A8E634B7D4}"/>
    <cellStyle name="Cellule liée 2 2 4 3 3" xfId="5103" xr:uid="{2B2D4013-5601-4B03-9330-90BD62F48307}"/>
    <cellStyle name="Cellule liée 2 2 4 4" xfId="5104" xr:uid="{5C061A9D-9EFA-4C3E-8309-5062DD9063FD}"/>
    <cellStyle name="Cellule liée 2 2 4 4 2" xfId="5105" xr:uid="{F4CCED22-721B-49BF-80C0-8598290D6CB0}"/>
    <cellStyle name="Cellule liée 2 2 4 4 2 2" xfId="5106" xr:uid="{BBD975CE-842D-4ACF-8201-2E26D0A87975}"/>
    <cellStyle name="Cellule liée 2 2 4 4 3" xfId="5107" xr:uid="{F66D0E74-F3E9-42A1-9CDB-E7FD608ACC5E}"/>
    <cellStyle name="Cellule liée 2 2 4 5" xfId="5108" xr:uid="{18CB54DC-1222-4693-8B72-492EB35E0AF5}"/>
    <cellStyle name="Cellule liée 2 2 4 5 2" xfId="5109" xr:uid="{F85D9078-B403-4CEC-9DC6-DAD88A512F6C}"/>
    <cellStyle name="Cellule liée 2 2 4 5 2 2" xfId="5110" xr:uid="{77AA8DBC-81DD-4FCC-A150-27BC127C439A}"/>
    <cellStyle name="Cellule liée 2 2 4 5 3" xfId="5111" xr:uid="{DAC50E75-94E5-468A-98C9-1A764A486A1E}"/>
    <cellStyle name="Cellule liée 2 2 4 6" xfId="5112" xr:uid="{61821AB0-CE69-4431-957D-1AD2B21AFBBD}"/>
    <cellStyle name="Cellule liée 2 2 4 6 2" xfId="5113" xr:uid="{2C0BF142-BF88-4932-95ED-5AF0F5574727}"/>
    <cellStyle name="Cellule liée 2 2 4 6 2 2" xfId="5114" xr:uid="{78072C30-99AF-477A-AC99-E40D1977FA3D}"/>
    <cellStyle name="Cellule liée 2 2 4 6 3" xfId="5115" xr:uid="{75731F74-35AA-4596-A7C7-4FD2B63513D2}"/>
    <cellStyle name="Cellule liée 2 2 4 7" xfId="5116" xr:uid="{71BFA461-B33B-482F-9A5B-DA7102D9AAEA}"/>
    <cellStyle name="Cellule liée 2 2 4 7 2" xfId="5117" xr:uid="{2DC6AF54-A483-4B5E-8CAA-0C91E3AAF5B9}"/>
    <cellStyle name="Cellule liée 2 2 4 7 2 2" xfId="5118" xr:uid="{E6A8C309-334F-414D-8E47-627939E3C153}"/>
    <cellStyle name="Cellule liée 2 2 4 7 3" xfId="5119" xr:uid="{0F3F8CFB-27A2-4642-BC39-178159B3F337}"/>
    <cellStyle name="Cellule liée 2 2 4 8" xfId="5120" xr:uid="{B1D21D73-01F0-4FE5-9526-ECD9E8FFE5CD}"/>
    <cellStyle name="Cellule liée 2 2 4 8 2" xfId="5121" xr:uid="{51F3A954-46E1-4C88-8C46-12142EF0B5C1}"/>
    <cellStyle name="Cellule liée 2 2 4 8 2 2" xfId="5122" xr:uid="{79C88EE3-4AA8-4D7A-9DE7-2B69C9533016}"/>
    <cellStyle name="Cellule liée 2 2 4 8 3" xfId="5123" xr:uid="{7E4670C0-F675-4137-9E5F-166322B8944D}"/>
    <cellStyle name="Cellule liée 2 2 4 9" xfId="5124" xr:uid="{7897F483-5093-4243-907A-C901F8F2BC96}"/>
    <cellStyle name="Cellule liée 2 2 4 9 2" xfId="5125" xr:uid="{9614C564-3F6A-430F-BFDC-CD8E360A2322}"/>
    <cellStyle name="Cellule liée 2 2 4 9 2 2" xfId="5126" xr:uid="{5CE0F360-A5FF-4AA9-9EE3-577DB9640863}"/>
    <cellStyle name="Cellule liée 2 2 4 9 3" xfId="5127" xr:uid="{B40E36F9-18B9-4318-9E09-BC31F31DE77C}"/>
    <cellStyle name="Cellule liée 2 2 5" xfId="5128" xr:uid="{00E2624E-8496-4C3D-86B3-EE784F5262CC}"/>
    <cellStyle name="Cellule liée 2 2 5 10" xfId="5129" xr:uid="{6A14F7F6-B753-44F1-8B6B-50556829E894}"/>
    <cellStyle name="Cellule liée 2 2 5 10 2" xfId="5130" xr:uid="{85C3A2C1-7322-4ABF-BDD7-CE0AA5A806C4}"/>
    <cellStyle name="Cellule liée 2 2 5 11" xfId="5131" xr:uid="{297CDE6C-15F2-4A33-95CB-A971C1F75466}"/>
    <cellStyle name="Cellule liée 2 2 5 2" xfId="5132" xr:uid="{B466821D-E830-4ED0-9C9C-993237B9F35C}"/>
    <cellStyle name="Cellule liée 2 2 5 2 2" xfId="5133" xr:uid="{63001DFE-52B0-49E5-A576-2B08B8F0B4DA}"/>
    <cellStyle name="Cellule liée 2 2 5 2 2 2" xfId="5134" xr:uid="{40907EDD-C84C-466C-A356-26944CE2F52A}"/>
    <cellStyle name="Cellule liée 2 2 5 2 3" xfId="5135" xr:uid="{86E3D304-DB36-45BE-A800-5AFD54CA7BA6}"/>
    <cellStyle name="Cellule liée 2 2 5 3" xfId="5136" xr:uid="{60A313C9-5208-4174-A495-3CD0FDDF5A06}"/>
    <cellStyle name="Cellule liée 2 2 5 3 2" xfId="5137" xr:uid="{F4F773FA-7823-4ED6-88DC-BB96694EC8EE}"/>
    <cellStyle name="Cellule liée 2 2 5 3 2 2" xfId="5138" xr:uid="{4A3D5C6E-D812-4477-9C94-91AE5E48F1AF}"/>
    <cellStyle name="Cellule liée 2 2 5 3 3" xfId="5139" xr:uid="{FA65B076-2553-4657-9EB5-0F0B441BFA9F}"/>
    <cellStyle name="Cellule liée 2 2 5 4" xfId="5140" xr:uid="{FB8A93BE-3EDE-4F98-B44C-5B4598AEC15A}"/>
    <cellStyle name="Cellule liée 2 2 5 4 2" xfId="5141" xr:uid="{998CAA57-B7CA-44EF-AFBB-8530658B81E4}"/>
    <cellStyle name="Cellule liée 2 2 5 4 2 2" xfId="5142" xr:uid="{BF9A626D-A81A-4F94-AE09-14D39D7C326C}"/>
    <cellStyle name="Cellule liée 2 2 5 4 3" xfId="5143" xr:uid="{8767C8E7-4FF2-4295-B68E-DA237E8837A9}"/>
    <cellStyle name="Cellule liée 2 2 5 5" xfId="5144" xr:uid="{D81E55CF-AE6E-4A10-AE7A-685902EC6929}"/>
    <cellStyle name="Cellule liée 2 2 5 5 2" xfId="5145" xr:uid="{C8C82453-64EA-4264-A196-540F353BE8CA}"/>
    <cellStyle name="Cellule liée 2 2 5 5 2 2" xfId="5146" xr:uid="{C663F584-24D8-473E-AAD3-D7912B52660C}"/>
    <cellStyle name="Cellule liée 2 2 5 5 3" xfId="5147" xr:uid="{8E03B72D-C334-4351-8C5A-E23C7BAF5387}"/>
    <cellStyle name="Cellule liée 2 2 5 6" xfId="5148" xr:uid="{9AE10E98-BC5C-44BD-827B-315191AFD018}"/>
    <cellStyle name="Cellule liée 2 2 5 6 2" xfId="5149" xr:uid="{91A2CC23-2FCF-41FB-A499-99143F8C17ED}"/>
    <cellStyle name="Cellule liée 2 2 5 6 2 2" xfId="5150" xr:uid="{8AF51448-B617-4EA5-AB03-83367EAB846B}"/>
    <cellStyle name="Cellule liée 2 2 5 6 3" xfId="5151" xr:uid="{6223FE2C-6FD8-4417-9859-719A5443CDA9}"/>
    <cellStyle name="Cellule liée 2 2 5 7" xfId="5152" xr:uid="{ECBCB9F6-56D4-4701-9434-1968DBF53AF8}"/>
    <cellStyle name="Cellule liée 2 2 5 7 2" xfId="5153" xr:uid="{275AC763-4C39-4906-A3EB-79D385C9D546}"/>
    <cellStyle name="Cellule liée 2 2 5 7 2 2" xfId="5154" xr:uid="{E9F8D6CC-C4CA-4D50-878B-502860E7812F}"/>
    <cellStyle name="Cellule liée 2 2 5 7 3" xfId="5155" xr:uid="{AF454736-384B-4254-9AD9-060CAF01EA21}"/>
    <cellStyle name="Cellule liée 2 2 5 8" xfId="5156" xr:uid="{91B5B774-0BAA-495E-8FA7-951C86BBA76C}"/>
    <cellStyle name="Cellule liée 2 2 5 8 2" xfId="5157" xr:uid="{F9742F22-5A83-4BB4-A3BF-13754F20AD3D}"/>
    <cellStyle name="Cellule liée 2 2 5 8 2 2" xfId="5158" xr:uid="{72B74F4A-E4D6-4E4B-A789-A7F7D4F41C7D}"/>
    <cellStyle name="Cellule liée 2 2 5 8 3" xfId="5159" xr:uid="{3D25AE39-6391-4ED0-9C04-2965D6511F99}"/>
    <cellStyle name="Cellule liée 2 2 5 9" xfId="5160" xr:uid="{7225276D-331A-4211-9C92-7D356879FFDD}"/>
    <cellStyle name="Cellule liée 2 2 5 9 2" xfId="5161" xr:uid="{0B6E63AD-44F0-4777-B4A5-EB563AA6D926}"/>
    <cellStyle name="Cellule liée 2 2 5 9 2 2" xfId="5162" xr:uid="{8DE4A7CD-DF16-4736-A70B-84D3B60755C4}"/>
    <cellStyle name="Cellule liée 2 2 5 9 3" xfId="5163" xr:uid="{DE937D6C-E6C3-4A19-B409-22AE40B46106}"/>
    <cellStyle name="Cellule liée 2 2 6" xfId="5164" xr:uid="{62DEEABD-88DC-4B68-AFFF-8DB9C555334E}"/>
    <cellStyle name="Cellule liée 2 2 6 2" xfId="5165" xr:uid="{15326374-9ABC-42E5-B69B-39C0F669A22E}"/>
    <cellStyle name="Cellule liée 2 2 6 2 2" xfId="5166" xr:uid="{0357AFBB-69B3-4592-9B4B-A34244A091C4}"/>
    <cellStyle name="Cellule liée 2 2 6 3" xfId="5167" xr:uid="{296B01ED-1F45-4869-8D4F-5C6C4F364DDF}"/>
    <cellStyle name="Cellule liée 2 2 7" xfId="5168" xr:uid="{627A9DC9-13AC-4A4C-AC7D-607C8997A3CD}"/>
    <cellStyle name="Cellule liée 2 2 7 2" xfId="5169" xr:uid="{34B16547-E90C-4AD3-A2AF-A97A64C107E8}"/>
    <cellStyle name="Cellule liée 2 2 7 2 2" xfId="5170" xr:uid="{366C8F60-666C-44C4-9F1B-F425C948D5DF}"/>
    <cellStyle name="Cellule liée 2 2 7 3" xfId="5171" xr:uid="{A8611B8D-E586-4398-972C-3DC03BAE87C1}"/>
    <cellStyle name="Cellule liée 2 2 8" xfId="5172" xr:uid="{8034367C-9989-4E1D-9B9D-6F8FEE0F7387}"/>
    <cellStyle name="Cellule liée 2 2 8 2" xfId="5173" xr:uid="{87D15BBE-02FB-4E80-B9C2-4B6035698871}"/>
    <cellStyle name="Cellule liée 2 2 8 2 2" xfId="5174" xr:uid="{D71B2816-C93D-4397-8D00-89195EB136E9}"/>
    <cellStyle name="Cellule liée 2 2 8 3" xfId="5175" xr:uid="{9D7997BB-0BAA-47CB-A491-D284E242B13B}"/>
    <cellStyle name="Cellule liée 2 2 9" xfId="5176" xr:uid="{5534E9A2-6AD8-407C-BA20-C4850C6A04DA}"/>
    <cellStyle name="Cellule liée 2 2 9 2" xfId="5177" xr:uid="{375E5E8F-28AC-4DA9-9A45-98D6E2E0C8BB}"/>
    <cellStyle name="Cellule liée 2 2 9 2 2" xfId="5178" xr:uid="{532EE4AE-9C18-472D-A8E1-0D2B26BA044B}"/>
    <cellStyle name="Cellule liée 2 2 9 3" xfId="5179" xr:uid="{7BD4430A-5759-4F01-BD12-0010176FC11F}"/>
    <cellStyle name="Cellule liée 2 3" xfId="5180" xr:uid="{151D7C1A-2B52-476B-B427-C1AA4FFCC00E}"/>
    <cellStyle name="Cellule liée 2 3 10" xfId="5181" xr:uid="{366D3FC0-491E-4611-930B-171231237A8B}"/>
    <cellStyle name="Cellule liée 2 3 10 2" xfId="5182" xr:uid="{4B3BAEAC-55A9-4507-B5DA-8183BC7AEBBF}"/>
    <cellStyle name="Cellule liée 2 3 10 2 2" xfId="5183" xr:uid="{28B75CD2-3560-4561-A5E6-85B15285CA17}"/>
    <cellStyle name="Cellule liée 2 3 10 3" xfId="5184" xr:uid="{2E7D8D53-0B12-4395-9E75-4331ADE8A352}"/>
    <cellStyle name="Cellule liée 2 3 11" xfId="5185" xr:uid="{6988CF2E-CCF7-4E82-A245-5400BEA66A17}"/>
    <cellStyle name="Cellule liée 2 3 11 2" xfId="5186" xr:uid="{44FCE747-6531-4BAE-84E6-5BCED0652CBB}"/>
    <cellStyle name="Cellule liée 2 3 11 2 2" xfId="5187" xr:uid="{3036F77C-3FCD-47BF-884A-E8A30F462121}"/>
    <cellStyle name="Cellule liée 2 3 11 3" xfId="5188" xr:uid="{67A486A0-AD94-4A17-AF86-7F6EB6130CCE}"/>
    <cellStyle name="Cellule liée 2 3 12" xfId="5189" xr:uid="{E503DB81-A0AA-431E-B5FC-48A859778578}"/>
    <cellStyle name="Cellule liée 2 3 12 2" xfId="5190" xr:uid="{6AF454CE-326E-4C86-A479-A14D223B9F70}"/>
    <cellStyle name="Cellule liée 2 3 12 2 2" xfId="5191" xr:uid="{847EA008-2A21-45A8-A212-BC348D266968}"/>
    <cellStyle name="Cellule liée 2 3 12 3" xfId="5192" xr:uid="{E759953D-ABD1-4EAE-B604-1FAF169F1CB7}"/>
    <cellStyle name="Cellule liée 2 3 13" xfId="5193" xr:uid="{A8E6E89B-8646-4922-B3CC-3555F0E40394}"/>
    <cellStyle name="Cellule liée 2 3 13 2" xfId="5194" xr:uid="{CB594A94-D541-4DB8-A2BD-086250A1699A}"/>
    <cellStyle name="Cellule liée 2 3 14" xfId="5195" xr:uid="{FFFE2506-F6A3-43F2-83DF-830C49A980C2}"/>
    <cellStyle name="Cellule liée 2 3 2" xfId="5196" xr:uid="{777571B5-AA42-4D49-934F-331EB40F103D}"/>
    <cellStyle name="Cellule liée 2 3 2 10" xfId="5197" xr:uid="{F3FEF348-7CF4-4846-944C-C37B0B626A5F}"/>
    <cellStyle name="Cellule liée 2 3 2 10 2" xfId="5198" xr:uid="{56331E62-6D02-4D32-937C-BA5635D6C498}"/>
    <cellStyle name="Cellule liée 2 3 2 10 2 2" xfId="5199" xr:uid="{9B549147-4F7E-47BF-8FAF-817C9C01F614}"/>
    <cellStyle name="Cellule liée 2 3 2 10 3" xfId="5200" xr:uid="{BC79096E-E7B0-4D2E-8E7D-221F0EEC1FE9}"/>
    <cellStyle name="Cellule liée 2 3 2 11" xfId="5201" xr:uid="{E32FF49B-02E4-4D6A-B6D5-AFB3D83ABD36}"/>
    <cellStyle name="Cellule liée 2 3 2 11 2" xfId="5202" xr:uid="{0C9C098E-88FD-4629-AB4C-644B0537CEFD}"/>
    <cellStyle name="Cellule liée 2 3 2 11 2 2" xfId="5203" xr:uid="{C30071B1-A4A1-42D1-84AA-1BC1AC75F0EA}"/>
    <cellStyle name="Cellule liée 2 3 2 11 3" xfId="5204" xr:uid="{D251010D-9139-4786-BF79-E79A191AD905}"/>
    <cellStyle name="Cellule liée 2 3 2 12" xfId="5205" xr:uid="{F25305E2-6166-4745-954D-9A198952CC47}"/>
    <cellStyle name="Cellule liée 2 3 2 12 2" xfId="5206" xr:uid="{DC0D72DB-9518-4CE4-B2F5-2C6A33C39910}"/>
    <cellStyle name="Cellule liée 2 3 2 13" xfId="5207" xr:uid="{2AE9653E-C1B4-47C2-A6F6-3DECDAEB33E5}"/>
    <cellStyle name="Cellule liée 2 3 2 2" xfId="5208" xr:uid="{883BE954-D4B0-43B0-B031-94E8014C914C}"/>
    <cellStyle name="Cellule liée 2 3 2 2 10" xfId="5209" xr:uid="{41C8B83A-C09F-4126-A2A7-50F9698CE6AA}"/>
    <cellStyle name="Cellule liée 2 3 2 2 10 2" xfId="5210" xr:uid="{61CD6F70-7455-47F8-B5A7-8856A3970B08}"/>
    <cellStyle name="Cellule liée 2 3 2 2 10 2 2" xfId="5211" xr:uid="{22F72CB0-06B3-452E-A072-0EF7FBFE9816}"/>
    <cellStyle name="Cellule liée 2 3 2 2 10 3" xfId="5212" xr:uid="{D5058B71-C8B8-46F5-BE7D-C1B28A609121}"/>
    <cellStyle name="Cellule liée 2 3 2 2 11" xfId="5213" xr:uid="{7DD2DD40-3C7C-4A07-9395-56C55FC6C5BB}"/>
    <cellStyle name="Cellule liée 2 3 2 2 11 2" xfId="5214" xr:uid="{7BAF14C1-7650-46E3-8C75-04535A6EAA62}"/>
    <cellStyle name="Cellule liée 2 3 2 2 12" xfId="5215" xr:uid="{59A2B1D0-E1D0-44FB-BEBB-E546CF995501}"/>
    <cellStyle name="Cellule liée 2 3 2 2 2" xfId="5216" xr:uid="{D9C40C7D-BD47-4A7E-9707-844834E3A751}"/>
    <cellStyle name="Cellule liée 2 3 2 2 2 2" xfId="5217" xr:uid="{E32B0F43-3D03-473C-8A5B-EC6E09326F16}"/>
    <cellStyle name="Cellule liée 2 3 2 2 2 2 2" xfId="5218" xr:uid="{209D52EC-CD8B-4DFA-AE45-B0EAE4033690}"/>
    <cellStyle name="Cellule liée 2 3 2 2 2 3" xfId="5219" xr:uid="{681B85B8-1F53-4FC4-8C09-C2B4785414A8}"/>
    <cellStyle name="Cellule liée 2 3 2 2 3" xfId="5220" xr:uid="{D2840492-9C9E-4A2B-A3C7-C18D6180F78F}"/>
    <cellStyle name="Cellule liée 2 3 2 2 3 2" xfId="5221" xr:uid="{1FDE4EDF-CAD6-4D20-87F8-F502DC7B9D24}"/>
    <cellStyle name="Cellule liée 2 3 2 2 3 2 2" xfId="5222" xr:uid="{63B537F2-9CDA-4BEE-943B-A9557EE9B461}"/>
    <cellStyle name="Cellule liée 2 3 2 2 3 3" xfId="5223" xr:uid="{60AA3F2E-25E0-4624-8E2C-079207101EBE}"/>
    <cellStyle name="Cellule liée 2 3 2 2 4" xfId="5224" xr:uid="{412E2FC0-F3DE-45A5-93E7-224A5000E402}"/>
    <cellStyle name="Cellule liée 2 3 2 2 4 2" xfId="5225" xr:uid="{39316791-CCF0-4FF8-A6DA-41E1B369EF9A}"/>
    <cellStyle name="Cellule liée 2 3 2 2 4 2 2" xfId="5226" xr:uid="{58138F51-803A-4700-8C23-B5AAEF5D1317}"/>
    <cellStyle name="Cellule liée 2 3 2 2 4 3" xfId="5227" xr:uid="{901A9B86-6166-4C53-A2D8-BA30F4848F59}"/>
    <cellStyle name="Cellule liée 2 3 2 2 5" xfId="5228" xr:uid="{B726B880-7026-4DF0-A85B-3A8E57FE916B}"/>
    <cellStyle name="Cellule liée 2 3 2 2 5 2" xfId="5229" xr:uid="{6AACA197-3ADE-40B5-A24A-E84EA7D457A1}"/>
    <cellStyle name="Cellule liée 2 3 2 2 5 2 2" xfId="5230" xr:uid="{6D1DB1C8-8F46-42C0-9ACC-BE353200A913}"/>
    <cellStyle name="Cellule liée 2 3 2 2 5 3" xfId="5231" xr:uid="{442E77CB-65BF-442A-A879-148EEB614687}"/>
    <cellStyle name="Cellule liée 2 3 2 2 6" xfId="5232" xr:uid="{C634DEE0-CADF-47DA-B62F-361F6412DFA2}"/>
    <cellStyle name="Cellule liée 2 3 2 2 6 2" xfId="5233" xr:uid="{F2B0CC44-519C-46C8-9415-379E4F845715}"/>
    <cellStyle name="Cellule liée 2 3 2 2 6 2 2" xfId="5234" xr:uid="{AB5483E4-D90B-4BCD-89D3-502B1786D76F}"/>
    <cellStyle name="Cellule liée 2 3 2 2 6 3" xfId="5235" xr:uid="{2C74FC57-C9DE-4502-A3CD-FCC77969114D}"/>
    <cellStyle name="Cellule liée 2 3 2 2 7" xfId="5236" xr:uid="{BB258915-3DF9-4E74-8D76-B6A58F6DF00F}"/>
    <cellStyle name="Cellule liée 2 3 2 2 7 2" xfId="5237" xr:uid="{6008BF9B-1498-4F8B-B644-72690CF91901}"/>
    <cellStyle name="Cellule liée 2 3 2 2 7 2 2" xfId="5238" xr:uid="{6832BA72-A1F6-4CC7-8BB5-5929EAC35EED}"/>
    <cellStyle name="Cellule liée 2 3 2 2 7 3" xfId="5239" xr:uid="{7F61E219-2F70-44B9-8649-60A1A0069266}"/>
    <cellStyle name="Cellule liée 2 3 2 2 8" xfId="5240" xr:uid="{88987404-AC77-4533-8C85-95E94FA5E742}"/>
    <cellStyle name="Cellule liée 2 3 2 2 8 2" xfId="5241" xr:uid="{F9F9C28F-9982-45E7-BE4C-68B52843478D}"/>
    <cellStyle name="Cellule liée 2 3 2 2 8 2 2" xfId="5242" xr:uid="{4C3ECF76-E404-4961-995C-DB48AFD08977}"/>
    <cellStyle name="Cellule liée 2 3 2 2 8 3" xfId="5243" xr:uid="{B5EDB83E-0A51-4B3B-8988-75E0D62FCFD7}"/>
    <cellStyle name="Cellule liée 2 3 2 2 9" xfId="5244" xr:uid="{E4B56168-E443-4A0E-AC2D-6151796586B9}"/>
    <cellStyle name="Cellule liée 2 3 2 2 9 2" xfId="5245" xr:uid="{B873A1E8-A650-48A6-970E-903770B673C8}"/>
    <cellStyle name="Cellule liée 2 3 2 2 9 2 2" xfId="5246" xr:uid="{91E43E9F-B0B7-4A8C-85CE-08E26E8FFE75}"/>
    <cellStyle name="Cellule liée 2 3 2 2 9 3" xfId="5247" xr:uid="{D0F7B553-E066-489E-AC8D-4A4680DF1A72}"/>
    <cellStyle name="Cellule liée 2 3 2 3" xfId="5248" xr:uid="{52B7B5C0-97ED-486B-B824-D8B57AD84097}"/>
    <cellStyle name="Cellule liée 2 3 2 3 10" xfId="5249" xr:uid="{BB4FE131-C000-458C-B23E-45A954CDA40A}"/>
    <cellStyle name="Cellule liée 2 3 2 3 10 2" xfId="5250" xr:uid="{BAAEADD4-6B4B-46BC-A74D-F9AF4791D788}"/>
    <cellStyle name="Cellule liée 2 3 2 3 11" xfId="5251" xr:uid="{04DF62F9-CDDF-40FE-9B40-ABB0873F1288}"/>
    <cellStyle name="Cellule liée 2 3 2 3 2" xfId="5252" xr:uid="{0EB09C17-417B-41F7-947B-1A7E5F4E4E58}"/>
    <cellStyle name="Cellule liée 2 3 2 3 2 2" xfId="5253" xr:uid="{E2F2B53E-8073-4C00-882E-9839CAC457EB}"/>
    <cellStyle name="Cellule liée 2 3 2 3 2 2 2" xfId="5254" xr:uid="{EEF9A8B2-18A2-41BD-BA97-9CB23F99420F}"/>
    <cellStyle name="Cellule liée 2 3 2 3 2 3" xfId="5255" xr:uid="{419BB9D2-4978-4EBF-BC01-211C26DE40DC}"/>
    <cellStyle name="Cellule liée 2 3 2 3 3" xfId="5256" xr:uid="{0BEE9C5E-5479-493F-BB5E-970A8702EE0D}"/>
    <cellStyle name="Cellule liée 2 3 2 3 3 2" xfId="5257" xr:uid="{34B79410-9E8F-4A8E-BB2F-93E62286B9DE}"/>
    <cellStyle name="Cellule liée 2 3 2 3 3 2 2" xfId="5258" xr:uid="{8B8B2124-3FCB-462C-88E0-FF92DE404022}"/>
    <cellStyle name="Cellule liée 2 3 2 3 3 3" xfId="5259" xr:uid="{205673FF-6D07-4A25-A474-04B666A3122F}"/>
    <cellStyle name="Cellule liée 2 3 2 3 4" xfId="5260" xr:uid="{80F18A02-94A5-4656-B77A-7807018E58C9}"/>
    <cellStyle name="Cellule liée 2 3 2 3 4 2" xfId="5261" xr:uid="{B7C7F038-1D85-4F59-88E4-C30A499391EE}"/>
    <cellStyle name="Cellule liée 2 3 2 3 4 2 2" xfId="5262" xr:uid="{DE9CF0C9-5021-44CE-8DF1-C9A90D805BFD}"/>
    <cellStyle name="Cellule liée 2 3 2 3 4 3" xfId="5263" xr:uid="{57F59683-FF87-4757-A440-2F5C28B6043D}"/>
    <cellStyle name="Cellule liée 2 3 2 3 5" xfId="5264" xr:uid="{6AF6E201-A31E-4384-AAA4-93622F98AC13}"/>
    <cellStyle name="Cellule liée 2 3 2 3 5 2" xfId="5265" xr:uid="{778A0A36-6999-4450-8931-7DFDB156669F}"/>
    <cellStyle name="Cellule liée 2 3 2 3 5 2 2" xfId="5266" xr:uid="{312164BE-A22E-4D3C-9598-21FFAA5DD71C}"/>
    <cellStyle name="Cellule liée 2 3 2 3 5 3" xfId="5267" xr:uid="{BF238BB0-D151-49FB-9A04-03D69D53174C}"/>
    <cellStyle name="Cellule liée 2 3 2 3 6" xfId="5268" xr:uid="{2A725A38-FF39-446C-A642-BD03A79527E2}"/>
    <cellStyle name="Cellule liée 2 3 2 3 6 2" xfId="5269" xr:uid="{FBA9D1FE-8E54-4695-8132-5012E17DF6A7}"/>
    <cellStyle name="Cellule liée 2 3 2 3 6 2 2" xfId="5270" xr:uid="{D59C04DD-5088-4B63-A07F-627FAB268B64}"/>
    <cellStyle name="Cellule liée 2 3 2 3 6 3" xfId="5271" xr:uid="{4D2198C5-8D0D-458C-A8FD-0C453CADC2BA}"/>
    <cellStyle name="Cellule liée 2 3 2 3 7" xfId="5272" xr:uid="{C8E7BB3A-B900-4C1A-A137-1177DDCE3003}"/>
    <cellStyle name="Cellule liée 2 3 2 3 7 2" xfId="5273" xr:uid="{839DAC78-8696-41F4-BD11-4042CC7AB5DF}"/>
    <cellStyle name="Cellule liée 2 3 2 3 7 2 2" xfId="5274" xr:uid="{C123A88F-59BB-4AEB-B662-02B0A2AB4AAD}"/>
    <cellStyle name="Cellule liée 2 3 2 3 7 3" xfId="5275" xr:uid="{7C622393-952B-4F28-A60C-21F31F46384C}"/>
    <cellStyle name="Cellule liée 2 3 2 3 8" xfId="5276" xr:uid="{4C634256-7985-473A-BF98-7A8F682B9528}"/>
    <cellStyle name="Cellule liée 2 3 2 3 8 2" xfId="5277" xr:uid="{671C2742-907C-4894-BA91-C6071CDF84D2}"/>
    <cellStyle name="Cellule liée 2 3 2 3 8 2 2" xfId="5278" xr:uid="{390684E0-C0D4-460C-AACF-67C9E36AA45C}"/>
    <cellStyle name="Cellule liée 2 3 2 3 8 3" xfId="5279" xr:uid="{0B160BE1-EDDA-4689-BF0D-6501D54CAD07}"/>
    <cellStyle name="Cellule liée 2 3 2 3 9" xfId="5280" xr:uid="{F68672B6-9E5B-4ED9-A452-07541225979F}"/>
    <cellStyle name="Cellule liée 2 3 2 3 9 2" xfId="5281" xr:uid="{C0243836-D61D-4A8B-9528-DFAF9C6ED950}"/>
    <cellStyle name="Cellule liée 2 3 2 3 9 2 2" xfId="5282" xr:uid="{321B69F7-FDAC-4C1B-BD78-DD8A6202AA0A}"/>
    <cellStyle name="Cellule liée 2 3 2 3 9 3" xfId="5283" xr:uid="{C086F747-51B1-4DFD-808F-6A2572821C8B}"/>
    <cellStyle name="Cellule liée 2 3 2 4" xfId="5284" xr:uid="{3172AA01-3466-4130-B691-9161A759DE6B}"/>
    <cellStyle name="Cellule liée 2 3 2 4 2" xfId="5285" xr:uid="{7621664D-1AEC-46C9-B7D6-B796A7B48826}"/>
    <cellStyle name="Cellule liée 2 3 2 4 2 2" xfId="5286" xr:uid="{FDE1F40C-198B-426F-A9C4-F5A30CC9A08E}"/>
    <cellStyle name="Cellule liée 2 3 2 4 3" xfId="5287" xr:uid="{7D1F18FB-1E57-4DA3-9BCD-3A016F86ACD3}"/>
    <cellStyle name="Cellule liée 2 3 2 5" xfId="5288" xr:uid="{025364A2-9B14-4577-A869-76C3C39FF425}"/>
    <cellStyle name="Cellule liée 2 3 2 5 2" xfId="5289" xr:uid="{6AA17FD2-68B9-4E9F-B37C-4D1D71647638}"/>
    <cellStyle name="Cellule liée 2 3 2 5 2 2" xfId="5290" xr:uid="{E7BEE1C9-491B-4AB1-89C8-CC264F198E20}"/>
    <cellStyle name="Cellule liée 2 3 2 5 3" xfId="5291" xr:uid="{3E4A67A5-3567-4D27-A8E8-5C6961445467}"/>
    <cellStyle name="Cellule liée 2 3 2 6" xfId="5292" xr:uid="{10E19A31-A010-4885-A84F-C1665C2A4E10}"/>
    <cellStyle name="Cellule liée 2 3 2 6 2" xfId="5293" xr:uid="{A52EF44E-ACA4-4369-A481-7EC97E1D88ED}"/>
    <cellStyle name="Cellule liée 2 3 2 6 2 2" xfId="5294" xr:uid="{B996A92D-F27C-4E51-8D53-AC7130D50119}"/>
    <cellStyle name="Cellule liée 2 3 2 6 3" xfId="5295" xr:uid="{2DE4E237-D5DC-4FDE-BC5B-0BA02AEC2658}"/>
    <cellStyle name="Cellule liée 2 3 2 7" xfId="5296" xr:uid="{BCC97846-9848-4BD8-8C89-7123DE0FC574}"/>
    <cellStyle name="Cellule liée 2 3 2 7 2" xfId="5297" xr:uid="{7AE2DA5F-A5F3-4DEC-92C9-2A46D908F17E}"/>
    <cellStyle name="Cellule liée 2 3 2 7 2 2" xfId="5298" xr:uid="{0204440D-F1A5-443D-9CCF-740E6EA3F7B0}"/>
    <cellStyle name="Cellule liée 2 3 2 7 3" xfId="5299" xr:uid="{098A7F74-E963-46B4-9AA8-F9C86E201ECC}"/>
    <cellStyle name="Cellule liée 2 3 2 8" xfId="5300" xr:uid="{4556496C-2BAE-49CA-A334-D0CC13560AAC}"/>
    <cellStyle name="Cellule liée 2 3 2 8 2" xfId="5301" xr:uid="{B29C74BF-2178-41B3-8787-A007B86DC3C9}"/>
    <cellStyle name="Cellule liée 2 3 2 8 2 2" xfId="5302" xr:uid="{E3122F71-1982-40CC-91E7-18E9240F3A8B}"/>
    <cellStyle name="Cellule liée 2 3 2 8 3" xfId="5303" xr:uid="{9C08BD72-6222-46D4-BE6D-FC311314CF46}"/>
    <cellStyle name="Cellule liée 2 3 2 9" xfId="5304" xr:uid="{91526DA3-92D5-42F9-9B8E-05E5C6BA350B}"/>
    <cellStyle name="Cellule liée 2 3 2 9 2" xfId="5305" xr:uid="{859D6594-2C8C-40F6-8531-FDA9F585456D}"/>
    <cellStyle name="Cellule liée 2 3 2 9 2 2" xfId="5306" xr:uid="{824B9DA8-3E14-4AED-B3C5-3F6906965580}"/>
    <cellStyle name="Cellule liée 2 3 2 9 3" xfId="5307" xr:uid="{3860DF31-A109-41B5-BE0D-6B2564CFD4E7}"/>
    <cellStyle name="Cellule liée 2 3 3" xfId="5308" xr:uid="{58A062BD-0B30-4D33-81A3-294B498C10E1}"/>
    <cellStyle name="Cellule liée 2 3 3 10" xfId="5309" xr:uid="{6F43F114-9C9D-4913-B032-7491CEDE50E5}"/>
    <cellStyle name="Cellule liée 2 3 3 10 2" xfId="5310" xr:uid="{49505B7D-87E8-40DD-AFE6-297F3D433BE2}"/>
    <cellStyle name="Cellule liée 2 3 3 10 2 2" xfId="5311" xr:uid="{65E52E50-1AA7-4B71-8D69-EA84259D028B}"/>
    <cellStyle name="Cellule liée 2 3 3 10 3" xfId="5312" xr:uid="{DF47339B-0108-41AB-BB34-8177A1A15D0C}"/>
    <cellStyle name="Cellule liée 2 3 3 11" xfId="5313" xr:uid="{9BC664CF-9308-4797-A0C9-5EBC22429016}"/>
    <cellStyle name="Cellule liée 2 3 3 11 2" xfId="5314" xr:uid="{52A6C151-795C-4B18-87F6-727857E7B3C7}"/>
    <cellStyle name="Cellule liée 2 3 3 12" xfId="5315" xr:uid="{B00F2AF8-9974-460B-80F9-2AD3A5D51CC7}"/>
    <cellStyle name="Cellule liée 2 3 3 2" xfId="5316" xr:uid="{44AA71E3-2D9D-4EB4-976D-9AB115D9A3EA}"/>
    <cellStyle name="Cellule liée 2 3 3 2 10" xfId="5317" xr:uid="{0B654A89-9BCA-41C9-BE95-104875F2DB94}"/>
    <cellStyle name="Cellule liée 2 3 3 2 10 2" xfId="5318" xr:uid="{424E4F6A-58C7-4FE3-9615-86AA83E2D4C3}"/>
    <cellStyle name="Cellule liée 2 3 3 2 11" xfId="5319" xr:uid="{EAE69BEC-7C7A-4EEA-B6F6-698984C2E253}"/>
    <cellStyle name="Cellule liée 2 3 3 2 2" xfId="5320" xr:uid="{B02D1241-182F-4A1C-96B1-A938F97288BD}"/>
    <cellStyle name="Cellule liée 2 3 3 2 2 2" xfId="5321" xr:uid="{F1B59A1D-5BEB-4C7E-9BD5-904F03E30EAC}"/>
    <cellStyle name="Cellule liée 2 3 3 2 2 2 2" xfId="5322" xr:uid="{D42ADD20-F892-473C-B263-F28097741389}"/>
    <cellStyle name="Cellule liée 2 3 3 2 2 3" xfId="5323" xr:uid="{5CEE0C65-0135-42AA-AC4E-19E267466652}"/>
    <cellStyle name="Cellule liée 2 3 3 2 3" xfId="5324" xr:uid="{671AF13A-D564-453A-B8DE-A6164DA891D5}"/>
    <cellStyle name="Cellule liée 2 3 3 2 3 2" xfId="5325" xr:uid="{ED896C9B-5973-4BB0-81DE-75B26F0CDB08}"/>
    <cellStyle name="Cellule liée 2 3 3 2 3 2 2" xfId="5326" xr:uid="{949A543B-6FB5-442A-9706-95F714142C12}"/>
    <cellStyle name="Cellule liée 2 3 3 2 3 3" xfId="5327" xr:uid="{B835F875-AAD7-4F67-A6B2-A9FC138EBD9D}"/>
    <cellStyle name="Cellule liée 2 3 3 2 4" xfId="5328" xr:uid="{650D9357-88FF-4FDB-90B0-8A90AACE1DCF}"/>
    <cellStyle name="Cellule liée 2 3 3 2 4 2" xfId="5329" xr:uid="{C0875514-E331-4FD4-A9B4-3A88E866E140}"/>
    <cellStyle name="Cellule liée 2 3 3 2 4 2 2" xfId="5330" xr:uid="{C0562829-326F-492A-959A-5E750C04826E}"/>
    <cellStyle name="Cellule liée 2 3 3 2 4 3" xfId="5331" xr:uid="{C390289E-B4B5-45C9-90A1-8A5DFB0EAFAF}"/>
    <cellStyle name="Cellule liée 2 3 3 2 5" xfId="5332" xr:uid="{13865E24-A403-44D5-8737-09B22BB8CA75}"/>
    <cellStyle name="Cellule liée 2 3 3 2 5 2" xfId="5333" xr:uid="{D8AEC1E4-3E59-4967-84A0-8639304B6F0E}"/>
    <cellStyle name="Cellule liée 2 3 3 2 5 2 2" xfId="5334" xr:uid="{FF8B4A85-62B3-4C78-AE38-0E22D0D0F46F}"/>
    <cellStyle name="Cellule liée 2 3 3 2 5 3" xfId="5335" xr:uid="{ADFCCBC7-306D-4DF8-B620-13D44F4684DA}"/>
    <cellStyle name="Cellule liée 2 3 3 2 6" xfId="5336" xr:uid="{346D3A95-7D29-4C0D-AEBA-7EDD46AA0B89}"/>
    <cellStyle name="Cellule liée 2 3 3 2 6 2" xfId="5337" xr:uid="{A3B2168B-28E0-4840-8FF5-991351C288CC}"/>
    <cellStyle name="Cellule liée 2 3 3 2 6 2 2" xfId="5338" xr:uid="{C66F3F44-E8FC-4399-A4C3-EE7B805CFE98}"/>
    <cellStyle name="Cellule liée 2 3 3 2 6 3" xfId="5339" xr:uid="{728A6871-65C9-42D1-AF1A-9112D2CC8074}"/>
    <cellStyle name="Cellule liée 2 3 3 2 7" xfId="5340" xr:uid="{A63C8F9F-B8D4-4E43-94E6-F26A18D2CD26}"/>
    <cellStyle name="Cellule liée 2 3 3 2 7 2" xfId="5341" xr:uid="{8DC4719D-00A1-4608-8FCD-C5F792C1D1FF}"/>
    <cellStyle name="Cellule liée 2 3 3 2 7 2 2" xfId="5342" xr:uid="{923927B6-B4F5-42AC-899C-32CE85CE2B18}"/>
    <cellStyle name="Cellule liée 2 3 3 2 7 3" xfId="5343" xr:uid="{2B09F95F-75FC-4594-A205-3804B53772A2}"/>
    <cellStyle name="Cellule liée 2 3 3 2 8" xfId="5344" xr:uid="{36E1C0EF-1EF4-47EB-B759-7ED1E305FA0D}"/>
    <cellStyle name="Cellule liée 2 3 3 2 8 2" xfId="5345" xr:uid="{5A0EC1F3-A4A7-4874-AAF4-522FD30D169D}"/>
    <cellStyle name="Cellule liée 2 3 3 2 8 2 2" xfId="5346" xr:uid="{DA41AA55-9216-4187-A22D-57FCF4787A76}"/>
    <cellStyle name="Cellule liée 2 3 3 2 8 3" xfId="5347" xr:uid="{7B79FEA9-461B-4AE1-926D-F8B1FD9EDDD5}"/>
    <cellStyle name="Cellule liée 2 3 3 2 9" xfId="5348" xr:uid="{0F6EAAA7-8FE8-4E6F-BA93-0844CBA09BCC}"/>
    <cellStyle name="Cellule liée 2 3 3 2 9 2" xfId="5349" xr:uid="{1A5A595A-9F63-49E0-88FD-BD591113761B}"/>
    <cellStyle name="Cellule liée 2 3 3 2 9 2 2" xfId="5350" xr:uid="{DC436E95-B0E4-4334-B81A-4465531FAB92}"/>
    <cellStyle name="Cellule liée 2 3 3 2 9 3" xfId="5351" xr:uid="{AB813854-EFAB-4562-8A71-706FA6A86D80}"/>
    <cellStyle name="Cellule liée 2 3 3 3" xfId="5352" xr:uid="{A0D67C9C-8876-4F0B-BD5D-FD4622BCC316}"/>
    <cellStyle name="Cellule liée 2 3 3 3 2" xfId="5353" xr:uid="{5AAB99ED-B1C6-42F9-8A11-AA1F79589261}"/>
    <cellStyle name="Cellule liée 2 3 3 3 2 2" xfId="5354" xr:uid="{327062DC-4693-4A22-90AB-2932A5300BA1}"/>
    <cellStyle name="Cellule liée 2 3 3 3 3" xfId="5355" xr:uid="{89C117AC-809C-47FE-8A89-30D64745B79F}"/>
    <cellStyle name="Cellule liée 2 3 3 4" xfId="5356" xr:uid="{2252C2DB-DE5A-4811-8700-29F972F2788D}"/>
    <cellStyle name="Cellule liée 2 3 3 4 2" xfId="5357" xr:uid="{D2B537CE-E6F3-432D-8C49-668168799B7B}"/>
    <cellStyle name="Cellule liée 2 3 3 4 2 2" xfId="5358" xr:uid="{5EB0EBBE-8D36-459A-AAEB-705C46BED785}"/>
    <cellStyle name="Cellule liée 2 3 3 4 3" xfId="5359" xr:uid="{51D2950D-F95D-43D2-BCC7-18A85225A0D6}"/>
    <cellStyle name="Cellule liée 2 3 3 5" xfId="5360" xr:uid="{B4145E45-CFDA-4DC0-BE7F-00EAE5E5286E}"/>
    <cellStyle name="Cellule liée 2 3 3 5 2" xfId="5361" xr:uid="{EFCBE652-E6C9-4885-A86A-9BBD27186031}"/>
    <cellStyle name="Cellule liée 2 3 3 5 2 2" xfId="5362" xr:uid="{5C654A52-89EF-49EF-B47F-B211FA992BE5}"/>
    <cellStyle name="Cellule liée 2 3 3 5 3" xfId="5363" xr:uid="{F72D85C6-1155-4DF4-BA2D-FAA6B62246D4}"/>
    <cellStyle name="Cellule liée 2 3 3 6" xfId="5364" xr:uid="{63A19620-72C4-4342-AE1C-C72956B2C64A}"/>
    <cellStyle name="Cellule liée 2 3 3 6 2" xfId="5365" xr:uid="{7845911A-118F-489F-AF62-208BF0F6952C}"/>
    <cellStyle name="Cellule liée 2 3 3 6 2 2" xfId="5366" xr:uid="{58375010-B20A-441B-850E-1519DF62451B}"/>
    <cellStyle name="Cellule liée 2 3 3 6 3" xfId="5367" xr:uid="{BA87EBFA-145E-4706-B25B-FF004A3CC436}"/>
    <cellStyle name="Cellule liée 2 3 3 7" xfId="5368" xr:uid="{13683F86-D411-42FA-9CC5-87343699181C}"/>
    <cellStyle name="Cellule liée 2 3 3 7 2" xfId="5369" xr:uid="{940F6330-2C2B-4F5B-9218-2DE33264FDB0}"/>
    <cellStyle name="Cellule liée 2 3 3 7 2 2" xfId="5370" xr:uid="{7145720F-C8F1-4232-8E63-339A2C37C1EB}"/>
    <cellStyle name="Cellule liée 2 3 3 7 3" xfId="5371" xr:uid="{3F918AF2-BB4D-4C38-BB03-2ADC2D60C2F3}"/>
    <cellStyle name="Cellule liée 2 3 3 8" xfId="5372" xr:uid="{DD452E55-B54F-433B-B8A3-33534A9C754C}"/>
    <cellStyle name="Cellule liée 2 3 3 8 2" xfId="5373" xr:uid="{9E0385CC-3730-467D-8A3B-073FEF5340CC}"/>
    <cellStyle name="Cellule liée 2 3 3 8 2 2" xfId="5374" xr:uid="{B0468AEB-EAEB-4FEB-A916-B3B271AA506F}"/>
    <cellStyle name="Cellule liée 2 3 3 8 3" xfId="5375" xr:uid="{B0939233-01D3-46CA-BDEE-2D630E17941A}"/>
    <cellStyle name="Cellule liée 2 3 3 9" xfId="5376" xr:uid="{CFA0B89A-CE88-4D6B-A95A-09397E09A5DD}"/>
    <cellStyle name="Cellule liée 2 3 3 9 2" xfId="5377" xr:uid="{31BBE3AB-6440-4481-A88E-1643B888DAC2}"/>
    <cellStyle name="Cellule liée 2 3 3 9 2 2" xfId="5378" xr:uid="{A8FA1330-C8B2-4C73-98C4-8DD762057827}"/>
    <cellStyle name="Cellule liée 2 3 3 9 3" xfId="5379" xr:uid="{40E59C8D-8B9A-4210-A174-7DAB01245B6E}"/>
    <cellStyle name="Cellule liée 2 3 4" xfId="5380" xr:uid="{BF7F3948-9CA5-400F-8793-924530A768EA}"/>
    <cellStyle name="Cellule liée 2 3 4 10" xfId="5381" xr:uid="{3DC173FD-8967-4F74-A5EB-8B7E2CD52AED}"/>
    <cellStyle name="Cellule liée 2 3 4 10 2" xfId="5382" xr:uid="{94925EDD-0C5E-4064-9929-B84AE9EAA960}"/>
    <cellStyle name="Cellule liée 2 3 4 11" xfId="5383" xr:uid="{1DCC199D-EA98-40D4-88C6-812DADAD5E8A}"/>
    <cellStyle name="Cellule liée 2 3 4 2" xfId="5384" xr:uid="{90A29616-A923-4875-9DA1-20458504601B}"/>
    <cellStyle name="Cellule liée 2 3 4 2 2" xfId="5385" xr:uid="{4A987E75-EE51-4694-9755-F8903FF73B36}"/>
    <cellStyle name="Cellule liée 2 3 4 2 2 2" xfId="5386" xr:uid="{91401DEA-0F5B-4275-A579-14E2F3D49A1E}"/>
    <cellStyle name="Cellule liée 2 3 4 2 3" xfId="5387" xr:uid="{57EBBE1C-3342-4A92-9717-B56634CCAB45}"/>
    <cellStyle name="Cellule liée 2 3 4 3" xfId="5388" xr:uid="{DC54AE2A-214A-417E-A3FD-5BC2C83D6D95}"/>
    <cellStyle name="Cellule liée 2 3 4 3 2" xfId="5389" xr:uid="{4661EC88-30B9-4516-93E9-A5AA77DDB58C}"/>
    <cellStyle name="Cellule liée 2 3 4 3 2 2" xfId="5390" xr:uid="{8177F71D-601E-4F48-8B27-ADD1373E07ED}"/>
    <cellStyle name="Cellule liée 2 3 4 3 3" xfId="5391" xr:uid="{B8B88C46-9CD0-462D-BE94-46B2230356CC}"/>
    <cellStyle name="Cellule liée 2 3 4 4" xfId="5392" xr:uid="{DE39EAC0-962C-4E8C-82A5-6004DF1AA1E2}"/>
    <cellStyle name="Cellule liée 2 3 4 4 2" xfId="5393" xr:uid="{89FBA027-797E-472F-BF41-7A440A75B97E}"/>
    <cellStyle name="Cellule liée 2 3 4 4 2 2" xfId="5394" xr:uid="{E736C82A-3C6B-46D2-9513-876C929FE15B}"/>
    <cellStyle name="Cellule liée 2 3 4 4 3" xfId="5395" xr:uid="{CD1AAC81-0BB7-456D-850A-ABB691A6889F}"/>
    <cellStyle name="Cellule liée 2 3 4 5" xfId="5396" xr:uid="{90F78479-0BA6-4446-A4FA-6BEB1BBE3BFA}"/>
    <cellStyle name="Cellule liée 2 3 4 5 2" xfId="5397" xr:uid="{78AE1FF2-6B67-4023-BE07-141895F2787D}"/>
    <cellStyle name="Cellule liée 2 3 4 5 2 2" xfId="5398" xr:uid="{7E3F576E-97FF-4937-ABA4-8D29785BB7C8}"/>
    <cellStyle name="Cellule liée 2 3 4 5 3" xfId="5399" xr:uid="{C29C8955-E863-4E16-9A96-0975E4946F57}"/>
    <cellStyle name="Cellule liée 2 3 4 6" xfId="5400" xr:uid="{F82D51F4-E269-4B42-B7DE-E47C1A2C212D}"/>
    <cellStyle name="Cellule liée 2 3 4 6 2" xfId="5401" xr:uid="{78310FEF-FD60-46F8-8E1B-63D235D69994}"/>
    <cellStyle name="Cellule liée 2 3 4 6 2 2" xfId="5402" xr:uid="{220A8627-D96A-4A2A-BF91-957714345DCA}"/>
    <cellStyle name="Cellule liée 2 3 4 6 3" xfId="5403" xr:uid="{FF9AC549-CAEC-4114-9309-8B193F726893}"/>
    <cellStyle name="Cellule liée 2 3 4 7" xfId="5404" xr:uid="{93507613-9C93-41A6-BB31-5E87167C6385}"/>
    <cellStyle name="Cellule liée 2 3 4 7 2" xfId="5405" xr:uid="{F6F853ED-BE92-40CC-93A9-CDECCE0AD4C6}"/>
    <cellStyle name="Cellule liée 2 3 4 7 2 2" xfId="5406" xr:uid="{9B4F7AF3-96CB-41C7-86C9-8DF17A95F6B7}"/>
    <cellStyle name="Cellule liée 2 3 4 7 3" xfId="5407" xr:uid="{F039143F-E626-42D3-8616-CFDE137FE6B6}"/>
    <cellStyle name="Cellule liée 2 3 4 8" xfId="5408" xr:uid="{B1C1B3ED-B0E0-4384-8E7F-1AB2739FCD76}"/>
    <cellStyle name="Cellule liée 2 3 4 8 2" xfId="5409" xr:uid="{7DFD2F13-46C4-4439-AFBE-0232BC37B969}"/>
    <cellStyle name="Cellule liée 2 3 4 8 2 2" xfId="5410" xr:uid="{FF981692-03B0-466C-AE14-B8AC636C81A2}"/>
    <cellStyle name="Cellule liée 2 3 4 8 3" xfId="5411" xr:uid="{F862E6EF-1CDF-46B4-94E4-E5F1B1270479}"/>
    <cellStyle name="Cellule liée 2 3 4 9" xfId="5412" xr:uid="{A948AB75-E2FB-4801-9FD3-2297B35E4683}"/>
    <cellStyle name="Cellule liée 2 3 4 9 2" xfId="5413" xr:uid="{D79080FD-D4F5-45DF-BD80-421147E8CFD9}"/>
    <cellStyle name="Cellule liée 2 3 4 9 2 2" xfId="5414" xr:uid="{9D5498A8-B13B-4E27-801A-B7DB65FBAF35}"/>
    <cellStyle name="Cellule liée 2 3 4 9 3" xfId="5415" xr:uid="{4D1C427F-68B3-464C-913B-BFBBBA8F7EBE}"/>
    <cellStyle name="Cellule liée 2 3 5" xfId="5416" xr:uid="{F2EA6B2C-1BFF-4225-9244-56E0828ED034}"/>
    <cellStyle name="Cellule liée 2 3 5 2" xfId="5417" xr:uid="{92C08178-7C09-4DEC-9495-3E9012C1FED0}"/>
    <cellStyle name="Cellule liée 2 3 5 2 2" xfId="5418" xr:uid="{8DDAA35D-20B9-4516-8206-30C6ACD20A4C}"/>
    <cellStyle name="Cellule liée 2 3 5 3" xfId="5419" xr:uid="{E85E662B-90B5-430B-99E6-3536B497F25E}"/>
    <cellStyle name="Cellule liée 2 3 6" xfId="5420" xr:uid="{960F4C0B-9AEA-4069-90A7-A3DF1DAB2F7C}"/>
    <cellStyle name="Cellule liée 2 3 6 2" xfId="5421" xr:uid="{2FD302CC-F2D5-4C5A-86E5-F547924F21CB}"/>
    <cellStyle name="Cellule liée 2 3 6 2 2" xfId="5422" xr:uid="{1BE0A33F-0A90-4F3A-B107-BAC1A75ACC80}"/>
    <cellStyle name="Cellule liée 2 3 6 3" xfId="5423" xr:uid="{AA00DA5E-EE6D-43C6-8A7E-8117F56AB5C3}"/>
    <cellStyle name="Cellule liée 2 3 7" xfId="5424" xr:uid="{94B707BF-AA59-4FC8-AAAA-4CFEAB89FADF}"/>
    <cellStyle name="Cellule liée 2 3 7 2" xfId="5425" xr:uid="{089CF4FB-0D11-4292-BD53-431B5D20A61D}"/>
    <cellStyle name="Cellule liée 2 3 7 2 2" xfId="5426" xr:uid="{86D42EC8-514C-42D6-A10C-271544EF0C63}"/>
    <cellStyle name="Cellule liée 2 3 7 3" xfId="5427" xr:uid="{4A8EDCFA-9F78-4E07-BF7D-7DFCC50C8A3F}"/>
    <cellStyle name="Cellule liée 2 3 8" xfId="5428" xr:uid="{BEB372ED-3310-4398-82B5-103F4A811AF0}"/>
    <cellStyle name="Cellule liée 2 3 8 2" xfId="5429" xr:uid="{36CFA31F-8B44-42AA-A6AB-3E490229F6F9}"/>
    <cellStyle name="Cellule liée 2 3 8 2 2" xfId="5430" xr:uid="{0D8D5D36-65A1-4717-BE9B-8860904D37AF}"/>
    <cellStyle name="Cellule liée 2 3 8 3" xfId="5431" xr:uid="{71426CD2-E409-47BB-A41E-159941189B60}"/>
    <cellStyle name="Cellule liée 2 3 9" xfId="5432" xr:uid="{BD48680A-B4DD-44EE-AA12-CBB090A234D6}"/>
    <cellStyle name="Cellule liée 2 3 9 2" xfId="5433" xr:uid="{6BCCCC2B-DCB8-425D-B90F-72EA7178752A}"/>
    <cellStyle name="Cellule liée 2 3 9 2 2" xfId="5434" xr:uid="{66412FF0-494A-416A-B4FC-599FDC11386E}"/>
    <cellStyle name="Cellule liée 2 3 9 3" xfId="5435" xr:uid="{B0A3F06D-5166-4256-80C3-04C963B169AF}"/>
    <cellStyle name="Cellule liée 2 4" xfId="5436" xr:uid="{F557A9BE-7E7F-418F-A5E9-FE0D1F59D270}"/>
    <cellStyle name="Cellule liée 2 4 10" xfId="5437" xr:uid="{97127A30-F735-4375-8628-EBEEB5CD531C}"/>
    <cellStyle name="Cellule liée 2 4 10 2" xfId="5438" xr:uid="{F91C3AEA-1B1F-4E73-9056-0AF4F6A6EE34}"/>
    <cellStyle name="Cellule liée 2 4 10 2 2" xfId="5439" xr:uid="{112387F7-D029-42AF-9608-4628DB071F00}"/>
    <cellStyle name="Cellule liée 2 4 10 3" xfId="5440" xr:uid="{206E3222-12C1-4289-AA76-F49E2925FB79}"/>
    <cellStyle name="Cellule liée 2 4 11" xfId="5441" xr:uid="{E9B8D6AB-1762-4051-806C-84CF7D300F23}"/>
    <cellStyle name="Cellule liée 2 4 11 2" xfId="5442" xr:uid="{0D7DC11F-0279-4A82-953A-8F089C86E0D7}"/>
    <cellStyle name="Cellule liée 2 4 11 2 2" xfId="5443" xr:uid="{2432B6D8-5D7B-4D7C-B1FF-C6433355F5E2}"/>
    <cellStyle name="Cellule liée 2 4 11 3" xfId="5444" xr:uid="{842A4335-95BC-466A-875F-553C92A3754F}"/>
    <cellStyle name="Cellule liée 2 4 12" xfId="5445" xr:uid="{0955E857-4527-4B41-B184-CCB9A3A79D41}"/>
    <cellStyle name="Cellule liée 2 4 12 2" xfId="5446" xr:uid="{07457BFC-8839-40E1-8A37-D5681193DE33}"/>
    <cellStyle name="Cellule liée 2 4 13" xfId="5447" xr:uid="{2510BE40-C7E9-409E-B86A-AB88209BCFF2}"/>
    <cellStyle name="Cellule liée 2 4 2" xfId="5448" xr:uid="{8A86F7C2-8ADC-4E7E-B30F-B566DD028367}"/>
    <cellStyle name="Cellule liée 2 4 2 10" xfId="5449" xr:uid="{477B540F-6975-4E35-A3AB-BED25CD5A697}"/>
    <cellStyle name="Cellule liée 2 4 2 10 2" xfId="5450" xr:uid="{2D20249D-1D3E-42C4-8F2D-9C8F3C933A9A}"/>
    <cellStyle name="Cellule liée 2 4 2 10 2 2" xfId="5451" xr:uid="{8441F6BD-61D9-44DA-BB7C-5D78F4E663CB}"/>
    <cellStyle name="Cellule liée 2 4 2 10 3" xfId="5452" xr:uid="{846339A9-81F6-4F17-A32F-7F2014CA550D}"/>
    <cellStyle name="Cellule liée 2 4 2 11" xfId="5453" xr:uid="{95872512-E4C7-4DF8-86D2-7C2588DB676D}"/>
    <cellStyle name="Cellule liée 2 4 2 11 2" xfId="5454" xr:uid="{D90C83B1-8BD1-4CE4-8592-110466169B2E}"/>
    <cellStyle name="Cellule liée 2 4 2 12" xfId="5455" xr:uid="{FE2095B7-A611-4A23-B855-4954B2C1667F}"/>
    <cellStyle name="Cellule liée 2 4 2 2" xfId="5456" xr:uid="{E8DF9E67-E473-4868-9188-B5FFFC21E0D4}"/>
    <cellStyle name="Cellule liée 2 4 2 2 2" xfId="5457" xr:uid="{5B13F0BA-AD24-4D98-9F1F-B09B02E80E83}"/>
    <cellStyle name="Cellule liée 2 4 2 2 2 2" xfId="5458" xr:uid="{38155DF5-69B1-4E5D-B4EC-1168146BAACB}"/>
    <cellStyle name="Cellule liée 2 4 2 2 3" xfId="5459" xr:uid="{3E567F80-A5A5-4BA8-B495-27889F9083C2}"/>
    <cellStyle name="Cellule liée 2 4 2 3" xfId="5460" xr:uid="{FE3FF190-57B5-4E2E-90C7-D8353E6EE1D9}"/>
    <cellStyle name="Cellule liée 2 4 2 3 2" xfId="5461" xr:uid="{201FEB45-C35F-4DB3-97C8-9A22A0742B13}"/>
    <cellStyle name="Cellule liée 2 4 2 3 2 2" xfId="5462" xr:uid="{BDA7693E-C3C5-4BC2-A521-D4BED54680DB}"/>
    <cellStyle name="Cellule liée 2 4 2 3 3" xfId="5463" xr:uid="{A7FB052E-28FA-49E6-85E5-133CF78D3D15}"/>
    <cellStyle name="Cellule liée 2 4 2 4" xfId="5464" xr:uid="{884929B7-726B-4C2F-B44B-88EA31354F8F}"/>
    <cellStyle name="Cellule liée 2 4 2 4 2" xfId="5465" xr:uid="{62D4B77A-F1F0-4586-894C-F8ABA09B7C86}"/>
    <cellStyle name="Cellule liée 2 4 2 4 2 2" xfId="5466" xr:uid="{EA6A306A-C872-4101-9C63-1639AE870D0C}"/>
    <cellStyle name="Cellule liée 2 4 2 4 3" xfId="5467" xr:uid="{668484F7-AFD5-40DD-A67B-C136D19A9D90}"/>
    <cellStyle name="Cellule liée 2 4 2 5" xfId="5468" xr:uid="{1DE02330-8039-4137-853D-05722BE34078}"/>
    <cellStyle name="Cellule liée 2 4 2 5 2" xfId="5469" xr:uid="{0241C0E1-8C60-44AC-BBC2-DDCB18A03CF2}"/>
    <cellStyle name="Cellule liée 2 4 2 5 2 2" xfId="5470" xr:uid="{75FB2571-0CC7-4172-8FBB-1F2BC739B733}"/>
    <cellStyle name="Cellule liée 2 4 2 5 3" xfId="5471" xr:uid="{16CA3B5C-6531-4067-9D03-E171984C0EBA}"/>
    <cellStyle name="Cellule liée 2 4 2 6" xfId="5472" xr:uid="{92B70ABD-484C-4C2A-9FF2-3E53F376115E}"/>
    <cellStyle name="Cellule liée 2 4 2 6 2" xfId="5473" xr:uid="{C761F917-359C-4ED1-A229-8103C938B267}"/>
    <cellStyle name="Cellule liée 2 4 2 6 2 2" xfId="5474" xr:uid="{89E728F2-6824-4B55-BEB9-08FE352C41A9}"/>
    <cellStyle name="Cellule liée 2 4 2 6 3" xfId="5475" xr:uid="{668585F0-8A64-408B-AD99-B6CA86D422F0}"/>
    <cellStyle name="Cellule liée 2 4 2 7" xfId="5476" xr:uid="{55BCA5FD-408D-40D4-A205-4EC101AC7FDC}"/>
    <cellStyle name="Cellule liée 2 4 2 7 2" xfId="5477" xr:uid="{DB377DC5-3C03-453F-9EAB-78EAD4B6C90D}"/>
    <cellStyle name="Cellule liée 2 4 2 7 2 2" xfId="5478" xr:uid="{CDDB22BC-132A-48FC-A0A0-5F90C11E6947}"/>
    <cellStyle name="Cellule liée 2 4 2 7 3" xfId="5479" xr:uid="{6F29EC20-DABC-4D00-BB26-83780A6D4065}"/>
    <cellStyle name="Cellule liée 2 4 2 8" xfId="5480" xr:uid="{A5A1B718-3DBD-4952-8A7A-5F08EA90D9E2}"/>
    <cellStyle name="Cellule liée 2 4 2 8 2" xfId="5481" xr:uid="{0C6D8401-A1B2-42CF-8B40-239998F6355E}"/>
    <cellStyle name="Cellule liée 2 4 2 8 2 2" xfId="5482" xr:uid="{05CC6DCB-63DD-4781-B786-CA2EB15B5953}"/>
    <cellStyle name="Cellule liée 2 4 2 8 3" xfId="5483" xr:uid="{B4D6FC29-3E6D-438B-B012-6D6C0A13015E}"/>
    <cellStyle name="Cellule liée 2 4 2 9" xfId="5484" xr:uid="{0AA9BEBA-2AB2-4472-8B1F-49E7B3EA6DD8}"/>
    <cellStyle name="Cellule liée 2 4 2 9 2" xfId="5485" xr:uid="{F4EA276A-7AC1-4FCB-A760-F37C85F1EAB9}"/>
    <cellStyle name="Cellule liée 2 4 2 9 2 2" xfId="5486" xr:uid="{CDD3CC76-74D4-44F0-9BEE-5A8200B53F08}"/>
    <cellStyle name="Cellule liée 2 4 2 9 3" xfId="5487" xr:uid="{37A388D8-81D9-4923-8D35-0F3B88A4DEC9}"/>
    <cellStyle name="Cellule liée 2 4 3" xfId="5488" xr:uid="{17716E60-6DA0-4657-AA5A-A6C4F37A6710}"/>
    <cellStyle name="Cellule liée 2 4 3 10" xfId="5489" xr:uid="{6BA5F15E-AFF7-4DD0-AB7F-09869C727871}"/>
    <cellStyle name="Cellule liée 2 4 3 10 2" xfId="5490" xr:uid="{580A9794-F454-4ACF-96F0-99AB7BB109CF}"/>
    <cellStyle name="Cellule liée 2 4 3 11" xfId="5491" xr:uid="{7CDE5069-938C-4950-ABD1-5080F9871869}"/>
    <cellStyle name="Cellule liée 2 4 3 2" xfId="5492" xr:uid="{2870B2EE-4252-41CE-9436-6BC58F5E67CE}"/>
    <cellStyle name="Cellule liée 2 4 3 2 2" xfId="5493" xr:uid="{C9F220DC-435C-4292-A9D8-ECA9F67B7BF5}"/>
    <cellStyle name="Cellule liée 2 4 3 2 2 2" xfId="5494" xr:uid="{C5CE5296-C082-4034-B31B-BEAAD827442F}"/>
    <cellStyle name="Cellule liée 2 4 3 2 3" xfId="5495" xr:uid="{AD6E1113-1DB6-40E3-B75F-0925679DD508}"/>
    <cellStyle name="Cellule liée 2 4 3 3" xfId="5496" xr:uid="{DF75B77C-53F0-4331-81CA-702F0B191177}"/>
    <cellStyle name="Cellule liée 2 4 3 3 2" xfId="5497" xr:uid="{F408E3EE-C46A-4B4B-AB16-1DE17DF48A42}"/>
    <cellStyle name="Cellule liée 2 4 3 3 2 2" xfId="5498" xr:uid="{C6DEA2D5-1D5A-4E66-BA3B-FDC1D7973CCE}"/>
    <cellStyle name="Cellule liée 2 4 3 3 3" xfId="5499" xr:uid="{568555C3-9639-447D-985E-86155C96F092}"/>
    <cellStyle name="Cellule liée 2 4 3 4" xfId="5500" xr:uid="{0DFBF01D-DDD3-4724-A401-948FC5E380EB}"/>
    <cellStyle name="Cellule liée 2 4 3 4 2" xfId="5501" xr:uid="{5B882768-DCC4-4264-8D6D-7CF2EC635948}"/>
    <cellStyle name="Cellule liée 2 4 3 4 2 2" xfId="5502" xr:uid="{2CF9286B-269A-4AE0-BA17-884A3A40A616}"/>
    <cellStyle name="Cellule liée 2 4 3 4 3" xfId="5503" xr:uid="{454BAB58-7200-49BD-A5D2-88E3C6D09429}"/>
    <cellStyle name="Cellule liée 2 4 3 5" xfId="5504" xr:uid="{AB112621-4F9C-4A0D-9098-7CCA0BF932B4}"/>
    <cellStyle name="Cellule liée 2 4 3 5 2" xfId="5505" xr:uid="{E4CBE064-CCEB-4374-9D34-7F5BC85BF853}"/>
    <cellStyle name="Cellule liée 2 4 3 5 2 2" xfId="5506" xr:uid="{BF4A01FF-A56F-4015-B812-B9E6D48CDFD9}"/>
    <cellStyle name="Cellule liée 2 4 3 5 3" xfId="5507" xr:uid="{DE1F441C-C1FF-4768-A1FA-CB1B4E25B62C}"/>
    <cellStyle name="Cellule liée 2 4 3 6" xfId="5508" xr:uid="{5C1FC8A4-530A-4A94-9643-C882674D1BA6}"/>
    <cellStyle name="Cellule liée 2 4 3 6 2" xfId="5509" xr:uid="{44C11012-C3A6-4C4D-A2DA-E474224AF060}"/>
    <cellStyle name="Cellule liée 2 4 3 6 2 2" xfId="5510" xr:uid="{9F5EAB26-25AD-411E-984E-AF97D7ADE471}"/>
    <cellStyle name="Cellule liée 2 4 3 6 3" xfId="5511" xr:uid="{6FAA8BDE-6A08-422C-B179-EA0DBD70E40D}"/>
    <cellStyle name="Cellule liée 2 4 3 7" xfId="5512" xr:uid="{8ECB4BE3-B451-450F-BBE4-78ECDEBE5334}"/>
    <cellStyle name="Cellule liée 2 4 3 7 2" xfId="5513" xr:uid="{91727AAC-3DC6-4181-817D-648DE1286C71}"/>
    <cellStyle name="Cellule liée 2 4 3 7 2 2" xfId="5514" xr:uid="{9223C376-C08E-4D9A-8555-942E09CE110C}"/>
    <cellStyle name="Cellule liée 2 4 3 7 3" xfId="5515" xr:uid="{E12B1634-D3AC-4DA7-9830-F7FFBD48FEDA}"/>
    <cellStyle name="Cellule liée 2 4 3 8" xfId="5516" xr:uid="{15C32CE6-C3C1-4DA6-8881-59909257878A}"/>
    <cellStyle name="Cellule liée 2 4 3 8 2" xfId="5517" xr:uid="{9ACF4591-C05B-4B78-A38D-5C1536E594B1}"/>
    <cellStyle name="Cellule liée 2 4 3 8 2 2" xfId="5518" xr:uid="{8867D335-D2B7-4C0D-AE7A-4BDE8B659323}"/>
    <cellStyle name="Cellule liée 2 4 3 8 3" xfId="5519" xr:uid="{9DD1E75E-8491-4F81-9DFA-DCBAD45817A0}"/>
    <cellStyle name="Cellule liée 2 4 3 9" xfId="5520" xr:uid="{6F167BBE-EF90-43CA-AE67-21F665ADA92C}"/>
    <cellStyle name="Cellule liée 2 4 3 9 2" xfId="5521" xr:uid="{47A1A03A-BC3F-42B0-9614-9CFAF17022EF}"/>
    <cellStyle name="Cellule liée 2 4 3 9 2 2" xfId="5522" xr:uid="{3E591C15-9CE9-46D9-9751-71981A034648}"/>
    <cellStyle name="Cellule liée 2 4 3 9 3" xfId="5523" xr:uid="{998C9AAF-A419-4864-B63A-F6F46003E80D}"/>
    <cellStyle name="Cellule liée 2 4 4" xfId="5524" xr:uid="{E2271955-7047-4D0D-96D9-09F5BEFC3ACA}"/>
    <cellStyle name="Cellule liée 2 4 4 2" xfId="5525" xr:uid="{E43AB4B5-1B27-413D-A6D6-A813B1458F8F}"/>
    <cellStyle name="Cellule liée 2 4 4 2 2" xfId="5526" xr:uid="{81EFCE86-1832-45C1-A0EF-788C363FC8B5}"/>
    <cellStyle name="Cellule liée 2 4 4 3" xfId="5527" xr:uid="{28E032F9-3B38-4E01-92A0-77620D99017D}"/>
    <cellStyle name="Cellule liée 2 4 5" xfId="5528" xr:uid="{0D2CCC72-EB15-48B3-A211-B43F7C153DB8}"/>
    <cellStyle name="Cellule liée 2 4 5 2" xfId="5529" xr:uid="{F2CB4DE9-31A8-45CA-983C-98230C2A3AFB}"/>
    <cellStyle name="Cellule liée 2 4 5 2 2" xfId="5530" xr:uid="{DF59CCFE-57B1-415D-8315-416E13DBE745}"/>
    <cellStyle name="Cellule liée 2 4 5 3" xfId="5531" xr:uid="{1385132C-3440-457C-9840-4A33199EFC58}"/>
    <cellStyle name="Cellule liée 2 4 6" xfId="5532" xr:uid="{2F6DA508-F64A-47F4-B28E-90DEE4E4BCD2}"/>
    <cellStyle name="Cellule liée 2 4 6 2" xfId="5533" xr:uid="{125B83C3-6C06-4FBE-BCB9-F8689CAC56C8}"/>
    <cellStyle name="Cellule liée 2 4 6 2 2" xfId="5534" xr:uid="{A5E20AC9-AA8B-4DD1-9D2E-98341C10C427}"/>
    <cellStyle name="Cellule liée 2 4 6 3" xfId="5535" xr:uid="{6E6F6DAC-8C00-4318-8367-87DA270E5AD6}"/>
    <cellStyle name="Cellule liée 2 4 7" xfId="5536" xr:uid="{DCCDC8C8-3F10-4FCF-8561-7C2F3406B39E}"/>
    <cellStyle name="Cellule liée 2 4 7 2" xfId="5537" xr:uid="{8B1E2BE0-6D7F-446D-AD8E-A1C08ABDA88D}"/>
    <cellStyle name="Cellule liée 2 4 7 2 2" xfId="5538" xr:uid="{72AB511C-D858-4D54-BA0E-6D7082C2BB39}"/>
    <cellStyle name="Cellule liée 2 4 7 3" xfId="5539" xr:uid="{02A60860-E8FF-4D5B-A202-9DE0F12685F9}"/>
    <cellStyle name="Cellule liée 2 4 8" xfId="5540" xr:uid="{B4DDB9B5-3BD1-4E64-B003-A851F96CD5C0}"/>
    <cellStyle name="Cellule liée 2 4 8 2" xfId="5541" xr:uid="{31E5410A-BA1F-4E99-9714-AAB4510D01B8}"/>
    <cellStyle name="Cellule liée 2 4 8 2 2" xfId="5542" xr:uid="{AB923FC7-E20D-481C-8408-FD0A65D36891}"/>
    <cellStyle name="Cellule liée 2 4 8 3" xfId="5543" xr:uid="{FC25EFC1-6823-4889-A3C5-4A7B20118030}"/>
    <cellStyle name="Cellule liée 2 4 9" xfId="5544" xr:uid="{D23F9AFC-AC99-4101-8FEA-2CB59D6C59AC}"/>
    <cellStyle name="Cellule liée 2 4 9 2" xfId="5545" xr:uid="{0754C717-C85F-4C4A-ADA0-9A3C281A040A}"/>
    <cellStyle name="Cellule liée 2 4 9 2 2" xfId="5546" xr:uid="{680ABC7D-BC47-4743-BC89-426D266AC247}"/>
    <cellStyle name="Cellule liée 2 4 9 3" xfId="5547" xr:uid="{48DB8F54-EABA-45C0-A756-0F72E4811E4D}"/>
    <cellStyle name="Check Cell" xfId="124" builtinId="23" customBuiltin="1"/>
    <cellStyle name="Check Cell 10" xfId="5549" xr:uid="{A97AA267-F6B8-4430-98A7-ED5B91231751}"/>
    <cellStyle name="Check Cell 10 2" xfId="5550" xr:uid="{E38974E1-4FC7-4855-B083-7274236FD4A2}"/>
    <cellStyle name="Check Cell 10 2 10" xfId="5551" xr:uid="{0F9F6F79-89F2-48BE-B1A3-A43DF992D7C7}"/>
    <cellStyle name="Check Cell 10 2 10 2" xfId="5552" xr:uid="{0198BE90-16C9-41AF-A830-7ACB2D948014}"/>
    <cellStyle name="Check Cell 10 2 10 2 2" xfId="5553" xr:uid="{E39119E5-D496-4869-9C6C-F5E0E2395EFF}"/>
    <cellStyle name="Check Cell 10 2 10 3" xfId="5554" xr:uid="{DD8BB7A8-9AF4-4E16-A4BC-36A1A3A3A377}"/>
    <cellStyle name="Check Cell 10 2 11" xfId="5555" xr:uid="{CA1AFB42-C50D-4556-BEBA-D331B5F880D8}"/>
    <cellStyle name="Check Cell 10 2 11 2" xfId="5556" xr:uid="{D10D8F98-90DF-4751-863F-A29BFD7F3ADE}"/>
    <cellStyle name="Check Cell 10 2 11 2 2" xfId="5557" xr:uid="{74579D63-59C5-4FFA-918E-55BEAD7210C8}"/>
    <cellStyle name="Check Cell 10 2 11 3" xfId="5558" xr:uid="{62973410-1C34-4B57-8C24-A50123530E87}"/>
    <cellStyle name="Check Cell 10 2 12" xfId="5559" xr:uid="{6B10D01F-56A2-42D0-AE7D-D8E5F0B71991}"/>
    <cellStyle name="Check Cell 10 2 12 2" xfId="5560" xr:uid="{400910C8-C8B8-491E-9E19-D831566CB31E}"/>
    <cellStyle name="Check Cell 10 2 12 2 2" xfId="5561" xr:uid="{F3794196-5780-4975-A14D-C2550D253ECC}"/>
    <cellStyle name="Check Cell 10 2 12 3" xfId="5562" xr:uid="{50CEE531-442A-4213-A1B2-F71C71545595}"/>
    <cellStyle name="Check Cell 10 2 13" xfId="5563" xr:uid="{9A2172ED-0A1E-44CE-B5D6-644A253E66B2}"/>
    <cellStyle name="Check Cell 10 2 13 2" xfId="5564" xr:uid="{79D69F7F-8030-43E2-A43C-59B6E2B2BAB8}"/>
    <cellStyle name="Check Cell 10 2 13 2 2" xfId="5565" xr:uid="{AF382F2C-9713-4462-989D-70DB7C5A9331}"/>
    <cellStyle name="Check Cell 10 2 13 3" xfId="5566" xr:uid="{987413E9-C073-49C1-B76B-FAD066EC34FC}"/>
    <cellStyle name="Check Cell 10 2 2" xfId="5567" xr:uid="{C9A9B2A4-CA6F-4BA7-B143-201CA9131CEA}"/>
    <cellStyle name="Check Cell 10 2 2 2" xfId="5568" xr:uid="{D1879331-91FA-4689-ACFF-9AD343E46DB1}"/>
    <cellStyle name="Check Cell 10 2 2 2 2" xfId="5569" xr:uid="{EC5602FB-8D9A-488C-8177-8D4D706BD5B3}"/>
    <cellStyle name="Check Cell 10 2 2 2 2 2" xfId="5570" xr:uid="{8E445A4F-DBA9-48F2-BE7A-ACE7E3ECAB6C}"/>
    <cellStyle name="Check Cell 10 2 2 2 3" xfId="5571" xr:uid="{70D3803E-0505-4C2D-8900-84B9F3BB2B2D}"/>
    <cellStyle name="Check Cell 10 2 2 3" xfId="5572" xr:uid="{FAD5BDC7-3FDE-4459-A76C-76BFAA27987D}"/>
    <cellStyle name="Check Cell 10 2 2 3 2" xfId="5573" xr:uid="{392A1CBA-DE07-4CAB-AF7E-FBF789D18C41}"/>
    <cellStyle name="Check Cell 10 2 2 3 2 2" xfId="5574" xr:uid="{A57C493E-5932-4EE0-B7F9-C59CDF1A7BF7}"/>
    <cellStyle name="Check Cell 10 2 2 3 3" xfId="5575" xr:uid="{3C1D0875-97E7-4B02-BE85-776079F3156A}"/>
    <cellStyle name="Check Cell 10 2 2 4" xfId="5576" xr:uid="{6480F0AC-B02C-4488-AE30-573F39558671}"/>
    <cellStyle name="Check Cell 10 2 2 4 2" xfId="5577" xr:uid="{0C79D900-4E9E-4196-A656-44A9C4ED21E9}"/>
    <cellStyle name="Check Cell 10 2 2 4 2 2" xfId="5578" xr:uid="{6900414B-8A5B-45A9-B818-B98C744F8E5C}"/>
    <cellStyle name="Check Cell 10 2 2 4 3" xfId="5579" xr:uid="{06398408-BD53-486C-A046-4D79CCA84C60}"/>
    <cellStyle name="Check Cell 10 2 2 5" xfId="5580" xr:uid="{416B655A-BFAA-4508-B497-269A75E8E7D5}"/>
    <cellStyle name="Check Cell 10 2 2 5 2" xfId="5581" xr:uid="{CE735252-FA98-429C-9FBB-723DF9136851}"/>
    <cellStyle name="Check Cell 10 2 2 5 2 2" xfId="5582" xr:uid="{FC9F2CA5-753A-4CC8-858F-83AFA413663F}"/>
    <cellStyle name="Check Cell 10 2 2 5 3" xfId="5583" xr:uid="{E61715FA-8F76-4064-B38B-BFB7C88A57B7}"/>
    <cellStyle name="Check Cell 10 2 2 6" xfId="5584" xr:uid="{90E6FE32-550B-4AFC-B626-3B4F734F0189}"/>
    <cellStyle name="Check Cell 10 2 2 6 2" xfId="5585" xr:uid="{63027F15-FDF1-4562-AED0-B2663AC3C56D}"/>
    <cellStyle name="Check Cell 10 2 2 6 2 2" xfId="5586" xr:uid="{A49934CC-41C0-4ED6-B4F9-776CA59EF689}"/>
    <cellStyle name="Check Cell 10 2 2 6 3" xfId="5587" xr:uid="{FA283786-0E7E-4A30-90A2-BF62C3D431D6}"/>
    <cellStyle name="Check Cell 10 2 2 7" xfId="5588" xr:uid="{78D02C77-8DED-4D6C-8DDA-751506D02080}"/>
    <cellStyle name="Check Cell 10 2 2 7 2" xfId="5589" xr:uid="{16CDD18A-5E30-4C4E-84A8-7A330FF43B06}"/>
    <cellStyle name="Check Cell 10 2 2 7 2 2" xfId="5590" xr:uid="{1242F3C8-2EA5-4D82-BF49-C560767886D2}"/>
    <cellStyle name="Check Cell 10 2 2 7 3" xfId="5591" xr:uid="{3B4FA9BE-EF40-462B-8CC9-DEEAC91BDE81}"/>
    <cellStyle name="Check Cell 10 2 2 8" xfId="5592" xr:uid="{E257AC05-71F4-41D1-A411-05982D46883A}"/>
    <cellStyle name="Check Cell 10 2 2 8 2" xfId="5593" xr:uid="{8B2BE014-00CF-4BF1-9551-6ED0BED5DC02}"/>
    <cellStyle name="Check Cell 10 2 2 8 2 2" xfId="5594" xr:uid="{37FDF231-5F53-4CD7-8A57-6C0EB92BE141}"/>
    <cellStyle name="Check Cell 10 2 2 8 3" xfId="5595" xr:uid="{8B634D34-F325-48CE-885B-E7F4A6A03F25}"/>
    <cellStyle name="Check Cell 10 2 2 9" xfId="5596" xr:uid="{7954DBB2-FCEF-46A7-BF95-4BC72D2E5B3A}"/>
    <cellStyle name="Check Cell 10 2 2 9 2" xfId="5597" xr:uid="{10982146-6E2D-4B52-A161-015D6B12E7EC}"/>
    <cellStyle name="Check Cell 10 2 2 9 2 2" xfId="5598" xr:uid="{D9761472-3403-40E2-BF74-4C86175D5370}"/>
    <cellStyle name="Check Cell 10 2 2 9 3" xfId="5599" xr:uid="{FFE131C5-BDFC-43AA-8148-C59BA97CDBF2}"/>
    <cellStyle name="Check Cell 10 2 3" xfId="5600" xr:uid="{A0FD0CA5-646D-4056-81CA-D6F58CC25490}"/>
    <cellStyle name="Check Cell 10 2 3 2" xfId="5601" xr:uid="{7609FFAE-5851-4B99-B9B3-CC9FC87EC9B2}"/>
    <cellStyle name="Check Cell 10 2 3 2 2" xfId="5602" xr:uid="{BC6FD53E-4883-4859-A6A4-D9B10B158F47}"/>
    <cellStyle name="Check Cell 10 2 3 2 2 2" xfId="5603" xr:uid="{48000D53-CD38-42D1-82A0-57E6EC6909E5}"/>
    <cellStyle name="Check Cell 10 2 3 2 3" xfId="5604" xr:uid="{52D900EC-D51C-4DE2-A0B8-5983A26B381F}"/>
    <cellStyle name="Check Cell 10 2 3 3" xfId="5605" xr:uid="{9FEE7D36-B0C5-4A72-9C60-4DF3173D2DAE}"/>
    <cellStyle name="Check Cell 10 2 3 3 2" xfId="5606" xr:uid="{C88544D9-C402-422A-B3C8-E1DD8CA643D3}"/>
    <cellStyle name="Check Cell 10 2 3 3 2 2" xfId="5607" xr:uid="{11EEAD40-BA4A-4A21-AE33-DF63EAAC6CAE}"/>
    <cellStyle name="Check Cell 10 2 3 3 3" xfId="5608" xr:uid="{B9B76F7A-2804-4C20-90E4-E21F525BBBD9}"/>
    <cellStyle name="Check Cell 10 2 3 4" xfId="5609" xr:uid="{1AF270E3-FF3D-4EAF-9E55-B20F9328D93F}"/>
    <cellStyle name="Check Cell 10 2 3 4 2" xfId="5610" xr:uid="{1C944AB8-061E-419B-A14F-B4F41713FB8D}"/>
    <cellStyle name="Check Cell 10 2 3 4 2 2" xfId="5611" xr:uid="{181B4EBE-FE1F-429E-955E-10D3AB17B0C9}"/>
    <cellStyle name="Check Cell 10 2 3 4 3" xfId="5612" xr:uid="{52715956-1A53-4D71-9B48-FE6C6308A42A}"/>
    <cellStyle name="Check Cell 10 2 3 5" xfId="5613" xr:uid="{0962C9B7-B60D-439E-AF4C-1F19730C4D84}"/>
    <cellStyle name="Check Cell 10 2 3 5 2" xfId="5614" xr:uid="{314E2CF4-3DBB-4EAF-8880-B3C1B821B5E7}"/>
    <cellStyle name="Check Cell 10 2 3 5 2 2" xfId="5615" xr:uid="{04EB3694-50EA-4B0B-92CA-28CC9220DE29}"/>
    <cellStyle name="Check Cell 10 2 3 5 3" xfId="5616" xr:uid="{AB23E36C-A317-4735-81D9-CAF7B7256301}"/>
    <cellStyle name="Check Cell 10 2 3 6" xfId="5617" xr:uid="{31DAC1D5-2C64-472F-BA69-E6BDAA9681CB}"/>
    <cellStyle name="Check Cell 10 2 3 6 2" xfId="5618" xr:uid="{16CDC6C5-BAB9-46D7-9ADB-2FEB380DE0FA}"/>
    <cellStyle name="Check Cell 10 2 3 6 2 2" xfId="5619" xr:uid="{64746968-7BCE-4A34-9B1E-5CE2EAD4D4B1}"/>
    <cellStyle name="Check Cell 10 2 3 6 3" xfId="5620" xr:uid="{32BDA80E-9210-4EDB-A682-21F73DCD0B9B}"/>
    <cellStyle name="Check Cell 10 2 3 7" xfId="5621" xr:uid="{C42A73CE-FBFE-4F88-9394-1E347637E19F}"/>
    <cellStyle name="Check Cell 10 2 3 7 2" xfId="5622" xr:uid="{C9834B2D-25F9-4CD0-8C91-564516F092C4}"/>
    <cellStyle name="Check Cell 10 2 3 7 2 2" xfId="5623" xr:uid="{BCD98903-90A4-4EC9-A5FD-A3A239F4D87D}"/>
    <cellStyle name="Check Cell 10 2 3 7 3" xfId="5624" xr:uid="{1BFCF500-B21F-4C5F-AD4F-91D0CD672722}"/>
    <cellStyle name="Check Cell 10 2 3 8" xfId="5625" xr:uid="{108DB1FA-057F-48E0-898F-219F7800CCFA}"/>
    <cellStyle name="Check Cell 10 2 3 8 2" xfId="5626" xr:uid="{E41899D0-22D4-4C08-8AB6-102357538BA0}"/>
    <cellStyle name="Check Cell 10 2 3 8 2 2" xfId="5627" xr:uid="{7204BF4F-6761-4EAA-9DD7-D87A47FA3AA9}"/>
    <cellStyle name="Check Cell 10 2 3 8 3" xfId="5628" xr:uid="{FB64B8D7-9003-48A7-AFD8-9C39906382E6}"/>
    <cellStyle name="Check Cell 10 2 3 9" xfId="5629" xr:uid="{15783C51-D949-4C18-B19B-9E8C6827728E}"/>
    <cellStyle name="Check Cell 10 2 3 9 2" xfId="5630" xr:uid="{FE4050F4-C5A9-4766-9C35-EC0B33574CD2}"/>
    <cellStyle name="Check Cell 10 2 3 9 2 2" xfId="5631" xr:uid="{45632BEB-ED02-49EC-B660-6406F9834FFB}"/>
    <cellStyle name="Check Cell 10 2 3 9 3" xfId="5632" xr:uid="{4C350A9C-EC82-4804-BEB3-A896B6D4FE60}"/>
    <cellStyle name="Check Cell 10 2 4" xfId="5633" xr:uid="{7297281A-25C6-4FFC-82B1-FDC7FEFE1080}"/>
    <cellStyle name="Check Cell 10 2 4 2" xfId="5634" xr:uid="{7B37E50A-A589-48E7-B42B-CC9DA2244F19}"/>
    <cellStyle name="Check Cell 10 2 4 2 2" xfId="5635" xr:uid="{117BC3FD-8328-4579-AF27-79AC2E02EA41}"/>
    <cellStyle name="Check Cell 10 2 4 2 2 2" xfId="5636" xr:uid="{405E5690-9901-4576-8B22-F3CE3E551498}"/>
    <cellStyle name="Check Cell 10 2 4 2 3" xfId="5637" xr:uid="{EB4BA7A2-B21F-4094-A319-8FA9B8F89075}"/>
    <cellStyle name="Check Cell 10 2 4 3" xfId="5638" xr:uid="{2EAC20EB-9B90-4E56-8F71-DD31D8DC3A05}"/>
    <cellStyle name="Check Cell 10 2 4 3 2" xfId="5639" xr:uid="{9D97466C-DEC5-40E7-811D-C6138A147A77}"/>
    <cellStyle name="Check Cell 10 2 4 3 2 2" xfId="5640" xr:uid="{9F7D0885-C682-4837-A4EA-C4BC015811E4}"/>
    <cellStyle name="Check Cell 10 2 4 3 3" xfId="5641" xr:uid="{263124B9-A161-4F1C-B345-306D39358EC5}"/>
    <cellStyle name="Check Cell 10 2 4 4" xfId="5642" xr:uid="{1028A8D1-96F8-4A73-9D57-A2A67E00FACE}"/>
    <cellStyle name="Check Cell 10 2 4 4 2" xfId="5643" xr:uid="{A1DE6993-24B8-4EF3-9838-7F993926E998}"/>
    <cellStyle name="Check Cell 10 2 4 4 2 2" xfId="5644" xr:uid="{3190DF6D-E7BE-465A-B19A-B6893FA53D54}"/>
    <cellStyle name="Check Cell 10 2 4 4 3" xfId="5645" xr:uid="{9B589211-306B-423D-82CC-412A48ECC1C7}"/>
    <cellStyle name="Check Cell 10 2 4 5" xfId="5646" xr:uid="{0C5C032C-C600-4E4F-82F4-B04D360581DF}"/>
    <cellStyle name="Check Cell 10 2 4 5 2" xfId="5647" xr:uid="{BA36ED42-6A1F-4AFA-8E5A-903C96BA1411}"/>
    <cellStyle name="Check Cell 10 2 4 5 2 2" xfId="5648" xr:uid="{834A8007-5161-417E-ADE3-63D74B4BE378}"/>
    <cellStyle name="Check Cell 10 2 4 5 3" xfId="5649" xr:uid="{F78C322E-6609-453A-B3C1-CC03AAC0CE14}"/>
    <cellStyle name="Check Cell 10 2 4 6" xfId="5650" xr:uid="{4C3B4511-FC7E-4F5C-BF5E-8DF874BF47D9}"/>
    <cellStyle name="Check Cell 10 2 4 6 2" xfId="5651" xr:uid="{F5A48944-470D-4F9D-9985-278D9CDF7840}"/>
    <cellStyle name="Check Cell 10 2 4 6 2 2" xfId="5652" xr:uid="{8FEE23AD-A03E-45FC-AD65-598F1AA54E69}"/>
    <cellStyle name="Check Cell 10 2 4 6 3" xfId="5653" xr:uid="{57B255D2-B077-4786-A5A3-1B8F6AD26A92}"/>
    <cellStyle name="Check Cell 10 2 4 7" xfId="5654" xr:uid="{3744A9D0-5D59-4F43-A7F6-F30A727145C2}"/>
    <cellStyle name="Check Cell 10 2 4 7 2" xfId="5655" xr:uid="{CF8559B3-553A-46D0-82E6-96B4DBF3A314}"/>
    <cellStyle name="Check Cell 10 2 4 7 2 2" xfId="5656" xr:uid="{B9BEEB6E-B277-4560-B396-13D25014E2FE}"/>
    <cellStyle name="Check Cell 10 2 4 7 3" xfId="5657" xr:uid="{8A038BFD-0102-4DF1-A4B2-BE01CBB7119B}"/>
    <cellStyle name="Check Cell 10 2 4 8" xfId="5658" xr:uid="{AB80552E-16B7-4004-B571-B685EB1C4AD0}"/>
    <cellStyle name="Check Cell 10 2 4 8 2" xfId="5659" xr:uid="{C402E047-0BBB-44D4-ABCF-DA197F9E5554}"/>
    <cellStyle name="Check Cell 10 2 4 8 2 2" xfId="5660" xr:uid="{70F08179-BC8E-45C9-B93D-DA278055BE31}"/>
    <cellStyle name="Check Cell 10 2 4 8 3" xfId="5661" xr:uid="{D2261532-6D98-48BA-A8A4-32F87A0A4435}"/>
    <cellStyle name="Check Cell 10 2 4 9" xfId="5662" xr:uid="{A31C2F6E-7CDC-46A9-B90F-A857E5174A9F}"/>
    <cellStyle name="Check Cell 10 2 4 9 2" xfId="5663" xr:uid="{8CA280B1-9CCA-4084-94D0-BDD760462366}"/>
    <cellStyle name="Check Cell 10 2 4 9 2 2" xfId="5664" xr:uid="{DA07E66C-B101-4A1C-8F91-1E3E1C181DF6}"/>
    <cellStyle name="Check Cell 10 2 4 9 3" xfId="5665" xr:uid="{69AE9D0B-6F4B-40BA-A3F5-5D8648B65013}"/>
    <cellStyle name="Check Cell 10 2 5" xfId="5666" xr:uid="{ED4E51AF-D5F8-4C95-8699-08CEEEC77513}"/>
    <cellStyle name="Check Cell 10 2 5 2" xfId="5667" xr:uid="{1550A7BE-20A4-4852-AC9F-82B577E63D8C}"/>
    <cellStyle name="Check Cell 10 2 5 2 2" xfId="5668" xr:uid="{59E48F28-24E1-440A-B3B9-C882A7BE17AC}"/>
    <cellStyle name="Check Cell 10 2 5 2 2 2" xfId="5669" xr:uid="{BCEA7B41-4839-4C6A-AF31-6EB42DFDA70B}"/>
    <cellStyle name="Check Cell 10 2 5 2 3" xfId="5670" xr:uid="{21BA227D-5FC0-473B-8F1B-0C8AA831F83B}"/>
    <cellStyle name="Check Cell 10 2 5 3" xfId="5671" xr:uid="{91A4B14A-29AA-4C1A-810A-A21E833E53E5}"/>
    <cellStyle name="Check Cell 10 2 5 3 2" xfId="5672" xr:uid="{5347264D-2722-4AAB-BFDF-E60D1691CFF9}"/>
    <cellStyle name="Check Cell 10 2 5 3 2 2" xfId="5673" xr:uid="{B5C311B7-51DF-46C8-AD7A-89C407A7AC94}"/>
    <cellStyle name="Check Cell 10 2 5 3 3" xfId="5674" xr:uid="{D844F445-2CB3-4B73-8701-ABB801D2F2F7}"/>
    <cellStyle name="Check Cell 10 2 5 4" xfId="5675" xr:uid="{AAF806FC-8202-4A09-A5F3-EE6C485F1827}"/>
    <cellStyle name="Check Cell 10 2 5 4 2" xfId="5676" xr:uid="{1976E83F-E135-47D6-A97C-FAAF2D0459AB}"/>
    <cellStyle name="Check Cell 10 2 5 4 2 2" xfId="5677" xr:uid="{B9AEF4D1-A093-4CD4-B93D-639F5F0AAC6B}"/>
    <cellStyle name="Check Cell 10 2 5 4 3" xfId="5678" xr:uid="{67B16930-2A23-4F06-9EC9-CDB596CDB807}"/>
    <cellStyle name="Check Cell 10 2 5 5" xfId="5679" xr:uid="{5CB0D53E-2E36-4894-ADE1-E19384C86D6F}"/>
    <cellStyle name="Check Cell 10 2 5 5 2" xfId="5680" xr:uid="{D30A0F7E-D2AA-4C4A-BCFD-A7C489A0313C}"/>
    <cellStyle name="Check Cell 10 2 5 5 2 2" xfId="5681" xr:uid="{DDA12A1F-CA47-4768-B49E-9F09B81ABEBF}"/>
    <cellStyle name="Check Cell 10 2 5 5 3" xfId="5682" xr:uid="{79413140-DEEA-41A1-BF4F-F1C63814914A}"/>
    <cellStyle name="Check Cell 10 2 5 6" xfId="5683" xr:uid="{CAED6F2F-6E21-4694-AFED-70FE63D620EB}"/>
    <cellStyle name="Check Cell 10 2 5 6 2" xfId="5684" xr:uid="{C5C2ED20-DAD1-4900-A3E4-50C75B2F0FBD}"/>
    <cellStyle name="Check Cell 10 2 5 6 2 2" xfId="5685" xr:uid="{A3BB043D-B61D-47A9-B4F2-9CCA7B4AD88D}"/>
    <cellStyle name="Check Cell 10 2 5 6 3" xfId="5686" xr:uid="{08763212-6A1E-4127-A2E4-27FCC059F93D}"/>
    <cellStyle name="Check Cell 10 2 5 7" xfId="5687" xr:uid="{ED70DE4F-4481-4665-A5F5-D5FD1A228E02}"/>
    <cellStyle name="Check Cell 10 2 5 7 2" xfId="5688" xr:uid="{7E2284C3-B25C-4DF2-8F07-A84ED2F378D7}"/>
    <cellStyle name="Check Cell 10 2 5 7 2 2" xfId="5689" xr:uid="{D7280D94-86D8-43AB-A048-9835BD41EAE4}"/>
    <cellStyle name="Check Cell 10 2 5 7 3" xfId="5690" xr:uid="{034FB774-43D0-4C3B-9A70-469A26F9D75B}"/>
    <cellStyle name="Check Cell 10 2 5 8" xfId="5691" xr:uid="{DA03ECBA-38E5-4864-9686-5B5130EAB60C}"/>
    <cellStyle name="Check Cell 10 2 5 8 2" xfId="5692" xr:uid="{E8ED6032-08AD-41EA-875B-130D4454EA59}"/>
    <cellStyle name="Check Cell 10 2 5 8 2 2" xfId="5693" xr:uid="{11FB5109-3DE8-4668-9CF2-206FDA95096B}"/>
    <cellStyle name="Check Cell 10 2 5 8 3" xfId="5694" xr:uid="{CE66E948-CA75-4F97-9A36-364A618C77A1}"/>
    <cellStyle name="Check Cell 10 2 5 9" xfId="5695" xr:uid="{7DEE670D-56B3-41D4-A977-F28EF1F6D9DD}"/>
    <cellStyle name="Check Cell 10 2 5 9 2" xfId="5696" xr:uid="{2F855BBE-913C-463C-BAB2-82CFE194AAAC}"/>
    <cellStyle name="Check Cell 10 2 5 9 2 2" xfId="5697" xr:uid="{BD3913C9-D879-40EA-AFA0-4FD99F8A9ED9}"/>
    <cellStyle name="Check Cell 10 2 5 9 3" xfId="5698" xr:uid="{6356432F-46DA-4591-8BA0-2C9B9268149F}"/>
    <cellStyle name="Check Cell 10 2 6" xfId="5699" xr:uid="{EA0EF9B9-D5BC-4D16-AB59-F68AC90B1863}"/>
    <cellStyle name="Check Cell 10 2 6 2" xfId="5700" xr:uid="{03961E68-6834-464C-90C3-86BF51286C45}"/>
    <cellStyle name="Check Cell 10 2 6 2 2" xfId="5701" xr:uid="{7820C7DB-E127-4D84-8BC9-04E37F0D27B1}"/>
    <cellStyle name="Check Cell 10 2 6 3" xfId="5702" xr:uid="{C89B177D-63C9-41A1-85E1-FE8C6C601729}"/>
    <cellStyle name="Check Cell 10 2 7" xfId="5703" xr:uid="{0DDD4EBF-3D35-4BAD-8298-B627CA0C739C}"/>
    <cellStyle name="Check Cell 10 2 7 2" xfId="5704" xr:uid="{C4E841B6-6DB8-4A71-BBCF-D9EE941DF1A6}"/>
    <cellStyle name="Check Cell 10 2 7 2 2" xfId="5705" xr:uid="{AD3023E5-4F6C-4132-ADA7-927B40C09DE8}"/>
    <cellStyle name="Check Cell 10 2 7 3" xfId="5706" xr:uid="{DB02BF0E-C9B8-4CFB-BDFE-A1876C6DCE2C}"/>
    <cellStyle name="Check Cell 10 2 8" xfId="5707" xr:uid="{407F0D72-92E7-496C-BE75-8CE381D02E4A}"/>
    <cellStyle name="Check Cell 10 2 8 2" xfId="5708" xr:uid="{B48F8030-988B-4E3D-B910-A712EC72BCB8}"/>
    <cellStyle name="Check Cell 10 2 8 2 2" xfId="5709" xr:uid="{58C4AE6E-6F4C-4491-BBD5-EC4599140473}"/>
    <cellStyle name="Check Cell 10 2 8 3" xfId="5710" xr:uid="{D439A4BE-FD6E-4A85-BF48-057BEFAECEC0}"/>
    <cellStyle name="Check Cell 10 2 9" xfId="5711" xr:uid="{5AB85A1D-3EB7-45BB-BB35-2610159BF3E5}"/>
    <cellStyle name="Check Cell 10 2 9 2" xfId="5712" xr:uid="{6410F022-8B4D-4E34-A798-1FEFEC684DA8}"/>
    <cellStyle name="Check Cell 10 2 9 2 2" xfId="5713" xr:uid="{C5A0798C-D0EB-4B92-A121-102EB225CAC1}"/>
    <cellStyle name="Check Cell 10 2 9 3" xfId="5714" xr:uid="{42A719B2-34E0-498D-BBDB-CB5A98E488F4}"/>
    <cellStyle name="Check Cell 10 3" xfId="5715" xr:uid="{C4F07654-D68D-4516-89E5-47F6300EE723}"/>
    <cellStyle name="Check Cell 10 3 2" xfId="5716" xr:uid="{E31F7F72-542E-4163-B101-295F937190E9}"/>
    <cellStyle name="Check Cell 10 3 2 2" xfId="5717" xr:uid="{8DA4EEB1-76BC-4EC8-82D5-C71CBBAD7487}"/>
    <cellStyle name="Check Cell 10 3 3" xfId="5718" xr:uid="{C470C5A0-4897-4751-BA09-E3809DB0EB10}"/>
    <cellStyle name="Check Cell 10 4" xfId="5719" xr:uid="{20807193-506F-4DEE-96E7-261AB9489EC2}"/>
    <cellStyle name="Check Cell 10 4 2" xfId="5720" xr:uid="{C3573337-7C25-4E1E-8594-B765459DE1A1}"/>
    <cellStyle name="Check Cell 11" xfId="5721" xr:uid="{931E6269-BFAD-47D9-A723-975A69B09FAE}"/>
    <cellStyle name="Check Cell 11 2" xfId="5722" xr:uid="{7A99FF85-73F6-422A-ADD2-6D7F8710AC41}"/>
    <cellStyle name="Check Cell 11 2 10" xfId="5723" xr:uid="{ABF3415F-EDCC-4768-9C36-B02328A1F3F4}"/>
    <cellStyle name="Check Cell 11 2 10 2" xfId="5724" xr:uid="{052DD3AD-9D58-4000-A2FD-2EB8F0138BEC}"/>
    <cellStyle name="Check Cell 11 2 10 2 2" xfId="5725" xr:uid="{893933DA-520E-445C-9272-EFA0E56F9EC8}"/>
    <cellStyle name="Check Cell 11 2 10 3" xfId="5726" xr:uid="{9338BEBF-26A7-441A-8C55-389F61E6842C}"/>
    <cellStyle name="Check Cell 11 2 11" xfId="5727" xr:uid="{2FBFA9D8-AED3-490D-90A8-F2A0FEAE303F}"/>
    <cellStyle name="Check Cell 11 2 11 2" xfId="5728" xr:uid="{C2E907EB-E13C-409C-A997-8269C06E2EC3}"/>
    <cellStyle name="Check Cell 11 2 11 2 2" xfId="5729" xr:uid="{3A86B9F8-6B89-4380-9532-4B15F6BFC7F2}"/>
    <cellStyle name="Check Cell 11 2 11 3" xfId="5730" xr:uid="{559E3181-7C7E-4A9C-A75D-2C57A47FDAA9}"/>
    <cellStyle name="Check Cell 11 2 12" xfId="5731" xr:uid="{BC700346-2AB3-4EEE-8F58-9E007EFB31B7}"/>
    <cellStyle name="Check Cell 11 2 12 2" xfId="5732" xr:uid="{904CB70B-2148-43F1-A83B-8491B122807B}"/>
    <cellStyle name="Check Cell 11 2 12 2 2" xfId="5733" xr:uid="{86EC7B32-1309-4674-B466-E111F1A3DE5E}"/>
    <cellStyle name="Check Cell 11 2 12 3" xfId="5734" xr:uid="{5B4EB92A-280D-420E-9943-75BA6543AEA5}"/>
    <cellStyle name="Check Cell 11 2 13" xfId="5735" xr:uid="{AE21FA15-F216-4680-AD6F-FA46BEA1A08F}"/>
    <cellStyle name="Check Cell 11 2 13 2" xfId="5736" xr:uid="{27534E2C-7A98-4C00-9312-2C09760C133D}"/>
    <cellStyle name="Check Cell 11 2 13 2 2" xfId="5737" xr:uid="{10399865-253E-4F6E-A023-5B899C9E3184}"/>
    <cellStyle name="Check Cell 11 2 13 3" xfId="5738" xr:uid="{A16ABF03-8896-4924-904C-8D54C181B91E}"/>
    <cellStyle name="Check Cell 11 2 2" xfId="5739" xr:uid="{F161D827-4EC5-4A85-98B1-8CB2D73AF093}"/>
    <cellStyle name="Check Cell 11 2 2 2" xfId="5740" xr:uid="{B184A2AD-6190-4C3B-BAAE-985EC9440316}"/>
    <cellStyle name="Check Cell 11 2 2 2 2" xfId="5741" xr:uid="{FCB05FC0-0E87-4BFD-A8DB-BAAB0D4E5D1A}"/>
    <cellStyle name="Check Cell 11 2 2 2 2 2" xfId="5742" xr:uid="{FFE993D0-953D-48E0-A6A7-116DB40EC91A}"/>
    <cellStyle name="Check Cell 11 2 2 2 3" xfId="5743" xr:uid="{06AC7C60-42D6-4457-9489-850B008D5E4A}"/>
    <cellStyle name="Check Cell 11 2 2 3" xfId="5744" xr:uid="{4B2575AA-67AC-42FF-AF5F-76A75CE2F92D}"/>
    <cellStyle name="Check Cell 11 2 2 3 2" xfId="5745" xr:uid="{46471261-5C0B-4A1D-9265-4FAA899A6877}"/>
    <cellStyle name="Check Cell 11 2 2 3 2 2" xfId="5746" xr:uid="{C4BE787A-7B7F-493A-9AF6-F28477D1C474}"/>
    <cellStyle name="Check Cell 11 2 2 3 3" xfId="5747" xr:uid="{EFB4BAA7-81E7-4F35-B320-53C0E426F225}"/>
    <cellStyle name="Check Cell 11 2 2 4" xfId="5748" xr:uid="{BD1ECA9D-D21A-4B0A-852A-0FB8BEFCD5D1}"/>
    <cellStyle name="Check Cell 11 2 2 4 2" xfId="5749" xr:uid="{C01290FC-6A2D-4875-BA2F-04E28B6AE2E5}"/>
    <cellStyle name="Check Cell 11 2 2 4 2 2" xfId="5750" xr:uid="{A5E1EF33-CFAA-4656-84AE-D868994803B1}"/>
    <cellStyle name="Check Cell 11 2 2 4 3" xfId="5751" xr:uid="{67727700-A21E-4440-9E16-4C41753E5C69}"/>
    <cellStyle name="Check Cell 11 2 2 5" xfId="5752" xr:uid="{B2B483C8-455F-4FD9-9F10-9DF01BE66854}"/>
    <cellStyle name="Check Cell 11 2 2 5 2" xfId="5753" xr:uid="{89944857-E558-4023-BF54-6B6B023DE38A}"/>
    <cellStyle name="Check Cell 11 2 2 5 2 2" xfId="5754" xr:uid="{88F44256-759B-41E5-91B5-486E21ABD72D}"/>
    <cellStyle name="Check Cell 11 2 2 5 3" xfId="5755" xr:uid="{9CAE5993-B997-49A0-961C-97DF2839890E}"/>
    <cellStyle name="Check Cell 11 2 2 6" xfId="5756" xr:uid="{A639E4B0-845D-4A87-9E78-F9B371636965}"/>
    <cellStyle name="Check Cell 11 2 2 6 2" xfId="5757" xr:uid="{DC79B5F2-C906-457E-BD6D-459EF0CF2EC0}"/>
    <cellStyle name="Check Cell 11 2 2 6 2 2" xfId="5758" xr:uid="{11974A49-3CF4-46BD-878B-B970AEC4C4F6}"/>
    <cellStyle name="Check Cell 11 2 2 6 3" xfId="5759" xr:uid="{F83064D2-3295-4888-89D6-E9EBAD6B5E0C}"/>
    <cellStyle name="Check Cell 11 2 2 7" xfId="5760" xr:uid="{6B11FA69-C656-47D8-82C5-E60A57C97D93}"/>
    <cellStyle name="Check Cell 11 2 2 7 2" xfId="5761" xr:uid="{9CDD9BF8-3E72-495D-9FE4-494435D8032A}"/>
    <cellStyle name="Check Cell 11 2 2 7 2 2" xfId="5762" xr:uid="{EB6DE931-DAD8-4FA4-9DD0-1D67A5EEC5A1}"/>
    <cellStyle name="Check Cell 11 2 2 7 3" xfId="5763" xr:uid="{41BD1309-DFED-4ACF-A750-E76752814EAF}"/>
    <cellStyle name="Check Cell 11 2 2 8" xfId="5764" xr:uid="{F6351635-C40C-4A57-80AC-C1F8538FF676}"/>
    <cellStyle name="Check Cell 11 2 2 8 2" xfId="5765" xr:uid="{1813028E-25BA-4B95-AC4E-F5A0A599CB83}"/>
    <cellStyle name="Check Cell 11 2 2 8 2 2" xfId="5766" xr:uid="{E952A4D8-05CE-45D0-ACB5-E22AA4924561}"/>
    <cellStyle name="Check Cell 11 2 2 8 3" xfId="5767" xr:uid="{6CF112FE-1A8F-4DD4-B445-4B56F15852BE}"/>
    <cellStyle name="Check Cell 11 2 2 9" xfId="5768" xr:uid="{45248576-5607-48F1-8AC9-36795562AFD3}"/>
    <cellStyle name="Check Cell 11 2 2 9 2" xfId="5769" xr:uid="{BB60C025-3AD3-476D-8DF2-73EA5A9297B5}"/>
    <cellStyle name="Check Cell 11 2 2 9 2 2" xfId="5770" xr:uid="{EBD48B2D-007B-4C6A-8F70-FC042FD17C8A}"/>
    <cellStyle name="Check Cell 11 2 2 9 3" xfId="5771" xr:uid="{0F511822-B767-4EC8-8DC9-12E182CE802B}"/>
    <cellStyle name="Check Cell 11 2 3" xfId="5772" xr:uid="{89E128D4-FB76-40F9-B0E4-B37A474F4EAC}"/>
    <cellStyle name="Check Cell 11 2 3 2" xfId="5773" xr:uid="{C6F10364-9123-4255-BDC7-A855B28006F8}"/>
    <cellStyle name="Check Cell 11 2 3 2 2" xfId="5774" xr:uid="{642BCAB2-9A44-46DA-ADC7-F643B41FF1DF}"/>
    <cellStyle name="Check Cell 11 2 3 2 2 2" xfId="5775" xr:uid="{2C280A14-F80A-40CC-A44F-69988FAB40C2}"/>
    <cellStyle name="Check Cell 11 2 3 2 3" xfId="5776" xr:uid="{99DAC4DB-5EF7-45FE-9F2A-D041EEBAA773}"/>
    <cellStyle name="Check Cell 11 2 3 3" xfId="5777" xr:uid="{4D0BAE5B-7E2A-4C85-82BA-3E782AE916FC}"/>
    <cellStyle name="Check Cell 11 2 3 3 2" xfId="5778" xr:uid="{F245D72C-391F-4012-8A4B-3CE17252C919}"/>
    <cellStyle name="Check Cell 11 2 3 3 2 2" xfId="5779" xr:uid="{9F9A0914-3A97-4778-B844-04EB35207D96}"/>
    <cellStyle name="Check Cell 11 2 3 3 3" xfId="5780" xr:uid="{6A3F12DA-560C-483B-8F09-2AB5CECF7D5D}"/>
    <cellStyle name="Check Cell 11 2 3 4" xfId="5781" xr:uid="{119C55FF-EA3D-4942-B400-C9A47B9B3A64}"/>
    <cellStyle name="Check Cell 11 2 3 4 2" xfId="5782" xr:uid="{3271C9E4-7547-4EC6-9AB9-39381D618E73}"/>
    <cellStyle name="Check Cell 11 2 3 4 2 2" xfId="5783" xr:uid="{2BBD8F9C-9BAD-4466-9002-A0E349C08ECE}"/>
    <cellStyle name="Check Cell 11 2 3 4 3" xfId="5784" xr:uid="{DECE447A-C8EF-4B99-A751-D33E0406DD6D}"/>
    <cellStyle name="Check Cell 11 2 3 5" xfId="5785" xr:uid="{E9F6F5D4-F25A-4678-B5D4-611278EFB39C}"/>
    <cellStyle name="Check Cell 11 2 3 5 2" xfId="5786" xr:uid="{CAF5E76F-A753-4BA1-A210-F170235B1EFE}"/>
    <cellStyle name="Check Cell 11 2 3 5 2 2" xfId="5787" xr:uid="{2BA64B89-5495-4AFE-9DCE-CCFFE132ACD3}"/>
    <cellStyle name="Check Cell 11 2 3 5 3" xfId="5788" xr:uid="{F3C0561F-64F0-40DB-A763-2E2B95143CE9}"/>
    <cellStyle name="Check Cell 11 2 3 6" xfId="5789" xr:uid="{E8849244-5DF0-429F-88E4-CEA7D0482657}"/>
    <cellStyle name="Check Cell 11 2 3 6 2" xfId="5790" xr:uid="{A1416F95-BB75-4FE6-A0F0-1B342CE924B0}"/>
    <cellStyle name="Check Cell 11 2 3 6 2 2" xfId="5791" xr:uid="{1CC12136-002F-4BCF-8331-4BB5410CBFC4}"/>
    <cellStyle name="Check Cell 11 2 3 6 3" xfId="5792" xr:uid="{48F355C2-5628-419E-BC59-6675D6BF230A}"/>
    <cellStyle name="Check Cell 11 2 3 7" xfId="5793" xr:uid="{CAFF7738-6790-4C49-AF1F-1B9253FC6D33}"/>
    <cellStyle name="Check Cell 11 2 3 7 2" xfId="5794" xr:uid="{C792CB1B-A075-43F7-B626-DD8DEA4A43E5}"/>
    <cellStyle name="Check Cell 11 2 3 7 2 2" xfId="5795" xr:uid="{252AAFAD-DE2A-40AF-822D-23CEC2B5D30E}"/>
    <cellStyle name="Check Cell 11 2 3 7 3" xfId="5796" xr:uid="{91FB1ABB-3C37-48D3-8C96-11B23126A9F7}"/>
    <cellStyle name="Check Cell 11 2 3 8" xfId="5797" xr:uid="{31A507FC-764C-4681-BA2B-EE963E01FFEE}"/>
    <cellStyle name="Check Cell 11 2 3 8 2" xfId="5798" xr:uid="{9530EFE4-C0D7-4E49-953A-481EAF5D58A5}"/>
    <cellStyle name="Check Cell 11 2 3 8 2 2" xfId="5799" xr:uid="{B4889DCF-3068-4F08-A313-7E86C7B6075D}"/>
    <cellStyle name="Check Cell 11 2 3 8 3" xfId="5800" xr:uid="{A7280B7F-D451-49F8-982B-0231A0A4C283}"/>
    <cellStyle name="Check Cell 11 2 3 9" xfId="5801" xr:uid="{EFC4E5C8-B55A-40FC-8C80-FF8DB2D39D41}"/>
    <cellStyle name="Check Cell 11 2 3 9 2" xfId="5802" xr:uid="{4D4B1CFA-B75A-4653-A39F-8C4222BF1566}"/>
    <cellStyle name="Check Cell 11 2 3 9 2 2" xfId="5803" xr:uid="{47776F2B-0BC0-4BED-937B-F42AF409F2EB}"/>
    <cellStyle name="Check Cell 11 2 3 9 3" xfId="5804" xr:uid="{EDC0EBB6-5DF1-40C6-98EC-B42482EB4C06}"/>
    <cellStyle name="Check Cell 11 2 4" xfId="5805" xr:uid="{590E7979-A0CD-4BEF-AD06-3011A8F82E7F}"/>
    <cellStyle name="Check Cell 11 2 4 2" xfId="5806" xr:uid="{F84984DC-A3E3-4D15-9D1C-1AE8173B6649}"/>
    <cellStyle name="Check Cell 11 2 4 2 2" xfId="5807" xr:uid="{29D699AC-F823-4AAE-AA86-024D6E6428C0}"/>
    <cellStyle name="Check Cell 11 2 4 2 2 2" xfId="5808" xr:uid="{DECD2007-747F-4080-B25C-0563121C03DC}"/>
    <cellStyle name="Check Cell 11 2 4 2 3" xfId="5809" xr:uid="{F1DE5B3A-27E3-4EB6-95C2-434EF8D98E82}"/>
    <cellStyle name="Check Cell 11 2 4 3" xfId="5810" xr:uid="{F57298A7-89B8-45BD-B842-7FE511728A84}"/>
    <cellStyle name="Check Cell 11 2 4 3 2" xfId="5811" xr:uid="{022C90E9-87C0-4B1F-847C-C8322505771A}"/>
    <cellStyle name="Check Cell 11 2 4 3 2 2" xfId="5812" xr:uid="{7A0DB00C-F75D-48C9-8148-FD5FF407C59A}"/>
    <cellStyle name="Check Cell 11 2 4 3 3" xfId="5813" xr:uid="{9BBDDA0A-9878-41B6-90B0-4205E5D1FB67}"/>
    <cellStyle name="Check Cell 11 2 4 4" xfId="5814" xr:uid="{6E1D432F-DCB7-45C1-BBA1-D36765FDFFE4}"/>
    <cellStyle name="Check Cell 11 2 4 4 2" xfId="5815" xr:uid="{B7071D14-CB49-4A57-926D-C52FEC919DDC}"/>
    <cellStyle name="Check Cell 11 2 4 4 2 2" xfId="5816" xr:uid="{0EAB81B0-BE55-4AEB-8EF4-F63E6B31F853}"/>
    <cellStyle name="Check Cell 11 2 4 4 3" xfId="5817" xr:uid="{558ADE75-23B4-4886-9929-63ADD0B491D0}"/>
    <cellStyle name="Check Cell 11 2 4 5" xfId="5818" xr:uid="{3A085179-BEF6-485E-84F5-1C9257D3B0A8}"/>
    <cellStyle name="Check Cell 11 2 4 5 2" xfId="5819" xr:uid="{72E2B4D4-E626-4FF8-AFA2-2217C5C1B92B}"/>
    <cellStyle name="Check Cell 11 2 4 5 2 2" xfId="5820" xr:uid="{556D6018-854D-48E8-97BA-6707A015C7E3}"/>
    <cellStyle name="Check Cell 11 2 4 5 3" xfId="5821" xr:uid="{CF503AD3-2C80-4FE9-BFAB-93615D4D90C2}"/>
    <cellStyle name="Check Cell 11 2 4 6" xfId="5822" xr:uid="{D9C60AA4-681F-44EB-92E9-148895FCEF40}"/>
    <cellStyle name="Check Cell 11 2 4 6 2" xfId="5823" xr:uid="{B2CBEAA6-FCB1-4ED4-BC20-4E27B44A43CC}"/>
    <cellStyle name="Check Cell 11 2 4 6 2 2" xfId="5824" xr:uid="{BE8F45AC-695D-450D-B26A-B0278A74E38C}"/>
    <cellStyle name="Check Cell 11 2 4 6 3" xfId="5825" xr:uid="{4A6D296B-A425-4E8C-897F-91AA533A900E}"/>
    <cellStyle name="Check Cell 11 2 4 7" xfId="5826" xr:uid="{8A6664BC-FEDB-4614-8ECE-77B97B308177}"/>
    <cellStyle name="Check Cell 11 2 4 7 2" xfId="5827" xr:uid="{74A9E83F-EA20-4FB0-A8E8-9099856BBC55}"/>
    <cellStyle name="Check Cell 11 2 4 7 2 2" xfId="5828" xr:uid="{4C9D05BB-18C3-4F54-B401-A0F13366C1CE}"/>
    <cellStyle name="Check Cell 11 2 4 7 3" xfId="5829" xr:uid="{8050B1E4-7DC4-4CFA-A77C-4B6E1563F11B}"/>
    <cellStyle name="Check Cell 11 2 4 8" xfId="5830" xr:uid="{EC80BC19-D45A-4600-8EFA-25242B3E15AC}"/>
    <cellStyle name="Check Cell 11 2 4 8 2" xfId="5831" xr:uid="{863E5A48-B1B9-4785-A316-E1B0CC141DFC}"/>
    <cellStyle name="Check Cell 11 2 4 8 2 2" xfId="5832" xr:uid="{2C4EA2DF-3002-472E-857B-678A869740B4}"/>
    <cellStyle name="Check Cell 11 2 4 8 3" xfId="5833" xr:uid="{C21D8A00-889C-4138-A1AE-FC7497B1C846}"/>
    <cellStyle name="Check Cell 11 2 4 9" xfId="5834" xr:uid="{D19019E5-CC99-4BDC-BD9F-F6EF47A3C967}"/>
    <cellStyle name="Check Cell 11 2 4 9 2" xfId="5835" xr:uid="{458417DB-95CB-46E5-A7C9-A4B1A1729A71}"/>
    <cellStyle name="Check Cell 11 2 4 9 2 2" xfId="5836" xr:uid="{7FFAB615-1004-4707-B162-2CF6B78F35A7}"/>
    <cellStyle name="Check Cell 11 2 4 9 3" xfId="5837" xr:uid="{EB39A4CE-8D94-4D6C-A33A-1A7EFF631AEA}"/>
    <cellStyle name="Check Cell 11 2 5" xfId="5838" xr:uid="{25CA9238-21FC-4635-9029-F60074C0CD7A}"/>
    <cellStyle name="Check Cell 11 2 5 2" xfId="5839" xr:uid="{AD23C66D-B183-4CFE-97FE-B279021DDF6E}"/>
    <cellStyle name="Check Cell 11 2 5 2 2" xfId="5840" xr:uid="{E4684836-6DFB-47E8-A647-4747F0EB8769}"/>
    <cellStyle name="Check Cell 11 2 5 2 2 2" xfId="5841" xr:uid="{E7552EE6-7967-42E4-9BE0-0FD5A2185E77}"/>
    <cellStyle name="Check Cell 11 2 5 2 3" xfId="5842" xr:uid="{53D7F117-EB8D-44DF-8FD4-08900CD0EC38}"/>
    <cellStyle name="Check Cell 11 2 5 3" xfId="5843" xr:uid="{72CDC545-27D7-4F87-A31D-ACFE7B44D164}"/>
    <cellStyle name="Check Cell 11 2 5 3 2" xfId="5844" xr:uid="{D6AF11C6-E17D-4737-B11B-1F07FD64BA3E}"/>
    <cellStyle name="Check Cell 11 2 5 3 2 2" xfId="5845" xr:uid="{2EDD6B8D-5F83-4CB3-9BD5-A8A9B5CBD804}"/>
    <cellStyle name="Check Cell 11 2 5 3 3" xfId="5846" xr:uid="{30C4D6F8-C7DB-4C7E-BC47-77AF08494793}"/>
    <cellStyle name="Check Cell 11 2 5 4" xfId="5847" xr:uid="{96240C7B-E5BB-45A7-BCE3-001A63F603C1}"/>
    <cellStyle name="Check Cell 11 2 5 4 2" xfId="5848" xr:uid="{41551144-8DAE-42A8-857C-2E5B2E1B90A2}"/>
    <cellStyle name="Check Cell 11 2 5 4 2 2" xfId="5849" xr:uid="{85D5E483-100B-4919-9E0A-4B7EAABD8886}"/>
    <cellStyle name="Check Cell 11 2 5 4 3" xfId="5850" xr:uid="{C9117A44-DC57-4C81-874C-FE1376250856}"/>
    <cellStyle name="Check Cell 11 2 5 5" xfId="5851" xr:uid="{B4F88B9A-A88B-4727-B59D-69C7AA94CF8A}"/>
    <cellStyle name="Check Cell 11 2 5 5 2" xfId="5852" xr:uid="{2F2F9C18-4CFB-491A-97E9-CF843908C078}"/>
    <cellStyle name="Check Cell 11 2 5 5 2 2" xfId="5853" xr:uid="{5D1FBA09-27A0-4CC2-85A9-65EBE679F1BD}"/>
    <cellStyle name="Check Cell 11 2 5 5 3" xfId="5854" xr:uid="{A044A71A-AD71-4A79-850A-F100B1684C36}"/>
    <cellStyle name="Check Cell 11 2 5 6" xfId="5855" xr:uid="{6CEB949C-7E74-4CF2-A2B5-EF8EF9A09619}"/>
    <cellStyle name="Check Cell 11 2 5 6 2" xfId="5856" xr:uid="{2AE9D61D-4836-4188-9472-9114597FB767}"/>
    <cellStyle name="Check Cell 11 2 5 6 2 2" xfId="5857" xr:uid="{AB686503-4FC3-4D70-8C35-8D80EC55B0DB}"/>
    <cellStyle name="Check Cell 11 2 5 6 3" xfId="5858" xr:uid="{EA177BB3-27C5-4439-A466-80C9A5360275}"/>
    <cellStyle name="Check Cell 11 2 5 7" xfId="5859" xr:uid="{64DE0A52-3980-4982-A3D5-590C69D4068B}"/>
    <cellStyle name="Check Cell 11 2 5 7 2" xfId="5860" xr:uid="{C9259801-ED93-4A7B-B2D0-6F9E962CF0B4}"/>
    <cellStyle name="Check Cell 11 2 5 7 2 2" xfId="5861" xr:uid="{7D8A5B1C-E3DA-40A6-ABEC-855BDAD4AE29}"/>
    <cellStyle name="Check Cell 11 2 5 7 3" xfId="5862" xr:uid="{FFE43065-EFBC-467C-A944-259227FA6650}"/>
    <cellStyle name="Check Cell 11 2 5 8" xfId="5863" xr:uid="{BED1977D-CD46-4EE4-ACB6-5CD7DCB2480D}"/>
    <cellStyle name="Check Cell 11 2 5 8 2" xfId="5864" xr:uid="{AD1BFFF1-813E-49FA-A0A0-E8F8281AFB18}"/>
    <cellStyle name="Check Cell 11 2 5 8 2 2" xfId="5865" xr:uid="{EC833AB4-22DC-47F2-B62E-E9C0ED1F7254}"/>
    <cellStyle name="Check Cell 11 2 5 8 3" xfId="5866" xr:uid="{AB03DE71-2E52-49FF-916F-2C6DA8934B19}"/>
    <cellStyle name="Check Cell 11 2 5 9" xfId="5867" xr:uid="{E154C792-0AE5-429F-8B18-3A86494C3629}"/>
    <cellStyle name="Check Cell 11 2 5 9 2" xfId="5868" xr:uid="{DF4B61C6-66B5-46F5-9F37-B6080ADF32D7}"/>
    <cellStyle name="Check Cell 11 2 5 9 2 2" xfId="5869" xr:uid="{DD877C4C-9DB8-48A2-A436-4141883F42EB}"/>
    <cellStyle name="Check Cell 11 2 5 9 3" xfId="5870" xr:uid="{EACF191B-CE5D-45BD-95D7-F7975E951C06}"/>
    <cellStyle name="Check Cell 11 2 6" xfId="5871" xr:uid="{9A3E2D70-A413-410F-8D34-72B68590B615}"/>
    <cellStyle name="Check Cell 11 2 6 2" xfId="5872" xr:uid="{55A12E39-5EF5-4616-8525-DBCA6BED5DA8}"/>
    <cellStyle name="Check Cell 11 2 6 2 2" xfId="5873" xr:uid="{976E8F96-DD68-4419-A225-23145DAED420}"/>
    <cellStyle name="Check Cell 11 2 6 3" xfId="5874" xr:uid="{17E18689-14FB-4764-9CC1-B5D9CD767EA7}"/>
    <cellStyle name="Check Cell 11 2 7" xfId="5875" xr:uid="{FDC10FD0-4B78-453A-85BF-48EB57D20331}"/>
    <cellStyle name="Check Cell 11 2 7 2" xfId="5876" xr:uid="{F0BC6F43-EFD7-4974-8187-D1EDD2962E6D}"/>
    <cellStyle name="Check Cell 11 2 7 2 2" xfId="5877" xr:uid="{ACD1C395-D63E-4898-9C66-2F9EB6D35542}"/>
    <cellStyle name="Check Cell 11 2 7 3" xfId="5878" xr:uid="{4BC85D7A-01DC-48A3-9A73-FC2CE86575A8}"/>
    <cellStyle name="Check Cell 11 2 8" xfId="5879" xr:uid="{50C45F40-6CA2-4ABC-8429-5088F95ED7B8}"/>
    <cellStyle name="Check Cell 11 2 8 2" xfId="5880" xr:uid="{8F8E5CDF-0788-4143-BC11-0BD72D8986DB}"/>
    <cellStyle name="Check Cell 11 2 8 2 2" xfId="5881" xr:uid="{69616BD5-57B6-4D71-9A92-EF2E4AE32B72}"/>
    <cellStyle name="Check Cell 11 2 8 3" xfId="5882" xr:uid="{F47F6C30-63F1-4D92-986D-73FAA971D9CF}"/>
    <cellStyle name="Check Cell 11 2 9" xfId="5883" xr:uid="{B1AB0F31-BF94-464E-A205-3D12BCEAF95F}"/>
    <cellStyle name="Check Cell 11 2 9 2" xfId="5884" xr:uid="{976DBDFF-9A61-4BA6-92E3-CB0A83D55E9F}"/>
    <cellStyle name="Check Cell 11 2 9 2 2" xfId="5885" xr:uid="{F8603574-DF08-4918-BD29-E00DB229DDE4}"/>
    <cellStyle name="Check Cell 11 2 9 3" xfId="5886" xr:uid="{7FB9E9B9-ABC7-414E-B15C-0DD7811F2CD7}"/>
    <cellStyle name="Check Cell 11 3" xfId="5887" xr:uid="{76617DEC-816A-4C0A-8F88-61858DCC0577}"/>
    <cellStyle name="Check Cell 11 3 2" xfId="5888" xr:uid="{A5D3E2CB-C445-4212-8AA8-CE861617E57E}"/>
    <cellStyle name="Check Cell 11 3 2 2" xfId="5889" xr:uid="{DDC040BE-656D-450B-8E1B-D8E71D483A24}"/>
    <cellStyle name="Check Cell 11 3 3" xfId="5890" xr:uid="{6E0BF19B-EC6B-4D01-8DEF-4BFCABF0377B}"/>
    <cellStyle name="Check Cell 11 4" xfId="5891" xr:uid="{AD2D227F-ECB3-403D-A87D-37DCC3D81B39}"/>
    <cellStyle name="Check Cell 11 4 2" xfId="5892" xr:uid="{F982E7D4-BFB5-4257-A37E-9B9A890A4E53}"/>
    <cellStyle name="Check Cell 12" xfId="5893" xr:uid="{D905032A-5C46-4693-B21D-C33C5E26930D}"/>
    <cellStyle name="Check Cell 12 2" xfId="5894" xr:uid="{7E031127-CAE3-4118-982D-D568E5FB5E86}"/>
    <cellStyle name="Check Cell 12 2 10" xfId="5895" xr:uid="{678E6C76-274A-4DF2-87DA-73808531F499}"/>
    <cellStyle name="Check Cell 12 2 10 2" xfId="5896" xr:uid="{9520F156-0FFC-4357-9763-C64D587F0715}"/>
    <cellStyle name="Check Cell 12 2 10 2 2" xfId="5897" xr:uid="{93B73BB8-7BB4-4D89-8723-72EFFCC4DC2B}"/>
    <cellStyle name="Check Cell 12 2 10 3" xfId="5898" xr:uid="{F9921696-B2E7-489D-8FC2-C9A67C05BEC5}"/>
    <cellStyle name="Check Cell 12 2 11" xfId="5899" xr:uid="{AD41DF1F-CDE5-4F8B-9619-E702B534D9F9}"/>
    <cellStyle name="Check Cell 12 2 11 2" xfId="5900" xr:uid="{9504AB17-C344-4B73-A33F-88DAFF7FF342}"/>
    <cellStyle name="Check Cell 12 2 11 2 2" xfId="5901" xr:uid="{04A3C849-41EB-4C46-AF56-2665AA731217}"/>
    <cellStyle name="Check Cell 12 2 11 3" xfId="5902" xr:uid="{A4B26099-35AE-46AE-BD90-D6C8D2949C24}"/>
    <cellStyle name="Check Cell 12 2 12" xfId="5903" xr:uid="{C7EDA7F8-0825-4087-AF14-CF99BB95C3DC}"/>
    <cellStyle name="Check Cell 12 2 12 2" xfId="5904" xr:uid="{CFE09898-9683-441D-ABF9-375A47B710E3}"/>
    <cellStyle name="Check Cell 12 2 12 2 2" xfId="5905" xr:uid="{288D04E0-1E31-44F6-8E58-93C1990F9E14}"/>
    <cellStyle name="Check Cell 12 2 12 3" xfId="5906" xr:uid="{CEAE7BFF-6554-42AD-BEF4-0AE9EF31462E}"/>
    <cellStyle name="Check Cell 12 2 13" xfId="5907" xr:uid="{1CC8806A-24ED-42F5-B70C-31532BA6F31E}"/>
    <cellStyle name="Check Cell 12 2 13 2" xfId="5908" xr:uid="{67F085EE-F381-4E8E-8522-8F27448E1869}"/>
    <cellStyle name="Check Cell 12 2 13 2 2" xfId="5909" xr:uid="{5DE31C9E-F52B-4FF1-A776-807A47EA4CA6}"/>
    <cellStyle name="Check Cell 12 2 13 3" xfId="5910" xr:uid="{50D50EC6-5F01-4CE4-9F23-CBF521F9B329}"/>
    <cellStyle name="Check Cell 12 2 2" xfId="5911" xr:uid="{DE452EFD-DA79-4D89-9DC7-1407BC0E747B}"/>
    <cellStyle name="Check Cell 12 2 2 2" xfId="5912" xr:uid="{2AB89F74-0465-4C46-B7EF-24ED4205A240}"/>
    <cellStyle name="Check Cell 12 2 2 2 2" xfId="5913" xr:uid="{D0DF041A-EFC2-4534-8076-E53DA23EF2A0}"/>
    <cellStyle name="Check Cell 12 2 2 2 2 2" xfId="5914" xr:uid="{4F9CA92A-CF3A-49EB-8FFA-44F19DDDE014}"/>
    <cellStyle name="Check Cell 12 2 2 2 3" xfId="5915" xr:uid="{DA0FEEA0-5280-474D-B3BC-616D139C7A24}"/>
    <cellStyle name="Check Cell 12 2 2 3" xfId="5916" xr:uid="{07EEFBA9-2EEA-4245-9D2F-4F6DA0A4BDED}"/>
    <cellStyle name="Check Cell 12 2 2 3 2" xfId="5917" xr:uid="{AF7DE425-0BF7-4BA5-AC92-AFA58C3B6775}"/>
    <cellStyle name="Check Cell 12 2 2 3 2 2" xfId="5918" xr:uid="{EB65B99B-7C97-4475-9A9E-B089905D4A55}"/>
    <cellStyle name="Check Cell 12 2 2 3 3" xfId="5919" xr:uid="{52371039-5F5A-4C8D-81BD-B1A2E60F5624}"/>
    <cellStyle name="Check Cell 12 2 2 4" xfId="5920" xr:uid="{000736DD-B78E-4B00-8084-4E748ED946E4}"/>
    <cellStyle name="Check Cell 12 2 2 4 2" xfId="5921" xr:uid="{C118C99A-807E-4506-8994-0ECF7533A876}"/>
    <cellStyle name="Check Cell 12 2 2 4 2 2" xfId="5922" xr:uid="{476686B4-12D4-4239-B5B3-B577332A9477}"/>
    <cellStyle name="Check Cell 12 2 2 4 3" xfId="5923" xr:uid="{8A5D26E4-87F0-4BB6-AE17-036DF19B0BF2}"/>
    <cellStyle name="Check Cell 12 2 2 5" xfId="5924" xr:uid="{AFF04C3F-9D81-48C6-AB6D-9BFBFEF61C70}"/>
    <cellStyle name="Check Cell 12 2 2 5 2" xfId="5925" xr:uid="{99225347-20B6-4E2D-9DA1-7C48C46507B0}"/>
    <cellStyle name="Check Cell 12 2 2 5 2 2" xfId="5926" xr:uid="{1A4EDEAF-806C-439E-AFEA-3AA3381C28B1}"/>
    <cellStyle name="Check Cell 12 2 2 5 3" xfId="5927" xr:uid="{E1F579CA-7521-48DC-AEA2-02D07044E6C9}"/>
    <cellStyle name="Check Cell 12 2 2 6" xfId="5928" xr:uid="{72872F8C-BF95-45FD-B99E-A5C9EBC7B198}"/>
    <cellStyle name="Check Cell 12 2 2 6 2" xfId="5929" xr:uid="{DCBD283D-DFE8-4047-92D0-D67A53A93C22}"/>
    <cellStyle name="Check Cell 12 2 2 6 2 2" xfId="5930" xr:uid="{6B2ACB0F-5F1F-486B-A421-9121BB0CA1B5}"/>
    <cellStyle name="Check Cell 12 2 2 6 3" xfId="5931" xr:uid="{1D610BEF-EB7B-40A9-9C1B-62024CDB6378}"/>
    <cellStyle name="Check Cell 12 2 2 7" xfId="5932" xr:uid="{0D388AE8-3F29-433D-8FB6-9B8047970E2B}"/>
    <cellStyle name="Check Cell 12 2 2 7 2" xfId="5933" xr:uid="{6480B4CB-419F-42FD-B551-7B6987966899}"/>
    <cellStyle name="Check Cell 12 2 2 7 2 2" xfId="5934" xr:uid="{9EB70B4E-F1BA-4B8B-84D5-C0AAAADE4F65}"/>
    <cellStyle name="Check Cell 12 2 2 7 3" xfId="5935" xr:uid="{780FCB3B-0BCC-4EDA-8D5F-1A689EA5B5C1}"/>
    <cellStyle name="Check Cell 12 2 2 8" xfId="5936" xr:uid="{EC5076A6-FB58-4E74-924A-38911BC02F8F}"/>
    <cellStyle name="Check Cell 12 2 2 8 2" xfId="5937" xr:uid="{672EB4AB-B27F-40AC-8F30-E70704D09E92}"/>
    <cellStyle name="Check Cell 12 2 2 8 2 2" xfId="5938" xr:uid="{6971CAE7-3410-4947-9D26-EE4038797A98}"/>
    <cellStyle name="Check Cell 12 2 2 8 3" xfId="5939" xr:uid="{08D7BF4A-451D-4F9B-B80A-372324F03244}"/>
    <cellStyle name="Check Cell 12 2 2 9" xfId="5940" xr:uid="{D93577AF-4A96-486B-819B-8BBEB851B618}"/>
    <cellStyle name="Check Cell 12 2 2 9 2" xfId="5941" xr:uid="{79B9D030-5172-469A-B56C-3099CDB9ABF0}"/>
    <cellStyle name="Check Cell 12 2 2 9 2 2" xfId="5942" xr:uid="{6F3E66E5-A7C6-44DA-97D3-C0EDF6CCD3DA}"/>
    <cellStyle name="Check Cell 12 2 2 9 3" xfId="5943" xr:uid="{73283AA1-BA3A-4B90-83B2-F3256AB803BB}"/>
    <cellStyle name="Check Cell 12 2 3" xfId="5944" xr:uid="{48463E33-04C1-40A3-A0D6-21ABBDD0A62D}"/>
    <cellStyle name="Check Cell 12 2 3 2" xfId="5945" xr:uid="{615BBC97-578A-450A-8332-0B912ADB01F5}"/>
    <cellStyle name="Check Cell 12 2 3 2 2" xfId="5946" xr:uid="{25A8CCF3-F6A7-4F5E-A1DE-CC71FC10D544}"/>
    <cellStyle name="Check Cell 12 2 3 2 2 2" xfId="5947" xr:uid="{8CA06906-1B31-4E67-A620-90399C4CF1D2}"/>
    <cellStyle name="Check Cell 12 2 3 2 3" xfId="5948" xr:uid="{48A859F7-145C-4066-B991-5FF17FDCF4B4}"/>
    <cellStyle name="Check Cell 12 2 3 3" xfId="5949" xr:uid="{0B27A5E9-5963-418B-8257-D7184E6D5508}"/>
    <cellStyle name="Check Cell 12 2 3 3 2" xfId="5950" xr:uid="{8E743F9A-8E38-4945-8080-EF703EC2E29A}"/>
    <cellStyle name="Check Cell 12 2 3 3 2 2" xfId="5951" xr:uid="{114EB4AF-F883-46CB-A0CB-CDA14759374E}"/>
    <cellStyle name="Check Cell 12 2 3 3 3" xfId="5952" xr:uid="{D50AAF23-DAD9-4AB5-A076-95A54629AA71}"/>
    <cellStyle name="Check Cell 12 2 3 4" xfId="5953" xr:uid="{FFB5883D-E73D-4F46-BEE6-4B4CE67CF14E}"/>
    <cellStyle name="Check Cell 12 2 3 4 2" xfId="5954" xr:uid="{03EFEDB5-1162-418E-8B70-9E559FA2F5F6}"/>
    <cellStyle name="Check Cell 12 2 3 4 2 2" xfId="5955" xr:uid="{0D45D83D-2CAF-41F2-A022-206E3B662DDF}"/>
    <cellStyle name="Check Cell 12 2 3 4 3" xfId="5956" xr:uid="{97DE60B3-1E01-4E5E-A168-67ADA9EE2336}"/>
    <cellStyle name="Check Cell 12 2 3 5" xfId="5957" xr:uid="{6941ADF0-7D8B-4800-9B65-39FE259DAD5A}"/>
    <cellStyle name="Check Cell 12 2 3 5 2" xfId="5958" xr:uid="{31B091F1-25AA-4B27-B1A1-DEF2CE0C2535}"/>
    <cellStyle name="Check Cell 12 2 3 5 2 2" xfId="5959" xr:uid="{818BDAC8-50AF-4004-9E11-6B55A4682F0C}"/>
    <cellStyle name="Check Cell 12 2 3 5 3" xfId="5960" xr:uid="{1FFD0251-0BE6-4968-A5E1-7DF54AAB420E}"/>
    <cellStyle name="Check Cell 12 2 3 6" xfId="5961" xr:uid="{7430471A-6152-4F9E-B842-14538D3E9DFA}"/>
    <cellStyle name="Check Cell 12 2 3 6 2" xfId="5962" xr:uid="{10168281-B380-427C-B9CD-A3C4E2F8DF7E}"/>
    <cellStyle name="Check Cell 12 2 3 6 2 2" xfId="5963" xr:uid="{027281E6-B349-43B4-B4CD-E8EAE963E5DD}"/>
    <cellStyle name="Check Cell 12 2 3 6 3" xfId="5964" xr:uid="{EFC090A5-7AC9-418B-AFF3-E8632052D652}"/>
    <cellStyle name="Check Cell 12 2 3 7" xfId="5965" xr:uid="{FD9C21A8-D824-4CCC-8A75-CEC117DB2C8A}"/>
    <cellStyle name="Check Cell 12 2 3 7 2" xfId="5966" xr:uid="{D84BD4BF-C137-40EB-A76C-734DE68F2CB4}"/>
    <cellStyle name="Check Cell 12 2 3 7 2 2" xfId="5967" xr:uid="{C5F2C88D-FD80-4544-B3B4-6FAC7ED12B9B}"/>
    <cellStyle name="Check Cell 12 2 3 7 3" xfId="5968" xr:uid="{B95F7EA0-4D3B-49C2-BA8F-6F6ADD86137C}"/>
    <cellStyle name="Check Cell 12 2 3 8" xfId="5969" xr:uid="{5534734F-044B-40F6-800F-E51422EE77CE}"/>
    <cellStyle name="Check Cell 12 2 3 8 2" xfId="5970" xr:uid="{5FE27C49-A780-444D-BA5F-3DB5A997F84A}"/>
    <cellStyle name="Check Cell 12 2 3 8 2 2" xfId="5971" xr:uid="{00030FFF-8693-4B76-B4CE-B4009D89EABB}"/>
    <cellStyle name="Check Cell 12 2 3 8 3" xfId="5972" xr:uid="{162D079A-E29A-4FA7-95E9-8465EF080455}"/>
    <cellStyle name="Check Cell 12 2 3 9" xfId="5973" xr:uid="{EFA095C4-E22B-4613-AD21-2EFBFEE8C986}"/>
    <cellStyle name="Check Cell 12 2 3 9 2" xfId="5974" xr:uid="{63CE9CC3-5F08-4A5E-9C5D-CB2ACB6A1A10}"/>
    <cellStyle name="Check Cell 12 2 3 9 2 2" xfId="5975" xr:uid="{60CB77FD-E3D3-4C81-BB35-A529853E8852}"/>
    <cellStyle name="Check Cell 12 2 3 9 3" xfId="5976" xr:uid="{31FC4A4C-FFEE-499B-BF9C-F9CB881A7444}"/>
    <cellStyle name="Check Cell 12 2 4" xfId="5977" xr:uid="{C1028268-E68A-4998-80F4-404A71FE75A5}"/>
    <cellStyle name="Check Cell 12 2 4 2" xfId="5978" xr:uid="{879F020B-71DF-4ED8-9348-F03F90E175EE}"/>
    <cellStyle name="Check Cell 12 2 4 2 2" xfId="5979" xr:uid="{C0680396-5F94-46E5-BE2C-B8EB2510F2E5}"/>
    <cellStyle name="Check Cell 12 2 4 2 2 2" xfId="5980" xr:uid="{2B46C35E-EA9E-4419-B2C7-2ED3850201B4}"/>
    <cellStyle name="Check Cell 12 2 4 2 3" xfId="5981" xr:uid="{566B1708-ED74-415A-B407-016D140503F1}"/>
    <cellStyle name="Check Cell 12 2 4 3" xfId="5982" xr:uid="{0A1EA373-3836-4ECE-85C4-15F2C632E3C4}"/>
    <cellStyle name="Check Cell 12 2 4 3 2" xfId="5983" xr:uid="{5FFDC742-6DCF-425D-A499-35A52FD6FC96}"/>
    <cellStyle name="Check Cell 12 2 4 3 2 2" xfId="5984" xr:uid="{87FB25F3-9630-4328-8FF3-0BB108C7D785}"/>
    <cellStyle name="Check Cell 12 2 4 3 3" xfId="5985" xr:uid="{5C1D776C-29C9-4383-BA72-840B68D723B8}"/>
    <cellStyle name="Check Cell 12 2 4 4" xfId="5986" xr:uid="{D01667DD-0E59-4B3C-BCF9-B18E47E7088E}"/>
    <cellStyle name="Check Cell 12 2 4 4 2" xfId="5987" xr:uid="{F1E7C44C-08A8-4C5F-9299-E374AF1C8A4C}"/>
    <cellStyle name="Check Cell 12 2 4 4 2 2" xfId="5988" xr:uid="{EA8C1114-63A4-41DB-BE32-99147C728017}"/>
    <cellStyle name="Check Cell 12 2 4 4 3" xfId="5989" xr:uid="{0B450532-2BD6-4FE8-ADF8-63AE61406A8C}"/>
    <cellStyle name="Check Cell 12 2 4 5" xfId="5990" xr:uid="{0B12004B-7866-4F9B-ACC9-8E17FA58E306}"/>
    <cellStyle name="Check Cell 12 2 4 5 2" xfId="5991" xr:uid="{8541DD34-E23E-4ADF-9532-F437D3EEEA65}"/>
    <cellStyle name="Check Cell 12 2 4 5 2 2" xfId="5992" xr:uid="{B037CAC5-0670-4190-8C41-5560349E5779}"/>
    <cellStyle name="Check Cell 12 2 4 5 3" xfId="5993" xr:uid="{A1115622-C146-4F02-B109-ED475C10CCD7}"/>
    <cellStyle name="Check Cell 12 2 4 6" xfId="5994" xr:uid="{39065235-2CA8-44E9-8E11-93B68061763D}"/>
    <cellStyle name="Check Cell 12 2 4 6 2" xfId="5995" xr:uid="{54817280-F4BB-42C0-9426-B723F7E746AD}"/>
    <cellStyle name="Check Cell 12 2 4 6 2 2" xfId="5996" xr:uid="{010B126C-388B-4C2E-96CF-438FB87E8F34}"/>
    <cellStyle name="Check Cell 12 2 4 6 3" xfId="5997" xr:uid="{6AE45057-9522-4F3F-8194-8D626FE7C10B}"/>
    <cellStyle name="Check Cell 12 2 4 7" xfId="5998" xr:uid="{9F14E495-1BF2-42F8-9CB5-DAB88767C32A}"/>
    <cellStyle name="Check Cell 12 2 4 7 2" xfId="5999" xr:uid="{22B64595-3ADC-47D4-9422-F6AB15187751}"/>
    <cellStyle name="Check Cell 12 2 4 7 2 2" xfId="6000" xr:uid="{9F54B2EC-CED9-4510-AB17-A6B3554C209E}"/>
    <cellStyle name="Check Cell 12 2 4 7 3" xfId="6001" xr:uid="{D1485BE4-E232-4908-AEFF-DCBF846C2312}"/>
    <cellStyle name="Check Cell 12 2 4 8" xfId="6002" xr:uid="{563EDFB4-D225-405B-8262-ABEB3217081D}"/>
    <cellStyle name="Check Cell 12 2 4 8 2" xfId="6003" xr:uid="{A57AC958-0318-4724-AFE4-9902F9CE2CA4}"/>
    <cellStyle name="Check Cell 12 2 4 8 2 2" xfId="6004" xr:uid="{BF6338B5-5B67-4CCA-A02E-ADD7F0E5353D}"/>
    <cellStyle name="Check Cell 12 2 4 8 3" xfId="6005" xr:uid="{992727B1-FCE0-4ECF-B761-070BC8C192A9}"/>
    <cellStyle name="Check Cell 12 2 4 9" xfId="6006" xr:uid="{E1A2B67E-6F09-4C95-9A07-59A0BF47F241}"/>
    <cellStyle name="Check Cell 12 2 4 9 2" xfId="6007" xr:uid="{7CA82C21-FC2C-4B31-B922-6BB93A86A5A5}"/>
    <cellStyle name="Check Cell 12 2 4 9 2 2" xfId="6008" xr:uid="{EA12A442-6349-4FB5-B80F-11023D3021D5}"/>
    <cellStyle name="Check Cell 12 2 4 9 3" xfId="6009" xr:uid="{3180C5DF-E137-42FB-89A6-D77263F0E45E}"/>
    <cellStyle name="Check Cell 12 2 5" xfId="6010" xr:uid="{AB11FCFD-AD0B-4735-B9CD-250DF14069EC}"/>
    <cellStyle name="Check Cell 12 2 5 2" xfId="6011" xr:uid="{867CE1BF-1890-4916-9237-872788FF90C3}"/>
    <cellStyle name="Check Cell 12 2 5 2 2" xfId="6012" xr:uid="{96BF7F5F-1F21-4569-95BE-14A0D4ECD552}"/>
    <cellStyle name="Check Cell 12 2 5 2 2 2" xfId="6013" xr:uid="{6DCF62B0-9972-41F6-9D2A-E5ECBB12D559}"/>
    <cellStyle name="Check Cell 12 2 5 2 3" xfId="6014" xr:uid="{EFCCE6E4-79B8-4842-B64E-3128DC405E18}"/>
    <cellStyle name="Check Cell 12 2 5 3" xfId="6015" xr:uid="{0B339E46-DF07-462F-BB03-7BEAB8809985}"/>
    <cellStyle name="Check Cell 12 2 5 3 2" xfId="6016" xr:uid="{48030E83-2053-4B5C-835C-798D2111D057}"/>
    <cellStyle name="Check Cell 12 2 5 3 2 2" xfId="6017" xr:uid="{77FDBD2C-1A69-4E7A-A479-A09A84B5F83E}"/>
    <cellStyle name="Check Cell 12 2 5 3 3" xfId="6018" xr:uid="{F1CE4233-38A1-46C0-93D5-D8A3AC3D5DB0}"/>
    <cellStyle name="Check Cell 12 2 5 4" xfId="6019" xr:uid="{22776E18-671A-4BFD-92E6-92156DD09274}"/>
    <cellStyle name="Check Cell 12 2 5 4 2" xfId="6020" xr:uid="{2E48F7B2-E35B-4753-AB08-2D5D15A99EB3}"/>
    <cellStyle name="Check Cell 12 2 5 4 2 2" xfId="6021" xr:uid="{2DF5F0A6-671E-40DB-BE0F-BF9AF20DE7A1}"/>
    <cellStyle name="Check Cell 12 2 5 4 3" xfId="6022" xr:uid="{A5B2DA38-17D3-459D-8D49-088ADF233D88}"/>
    <cellStyle name="Check Cell 12 2 5 5" xfId="6023" xr:uid="{E9691E2B-4B20-47E0-B76E-ADCA551F5FE4}"/>
    <cellStyle name="Check Cell 12 2 5 5 2" xfId="6024" xr:uid="{B564D681-F6BC-49BA-AAB1-FA237ED4284D}"/>
    <cellStyle name="Check Cell 12 2 5 5 2 2" xfId="6025" xr:uid="{43FCA0FF-EF94-4EEB-8646-4C7F5FFCEFDC}"/>
    <cellStyle name="Check Cell 12 2 5 5 3" xfId="6026" xr:uid="{4B0A5587-FA6D-4BDE-BBFF-D543D045E7E7}"/>
    <cellStyle name="Check Cell 12 2 5 6" xfId="6027" xr:uid="{0CB22C3E-FDE0-4C70-8FBC-9F09B541C502}"/>
    <cellStyle name="Check Cell 12 2 5 6 2" xfId="6028" xr:uid="{4BDADD92-5F65-4452-8CF1-23F08CEA361C}"/>
    <cellStyle name="Check Cell 12 2 5 6 2 2" xfId="6029" xr:uid="{55B29441-59B1-4FDF-B07C-622D9285B714}"/>
    <cellStyle name="Check Cell 12 2 5 6 3" xfId="6030" xr:uid="{BB509AAA-EE87-49D7-B85F-6AFA71019720}"/>
    <cellStyle name="Check Cell 12 2 5 7" xfId="6031" xr:uid="{2F8E3D66-8B2F-4FF0-8AEB-419D5724E287}"/>
    <cellStyle name="Check Cell 12 2 5 7 2" xfId="6032" xr:uid="{FB882672-2F37-4816-9934-15EA59B97A1E}"/>
    <cellStyle name="Check Cell 12 2 5 7 2 2" xfId="6033" xr:uid="{787C982C-77DA-4CA7-820C-7953D1D4C26A}"/>
    <cellStyle name="Check Cell 12 2 5 7 3" xfId="6034" xr:uid="{77677ECF-9FC7-4E4F-A955-09C57731E1DB}"/>
    <cellStyle name="Check Cell 12 2 5 8" xfId="6035" xr:uid="{C975CEBB-3165-424F-8692-5AACC298A505}"/>
    <cellStyle name="Check Cell 12 2 5 8 2" xfId="6036" xr:uid="{5CE12CDE-E5EA-4625-BC67-F50AB393900E}"/>
    <cellStyle name="Check Cell 12 2 5 8 2 2" xfId="6037" xr:uid="{5428B942-E7A6-4D53-BE30-48ED9197187F}"/>
    <cellStyle name="Check Cell 12 2 5 8 3" xfId="6038" xr:uid="{701C8F59-1E57-44ED-8A4F-6CDB59C347D4}"/>
    <cellStyle name="Check Cell 12 2 5 9" xfId="6039" xr:uid="{DA6DD5C6-41AA-43B2-BD26-59A50E037819}"/>
    <cellStyle name="Check Cell 12 2 5 9 2" xfId="6040" xr:uid="{D0B33890-8058-474E-AB8C-93A0F85EC7A3}"/>
    <cellStyle name="Check Cell 12 2 5 9 2 2" xfId="6041" xr:uid="{C308580A-908C-44FC-B53A-DC52BEEFA809}"/>
    <cellStyle name="Check Cell 12 2 5 9 3" xfId="6042" xr:uid="{6111AF63-516D-4800-88C4-2ACA654B9869}"/>
    <cellStyle name="Check Cell 12 2 6" xfId="6043" xr:uid="{9EDFB240-B05F-4210-809F-9D94F19599E8}"/>
    <cellStyle name="Check Cell 12 2 6 2" xfId="6044" xr:uid="{83CD8676-0E1D-4F29-8F79-45F1A3233B8D}"/>
    <cellStyle name="Check Cell 12 2 6 2 2" xfId="6045" xr:uid="{59DA50D2-E64C-4DA9-82DE-F5C25D5F7E0E}"/>
    <cellStyle name="Check Cell 12 2 6 3" xfId="6046" xr:uid="{AD86D1B3-B3E6-43AB-9D6A-925D29D1EFE1}"/>
    <cellStyle name="Check Cell 12 2 7" xfId="6047" xr:uid="{9C08E20D-F01A-4F53-A6B1-B8614262BD90}"/>
    <cellStyle name="Check Cell 12 2 7 2" xfId="6048" xr:uid="{93F70E24-D183-4A02-BFA9-D6CA2963DF69}"/>
    <cellStyle name="Check Cell 12 2 7 2 2" xfId="6049" xr:uid="{5BA6BEBD-F7F6-4721-9420-316835D5B1D9}"/>
    <cellStyle name="Check Cell 12 2 7 3" xfId="6050" xr:uid="{372AC45F-77B6-4B2C-B3CC-A7F57872092C}"/>
    <cellStyle name="Check Cell 12 2 8" xfId="6051" xr:uid="{1177C932-85A9-43E1-A723-BCC11845A3B0}"/>
    <cellStyle name="Check Cell 12 2 8 2" xfId="6052" xr:uid="{D50654AB-DD6A-48A6-90C3-71ACEB2021EE}"/>
    <cellStyle name="Check Cell 12 2 8 2 2" xfId="6053" xr:uid="{5F8430F5-84AB-4002-B85A-2AAD889AA5D7}"/>
    <cellStyle name="Check Cell 12 2 8 3" xfId="6054" xr:uid="{D689A4BD-3BCC-443F-AF30-2909C078F111}"/>
    <cellStyle name="Check Cell 12 2 9" xfId="6055" xr:uid="{1723B20A-A7D9-41AD-ACB7-297F2FC87198}"/>
    <cellStyle name="Check Cell 12 2 9 2" xfId="6056" xr:uid="{47EA19B2-91DF-47DA-95F2-B09AC5241DEA}"/>
    <cellStyle name="Check Cell 12 2 9 2 2" xfId="6057" xr:uid="{2356378B-E671-405F-8AEB-47487B1A35D2}"/>
    <cellStyle name="Check Cell 12 2 9 3" xfId="6058" xr:uid="{75FAD7E1-9831-4ED7-9687-9F2E6D228CB9}"/>
    <cellStyle name="Check Cell 12 3" xfId="6059" xr:uid="{04C20F0E-D27C-4B0C-93F9-53BD0815DB41}"/>
    <cellStyle name="Check Cell 12 3 2" xfId="6060" xr:uid="{B996FE75-EAE8-4970-8CD7-67536C7B68ED}"/>
    <cellStyle name="Check Cell 12 3 2 2" xfId="6061" xr:uid="{644DF777-3CB7-4524-9670-2A30DFA76851}"/>
    <cellStyle name="Check Cell 12 3 3" xfId="6062" xr:uid="{1FF6B09E-62CE-4C52-BBD4-29A9B0FFBCB3}"/>
    <cellStyle name="Check Cell 12 4" xfId="6063" xr:uid="{F507D565-37D5-4D9B-8945-0D1EF1863F80}"/>
    <cellStyle name="Check Cell 12 4 2" xfId="6064" xr:uid="{8DA28B87-2BF1-4E54-AF2E-FA7E7E85E241}"/>
    <cellStyle name="Check Cell 13" xfId="6065" xr:uid="{6737B758-3C95-42AE-BA50-7E7FD779ED82}"/>
    <cellStyle name="Check Cell 13 2" xfId="6066" xr:uid="{5A5C8566-FEBE-4466-951E-AD7B4EAC2FE8}"/>
    <cellStyle name="Check Cell 13 2 10" xfId="6067" xr:uid="{16FADA96-ACFD-470C-B716-D00DD4FE3E29}"/>
    <cellStyle name="Check Cell 13 2 10 2" xfId="6068" xr:uid="{A4F15ED8-6FE5-48DB-B647-84246F7A9D5A}"/>
    <cellStyle name="Check Cell 13 2 10 2 2" xfId="6069" xr:uid="{5709CE2C-E41D-4506-B97D-545534E303A5}"/>
    <cellStyle name="Check Cell 13 2 10 3" xfId="6070" xr:uid="{38048267-6C8F-49C6-A057-57A157557090}"/>
    <cellStyle name="Check Cell 13 2 11" xfId="6071" xr:uid="{25F9635A-A4A5-438F-BB56-57220D7A5887}"/>
    <cellStyle name="Check Cell 13 2 11 2" xfId="6072" xr:uid="{F26AA845-DB13-4E53-81ED-60DD0DA5B7F6}"/>
    <cellStyle name="Check Cell 13 2 11 2 2" xfId="6073" xr:uid="{A010E2C7-BD72-402F-9EC6-515185E1D42B}"/>
    <cellStyle name="Check Cell 13 2 11 3" xfId="6074" xr:uid="{8A977C4F-4F2A-4999-A7DC-A56764D3EE6B}"/>
    <cellStyle name="Check Cell 13 2 12" xfId="6075" xr:uid="{68A93606-65EF-4161-9B3E-BDA8A241D53C}"/>
    <cellStyle name="Check Cell 13 2 12 2" xfId="6076" xr:uid="{DE77C8BA-8647-490A-98C4-28E2AF8CE23C}"/>
    <cellStyle name="Check Cell 13 2 12 2 2" xfId="6077" xr:uid="{B62CC621-13EC-4038-B583-19FB995FC716}"/>
    <cellStyle name="Check Cell 13 2 12 3" xfId="6078" xr:uid="{8F5C76AD-7816-4753-A4F0-191F941DE4AA}"/>
    <cellStyle name="Check Cell 13 2 13" xfId="6079" xr:uid="{84628A1A-9DEF-4D55-B590-8777C930FA0F}"/>
    <cellStyle name="Check Cell 13 2 13 2" xfId="6080" xr:uid="{62F20BA5-D14F-4436-BC2A-ABF68B5B7866}"/>
    <cellStyle name="Check Cell 13 2 13 2 2" xfId="6081" xr:uid="{F6E5F55E-AB52-46A8-A8B0-2AABE6BF7BF7}"/>
    <cellStyle name="Check Cell 13 2 13 3" xfId="6082" xr:uid="{21E0ADB1-3BA2-417E-BCE8-0F83DF694B9A}"/>
    <cellStyle name="Check Cell 13 2 2" xfId="6083" xr:uid="{E3C115BB-3E0E-4A99-A7AC-686F7A8FBD2F}"/>
    <cellStyle name="Check Cell 13 2 2 2" xfId="6084" xr:uid="{AA3BB55E-D842-4521-A174-482C5BEAFBF3}"/>
    <cellStyle name="Check Cell 13 2 2 2 2" xfId="6085" xr:uid="{4A16D376-F15D-45B9-8AAC-E1D781CD5E53}"/>
    <cellStyle name="Check Cell 13 2 2 2 2 2" xfId="6086" xr:uid="{013827B8-4C2E-4FA8-AFBF-1C71F871F4F8}"/>
    <cellStyle name="Check Cell 13 2 2 2 3" xfId="6087" xr:uid="{B8A74112-3847-42BD-98B2-63DCEDB9F5FA}"/>
    <cellStyle name="Check Cell 13 2 2 3" xfId="6088" xr:uid="{5E34F104-6572-4EB6-AF6D-3C21564484E4}"/>
    <cellStyle name="Check Cell 13 2 2 3 2" xfId="6089" xr:uid="{DDEFBAFA-0E69-405C-8EE3-852A7AE1E369}"/>
    <cellStyle name="Check Cell 13 2 2 3 2 2" xfId="6090" xr:uid="{2AC1A05C-AD5A-4A0C-8622-A673633848C8}"/>
    <cellStyle name="Check Cell 13 2 2 3 3" xfId="6091" xr:uid="{020133AE-7325-4224-8DDC-D76C0BE14AD4}"/>
    <cellStyle name="Check Cell 13 2 2 4" xfId="6092" xr:uid="{4D28C006-7159-43B3-B65C-CBE0B3ECC9F4}"/>
    <cellStyle name="Check Cell 13 2 2 4 2" xfId="6093" xr:uid="{FAA38C05-7F56-4B97-9E8F-B0C6C265B3FA}"/>
    <cellStyle name="Check Cell 13 2 2 4 2 2" xfId="6094" xr:uid="{BD308E91-084C-4D4F-8BEE-B3EA7FF74151}"/>
    <cellStyle name="Check Cell 13 2 2 4 3" xfId="6095" xr:uid="{62B390A5-72F4-4585-B175-3F04DCFEDC3B}"/>
    <cellStyle name="Check Cell 13 2 2 5" xfId="6096" xr:uid="{96BAA393-D336-4F65-BC4F-592E791B9F88}"/>
    <cellStyle name="Check Cell 13 2 2 5 2" xfId="6097" xr:uid="{67BA7E93-B633-4256-B3EF-1914917B145D}"/>
    <cellStyle name="Check Cell 13 2 2 5 2 2" xfId="6098" xr:uid="{380BA483-6051-455D-B7E2-878CB8EB478E}"/>
    <cellStyle name="Check Cell 13 2 2 5 3" xfId="6099" xr:uid="{77D1C186-6E99-4279-8132-F7B1B69CA87F}"/>
    <cellStyle name="Check Cell 13 2 2 6" xfId="6100" xr:uid="{60BB9560-E0A6-4560-9318-9EF175C9B099}"/>
    <cellStyle name="Check Cell 13 2 2 6 2" xfId="6101" xr:uid="{52FFCDDF-0745-417A-8B91-6F630691F233}"/>
    <cellStyle name="Check Cell 13 2 2 6 2 2" xfId="6102" xr:uid="{93003C1F-CAFA-4E56-898B-742F51C8B8A5}"/>
    <cellStyle name="Check Cell 13 2 2 6 3" xfId="6103" xr:uid="{4EC2F001-D25C-49C6-ABC3-9321536ECA9A}"/>
    <cellStyle name="Check Cell 13 2 2 7" xfId="6104" xr:uid="{9F746858-0039-4BDC-BCE3-FD7070C6CD0B}"/>
    <cellStyle name="Check Cell 13 2 2 7 2" xfId="6105" xr:uid="{6F7F4BBA-ED00-4EB5-BB9B-7A72FE1FD486}"/>
    <cellStyle name="Check Cell 13 2 2 7 2 2" xfId="6106" xr:uid="{37B5AE37-0080-4B66-BA68-3EF516954E27}"/>
    <cellStyle name="Check Cell 13 2 2 7 3" xfId="6107" xr:uid="{BCCF0F98-AECD-427B-A854-82A2178EB77C}"/>
    <cellStyle name="Check Cell 13 2 2 8" xfId="6108" xr:uid="{83265CC0-C5BD-4C7F-9192-24A493F63E6D}"/>
    <cellStyle name="Check Cell 13 2 2 8 2" xfId="6109" xr:uid="{43785A74-90A6-4413-A54A-D17EE1807D12}"/>
    <cellStyle name="Check Cell 13 2 2 8 2 2" xfId="6110" xr:uid="{02444A5B-EA2E-49CC-8F74-BA69174634D9}"/>
    <cellStyle name="Check Cell 13 2 2 8 3" xfId="6111" xr:uid="{4E50EDF6-1722-488B-A5B8-B0B99D36A336}"/>
    <cellStyle name="Check Cell 13 2 2 9" xfId="6112" xr:uid="{9958ED20-0448-4EE0-ADEF-5CE123AA988B}"/>
    <cellStyle name="Check Cell 13 2 2 9 2" xfId="6113" xr:uid="{11A716B2-F9DA-447A-BCB9-DF51AC4134B5}"/>
    <cellStyle name="Check Cell 13 2 2 9 2 2" xfId="6114" xr:uid="{591AB69A-BCEF-4552-8DC4-99A8EF2D5F72}"/>
    <cellStyle name="Check Cell 13 2 2 9 3" xfId="6115" xr:uid="{C8FD3A22-5C0F-4E1E-9F96-556CB3B1668C}"/>
    <cellStyle name="Check Cell 13 2 3" xfId="6116" xr:uid="{97B5A71A-1575-40B0-AC72-E490F222B84D}"/>
    <cellStyle name="Check Cell 13 2 3 2" xfId="6117" xr:uid="{C0CE7AD6-1AE4-48CD-9FF0-6E76561C5100}"/>
    <cellStyle name="Check Cell 13 2 3 2 2" xfId="6118" xr:uid="{8AC08E9D-EBED-4E8D-A38F-2CF5B3B6DD1A}"/>
    <cellStyle name="Check Cell 13 2 3 2 2 2" xfId="6119" xr:uid="{7F0C6D16-2D72-4D3D-BF3E-BEEE84A44E8F}"/>
    <cellStyle name="Check Cell 13 2 3 2 3" xfId="6120" xr:uid="{B1D8E2C2-A12B-439F-A98A-F93B61C1A496}"/>
    <cellStyle name="Check Cell 13 2 3 3" xfId="6121" xr:uid="{31D24F80-A06A-4C4A-9141-CE67E8A16CE2}"/>
    <cellStyle name="Check Cell 13 2 3 3 2" xfId="6122" xr:uid="{F2F54F3D-9152-458F-9BD3-28A900828B83}"/>
    <cellStyle name="Check Cell 13 2 3 3 2 2" xfId="6123" xr:uid="{F8685EC4-3913-43B6-8CD1-29A2FFFC7AF0}"/>
    <cellStyle name="Check Cell 13 2 3 3 3" xfId="6124" xr:uid="{1CF22947-9066-4677-A98B-4D032E2BFB6E}"/>
    <cellStyle name="Check Cell 13 2 3 4" xfId="6125" xr:uid="{8E8B8FD6-13EC-4DA1-B82E-7A67C954912C}"/>
    <cellStyle name="Check Cell 13 2 3 4 2" xfId="6126" xr:uid="{1A57D506-1F5A-4924-9B6E-BDCB79FD0A40}"/>
    <cellStyle name="Check Cell 13 2 3 4 2 2" xfId="6127" xr:uid="{90D76623-59AC-4798-A407-107092EDA3C3}"/>
    <cellStyle name="Check Cell 13 2 3 4 3" xfId="6128" xr:uid="{79FBC954-4C0F-48F9-B968-9934977574E5}"/>
    <cellStyle name="Check Cell 13 2 3 5" xfId="6129" xr:uid="{C5C7860C-76B6-4C7B-86BE-4B88429DD98E}"/>
    <cellStyle name="Check Cell 13 2 3 5 2" xfId="6130" xr:uid="{16F65487-75EC-453F-A1A5-11B3BDB28C41}"/>
    <cellStyle name="Check Cell 13 2 3 5 2 2" xfId="6131" xr:uid="{07DF57DD-B3CA-470B-8DC9-AB29637CDC57}"/>
    <cellStyle name="Check Cell 13 2 3 5 3" xfId="6132" xr:uid="{F326F457-075F-4C91-BB7B-1D0FE4762585}"/>
    <cellStyle name="Check Cell 13 2 3 6" xfId="6133" xr:uid="{EB3D96C6-71BE-43E3-B8B9-8C28A75819A4}"/>
    <cellStyle name="Check Cell 13 2 3 6 2" xfId="6134" xr:uid="{7E749647-EF46-469F-B769-B2B835494BEA}"/>
    <cellStyle name="Check Cell 13 2 3 6 2 2" xfId="6135" xr:uid="{32BF5B1B-1197-495B-ADF3-D63226AC80A1}"/>
    <cellStyle name="Check Cell 13 2 3 6 3" xfId="6136" xr:uid="{6CFFE655-3CDC-4153-92A1-F94D369AEB3B}"/>
    <cellStyle name="Check Cell 13 2 3 7" xfId="6137" xr:uid="{9D1583A2-F837-4DED-90E6-AB773A8F79E6}"/>
    <cellStyle name="Check Cell 13 2 3 7 2" xfId="6138" xr:uid="{580BFD21-B9AB-4F8C-9406-DBF59C060687}"/>
    <cellStyle name="Check Cell 13 2 3 7 2 2" xfId="6139" xr:uid="{410B79BE-752C-4DF2-A9A1-388C191673EB}"/>
    <cellStyle name="Check Cell 13 2 3 7 3" xfId="6140" xr:uid="{5D39C603-3EFE-4BD1-9027-B022660BAEB5}"/>
    <cellStyle name="Check Cell 13 2 3 8" xfId="6141" xr:uid="{203A897A-F495-45D2-B59A-44B4DB6D771D}"/>
    <cellStyle name="Check Cell 13 2 3 8 2" xfId="6142" xr:uid="{BAC6AD80-251A-4321-9423-F84AF54B2C1C}"/>
    <cellStyle name="Check Cell 13 2 3 8 2 2" xfId="6143" xr:uid="{26F78D7C-4809-416F-BF95-BF9834DA7B4C}"/>
    <cellStyle name="Check Cell 13 2 3 8 3" xfId="6144" xr:uid="{EC204F32-5F0E-4036-9283-68BB80DDDFB8}"/>
    <cellStyle name="Check Cell 13 2 3 9" xfId="6145" xr:uid="{578CC0A0-4A05-49EC-B9D1-85149B32449A}"/>
    <cellStyle name="Check Cell 13 2 3 9 2" xfId="6146" xr:uid="{3570D299-276E-4F46-98D4-A56FAEDA71C0}"/>
    <cellStyle name="Check Cell 13 2 3 9 2 2" xfId="6147" xr:uid="{9B2D3E32-0004-4D9F-B4C2-FC6937E19520}"/>
    <cellStyle name="Check Cell 13 2 3 9 3" xfId="6148" xr:uid="{DA05C93B-5FD4-4D61-B154-ADA1BACCC4EE}"/>
    <cellStyle name="Check Cell 13 2 4" xfId="6149" xr:uid="{83F6B267-DFDB-46C8-9579-7E521010C842}"/>
    <cellStyle name="Check Cell 13 2 4 2" xfId="6150" xr:uid="{7541EEA2-CFC0-4F98-83AD-EFB5F0FAE748}"/>
    <cellStyle name="Check Cell 13 2 4 2 2" xfId="6151" xr:uid="{248D7AD0-65F9-4E7A-955D-9DD0EDC0A756}"/>
    <cellStyle name="Check Cell 13 2 4 2 2 2" xfId="6152" xr:uid="{3C8B3F4A-384C-440B-A003-482C5DA964E4}"/>
    <cellStyle name="Check Cell 13 2 4 2 3" xfId="6153" xr:uid="{E744C110-ADDD-415D-B9C6-D3234D0B8D1F}"/>
    <cellStyle name="Check Cell 13 2 4 3" xfId="6154" xr:uid="{B4198C1C-F695-4302-82DC-749BCDD91368}"/>
    <cellStyle name="Check Cell 13 2 4 3 2" xfId="6155" xr:uid="{4DCC3928-323A-48F4-8B02-91C0A132115A}"/>
    <cellStyle name="Check Cell 13 2 4 3 2 2" xfId="6156" xr:uid="{C56DAF3D-116D-4BB0-83DA-2EC5C84793C7}"/>
    <cellStyle name="Check Cell 13 2 4 3 3" xfId="6157" xr:uid="{8CC19138-9EBE-4B81-8117-A115C193B532}"/>
    <cellStyle name="Check Cell 13 2 4 4" xfId="6158" xr:uid="{F172C8D1-0405-4BFB-B781-58ADBBDB92DC}"/>
    <cellStyle name="Check Cell 13 2 4 4 2" xfId="6159" xr:uid="{6554AA4D-D117-459B-A0EB-68CC8BD506B1}"/>
    <cellStyle name="Check Cell 13 2 4 4 2 2" xfId="6160" xr:uid="{965C9F6D-98BD-4A6F-94E1-97622D361AA8}"/>
    <cellStyle name="Check Cell 13 2 4 4 3" xfId="6161" xr:uid="{8BC84C24-11DE-4B31-8052-4748390FEE94}"/>
    <cellStyle name="Check Cell 13 2 4 5" xfId="6162" xr:uid="{52B4A341-F2D2-4B9D-87F1-85DC28C4B049}"/>
    <cellStyle name="Check Cell 13 2 4 5 2" xfId="6163" xr:uid="{4ACD634B-CB4D-4490-84E3-15CDB9142199}"/>
    <cellStyle name="Check Cell 13 2 4 5 2 2" xfId="6164" xr:uid="{8145E8BD-516B-4A86-A3D4-FA11CF0D4587}"/>
    <cellStyle name="Check Cell 13 2 4 5 3" xfId="6165" xr:uid="{9975E1E9-34C4-4D7D-93BC-BF754443769B}"/>
    <cellStyle name="Check Cell 13 2 4 6" xfId="6166" xr:uid="{752DFFDA-429D-496E-B246-2E86D04F746C}"/>
    <cellStyle name="Check Cell 13 2 4 6 2" xfId="6167" xr:uid="{74913246-6BE8-417A-ACED-A32C9EE04295}"/>
    <cellStyle name="Check Cell 13 2 4 6 2 2" xfId="6168" xr:uid="{0B231705-C2CA-43CD-95F8-5F35BF9A1781}"/>
    <cellStyle name="Check Cell 13 2 4 6 3" xfId="6169" xr:uid="{C333A1B3-F5B1-4F77-ABB8-3F133414DA61}"/>
    <cellStyle name="Check Cell 13 2 4 7" xfId="6170" xr:uid="{D085DB45-9A9F-4E46-9CAB-E0A3FB8CECF1}"/>
    <cellStyle name="Check Cell 13 2 4 7 2" xfId="6171" xr:uid="{EFCFBC0C-77F6-4EC1-AF2A-5B94D24501FE}"/>
    <cellStyle name="Check Cell 13 2 4 7 2 2" xfId="6172" xr:uid="{87744BBC-3A78-4704-A97A-7D837B681792}"/>
    <cellStyle name="Check Cell 13 2 4 7 3" xfId="6173" xr:uid="{48DF9F95-D0DC-4715-A89D-835BCD85D420}"/>
    <cellStyle name="Check Cell 13 2 4 8" xfId="6174" xr:uid="{36EAFB40-2F4F-4831-A2E1-4DAB2D2889B1}"/>
    <cellStyle name="Check Cell 13 2 4 8 2" xfId="6175" xr:uid="{70CFBD41-E7A8-49D8-8E85-04EABF46DC1B}"/>
    <cellStyle name="Check Cell 13 2 4 8 2 2" xfId="6176" xr:uid="{0F3A589E-5BAE-44F5-9AF6-42C594E71046}"/>
    <cellStyle name="Check Cell 13 2 4 8 3" xfId="6177" xr:uid="{A03DEFC9-C3BE-4BDE-90F6-0303BCFDBC62}"/>
    <cellStyle name="Check Cell 13 2 4 9" xfId="6178" xr:uid="{E99940BD-FF5B-4982-AB3F-C5D0F078C4C8}"/>
    <cellStyle name="Check Cell 13 2 4 9 2" xfId="6179" xr:uid="{2B47BB1E-1346-46C9-BD09-153DA4CAFCE3}"/>
    <cellStyle name="Check Cell 13 2 4 9 2 2" xfId="6180" xr:uid="{06A1C4B2-F05E-468D-A3DD-7E805A18D369}"/>
    <cellStyle name="Check Cell 13 2 4 9 3" xfId="6181" xr:uid="{33549419-EDFA-46EB-A6AD-B9973A5344CC}"/>
    <cellStyle name="Check Cell 13 2 5" xfId="6182" xr:uid="{50E9ABA1-DFE9-43FE-9EA4-93A37F968C2C}"/>
    <cellStyle name="Check Cell 13 2 5 2" xfId="6183" xr:uid="{47335C91-AF57-430A-BE37-308CDB02EDA6}"/>
    <cellStyle name="Check Cell 13 2 5 2 2" xfId="6184" xr:uid="{08647018-6643-4CF3-8806-C4248B4F1AC0}"/>
    <cellStyle name="Check Cell 13 2 5 2 2 2" xfId="6185" xr:uid="{8DB345D4-8B75-4618-9806-5973729A9C5E}"/>
    <cellStyle name="Check Cell 13 2 5 2 3" xfId="6186" xr:uid="{113D078E-9787-444E-958B-465000419FD8}"/>
    <cellStyle name="Check Cell 13 2 5 3" xfId="6187" xr:uid="{CF36503B-7D91-4855-8474-8D917019E35B}"/>
    <cellStyle name="Check Cell 13 2 5 3 2" xfId="6188" xr:uid="{97F0C204-A308-4BE6-A12F-4EA2A8EAE60C}"/>
    <cellStyle name="Check Cell 13 2 5 3 2 2" xfId="6189" xr:uid="{D1540070-79A6-4E03-BA4E-EDB3737563C7}"/>
    <cellStyle name="Check Cell 13 2 5 3 3" xfId="6190" xr:uid="{4980BC47-D667-4D5C-880C-76582FD648B0}"/>
    <cellStyle name="Check Cell 13 2 5 4" xfId="6191" xr:uid="{F52EC1B5-69D3-4912-80D0-E7455038469B}"/>
    <cellStyle name="Check Cell 13 2 5 4 2" xfId="6192" xr:uid="{5E433F2B-2424-466A-8EBC-848E519D50BA}"/>
    <cellStyle name="Check Cell 13 2 5 4 2 2" xfId="6193" xr:uid="{97E72863-5CC9-49D8-9D51-2D12E949CB55}"/>
    <cellStyle name="Check Cell 13 2 5 4 3" xfId="6194" xr:uid="{144FDED9-67D5-45CE-AC06-26EBD7AC5A34}"/>
    <cellStyle name="Check Cell 13 2 5 5" xfId="6195" xr:uid="{2AE084AB-325B-470A-84CF-A36F1740C1F0}"/>
    <cellStyle name="Check Cell 13 2 5 5 2" xfId="6196" xr:uid="{4857084E-19E4-44E9-A7FB-0724C9FD40BC}"/>
    <cellStyle name="Check Cell 13 2 5 5 2 2" xfId="6197" xr:uid="{9302EF9E-C968-4D2F-A6CD-B7AA65E29381}"/>
    <cellStyle name="Check Cell 13 2 5 5 3" xfId="6198" xr:uid="{AD5E9B12-036F-4957-AFD6-6754F1E6045D}"/>
    <cellStyle name="Check Cell 13 2 5 6" xfId="6199" xr:uid="{75FAD5C1-47ED-4DAA-9A83-85D6A5FD520E}"/>
    <cellStyle name="Check Cell 13 2 5 6 2" xfId="6200" xr:uid="{FA82E7EB-8DA4-4BC4-A314-9025E510BAA3}"/>
    <cellStyle name="Check Cell 13 2 5 6 2 2" xfId="6201" xr:uid="{B7443103-E6F0-4C6E-9AE7-4A89DBF9C869}"/>
    <cellStyle name="Check Cell 13 2 5 6 3" xfId="6202" xr:uid="{B73D228D-0FF2-4930-AA40-3BEFDED23264}"/>
    <cellStyle name="Check Cell 13 2 5 7" xfId="6203" xr:uid="{4D2E933B-BCDC-4D07-96BF-2FC9F44CAC1B}"/>
    <cellStyle name="Check Cell 13 2 5 7 2" xfId="6204" xr:uid="{FF20E517-D681-4223-9546-C40A08976932}"/>
    <cellStyle name="Check Cell 13 2 5 7 2 2" xfId="6205" xr:uid="{0F89FD9A-22D9-4992-AB67-E7E31608EB76}"/>
    <cellStyle name="Check Cell 13 2 5 7 3" xfId="6206" xr:uid="{CDB2D848-859E-4C48-8F5C-CB541927F98C}"/>
    <cellStyle name="Check Cell 13 2 5 8" xfId="6207" xr:uid="{BF818C78-2CD5-41A7-9498-ED3E66B43F61}"/>
    <cellStyle name="Check Cell 13 2 5 8 2" xfId="6208" xr:uid="{FD86BFDF-4367-4CD7-9D80-46B0B8C08B25}"/>
    <cellStyle name="Check Cell 13 2 5 8 2 2" xfId="6209" xr:uid="{48ABFAB5-8B28-4C6B-8ADD-8AE1D1A00F9F}"/>
    <cellStyle name="Check Cell 13 2 5 8 3" xfId="6210" xr:uid="{9229CB11-6E4B-482C-B29B-D2E0F258564F}"/>
    <cellStyle name="Check Cell 13 2 5 9" xfId="6211" xr:uid="{41BE5DF2-0E1A-4F96-8047-AF7E025B3536}"/>
    <cellStyle name="Check Cell 13 2 5 9 2" xfId="6212" xr:uid="{79DC3C24-9357-431F-8288-E78792E8F5B5}"/>
    <cellStyle name="Check Cell 13 2 5 9 2 2" xfId="6213" xr:uid="{3D63A775-B6C1-4868-BB92-7B0C642649ED}"/>
    <cellStyle name="Check Cell 13 2 5 9 3" xfId="6214" xr:uid="{1566A229-84FE-4A90-ABCB-217F0531A463}"/>
    <cellStyle name="Check Cell 13 2 6" xfId="6215" xr:uid="{DFB30BC3-AC52-4ED9-80B2-491541F9DEDD}"/>
    <cellStyle name="Check Cell 13 2 6 2" xfId="6216" xr:uid="{44B4BB88-4DFA-4F52-82F0-072C3A4A73AA}"/>
    <cellStyle name="Check Cell 13 2 6 2 2" xfId="6217" xr:uid="{44F63313-A6BA-47E0-B14D-AEEF8C8809B2}"/>
    <cellStyle name="Check Cell 13 2 6 3" xfId="6218" xr:uid="{CAC9A71D-2AF3-4BA4-A928-907D15947A40}"/>
    <cellStyle name="Check Cell 13 2 7" xfId="6219" xr:uid="{FCA56256-85C2-44EE-80E5-7412D6C998D3}"/>
    <cellStyle name="Check Cell 13 2 7 2" xfId="6220" xr:uid="{2A8743AD-4188-471C-A0CC-7521ADA980EA}"/>
    <cellStyle name="Check Cell 13 2 7 2 2" xfId="6221" xr:uid="{8B0D71BB-9B6F-40B3-AFB0-808214935D2A}"/>
    <cellStyle name="Check Cell 13 2 7 3" xfId="6222" xr:uid="{3203BEC9-6179-4DBA-A1E0-FA9991BCE0EB}"/>
    <cellStyle name="Check Cell 13 2 8" xfId="6223" xr:uid="{E1E1FF25-F3C5-4D4D-B6F1-D6E077B5AA95}"/>
    <cellStyle name="Check Cell 13 2 8 2" xfId="6224" xr:uid="{6F2E1D38-C01C-48A6-92FC-90DA538629FA}"/>
    <cellStyle name="Check Cell 13 2 8 2 2" xfId="6225" xr:uid="{028A891A-696F-4B98-90C6-1B3B79C2AF56}"/>
    <cellStyle name="Check Cell 13 2 8 3" xfId="6226" xr:uid="{6E6635EB-3645-4C26-ADCB-6D57A438AF4C}"/>
    <cellStyle name="Check Cell 13 2 9" xfId="6227" xr:uid="{54930F66-5B18-42FD-9C4D-B81B924BD8D3}"/>
    <cellStyle name="Check Cell 13 2 9 2" xfId="6228" xr:uid="{4BDA8333-A53B-4F41-A3F8-6EA47A5001E6}"/>
    <cellStyle name="Check Cell 13 2 9 2 2" xfId="6229" xr:uid="{04541918-7FAD-4EE2-9259-D222D538B2E9}"/>
    <cellStyle name="Check Cell 13 2 9 3" xfId="6230" xr:uid="{FF636589-7319-4AF3-BBD4-F3DBB5272F6F}"/>
    <cellStyle name="Check Cell 13 3" xfId="6231" xr:uid="{9519508F-D6DB-4D18-B01E-CBD839ED63E5}"/>
    <cellStyle name="Check Cell 13 3 2" xfId="6232" xr:uid="{9A65CCE6-6D63-4EFD-9619-AB88FC1ED619}"/>
    <cellStyle name="Check Cell 13 3 2 2" xfId="6233" xr:uid="{DF63A08D-A91D-470C-A4AC-818AC2DCC14B}"/>
    <cellStyle name="Check Cell 13 3 3" xfId="6234" xr:uid="{D182DAC7-8C93-4E02-B5F4-4CEBCCA205F7}"/>
    <cellStyle name="Check Cell 13 4" xfId="6235" xr:uid="{84D5D174-5E56-4484-9C7D-4F14086412E3}"/>
    <cellStyle name="Check Cell 13 4 2" xfId="6236" xr:uid="{C67E917D-BE64-478B-9826-FD359B950A77}"/>
    <cellStyle name="Check Cell 14" xfId="6237" xr:uid="{04A15793-AFF7-4FE0-8833-6FA9DC7814EB}"/>
    <cellStyle name="Check Cell 14 2" xfId="6238" xr:uid="{A5A5CFA6-1EC2-4C29-AA45-3B151F72AA40}"/>
    <cellStyle name="Check Cell 14 2 10" xfId="6239" xr:uid="{8EE7C652-A61F-4766-9E13-3D0ABA3866D5}"/>
    <cellStyle name="Check Cell 14 2 10 2" xfId="6240" xr:uid="{8A11632A-04B5-4AEC-929C-B74FFB295A42}"/>
    <cellStyle name="Check Cell 14 2 10 2 2" xfId="6241" xr:uid="{F6592620-D300-466A-9BDB-002D301A4D51}"/>
    <cellStyle name="Check Cell 14 2 10 3" xfId="6242" xr:uid="{0806FD1E-7118-44CB-9515-BD0E49DD78F9}"/>
    <cellStyle name="Check Cell 14 2 11" xfId="6243" xr:uid="{656F8023-9642-4FCC-B0F3-A96B68119A74}"/>
    <cellStyle name="Check Cell 14 2 11 2" xfId="6244" xr:uid="{22CDA206-6CC2-41FB-B074-92F46C293C06}"/>
    <cellStyle name="Check Cell 14 2 11 2 2" xfId="6245" xr:uid="{8606C227-D7FE-4049-95A7-02849B3837C2}"/>
    <cellStyle name="Check Cell 14 2 11 3" xfId="6246" xr:uid="{B83D6E60-49B7-4D0A-BCC2-5053E38209A0}"/>
    <cellStyle name="Check Cell 14 2 12" xfId="6247" xr:uid="{13F5E595-4F4F-4DBB-9C85-CE9232C9022F}"/>
    <cellStyle name="Check Cell 14 2 12 2" xfId="6248" xr:uid="{27A38B78-B817-4C36-8595-7CDF973DC952}"/>
    <cellStyle name="Check Cell 14 2 12 2 2" xfId="6249" xr:uid="{AC6B7D83-D18F-4B3A-830D-A934FB3B9630}"/>
    <cellStyle name="Check Cell 14 2 12 3" xfId="6250" xr:uid="{B0DE336C-A68D-44B6-A2E8-1BEF4C41F18D}"/>
    <cellStyle name="Check Cell 14 2 13" xfId="6251" xr:uid="{969882D2-DE72-4760-AA86-2624702408A9}"/>
    <cellStyle name="Check Cell 14 2 13 2" xfId="6252" xr:uid="{856C0E8D-17A5-49CF-AE84-3124852F1E4E}"/>
    <cellStyle name="Check Cell 14 2 13 2 2" xfId="6253" xr:uid="{B0853D9D-A1F1-4E24-8A18-79C8E6FD247C}"/>
    <cellStyle name="Check Cell 14 2 13 3" xfId="6254" xr:uid="{DA1718E8-AC5E-4548-802B-56644B446C99}"/>
    <cellStyle name="Check Cell 14 2 2" xfId="6255" xr:uid="{70BAA90C-6D2E-479E-9E0A-8D7079889E13}"/>
    <cellStyle name="Check Cell 14 2 2 2" xfId="6256" xr:uid="{34426E7E-9B5D-4EB4-9EC7-A8EF131B11FE}"/>
    <cellStyle name="Check Cell 14 2 2 2 2" xfId="6257" xr:uid="{A8822B68-87A3-4515-AE47-472CDC6E09F9}"/>
    <cellStyle name="Check Cell 14 2 2 2 2 2" xfId="6258" xr:uid="{5C58DB0F-0922-423A-825B-BE3DFEABBA12}"/>
    <cellStyle name="Check Cell 14 2 2 2 3" xfId="6259" xr:uid="{2E8F06E9-23B7-4862-8211-AA6F152AD556}"/>
    <cellStyle name="Check Cell 14 2 2 3" xfId="6260" xr:uid="{FE476880-36C8-4EC3-A276-DD70B36C7CDA}"/>
    <cellStyle name="Check Cell 14 2 2 3 2" xfId="6261" xr:uid="{D0F4142A-9714-4950-866B-D9C043B42ED9}"/>
    <cellStyle name="Check Cell 14 2 2 3 2 2" xfId="6262" xr:uid="{AC7AAE34-4DB1-4464-83E5-6BA95FA94039}"/>
    <cellStyle name="Check Cell 14 2 2 3 3" xfId="6263" xr:uid="{E529EEC8-AD3A-48B8-81CC-0AD25F04F4FC}"/>
    <cellStyle name="Check Cell 14 2 2 4" xfId="6264" xr:uid="{0EC2F187-FBC4-47D1-BFA8-E7B37C2B388D}"/>
    <cellStyle name="Check Cell 14 2 2 4 2" xfId="6265" xr:uid="{F9F5C1C5-FC43-419A-8663-C8DDCBBB4C66}"/>
    <cellStyle name="Check Cell 14 2 2 4 2 2" xfId="6266" xr:uid="{3CDF3A51-096E-436D-AB91-8A35BE239E8B}"/>
    <cellStyle name="Check Cell 14 2 2 4 3" xfId="6267" xr:uid="{C99E9063-E28B-4E2D-BACC-86C6B27BC72B}"/>
    <cellStyle name="Check Cell 14 2 2 5" xfId="6268" xr:uid="{E4F34CB1-F469-41CD-8F8C-73DAF1B76F35}"/>
    <cellStyle name="Check Cell 14 2 2 5 2" xfId="6269" xr:uid="{994B68DF-2904-477A-B437-805608861335}"/>
    <cellStyle name="Check Cell 14 2 2 5 2 2" xfId="6270" xr:uid="{A7BE1F11-281F-43B1-996B-8A6A5973CA6A}"/>
    <cellStyle name="Check Cell 14 2 2 5 3" xfId="6271" xr:uid="{A98CFE6D-029C-4B5A-8174-DFDD2EA8AF8A}"/>
    <cellStyle name="Check Cell 14 2 2 6" xfId="6272" xr:uid="{F224516F-5CE0-4842-8101-B39D50519E9B}"/>
    <cellStyle name="Check Cell 14 2 2 6 2" xfId="6273" xr:uid="{47737A55-B7C4-438F-823F-1E2F4A790071}"/>
    <cellStyle name="Check Cell 14 2 2 6 2 2" xfId="6274" xr:uid="{94C3BDA6-D6FF-4CC2-94E6-92565E7745EB}"/>
    <cellStyle name="Check Cell 14 2 2 6 3" xfId="6275" xr:uid="{4D7EEA4B-32E5-457C-82B6-D907FB59AB87}"/>
    <cellStyle name="Check Cell 14 2 2 7" xfId="6276" xr:uid="{5ADD0B1B-69C7-488D-93B5-806913F7F3A1}"/>
    <cellStyle name="Check Cell 14 2 2 7 2" xfId="6277" xr:uid="{E416F799-9A13-4518-8A6C-213C35F5F11B}"/>
    <cellStyle name="Check Cell 14 2 2 7 2 2" xfId="6278" xr:uid="{65AF7002-5881-467D-A721-ACE731393A25}"/>
    <cellStyle name="Check Cell 14 2 2 7 3" xfId="6279" xr:uid="{A9293AAD-F6D7-4936-BF58-7E427EF4AB58}"/>
    <cellStyle name="Check Cell 14 2 2 8" xfId="6280" xr:uid="{C334E0B8-C54C-4DFA-BF91-04759FFA9152}"/>
    <cellStyle name="Check Cell 14 2 2 8 2" xfId="6281" xr:uid="{BFD643CB-C10B-469D-A001-2AD0136129D5}"/>
    <cellStyle name="Check Cell 14 2 2 8 2 2" xfId="6282" xr:uid="{60D694CF-4284-4C63-B684-6AA9589F99AE}"/>
    <cellStyle name="Check Cell 14 2 2 8 3" xfId="6283" xr:uid="{60E096F2-ED1E-43E2-AED4-FB3C32C68882}"/>
    <cellStyle name="Check Cell 14 2 2 9" xfId="6284" xr:uid="{CDFCCA60-5CCE-4F42-9E0C-28AF092F6B8A}"/>
    <cellStyle name="Check Cell 14 2 2 9 2" xfId="6285" xr:uid="{188AA21F-60FF-4641-AD9A-C7B57BF962BB}"/>
    <cellStyle name="Check Cell 14 2 2 9 2 2" xfId="6286" xr:uid="{F6174045-276D-4A24-BE01-54BE89B21C4E}"/>
    <cellStyle name="Check Cell 14 2 2 9 3" xfId="6287" xr:uid="{453A1739-3D1C-427D-A071-98E30B465B9E}"/>
    <cellStyle name="Check Cell 14 2 3" xfId="6288" xr:uid="{473B9096-DDE1-4082-A1FA-9098D5D26741}"/>
    <cellStyle name="Check Cell 14 2 3 2" xfId="6289" xr:uid="{E30EC37C-4718-4602-AB21-05218CA40F33}"/>
    <cellStyle name="Check Cell 14 2 3 2 2" xfId="6290" xr:uid="{18AEDB48-BD57-4782-AA78-86EBB119C371}"/>
    <cellStyle name="Check Cell 14 2 3 2 2 2" xfId="6291" xr:uid="{0173BDF2-CE17-42C7-8121-E6C6A14D9280}"/>
    <cellStyle name="Check Cell 14 2 3 2 3" xfId="6292" xr:uid="{B54C1352-EA42-4320-A4CF-89807DC9EC54}"/>
    <cellStyle name="Check Cell 14 2 3 3" xfId="6293" xr:uid="{76E8A154-5BF9-4D44-B41B-FB8F67CEC363}"/>
    <cellStyle name="Check Cell 14 2 3 3 2" xfId="6294" xr:uid="{3709B9B8-2F2C-45E7-8E98-61C2033D6B3E}"/>
    <cellStyle name="Check Cell 14 2 3 3 2 2" xfId="6295" xr:uid="{0EEED4B4-909F-47A2-8AEB-03E017773521}"/>
    <cellStyle name="Check Cell 14 2 3 3 3" xfId="6296" xr:uid="{1DBECB59-C30B-4469-B7A5-0F55BCE2E243}"/>
    <cellStyle name="Check Cell 14 2 3 4" xfId="6297" xr:uid="{BD960195-7D54-4652-89A0-5461910DF1FC}"/>
    <cellStyle name="Check Cell 14 2 3 4 2" xfId="6298" xr:uid="{46E2182A-5794-427D-8501-2288138FC9BB}"/>
    <cellStyle name="Check Cell 14 2 3 4 2 2" xfId="6299" xr:uid="{A81347AB-E201-4C3B-B13B-2B73BFD2D9FD}"/>
    <cellStyle name="Check Cell 14 2 3 4 3" xfId="6300" xr:uid="{C91E2CB0-E21E-4A2B-966A-67BF0CE700E6}"/>
    <cellStyle name="Check Cell 14 2 3 5" xfId="6301" xr:uid="{EEDD2A3A-1BA9-45F5-9ABA-82FA26E51C49}"/>
    <cellStyle name="Check Cell 14 2 3 5 2" xfId="6302" xr:uid="{3B824BC1-FAE1-428C-8D2F-26AE7BDD0078}"/>
    <cellStyle name="Check Cell 14 2 3 5 2 2" xfId="6303" xr:uid="{C5FEE5AA-74F3-4160-8972-0FA1C27E393D}"/>
    <cellStyle name="Check Cell 14 2 3 5 3" xfId="6304" xr:uid="{F4984F57-0C91-4898-B19E-10FB054CDDBE}"/>
    <cellStyle name="Check Cell 14 2 3 6" xfId="6305" xr:uid="{CEA6807F-C01A-4834-AD29-EFCC71EAAFBA}"/>
    <cellStyle name="Check Cell 14 2 3 6 2" xfId="6306" xr:uid="{4A754ACB-1A17-4C43-BB40-7479625F6253}"/>
    <cellStyle name="Check Cell 14 2 3 6 2 2" xfId="6307" xr:uid="{9D91B5E7-BAF7-41AF-BB61-43CB72DECA4C}"/>
    <cellStyle name="Check Cell 14 2 3 6 3" xfId="6308" xr:uid="{FB687AF7-40DB-4173-978D-91AEEC81BC3B}"/>
    <cellStyle name="Check Cell 14 2 3 7" xfId="6309" xr:uid="{9BD6A0C9-9666-4905-81D1-B50C5CBEB6F1}"/>
    <cellStyle name="Check Cell 14 2 3 7 2" xfId="6310" xr:uid="{6B5D5900-603A-4E76-8442-AC3FB7E30E13}"/>
    <cellStyle name="Check Cell 14 2 3 7 2 2" xfId="6311" xr:uid="{6178153B-529A-491E-B758-E73EB627C1C0}"/>
    <cellStyle name="Check Cell 14 2 3 7 3" xfId="6312" xr:uid="{DAE1AC15-4ED8-442F-8482-942F3DE0C6B4}"/>
    <cellStyle name="Check Cell 14 2 3 8" xfId="6313" xr:uid="{CFF6AF34-8E01-417F-A9E2-9B909120CC2B}"/>
    <cellStyle name="Check Cell 14 2 3 8 2" xfId="6314" xr:uid="{74692966-B479-427E-BA4D-7A6E94A85143}"/>
    <cellStyle name="Check Cell 14 2 3 8 2 2" xfId="6315" xr:uid="{3C592883-88D6-4FBC-B280-43E82F0CDCFE}"/>
    <cellStyle name="Check Cell 14 2 3 8 3" xfId="6316" xr:uid="{DB121F8D-F13C-48DA-A0EE-F41E29288819}"/>
    <cellStyle name="Check Cell 14 2 3 9" xfId="6317" xr:uid="{6B2076D4-FBC2-41CF-A261-3B7191635918}"/>
    <cellStyle name="Check Cell 14 2 3 9 2" xfId="6318" xr:uid="{78170984-E1FA-45AD-AD92-9AD2F1C30FC1}"/>
    <cellStyle name="Check Cell 14 2 3 9 2 2" xfId="6319" xr:uid="{BDD73F48-520E-42A8-A894-6D8310449752}"/>
    <cellStyle name="Check Cell 14 2 3 9 3" xfId="6320" xr:uid="{17907EF9-1C99-4EEF-A093-0A297B707A77}"/>
    <cellStyle name="Check Cell 14 2 4" xfId="6321" xr:uid="{BD0484DD-204D-47C1-8ED9-AEAE69581202}"/>
    <cellStyle name="Check Cell 14 2 4 2" xfId="6322" xr:uid="{BDBB8129-546F-4037-A83C-2B452086EE76}"/>
    <cellStyle name="Check Cell 14 2 4 2 2" xfId="6323" xr:uid="{FCCF2A17-56BB-439B-81D3-BF73E3757886}"/>
    <cellStyle name="Check Cell 14 2 4 2 2 2" xfId="6324" xr:uid="{ACBEE60E-4AA3-4A4A-8688-06B00F05C87D}"/>
    <cellStyle name="Check Cell 14 2 4 2 3" xfId="6325" xr:uid="{C1A50E2D-860C-4628-B171-357DC11F1DEC}"/>
    <cellStyle name="Check Cell 14 2 4 3" xfId="6326" xr:uid="{31962DE7-811A-4394-8707-BD9CBD5A08A2}"/>
    <cellStyle name="Check Cell 14 2 4 3 2" xfId="6327" xr:uid="{CF22828B-FADD-4599-B6E9-109CC40C8900}"/>
    <cellStyle name="Check Cell 14 2 4 3 2 2" xfId="6328" xr:uid="{5C729D90-30F1-4C7D-A09B-99B0F85F3803}"/>
    <cellStyle name="Check Cell 14 2 4 3 3" xfId="6329" xr:uid="{B8595417-4391-4677-B500-B6DC8D098FD1}"/>
    <cellStyle name="Check Cell 14 2 4 4" xfId="6330" xr:uid="{629EEE22-028A-4D21-A4EE-691CDF46A6A5}"/>
    <cellStyle name="Check Cell 14 2 4 4 2" xfId="6331" xr:uid="{1BECE9CE-DDE2-42DB-8322-273A772CFEA2}"/>
    <cellStyle name="Check Cell 14 2 4 4 2 2" xfId="6332" xr:uid="{06A6471B-03BA-4313-A836-E4027A89A4F7}"/>
    <cellStyle name="Check Cell 14 2 4 4 3" xfId="6333" xr:uid="{3DB98C82-4AAE-40A2-B67C-BB24C9F3CAE3}"/>
    <cellStyle name="Check Cell 14 2 4 5" xfId="6334" xr:uid="{4D7F9167-4AD4-4310-8D0C-AD89B065D618}"/>
    <cellStyle name="Check Cell 14 2 4 5 2" xfId="6335" xr:uid="{3E6E5DA2-20BF-46F6-8217-54E3C3784137}"/>
    <cellStyle name="Check Cell 14 2 4 5 2 2" xfId="6336" xr:uid="{FBEA6A66-FDF0-438C-96D3-C1DE0FD2C780}"/>
    <cellStyle name="Check Cell 14 2 4 5 3" xfId="6337" xr:uid="{2E58A83D-298B-4DAB-8CE0-31D5E3BA342C}"/>
    <cellStyle name="Check Cell 14 2 4 6" xfId="6338" xr:uid="{DFB22F06-3BBD-40C3-A066-946A39AA8F1A}"/>
    <cellStyle name="Check Cell 14 2 4 6 2" xfId="6339" xr:uid="{5565FE2A-17A1-419E-B7A0-254E593CE2E2}"/>
    <cellStyle name="Check Cell 14 2 4 6 2 2" xfId="6340" xr:uid="{0490C189-3FC5-4DE3-AB4A-AF3431CB8716}"/>
    <cellStyle name="Check Cell 14 2 4 6 3" xfId="6341" xr:uid="{F0C4ABFE-9B5E-46D0-9176-695CAA785E04}"/>
    <cellStyle name="Check Cell 14 2 4 7" xfId="6342" xr:uid="{E89CE427-D01B-495F-A0B9-0B9937AEEA4A}"/>
    <cellStyle name="Check Cell 14 2 4 7 2" xfId="6343" xr:uid="{036668E5-5E50-450D-8760-F02E5B4DF9A1}"/>
    <cellStyle name="Check Cell 14 2 4 7 2 2" xfId="6344" xr:uid="{8F6B55BD-FE9A-4874-83D5-9D0CF136E550}"/>
    <cellStyle name="Check Cell 14 2 4 7 3" xfId="6345" xr:uid="{EAAE8BC2-4282-4470-8D87-34260E24818C}"/>
    <cellStyle name="Check Cell 14 2 4 8" xfId="6346" xr:uid="{4C6E8DE5-4971-4812-A098-92DCDFC0264D}"/>
    <cellStyle name="Check Cell 14 2 4 8 2" xfId="6347" xr:uid="{27440055-2D65-4A73-B1E7-7D9745DB4AA3}"/>
    <cellStyle name="Check Cell 14 2 4 8 2 2" xfId="6348" xr:uid="{1B7BA53A-738E-4971-95C1-BDA962B33DA0}"/>
    <cellStyle name="Check Cell 14 2 4 8 3" xfId="6349" xr:uid="{D6E20F8F-402B-41EF-A82F-1D8730509E89}"/>
    <cellStyle name="Check Cell 14 2 4 9" xfId="6350" xr:uid="{74813282-AF7F-46AD-B96F-E394DC72D756}"/>
    <cellStyle name="Check Cell 14 2 4 9 2" xfId="6351" xr:uid="{B60A59AB-B6CC-428F-84AE-7326A12F366D}"/>
    <cellStyle name="Check Cell 14 2 4 9 2 2" xfId="6352" xr:uid="{FA663154-FF8F-4899-A643-572A73C645D2}"/>
    <cellStyle name="Check Cell 14 2 4 9 3" xfId="6353" xr:uid="{0397B9CF-3FC2-44B4-9066-B2EC115AA99D}"/>
    <cellStyle name="Check Cell 14 2 5" xfId="6354" xr:uid="{8AE842C7-6062-49EB-9F7D-695FF4BD6ABC}"/>
    <cellStyle name="Check Cell 14 2 5 2" xfId="6355" xr:uid="{D4282821-786C-40BD-8BB1-CAB398542B13}"/>
    <cellStyle name="Check Cell 14 2 5 2 2" xfId="6356" xr:uid="{F83FDD8A-DC7A-4D97-A1BC-096CFD381616}"/>
    <cellStyle name="Check Cell 14 2 5 2 2 2" xfId="6357" xr:uid="{BDC7A4F6-F63F-4213-8110-DDE55D179AAE}"/>
    <cellStyle name="Check Cell 14 2 5 2 3" xfId="6358" xr:uid="{C47419E1-F097-4A5B-9D6D-42AFD924076F}"/>
    <cellStyle name="Check Cell 14 2 5 3" xfId="6359" xr:uid="{BA94E4AE-B6DB-4318-A57E-A938D43BEAC4}"/>
    <cellStyle name="Check Cell 14 2 5 3 2" xfId="6360" xr:uid="{C6D77780-C5B6-46E9-9DE3-94A5181B6AE2}"/>
    <cellStyle name="Check Cell 14 2 5 3 2 2" xfId="6361" xr:uid="{24387FB0-425B-4D63-827B-D28D5E23288C}"/>
    <cellStyle name="Check Cell 14 2 5 3 3" xfId="6362" xr:uid="{A88CE356-B87C-4FEB-894F-92BF23BDC72F}"/>
    <cellStyle name="Check Cell 14 2 5 4" xfId="6363" xr:uid="{C7A0E841-EA5B-497A-BEAA-296740610D68}"/>
    <cellStyle name="Check Cell 14 2 5 4 2" xfId="6364" xr:uid="{FBC6AF42-A041-4FB8-84DD-E41D64B2F88A}"/>
    <cellStyle name="Check Cell 14 2 5 4 2 2" xfId="6365" xr:uid="{35C91E24-4EF6-40E0-8CFB-5765CAAFA611}"/>
    <cellStyle name="Check Cell 14 2 5 4 3" xfId="6366" xr:uid="{4D8047F0-69D7-43EB-8D55-2C759B6ABC9C}"/>
    <cellStyle name="Check Cell 14 2 5 5" xfId="6367" xr:uid="{41ABEB72-CEB1-40E3-83AD-A638E510C6BB}"/>
    <cellStyle name="Check Cell 14 2 5 5 2" xfId="6368" xr:uid="{E0B04A3B-E75F-4554-9596-048F28B81AEC}"/>
    <cellStyle name="Check Cell 14 2 5 5 2 2" xfId="6369" xr:uid="{E5CC3147-88EC-46B1-907F-81BAFBA148A6}"/>
    <cellStyle name="Check Cell 14 2 5 5 3" xfId="6370" xr:uid="{850D1F98-A672-4E8F-8779-1216C2CF9991}"/>
    <cellStyle name="Check Cell 14 2 5 6" xfId="6371" xr:uid="{2B60FDC7-C0E1-4CD7-94B1-A3BFA06FD70C}"/>
    <cellStyle name="Check Cell 14 2 5 6 2" xfId="6372" xr:uid="{41A6155F-FD55-49A9-B674-80E8723E3AF1}"/>
    <cellStyle name="Check Cell 14 2 5 6 2 2" xfId="6373" xr:uid="{4909F724-A178-4C71-8D48-83F7F3F73FE9}"/>
    <cellStyle name="Check Cell 14 2 5 6 3" xfId="6374" xr:uid="{55972553-BB79-4CFE-891F-39F54522DD80}"/>
    <cellStyle name="Check Cell 14 2 5 7" xfId="6375" xr:uid="{7A1251D5-12DE-49D1-B3C8-02144F9A3FDB}"/>
    <cellStyle name="Check Cell 14 2 5 7 2" xfId="6376" xr:uid="{8CFFDD9A-6788-4C4F-8867-B902C3E7B250}"/>
    <cellStyle name="Check Cell 14 2 5 7 2 2" xfId="6377" xr:uid="{C605DAF7-7991-436B-839A-EB84E9CCF82F}"/>
    <cellStyle name="Check Cell 14 2 5 7 3" xfId="6378" xr:uid="{ABD0010F-7121-4121-ABC9-6B1500703137}"/>
    <cellStyle name="Check Cell 14 2 5 8" xfId="6379" xr:uid="{DAACA3C4-B13A-4CEE-973D-83C231F7CFDB}"/>
    <cellStyle name="Check Cell 14 2 5 8 2" xfId="6380" xr:uid="{36EB7B28-37BB-40DD-8C71-FFC0BCB10D3B}"/>
    <cellStyle name="Check Cell 14 2 5 8 2 2" xfId="6381" xr:uid="{107F2796-A21B-4914-B076-8D8D815EC54B}"/>
    <cellStyle name="Check Cell 14 2 5 8 3" xfId="6382" xr:uid="{39849229-B980-4BF3-8A18-1A1FCB6E447A}"/>
    <cellStyle name="Check Cell 14 2 5 9" xfId="6383" xr:uid="{6EAE92E7-DDE2-41E9-B86B-940C6F2A5588}"/>
    <cellStyle name="Check Cell 14 2 5 9 2" xfId="6384" xr:uid="{3BE2C5A3-EE6C-422E-8F25-CAFC7DCE2E58}"/>
    <cellStyle name="Check Cell 14 2 5 9 2 2" xfId="6385" xr:uid="{DBB0EEFB-6347-4916-A9A0-9A65F8D5A4F8}"/>
    <cellStyle name="Check Cell 14 2 5 9 3" xfId="6386" xr:uid="{B3E71FCC-4135-431C-BD54-73C7D7503EB5}"/>
    <cellStyle name="Check Cell 14 2 6" xfId="6387" xr:uid="{D2FAB896-3616-47D3-B836-C6559E122055}"/>
    <cellStyle name="Check Cell 14 2 6 2" xfId="6388" xr:uid="{256F824C-25B3-44F8-8BCE-2F9ADD1667C7}"/>
    <cellStyle name="Check Cell 14 2 6 2 2" xfId="6389" xr:uid="{08B6B089-FF2E-4CAE-B838-71E1EC4B88D9}"/>
    <cellStyle name="Check Cell 14 2 6 3" xfId="6390" xr:uid="{EA2FDF30-0F57-4854-80C7-3847B3BE1E92}"/>
    <cellStyle name="Check Cell 14 2 7" xfId="6391" xr:uid="{4CBEF055-2A98-4B59-AA30-004E0D1664C9}"/>
    <cellStyle name="Check Cell 14 2 7 2" xfId="6392" xr:uid="{71971A5E-085D-4A08-8485-2ED183EB3B25}"/>
    <cellStyle name="Check Cell 14 2 7 2 2" xfId="6393" xr:uid="{584A51E4-21DA-4B09-B1D4-4CD833B8AFF9}"/>
    <cellStyle name="Check Cell 14 2 7 3" xfId="6394" xr:uid="{98AF6050-1FBD-4201-9F61-8E0527F27551}"/>
    <cellStyle name="Check Cell 14 2 8" xfId="6395" xr:uid="{6FBA9608-013F-4B79-BAEC-C9C2FE245F05}"/>
    <cellStyle name="Check Cell 14 2 8 2" xfId="6396" xr:uid="{27075F9B-5FDE-4604-9E97-DEF44009F5EF}"/>
    <cellStyle name="Check Cell 14 2 8 2 2" xfId="6397" xr:uid="{5E8DA00F-F394-49DD-AEBD-B4055B922672}"/>
    <cellStyle name="Check Cell 14 2 8 3" xfId="6398" xr:uid="{238FF042-96A2-4CC8-8B71-7E739C1ABF72}"/>
    <cellStyle name="Check Cell 14 2 9" xfId="6399" xr:uid="{3A16ADD4-3566-4B07-BB13-3C7AC071C778}"/>
    <cellStyle name="Check Cell 14 2 9 2" xfId="6400" xr:uid="{28C48E37-992C-41CF-A5B3-F118AE245A97}"/>
    <cellStyle name="Check Cell 14 2 9 2 2" xfId="6401" xr:uid="{F5B38BDC-9887-44C2-80F9-050A505E8DD5}"/>
    <cellStyle name="Check Cell 14 2 9 3" xfId="6402" xr:uid="{B7C87274-48C2-4482-B359-5F9DF3A797FC}"/>
    <cellStyle name="Check Cell 14 3" xfId="6403" xr:uid="{13841CBF-29F5-4855-BF07-0923248089A6}"/>
    <cellStyle name="Check Cell 14 3 2" xfId="6404" xr:uid="{CA93079A-4120-45BE-BFF8-3F794F6FD423}"/>
    <cellStyle name="Check Cell 14 3 2 2" xfId="6405" xr:uid="{E8191515-042F-4ADD-9C1D-ED761B4B088B}"/>
    <cellStyle name="Check Cell 14 3 3" xfId="6406" xr:uid="{862FBE5A-221B-46F6-8E40-279940ED8842}"/>
    <cellStyle name="Check Cell 14 4" xfId="6407" xr:uid="{FBF51907-D36A-4629-ACAF-A47A3CC8819C}"/>
    <cellStyle name="Check Cell 14 4 2" xfId="6408" xr:uid="{BED7ADC4-D7F4-4786-A047-3621EA9A51C2}"/>
    <cellStyle name="Check Cell 15" xfId="6409" xr:uid="{005D82D3-60DA-4327-9C22-2AC1EC83EF02}"/>
    <cellStyle name="Check Cell 15 2" xfId="6410" xr:uid="{BCCC074D-E2B0-47FC-AD06-0B2AEAC126A3}"/>
    <cellStyle name="Check Cell 15 2 10" xfId="6411" xr:uid="{C7AD5015-7693-44D0-A3C1-A3D1286F74AA}"/>
    <cellStyle name="Check Cell 15 2 10 2" xfId="6412" xr:uid="{C8841F25-5C4F-4F65-8653-E45A3663E789}"/>
    <cellStyle name="Check Cell 15 2 10 2 2" xfId="6413" xr:uid="{638FF8C4-4CD9-45AE-B73F-7A51BE4664C2}"/>
    <cellStyle name="Check Cell 15 2 10 3" xfId="6414" xr:uid="{792AA380-A20C-4F16-81A6-58E8884DE0CB}"/>
    <cellStyle name="Check Cell 15 2 11" xfId="6415" xr:uid="{87F675F3-3F7D-4969-80AE-51A465D8B3A0}"/>
    <cellStyle name="Check Cell 15 2 11 2" xfId="6416" xr:uid="{B2A26E48-E475-4890-A1CF-0D703E842274}"/>
    <cellStyle name="Check Cell 15 2 11 2 2" xfId="6417" xr:uid="{84016710-FE95-4E4F-9207-C62AC16EAFEB}"/>
    <cellStyle name="Check Cell 15 2 11 3" xfId="6418" xr:uid="{2AFCC384-67E4-493B-91A2-9784A1CB0ADD}"/>
    <cellStyle name="Check Cell 15 2 12" xfId="6419" xr:uid="{89FB33A9-5CAF-4175-90A0-072358EEC906}"/>
    <cellStyle name="Check Cell 15 2 12 2" xfId="6420" xr:uid="{073051B4-65BB-489F-B5E3-60F5795F6E70}"/>
    <cellStyle name="Check Cell 15 2 12 2 2" xfId="6421" xr:uid="{6E9C51ED-F45E-4DC0-A6D0-F06D73FCA9D0}"/>
    <cellStyle name="Check Cell 15 2 12 3" xfId="6422" xr:uid="{B4795272-3BFD-410F-A74B-26BF0602906B}"/>
    <cellStyle name="Check Cell 15 2 13" xfId="6423" xr:uid="{F993AF80-9A22-4E57-8F4E-D9F73867AA3C}"/>
    <cellStyle name="Check Cell 15 2 13 2" xfId="6424" xr:uid="{C1B6E37A-0F90-4E6E-9B5B-144C304C0809}"/>
    <cellStyle name="Check Cell 15 2 13 2 2" xfId="6425" xr:uid="{70C185BF-2439-4B16-9E9A-229D670D93A2}"/>
    <cellStyle name="Check Cell 15 2 13 3" xfId="6426" xr:uid="{0042F80C-3D27-4EC5-9439-C16970835958}"/>
    <cellStyle name="Check Cell 15 2 2" xfId="6427" xr:uid="{D2723B9E-0E62-4E98-8B15-C88877CF63B8}"/>
    <cellStyle name="Check Cell 15 2 2 2" xfId="6428" xr:uid="{5755A89D-1361-4369-9568-F43C2FDA59CA}"/>
    <cellStyle name="Check Cell 15 2 2 2 2" xfId="6429" xr:uid="{48D00A2D-AADC-4CB9-986D-55F09BABF019}"/>
    <cellStyle name="Check Cell 15 2 2 2 2 2" xfId="6430" xr:uid="{F0C41A95-7BFB-47E8-A7D3-634929240611}"/>
    <cellStyle name="Check Cell 15 2 2 2 3" xfId="6431" xr:uid="{9EC07276-C9E8-4AAF-99D0-27C4022FB195}"/>
    <cellStyle name="Check Cell 15 2 2 3" xfId="6432" xr:uid="{36E69127-3F7B-460F-BAFB-E5E1EE9E0005}"/>
    <cellStyle name="Check Cell 15 2 2 3 2" xfId="6433" xr:uid="{E8F7756C-09F2-4175-92B7-06B2C2710EC0}"/>
    <cellStyle name="Check Cell 15 2 2 3 2 2" xfId="6434" xr:uid="{EAA4694E-ED11-4FB8-B07D-19EEF31E2296}"/>
    <cellStyle name="Check Cell 15 2 2 3 3" xfId="6435" xr:uid="{17D82A92-C613-44DD-A7AE-D2012D7BD03C}"/>
    <cellStyle name="Check Cell 15 2 2 4" xfId="6436" xr:uid="{2E857203-671B-4481-9C63-98CF76B5959A}"/>
    <cellStyle name="Check Cell 15 2 2 4 2" xfId="6437" xr:uid="{D4FB16EC-58F9-42EE-8067-C820FC525087}"/>
    <cellStyle name="Check Cell 15 2 2 4 2 2" xfId="6438" xr:uid="{D0C3D7C6-E127-4860-B478-3D73CB065A6F}"/>
    <cellStyle name="Check Cell 15 2 2 4 3" xfId="6439" xr:uid="{BBE52853-756F-4883-8EA1-C32025948398}"/>
    <cellStyle name="Check Cell 15 2 2 5" xfId="6440" xr:uid="{8FDD9815-82B2-4270-A6E2-BC2B2152675B}"/>
    <cellStyle name="Check Cell 15 2 2 5 2" xfId="6441" xr:uid="{87A27BE1-3276-4726-BD3B-819EAA55DC75}"/>
    <cellStyle name="Check Cell 15 2 2 5 2 2" xfId="6442" xr:uid="{C3F38379-BA7E-414F-968B-800738A07FAB}"/>
    <cellStyle name="Check Cell 15 2 2 5 3" xfId="6443" xr:uid="{EE1550F2-54CA-4616-9EB0-CF55D8A7DC29}"/>
    <cellStyle name="Check Cell 15 2 2 6" xfId="6444" xr:uid="{40D9F9A6-6780-4DFE-8C39-A08595B4E259}"/>
    <cellStyle name="Check Cell 15 2 2 6 2" xfId="6445" xr:uid="{3A25E875-EA56-41CD-8455-4F3D2A363BE3}"/>
    <cellStyle name="Check Cell 15 2 2 6 2 2" xfId="6446" xr:uid="{19AAA957-0850-427B-97FA-CC56DA68A02C}"/>
    <cellStyle name="Check Cell 15 2 2 6 3" xfId="6447" xr:uid="{B900E70C-E32B-4EBA-BD66-98516BCADEA9}"/>
    <cellStyle name="Check Cell 15 2 2 7" xfId="6448" xr:uid="{7CEBC895-087F-4800-BD45-54A4316B21E8}"/>
    <cellStyle name="Check Cell 15 2 2 7 2" xfId="6449" xr:uid="{D00F583B-36F3-4FF7-9CD8-7730DBA39671}"/>
    <cellStyle name="Check Cell 15 2 2 7 2 2" xfId="6450" xr:uid="{71103344-4293-4E76-A7C0-B549AC7A56B6}"/>
    <cellStyle name="Check Cell 15 2 2 7 3" xfId="6451" xr:uid="{8D878A88-C282-4ED3-A9C3-5E29F4A522E9}"/>
    <cellStyle name="Check Cell 15 2 2 8" xfId="6452" xr:uid="{5F60801E-A484-4287-83C4-7A06D82D246A}"/>
    <cellStyle name="Check Cell 15 2 2 8 2" xfId="6453" xr:uid="{491B7520-2439-48AF-9EE1-2561024AE26F}"/>
    <cellStyle name="Check Cell 15 2 2 8 2 2" xfId="6454" xr:uid="{6540EFCB-3CDA-4B0E-A718-9425C539EF09}"/>
    <cellStyle name="Check Cell 15 2 2 8 3" xfId="6455" xr:uid="{A04AA213-FFFC-40DA-AF34-46A27688F14D}"/>
    <cellStyle name="Check Cell 15 2 2 9" xfId="6456" xr:uid="{DD5E3915-87B2-4D09-997F-C404373769EA}"/>
    <cellStyle name="Check Cell 15 2 2 9 2" xfId="6457" xr:uid="{DAAB1B35-A98B-4434-8D47-228BDA83EFAF}"/>
    <cellStyle name="Check Cell 15 2 2 9 2 2" xfId="6458" xr:uid="{F47C5EBC-C1BD-4B30-8628-4DB51A0FEBE2}"/>
    <cellStyle name="Check Cell 15 2 2 9 3" xfId="6459" xr:uid="{E3F17A0F-F505-41CE-911A-B7EBD1ACD848}"/>
    <cellStyle name="Check Cell 15 2 3" xfId="6460" xr:uid="{A95BC7F3-D6B9-4679-BCC3-1FE42FD42ED8}"/>
    <cellStyle name="Check Cell 15 2 3 2" xfId="6461" xr:uid="{ED8931DF-FB64-418A-A56E-FB4205E58B0C}"/>
    <cellStyle name="Check Cell 15 2 3 2 2" xfId="6462" xr:uid="{E262A502-2284-4C6D-9AAD-B8A990584E3A}"/>
    <cellStyle name="Check Cell 15 2 3 2 2 2" xfId="6463" xr:uid="{42970853-F61A-4798-AFA9-236BE05A7275}"/>
    <cellStyle name="Check Cell 15 2 3 2 3" xfId="6464" xr:uid="{1831260D-845B-4F99-9E47-C85BE3B84FE9}"/>
    <cellStyle name="Check Cell 15 2 3 3" xfId="6465" xr:uid="{428E6DFD-711A-48B2-9E8D-D8530153DA21}"/>
    <cellStyle name="Check Cell 15 2 3 3 2" xfId="6466" xr:uid="{8BA8BB24-0E9F-4A4E-8A20-6D708A5DD212}"/>
    <cellStyle name="Check Cell 15 2 3 3 2 2" xfId="6467" xr:uid="{BDCDD78F-9D22-4184-BBCF-6DA2EADB969B}"/>
    <cellStyle name="Check Cell 15 2 3 3 3" xfId="6468" xr:uid="{6682EFA8-8F7B-48EF-A6B4-179B5346A051}"/>
    <cellStyle name="Check Cell 15 2 3 4" xfId="6469" xr:uid="{66C99B39-250A-4CCF-A114-7B48D5D4295A}"/>
    <cellStyle name="Check Cell 15 2 3 4 2" xfId="6470" xr:uid="{7D37B0E5-586B-4AE5-BFC9-1E7B8574DB76}"/>
    <cellStyle name="Check Cell 15 2 3 4 2 2" xfId="6471" xr:uid="{88AFB9F1-C9EB-4A8A-91A3-6256CAB2BA47}"/>
    <cellStyle name="Check Cell 15 2 3 4 3" xfId="6472" xr:uid="{27969DC5-331F-4BCE-A170-08158286E802}"/>
    <cellStyle name="Check Cell 15 2 3 5" xfId="6473" xr:uid="{A56E77D2-BEBA-4836-A4E8-0D8E472F8BE5}"/>
    <cellStyle name="Check Cell 15 2 3 5 2" xfId="6474" xr:uid="{7D0ABCDD-2607-4AB7-9A12-A958D43D9790}"/>
    <cellStyle name="Check Cell 15 2 3 5 2 2" xfId="6475" xr:uid="{94C08E1B-AED0-42A8-BCE6-785F563CA628}"/>
    <cellStyle name="Check Cell 15 2 3 5 3" xfId="6476" xr:uid="{1AE7CA9F-B190-4092-A6C3-41D26ECC76A8}"/>
    <cellStyle name="Check Cell 15 2 3 6" xfId="6477" xr:uid="{F1249DF0-2E95-4FE2-9D21-4E98F9E5D2E3}"/>
    <cellStyle name="Check Cell 15 2 3 6 2" xfId="6478" xr:uid="{3DCF47E7-16E8-4A5E-93CF-F0638507C7CF}"/>
    <cellStyle name="Check Cell 15 2 3 6 2 2" xfId="6479" xr:uid="{8FC5B2D0-DCED-4446-B3AA-63EBF9A6B50D}"/>
    <cellStyle name="Check Cell 15 2 3 6 3" xfId="6480" xr:uid="{C3C0D7FC-D313-4BF1-A942-444DC5276550}"/>
    <cellStyle name="Check Cell 15 2 3 7" xfId="6481" xr:uid="{3B5E9778-D8AB-4B30-83FB-FD26C6F2CE45}"/>
    <cellStyle name="Check Cell 15 2 3 7 2" xfId="6482" xr:uid="{4FC4D84B-42FF-4002-93B6-1A9BDA8129CD}"/>
    <cellStyle name="Check Cell 15 2 3 7 2 2" xfId="6483" xr:uid="{27E9A966-8B12-4046-826E-A0FA30C3E65A}"/>
    <cellStyle name="Check Cell 15 2 3 7 3" xfId="6484" xr:uid="{27876219-F8D8-4D48-A3CD-6A90C2AF7B93}"/>
    <cellStyle name="Check Cell 15 2 3 8" xfId="6485" xr:uid="{985C9F87-66FE-46E0-A655-A5F270897A1D}"/>
    <cellStyle name="Check Cell 15 2 3 8 2" xfId="6486" xr:uid="{D6AFC035-C2F0-4446-96B0-10A872A71D59}"/>
    <cellStyle name="Check Cell 15 2 3 8 2 2" xfId="6487" xr:uid="{C95F2550-212D-47F2-9283-BC51BA687803}"/>
    <cellStyle name="Check Cell 15 2 3 8 3" xfId="6488" xr:uid="{6B8EAE0C-1ACA-489A-BE65-13A136E4C01E}"/>
    <cellStyle name="Check Cell 15 2 3 9" xfId="6489" xr:uid="{554161D9-6903-4F9D-8250-C985776C5C23}"/>
    <cellStyle name="Check Cell 15 2 3 9 2" xfId="6490" xr:uid="{CC8FB3D7-85B8-45A2-AA0A-FEE82D1A2712}"/>
    <cellStyle name="Check Cell 15 2 3 9 2 2" xfId="6491" xr:uid="{4F21CEA0-DFAF-41CD-883C-729F5AE3705F}"/>
    <cellStyle name="Check Cell 15 2 3 9 3" xfId="6492" xr:uid="{7EC3184B-C5E2-44FC-8E7B-E500439B8249}"/>
    <cellStyle name="Check Cell 15 2 4" xfId="6493" xr:uid="{436D3310-3740-4402-9ABB-B30FD3EB90BF}"/>
    <cellStyle name="Check Cell 15 2 4 2" xfId="6494" xr:uid="{29FC3E2D-201B-4FAD-A035-5D4890D9162F}"/>
    <cellStyle name="Check Cell 15 2 4 2 2" xfId="6495" xr:uid="{319C9D4A-2A2C-4E51-8EB5-3E3FAE3E9D46}"/>
    <cellStyle name="Check Cell 15 2 4 2 2 2" xfId="6496" xr:uid="{D5B65DD2-49E6-469D-B2D5-DCB113DEC2CB}"/>
    <cellStyle name="Check Cell 15 2 4 2 3" xfId="6497" xr:uid="{8A16A74C-0A48-4C55-9AC5-92E2E3ED58AD}"/>
    <cellStyle name="Check Cell 15 2 4 3" xfId="6498" xr:uid="{F4352662-6300-4593-B81D-30C4BB329205}"/>
    <cellStyle name="Check Cell 15 2 4 3 2" xfId="6499" xr:uid="{BC5D11A9-560A-4B8B-AE68-919300B538A2}"/>
    <cellStyle name="Check Cell 15 2 4 3 2 2" xfId="6500" xr:uid="{7D04B965-656D-4A95-A799-185D5477596B}"/>
    <cellStyle name="Check Cell 15 2 4 3 3" xfId="6501" xr:uid="{BBFA8D4D-891B-4ED4-9BD5-BF9696322C72}"/>
    <cellStyle name="Check Cell 15 2 4 4" xfId="6502" xr:uid="{ACE49DDB-DF2A-4FA0-810A-0E82630CC520}"/>
    <cellStyle name="Check Cell 15 2 4 4 2" xfId="6503" xr:uid="{876CD8F8-A8F0-44A8-9F0C-F5228129D1DF}"/>
    <cellStyle name="Check Cell 15 2 4 4 2 2" xfId="6504" xr:uid="{0C1A10AE-2C71-458C-813B-E0692F35FEBB}"/>
    <cellStyle name="Check Cell 15 2 4 4 3" xfId="6505" xr:uid="{87D93E9F-CDE2-46F7-95AB-4071268FE809}"/>
    <cellStyle name="Check Cell 15 2 4 5" xfId="6506" xr:uid="{8C3C5ACC-4B78-4DC1-BD22-573D4E7E7057}"/>
    <cellStyle name="Check Cell 15 2 4 5 2" xfId="6507" xr:uid="{13B78A22-509E-4F87-99DD-F04D0B8E1107}"/>
    <cellStyle name="Check Cell 15 2 4 5 2 2" xfId="6508" xr:uid="{D44A2BBE-EE33-4581-92E7-13600F3426B1}"/>
    <cellStyle name="Check Cell 15 2 4 5 3" xfId="6509" xr:uid="{4CDCC3C6-8A2B-4F7C-B7DF-C43B0E8911E7}"/>
    <cellStyle name="Check Cell 15 2 4 6" xfId="6510" xr:uid="{22D74212-BE76-443D-B35E-B1231E34A6BC}"/>
    <cellStyle name="Check Cell 15 2 4 6 2" xfId="6511" xr:uid="{64F842F7-AD0B-45E6-B700-5EEC4BBBFE77}"/>
    <cellStyle name="Check Cell 15 2 4 6 2 2" xfId="6512" xr:uid="{4342D191-DBCD-4A35-A49C-268123E7F88F}"/>
    <cellStyle name="Check Cell 15 2 4 6 3" xfId="6513" xr:uid="{9273693E-1B58-4E67-8DEA-BFEBDAFD7D68}"/>
    <cellStyle name="Check Cell 15 2 4 7" xfId="6514" xr:uid="{F0A5462D-625A-4CB7-89E0-3BC5673A9E6D}"/>
    <cellStyle name="Check Cell 15 2 4 7 2" xfId="6515" xr:uid="{FB613FAF-8B29-49C6-8884-C376D3E1F482}"/>
    <cellStyle name="Check Cell 15 2 4 7 2 2" xfId="6516" xr:uid="{2766FD26-C50D-418D-A743-155224764E05}"/>
    <cellStyle name="Check Cell 15 2 4 7 3" xfId="6517" xr:uid="{F8B277EF-CF5B-4198-9DD2-D3EF073EA7C5}"/>
    <cellStyle name="Check Cell 15 2 4 8" xfId="6518" xr:uid="{B87AF0A5-0354-4548-9A64-4E2B82A04B51}"/>
    <cellStyle name="Check Cell 15 2 4 8 2" xfId="6519" xr:uid="{BBD0EE2F-2344-41E0-A037-E2A7125337DB}"/>
    <cellStyle name="Check Cell 15 2 4 8 2 2" xfId="6520" xr:uid="{2D2FCDB1-E9D9-4924-B25E-68A57127D084}"/>
    <cellStyle name="Check Cell 15 2 4 8 3" xfId="6521" xr:uid="{43601749-1F27-4A73-AEEE-82AA1694F0F3}"/>
    <cellStyle name="Check Cell 15 2 4 9" xfId="6522" xr:uid="{4A8F50DF-1EA5-40AE-967C-D48E9D01F103}"/>
    <cellStyle name="Check Cell 15 2 4 9 2" xfId="6523" xr:uid="{6C82A838-CED5-44F4-B401-271B8D734397}"/>
    <cellStyle name="Check Cell 15 2 4 9 2 2" xfId="6524" xr:uid="{193E12BC-1F85-44D9-B41D-9E90B5F7A279}"/>
    <cellStyle name="Check Cell 15 2 4 9 3" xfId="6525" xr:uid="{764C3A6A-FDE3-403F-9BD6-8E93D5873B03}"/>
    <cellStyle name="Check Cell 15 2 5" xfId="6526" xr:uid="{5397A299-4843-4BA0-BBA1-671C23D9620C}"/>
    <cellStyle name="Check Cell 15 2 5 2" xfId="6527" xr:uid="{C7BC355D-35FC-404F-9E6E-2275E76BB384}"/>
    <cellStyle name="Check Cell 15 2 5 2 2" xfId="6528" xr:uid="{B9E93EC9-4FEC-4548-99BF-31CED52A9746}"/>
    <cellStyle name="Check Cell 15 2 5 2 2 2" xfId="6529" xr:uid="{4051EE17-A16B-4118-B5EA-4FB74188607A}"/>
    <cellStyle name="Check Cell 15 2 5 2 3" xfId="6530" xr:uid="{38DF5497-59C7-4AD0-B633-94BAA55A5A94}"/>
    <cellStyle name="Check Cell 15 2 5 3" xfId="6531" xr:uid="{B0861CA4-D7A9-4FD0-9B19-A10D708BA141}"/>
    <cellStyle name="Check Cell 15 2 5 3 2" xfId="6532" xr:uid="{A5F92529-5D3F-4487-B579-366B6C081865}"/>
    <cellStyle name="Check Cell 15 2 5 3 2 2" xfId="6533" xr:uid="{E5804C30-C7D6-4A39-9B93-08E3046A0139}"/>
    <cellStyle name="Check Cell 15 2 5 3 3" xfId="6534" xr:uid="{E45D6C18-CB0A-4393-839E-A50AC9CCAC34}"/>
    <cellStyle name="Check Cell 15 2 5 4" xfId="6535" xr:uid="{CE9F2610-F33B-4CFF-BCC3-897B01DE5BDD}"/>
    <cellStyle name="Check Cell 15 2 5 4 2" xfId="6536" xr:uid="{74BA6304-098C-4960-B320-B06D71008D32}"/>
    <cellStyle name="Check Cell 15 2 5 4 2 2" xfId="6537" xr:uid="{D85DF38E-D990-484B-9E94-1DE1BF52C9FE}"/>
    <cellStyle name="Check Cell 15 2 5 4 3" xfId="6538" xr:uid="{8A92AD29-124E-44FE-8DD6-2A712BC60865}"/>
    <cellStyle name="Check Cell 15 2 5 5" xfId="6539" xr:uid="{A98B30FB-6F77-4FFE-ACD0-C30DEEB53579}"/>
    <cellStyle name="Check Cell 15 2 5 5 2" xfId="6540" xr:uid="{6B90DE32-A4D3-4CB9-9023-3EB7ED1AAE23}"/>
    <cellStyle name="Check Cell 15 2 5 5 2 2" xfId="6541" xr:uid="{A6B3BF2C-A296-483A-8C7F-0F8D00A8F9E8}"/>
    <cellStyle name="Check Cell 15 2 5 5 3" xfId="6542" xr:uid="{7F020FAE-17B9-4B33-AB43-5AC1E9005AC5}"/>
    <cellStyle name="Check Cell 15 2 5 6" xfId="6543" xr:uid="{A7EF93CF-0DD2-4140-ADD5-CEB3AC001D3F}"/>
    <cellStyle name="Check Cell 15 2 5 6 2" xfId="6544" xr:uid="{F410EB71-6F26-4AF7-9123-F1CF51A9A7AC}"/>
    <cellStyle name="Check Cell 15 2 5 6 2 2" xfId="6545" xr:uid="{B07C042B-E598-42CC-990D-720C44443788}"/>
    <cellStyle name="Check Cell 15 2 5 6 3" xfId="6546" xr:uid="{8A85B765-4FA9-4DDD-9277-BB29A8ACEF69}"/>
    <cellStyle name="Check Cell 15 2 5 7" xfId="6547" xr:uid="{73F9A591-137D-410F-99C5-9094D0AC18D4}"/>
    <cellStyle name="Check Cell 15 2 5 7 2" xfId="6548" xr:uid="{1061251F-4D14-4627-A8F5-4328E6246FC6}"/>
    <cellStyle name="Check Cell 15 2 5 7 2 2" xfId="6549" xr:uid="{B1AB1D00-E280-4A28-85B3-43F447D7CCD8}"/>
    <cellStyle name="Check Cell 15 2 5 7 3" xfId="6550" xr:uid="{43137449-E7A9-4C01-9CCF-A872B85DEB40}"/>
    <cellStyle name="Check Cell 15 2 5 8" xfId="6551" xr:uid="{784CB1AA-E9E5-43C9-91DE-FD56D41A4275}"/>
    <cellStyle name="Check Cell 15 2 5 8 2" xfId="6552" xr:uid="{2DB4B1B3-FF0C-4366-9634-1B79E5518610}"/>
    <cellStyle name="Check Cell 15 2 5 8 2 2" xfId="6553" xr:uid="{EFDB5958-F314-4DCF-956D-875A805941B8}"/>
    <cellStyle name="Check Cell 15 2 5 8 3" xfId="6554" xr:uid="{31564464-6A93-401F-8B03-BEE1761EBF50}"/>
    <cellStyle name="Check Cell 15 2 5 9" xfId="6555" xr:uid="{4BFDED02-9433-4648-B0B1-D12496C49AC5}"/>
    <cellStyle name="Check Cell 15 2 5 9 2" xfId="6556" xr:uid="{9438E919-B866-4069-A61F-873B628A5482}"/>
    <cellStyle name="Check Cell 15 2 5 9 2 2" xfId="6557" xr:uid="{CD0FA7D6-8B69-4849-A9E9-B0E5A646F1D0}"/>
    <cellStyle name="Check Cell 15 2 5 9 3" xfId="6558" xr:uid="{5DE7EAD5-317B-4195-B37D-C180DF6CE64A}"/>
    <cellStyle name="Check Cell 15 2 6" xfId="6559" xr:uid="{285E98CD-84D6-455F-A589-9EC1FDC7924D}"/>
    <cellStyle name="Check Cell 15 2 6 2" xfId="6560" xr:uid="{626B46B9-E28A-4664-909F-D536BD5A515F}"/>
    <cellStyle name="Check Cell 15 2 6 2 2" xfId="6561" xr:uid="{91F7324F-4A51-4885-8B73-8E0CDAF6DCBD}"/>
    <cellStyle name="Check Cell 15 2 6 3" xfId="6562" xr:uid="{363EB22E-9C22-4AFA-959C-628154D73039}"/>
    <cellStyle name="Check Cell 15 2 7" xfId="6563" xr:uid="{7F5D01A6-8088-4A0D-BB12-D57375FE006A}"/>
    <cellStyle name="Check Cell 15 2 7 2" xfId="6564" xr:uid="{6ABAEA17-E976-4301-A7A5-46F35C1F1360}"/>
    <cellStyle name="Check Cell 15 2 7 2 2" xfId="6565" xr:uid="{CF7A93A3-17AF-43DC-9687-968F1D3FEA9F}"/>
    <cellStyle name="Check Cell 15 2 7 3" xfId="6566" xr:uid="{413A2EB4-AF45-48DC-A661-FE64D33DC2B2}"/>
    <cellStyle name="Check Cell 15 2 8" xfId="6567" xr:uid="{B8AEC62F-3CC9-4D3B-A464-5BAD2E5221FA}"/>
    <cellStyle name="Check Cell 15 2 8 2" xfId="6568" xr:uid="{16EF7033-F344-4AD9-B3EC-FD7BE41E4FA3}"/>
    <cellStyle name="Check Cell 15 2 8 2 2" xfId="6569" xr:uid="{25653FB1-BCF8-4BE0-8F3E-0AF379A6DACB}"/>
    <cellStyle name="Check Cell 15 2 8 3" xfId="6570" xr:uid="{D66936C4-E216-400B-9E6A-84A35614579B}"/>
    <cellStyle name="Check Cell 15 2 9" xfId="6571" xr:uid="{E67AD535-6FA6-4578-B192-8F16856C5FDE}"/>
    <cellStyle name="Check Cell 15 2 9 2" xfId="6572" xr:uid="{FBAEC049-09A8-4A6C-A679-057EE3E88612}"/>
    <cellStyle name="Check Cell 15 2 9 2 2" xfId="6573" xr:uid="{0DA3D96D-6902-4A60-A411-4B8E9D14481B}"/>
    <cellStyle name="Check Cell 15 2 9 3" xfId="6574" xr:uid="{A684BEC9-ADF3-4EED-9388-E79D41D9230B}"/>
    <cellStyle name="Check Cell 15 3" xfId="6575" xr:uid="{225BCCDB-320B-429B-869C-10245CAA79D0}"/>
    <cellStyle name="Check Cell 15 3 2" xfId="6576" xr:uid="{DEA7FAA2-1779-4281-80E8-A502DCB224FC}"/>
    <cellStyle name="Check Cell 15 3 2 2" xfId="6577" xr:uid="{F466ACDB-E350-4A36-8D92-2644F9673B28}"/>
    <cellStyle name="Check Cell 15 3 3" xfId="6578" xr:uid="{18426A57-6C0E-4556-905A-014B6C7EFD71}"/>
    <cellStyle name="Check Cell 15 4" xfId="6579" xr:uid="{52E48825-BABA-43A3-8758-F55A551B7C69}"/>
    <cellStyle name="Check Cell 15 4 2" xfId="6580" xr:uid="{63379291-2947-40B9-A0CD-1F9DD51D94F5}"/>
    <cellStyle name="Check Cell 16" xfId="6581" xr:uid="{FE755999-6DF1-4646-B5C8-4B96601281C4}"/>
    <cellStyle name="Check Cell 16 2" xfId="6582" xr:uid="{2E5179E2-E8BF-4744-B50F-E402C282D0D6}"/>
    <cellStyle name="Check Cell 16 2 10" xfId="6583" xr:uid="{5316E3FA-FC09-4BB7-95BC-A8D5FBDFD47D}"/>
    <cellStyle name="Check Cell 16 2 10 2" xfId="6584" xr:uid="{6268CE9D-0AB5-4AFF-9B7D-A1D6E14BAC29}"/>
    <cellStyle name="Check Cell 16 2 10 2 2" xfId="6585" xr:uid="{0E94AFB0-D017-41EF-A90E-036C906F89B2}"/>
    <cellStyle name="Check Cell 16 2 10 3" xfId="6586" xr:uid="{F6D0E5F6-CAA4-405B-9D7F-1814059AFB91}"/>
    <cellStyle name="Check Cell 16 2 11" xfId="6587" xr:uid="{B92BEA51-7607-47F5-8379-E804EE7481B7}"/>
    <cellStyle name="Check Cell 16 2 11 2" xfId="6588" xr:uid="{DAE90B48-120B-4F49-856A-6B4FC7BDB9FA}"/>
    <cellStyle name="Check Cell 16 2 11 2 2" xfId="6589" xr:uid="{3EEF603E-5997-4FD3-9689-CA072E61C773}"/>
    <cellStyle name="Check Cell 16 2 11 3" xfId="6590" xr:uid="{1B4FA55C-7DC7-4212-B690-4B2F3E32A137}"/>
    <cellStyle name="Check Cell 16 2 12" xfId="6591" xr:uid="{F24D6811-86E3-4009-9313-B6C4AD70B8F6}"/>
    <cellStyle name="Check Cell 16 2 12 2" xfId="6592" xr:uid="{8A28DBBF-CA67-4BA7-A145-E9C9CF24088F}"/>
    <cellStyle name="Check Cell 16 2 12 2 2" xfId="6593" xr:uid="{5D3D57F7-6459-4418-AD6F-0CE3607284D8}"/>
    <cellStyle name="Check Cell 16 2 12 3" xfId="6594" xr:uid="{6AA121C0-01D1-4101-8AF5-8E3F3E00621C}"/>
    <cellStyle name="Check Cell 16 2 13" xfId="6595" xr:uid="{B9027198-C554-4014-ACF7-FDED766F7E67}"/>
    <cellStyle name="Check Cell 16 2 13 2" xfId="6596" xr:uid="{FFAD0AE9-85DB-4C62-B6C9-82DE54D2B314}"/>
    <cellStyle name="Check Cell 16 2 13 2 2" xfId="6597" xr:uid="{5844B71F-42F2-48A1-A625-6A3A0850F9DC}"/>
    <cellStyle name="Check Cell 16 2 13 3" xfId="6598" xr:uid="{ED739BCC-A169-45E2-BBD2-0D672E596F28}"/>
    <cellStyle name="Check Cell 16 2 2" xfId="6599" xr:uid="{BF244EB4-B3F0-4B89-A916-78D662E8D988}"/>
    <cellStyle name="Check Cell 16 2 2 2" xfId="6600" xr:uid="{4BA47D12-E2DF-4918-867F-A7503C8DBD13}"/>
    <cellStyle name="Check Cell 16 2 2 2 2" xfId="6601" xr:uid="{407CD87C-31BB-4070-BB4F-0F1D4CF451D6}"/>
    <cellStyle name="Check Cell 16 2 2 2 2 2" xfId="6602" xr:uid="{9F32A87B-BDDE-406C-8C32-6D3F685122C0}"/>
    <cellStyle name="Check Cell 16 2 2 2 3" xfId="6603" xr:uid="{FEF04D93-3C3D-43C4-905D-BB373CF43FDB}"/>
    <cellStyle name="Check Cell 16 2 2 3" xfId="6604" xr:uid="{80FD66E5-F29B-4BF5-B1A7-D470D8C13032}"/>
    <cellStyle name="Check Cell 16 2 2 3 2" xfId="6605" xr:uid="{B3A087F3-E664-4C66-8DD1-427FB07342AF}"/>
    <cellStyle name="Check Cell 16 2 2 3 2 2" xfId="6606" xr:uid="{92BF5DD6-8A0D-412D-A8E9-7B101DF997AA}"/>
    <cellStyle name="Check Cell 16 2 2 3 3" xfId="6607" xr:uid="{A25606F9-EA16-4880-B50A-006237F8F4BD}"/>
    <cellStyle name="Check Cell 16 2 2 4" xfId="6608" xr:uid="{002EFE65-9C8B-45EA-93FE-429928EC11D8}"/>
    <cellStyle name="Check Cell 16 2 2 4 2" xfId="6609" xr:uid="{1670729B-BA98-4DA0-B79A-A9E4D675F925}"/>
    <cellStyle name="Check Cell 16 2 2 4 2 2" xfId="6610" xr:uid="{A641F390-6E94-459D-8FD7-AFF3A19645E4}"/>
    <cellStyle name="Check Cell 16 2 2 4 3" xfId="6611" xr:uid="{A50CD55E-55D5-43C1-BC05-A793D51F4DCB}"/>
    <cellStyle name="Check Cell 16 2 2 5" xfId="6612" xr:uid="{565D5663-369C-409D-BC57-C86AE94FDF2D}"/>
    <cellStyle name="Check Cell 16 2 2 5 2" xfId="6613" xr:uid="{9B1C2143-D9C8-4E47-A5F6-B1AE03E3ACF7}"/>
    <cellStyle name="Check Cell 16 2 2 5 2 2" xfId="6614" xr:uid="{07AE07CB-926E-4583-AA58-C5EA8B1BDB2E}"/>
    <cellStyle name="Check Cell 16 2 2 5 3" xfId="6615" xr:uid="{41B1741F-251B-4DAF-9F70-2B102FB4006A}"/>
    <cellStyle name="Check Cell 16 2 2 6" xfId="6616" xr:uid="{AB03AD65-85C6-4CE4-97F9-F8A628C675D3}"/>
    <cellStyle name="Check Cell 16 2 2 6 2" xfId="6617" xr:uid="{AFEE3AAB-F4CF-42C4-AC18-115FD6AB6A55}"/>
    <cellStyle name="Check Cell 16 2 2 6 2 2" xfId="6618" xr:uid="{BE0F0297-DD59-41EC-B10E-929FD728E3C9}"/>
    <cellStyle name="Check Cell 16 2 2 6 3" xfId="6619" xr:uid="{2FE3A465-F1EB-45B8-8FA5-B0E0CC090622}"/>
    <cellStyle name="Check Cell 16 2 2 7" xfId="6620" xr:uid="{C9F503E6-4E07-468E-B9E6-73A4E91CF792}"/>
    <cellStyle name="Check Cell 16 2 2 7 2" xfId="6621" xr:uid="{CC3CDA6A-29D5-4F0A-8409-75FDBD6EBD02}"/>
    <cellStyle name="Check Cell 16 2 2 7 2 2" xfId="6622" xr:uid="{5CD93E30-5919-426D-AAD6-52E33B0A4DDA}"/>
    <cellStyle name="Check Cell 16 2 2 7 3" xfId="6623" xr:uid="{83BFBF19-3B68-41B3-8D61-04C85665A426}"/>
    <cellStyle name="Check Cell 16 2 2 8" xfId="6624" xr:uid="{33D10747-68C2-4799-91AB-D0CF7CE00C44}"/>
    <cellStyle name="Check Cell 16 2 2 8 2" xfId="6625" xr:uid="{1FF4D30F-4195-4F6A-A391-CB11CBB4AB43}"/>
    <cellStyle name="Check Cell 16 2 2 8 2 2" xfId="6626" xr:uid="{124E5308-DB72-4DAE-8017-5D2E085AFBC0}"/>
    <cellStyle name="Check Cell 16 2 2 8 3" xfId="6627" xr:uid="{89BBE3E6-4B71-4ADF-A406-7E48C8998025}"/>
    <cellStyle name="Check Cell 16 2 2 9" xfId="6628" xr:uid="{F63F005E-4B5E-469E-A126-6133EA952698}"/>
    <cellStyle name="Check Cell 16 2 2 9 2" xfId="6629" xr:uid="{575A8708-C1E0-47E1-BB34-B7A778888877}"/>
    <cellStyle name="Check Cell 16 2 2 9 2 2" xfId="6630" xr:uid="{02D0E9BA-7751-47C3-89BA-3F499704D428}"/>
    <cellStyle name="Check Cell 16 2 2 9 3" xfId="6631" xr:uid="{3A228247-352C-4FE1-9F87-E60542948F5D}"/>
    <cellStyle name="Check Cell 16 2 3" xfId="6632" xr:uid="{9FA6B03F-CE36-4244-AF84-DF0FC68A51F3}"/>
    <cellStyle name="Check Cell 16 2 3 2" xfId="6633" xr:uid="{9A29923A-CB8E-4F97-99A0-53A2EE1FB62E}"/>
    <cellStyle name="Check Cell 16 2 3 2 2" xfId="6634" xr:uid="{258CA63D-4B9C-429B-8B23-96F814DD7511}"/>
    <cellStyle name="Check Cell 16 2 3 2 2 2" xfId="6635" xr:uid="{C8EE25C0-7B68-4309-8342-736736044B8D}"/>
    <cellStyle name="Check Cell 16 2 3 2 3" xfId="6636" xr:uid="{4DD2CCB4-F11C-4FFB-B763-B429999A6FB0}"/>
    <cellStyle name="Check Cell 16 2 3 3" xfId="6637" xr:uid="{1E315FF0-AABC-4A79-BE16-08465010DB9B}"/>
    <cellStyle name="Check Cell 16 2 3 3 2" xfId="6638" xr:uid="{6A025037-94CF-4ED8-B111-27D70DE39D14}"/>
    <cellStyle name="Check Cell 16 2 3 3 2 2" xfId="6639" xr:uid="{0721A23E-905B-48AF-B03E-034C91E52711}"/>
    <cellStyle name="Check Cell 16 2 3 3 3" xfId="6640" xr:uid="{F1ADFFFE-F242-4C57-98FD-BC82F1246F09}"/>
    <cellStyle name="Check Cell 16 2 3 4" xfId="6641" xr:uid="{40CA349D-7A88-4BAD-BE2D-5E60BCDB38A3}"/>
    <cellStyle name="Check Cell 16 2 3 4 2" xfId="6642" xr:uid="{34C1CBB1-26F8-4603-9187-39B57590FF13}"/>
    <cellStyle name="Check Cell 16 2 3 4 2 2" xfId="6643" xr:uid="{B1A683F9-9B08-4192-8A3F-53F596592268}"/>
    <cellStyle name="Check Cell 16 2 3 4 3" xfId="6644" xr:uid="{4D845FD4-8068-4D1C-B2B3-A552FD341E98}"/>
    <cellStyle name="Check Cell 16 2 3 5" xfId="6645" xr:uid="{68D357AB-E8A3-4A53-9348-DFBF9B41C783}"/>
    <cellStyle name="Check Cell 16 2 3 5 2" xfId="6646" xr:uid="{90452796-21E1-4525-9B3A-A23C2B43EAA4}"/>
    <cellStyle name="Check Cell 16 2 3 5 2 2" xfId="6647" xr:uid="{46B5B271-458F-46BC-90E2-637A12371AFA}"/>
    <cellStyle name="Check Cell 16 2 3 5 3" xfId="6648" xr:uid="{33F90CB4-1B8B-4948-A279-27E1B8363842}"/>
    <cellStyle name="Check Cell 16 2 3 6" xfId="6649" xr:uid="{DAE9D76B-A644-46E2-840D-F328C9250182}"/>
    <cellStyle name="Check Cell 16 2 3 6 2" xfId="6650" xr:uid="{9C07A21A-0D38-40D9-8D89-1845C1EBDAFD}"/>
    <cellStyle name="Check Cell 16 2 3 6 2 2" xfId="6651" xr:uid="{17BED2C4-6655-4357-ACF8-57317BCAF333}"/>
    <cellStyle name="Check Cell 16 2 3 6 3" xfId="6652" xr:uid="{15014951-E7E8-4F87-839A-C8A2CA4A8429}"/>
    <cellStyle name="Check Cell 16 2 3 7" xfId="6653" xr:uid="{3AB9654A-BA6C-4EAC-8894-248E637CFA82}"/>
    <cellStyle name="Check Cell 16 2 3 7 2" xfId="6654" xr:uid="{DD3870EB-DC2B-40A3-BAB1-010A0EF8B227}"/>
    <cellStyle name="Check Cell 16 2 3 7 2 2" xfId="6655" xr:uid="{785BFF2B-ABCE-4A22-95F1-4A12D153C6FE}"/>
    <cellStyle name="Check Cell 16 2 3 7 3" xfId="6656" xr:uid="{7D5612C9-E873-4CA2-9666-78E4D2A5D3C9}"/>
    <cellStyle name="Check Cell 16 2 3 8" xfId="6657" xr:uid="{2075A70B-081F-4E98-A157-C1E8B3F5DB68}"/>
    <cellStyle name="Check Cell 16 2 3 8 2" xfId="6658" xr:uid="{728C6F5B-EEBB-4FFB-857E-57F95FB3299A}"/>
    <cellStyle name="Check Cell 16 2 3 8 2 2" xfId="6659" xr:uid="{373C2DBC-81B7-480E-A160-DFDFD21CD765}"/>
    <cellStyle name="Check Cell 16 2 3 8 3" xfId="6660" xr:uid="{0D8728A4-D903-4D9E-A61E-EBB775DAA958}"/>
    <cellStyle name="Check Cell 16 2 3 9" xfId="6661" xr:uid="{8E32E73A-60F0-49F9-B066-7BF85AFEFBE8}"/>
    <cellStyle name="Check Cell 16 2 3 9 2" xfId="6662" xr:uid="{2C052D68-5C1F-4B5E-BAFE-6EDC39E5FE86}"/>
    <cellStyle name="Check Cell 16 2 3 9 2 2" xfId="6663" xr:uid="{1D699CAD-CEAE-4AFC-B70E-7B47A39D0D0C}"/>
    <cellStyle name="Check Cell 16 2 3 9 3" xfId="6664" xr:uid="{B76EA593-366C-4707-9511-C82A45D36E8B}"/>
    <cellStyle name="Check Cell 16 2 4" xfId="6665" xr:uid="{37EEB0BC-EFA5-4683-81A8-2A6FC8C00E58}"/>
    <cellStyle name="Check Cell 16 2 4 2" xfId="6666" xr:uid="{F7283588-67DD-41F8-A464-F173C81B339A}"/>
    <cellStyle name="Check Cell 16 2 4 2 2" xfId="6667" xr:uid="{1875FB95-90A6-404A-A0E6-76D84A85C0DD}"/>
    <cellStyle name="Check Cell 16 2 4 2 2 2" xfId="6668" xr:uid="{39E6445C-6C36-4297-A131-A3E27C4A5C48}"/>
    <cellStyle name="Check Cell 16 2 4 2 3" xfId="6669" xr:uid="{BEFCC272-635B-4CE1-925B-0419A36F942B}"/>
    <cellStyle name="Check Cell 16 2 4 3" xfId="6670" xr:uid="{862CA224-90AA-4F6C-9321-DD4E8D909221}"/>
    <cellStyle name="Check Cell 16 2 4 3 2" xfId="6671" xr:uid="{5587581B-DBB3-46CF-B972-A39B6CB6E74D}"/>
    <cellStyle name="Check Cell 16 2 4 3 2 2" xfId="6672" xr:uid="{A9615599-FA28-4B09-829F-67DA477342D4}"/>
    <cellStyle name="Check Cell 16 2 4 3 3" xfId="6673" xr:uid="{CC1AB919-C2CA-493F-984A-03BDD0CFF809}"/>
    <cellStyle name="Check Cell 16 2 4 4" xfId="6674" xr:uid="{1806CF55-29D7-483C-8788-DC0FBF70CC5D}"/>
    <cellStyle name="Check Cell 16 2 4 4 2" xfId="6675" xr:uid="{CF5A5760-A4A4-414A-8799-5FDED80225A3}"/>
    <cellStyle name="Check Cell 16 2 4 4 2 2" xfId="6676" xr:uid="{8A7AA871-02E6-401A-9D43-912A0CA5B0B4}"/>
    <cellStyle name="Check Cell 16 2 4 4 3" xfId="6677" xr:uid="{E0E49D72-F3D9-4D72-AD32-A794FDE6210E}"/>
    <cellStyle name="Check Cell 16 2 4 5" xfId="6678" xr:uid="{01156ADE-1407-4B87-81A9-1B8CB5C0F46F}"/>
    <cellStyle name="Check Cell 16 2 4 5 2" xfId="6679" xr:uid="{E1E990C7-E10B-44F8-9900-59045C75FD5E}"/>
    <cellStyle name="Check Cell 16 2 4 5 2 2" xfId="6680" xr:uid="{06C6A52D-990B-46A4-A1AE-37A7F8CE46DE}"/>
    <cellStyle name="Check Cell 16 2 4 5 3" xfId="6681" xr:uid="{3F812ADD-45EE-4C71-9C40-F313ED6C3BFF}"/>
    <cellStyle name="Check Cell 16 2 4 6" xfId="6682" xr:uid="{BEFA3DE0-8416-4648-8C49-CEFA7920E9CF}"/>
    <cellStyle name="Check Cell 16 2 4 6 2" xfId="6683" xr:uid="{4F211D80-EC40-4049-8A71-E2C3839675FF}"/>
    <cellStyle name="Check Cell 16 2 4 6 2 2" xfId="6684" xr:uid="{793B8C4B-D413-408B-A2DF-CE33B596A42F}"/>
    <cellStyle name="Check Cell 16 2 4 6 3" xfId="6685" xr:uid="{8EA0B7D3-289D-4807-8865-02DB2A378CE9}"/>
    <cellStyle name="Check Cell 16 2 4 7" xfId="6686" xr:uid="{CF2D42E9-CEF8-44FD-879D-C31AF642D7DA}"/>
    <cellStyle name="Check Cell 16 2 4 7 2" xfId="6687" xr:uid="{0B03AE5F-3F52-4FC5-A4C3-18414075389D}"/>
    <cellStyle name="Check Cell 16 2 4 7 2 2" xfId="6688" xr:uid="{7592F140-A812-4DCF-B7A4-3F0FB667308A}"/>
    <cellStyle name="Check Cell 16 2 4 7 3" xfId="6689" xr:uid="{4D05F39B-8321-43DB-8B61-2B845F637044}"/>
    <cellStyle name="Check Cell 16 2 4 8" xfId="6690" xr:uid="{72B4B668-A58F-40DE-9F59-D96FA9992B34}"/>
    <cellStyle name="Check Cell 16 2 4 8 2" xfId="6691" xr:uid="{ED4E4619-12C3-4588-A2D1-1A35B263C6C5}"/>
    <cellStyle name="Check Cell 16 2 4 8 2 2" xfId="6692" xr:uid="{97EA8F88-E98D-4D9C-82B4-1A06D2791696}"/>
    <cellStyle name="Check Cell 16 2 4 8 3" xfId="6693" xr:uid="{3560E1E0-2176-47F8-8C74-E6933EF9E1BD}"/>
    <cellStyle name="Check Cell 16 2 4 9" xfId="6694" xr:uid="{06DD1536-36DA-4959-948C-5FB67B864534}"/>
    <cellStyle name="Check Cell 16 2 4 9 2" xfId="6695" xr:uid="{69927AD1-09AB-43AC-820C-0FE45FE00A24}"/>
    <cellStyle name="Check Cell 16 2 4 9 2 2" xfId="6696" xr:uid="{29A4ADEF-3C35-43D0-9E86-4BF0A6B29938}"/>
    <cellStyle name="Check Cell 16 2 4 9 3" xfId="6697" xr:uid="{1801359C-BE85-44B5-AD4B-08FEA83E1F09}"/>
    <cellStyle name="Check Cell 16 2 5" xfId="6698" xr:uid="{F6EB787C-AD12-4E52-8813-B1BFA7D7995F}"/>
    <cellStyle name="Check Cell 16 2 5 2" xfId="6699" xr:uid="{B8B92FDA-8BB0-415B-B11A-BDB9D526788E}"/>
    <cellStyle name="Check Cell 16 2 5 2 2" xfId="6700" xr:uid="{42C690FC-D651-4566-A67C-898C99F83051}"/>
    <cellStyle name="Check Cell 16 2 5 2 2 2" xfId="6701" xr:uid="{FE216C4E-BC77-4E4B-827C-749B4F996AA5}"/>
    <cellStyle name="Check Cell 16 2 5 2 3" xfId="6702" xr:uid="{7818EF8C-9515-4D2A-9855-E2DF0407E876}"/>
    <cellStyle name="Check Cell 16 2 5 3" xfId="6703" xr:uid="{CC6EE6BD-8024-48C6-9D96-E00364ED178E}"/>
    <cellStyle name="Check Cell 16 2 5 3 2" xfId="6704" xr:uid="{6990A52C-44D6-413E-97D5-1CDEB89C23EB}"/>
    <cellStyle name="Check Cell 16 2 5 3 2 2" xfId="6705" xr:uid="{494FFFBD-10F6-4358-BA82-8091E534E16B}"/>
    <cellStyle name="Check Cell 16 2 5 3 3" xfId="6706" xr:uid="{720B5339-36AB-4CAD-99EC-575020913439}"/>
    <cellStyle name="Check Cell 16 2 5 4" xfId="6707" xr:uid="{1696E866-2B5C-49DA-BA7B-F5D61B8CE73B}"/>
    <cellStyle name="Check Cell 16 2 5 4 2" xfId="6708" xr:uid="{F5992AEB-FB41-43EA-8A76-F183BB3683C1}"/>
    <cellStyle name="Check Cell 16 2 5 4 2 2" xfId="6709" xr:uid="{30ABA849-C0F5-4887-BBE6-ACE1B5E141A1}"/>
    <cellStyle name="Check Cell 16 2 5 4 3" xfId="6710" xr:uid="{6503571E-C036-474B-9EF1-16F3FC7F68BB}"/>
    <cellStyle name="Check Cell 16 2 5 5" xfId="6711" xr:uid="{A66F269B-3B84-4ADF-8EE6-4273E6CBD1E0}"/>
    <cellStyle name="Check Cell 16 2 5 5 2" xfId="6712" xr:uid="{B8CFCEE4-AF32-4E98-87A7-608A3D27DDF5}"/>
    <cellStyle name="Check Cell 16 2 5 5 2 2" xfId="6713" xr:uid="{081AD82B-A53B-4928-B4F2-8713487298C0}"/>
    <cellStyle name="Check Cell 16 2 5 5 3" xfId="6714" xr:uid="{9C6E4CF9-177E-4A91-AAEB-A92C531E79C8}"/>
    <cellStyle name="Check Cell 16 2 5 6" xfId="6715" xr:uid="{EC973059-DA5D-48EA-8771-5A22B4C90410}"/>
    <cellStyle name="Check Cell 16 2 5 6 2" xfId="6716" xr:uid="{8ADA3EA9-6B0C-4505-9843-B9D4E44D28D9}"/>
    <cellStyle name="Check Cell 16 2 5 6 2 2" xfId="6717" xr:uid="{AA044369-1AF3-44D8-A943-91326961E0DE}"/>
    <cellStyle name="Check Cell 16 2 5 6 3" xfId="6718" xr:uid="{7185686D-89FA-47FE-9666-744734348088}"/>
    <cellStyle name="Check Cell 16 2 5 7" xfId="6719" xr:uid="{23C1CCFD-83D6-41FA-B06A-3AB63CAD5EB4}"/>
    <cellStyle name="Check Cell 16 2 5 7 2" xfId="6720" xr:uid="{0B00D2DA-C8B2-4AD8-BEFA-4985D16C4372}"/>
    <cellStyle name="Check Cell 16 2 5 7 2 2" xfId="6721" xr:uid="{860EC3B3-8E7E-4737-BBF1-369E6FA115B5}"/>
    <cellStyle name="Check Cell 16 2 5 7 3" xfId="6722" xr:uid="{E10B970F-5FEA-4E65-8F1B-E9EC3BE1493E}"/>
    <cellStyle name="Check Cell 16 2 5 8" xfId="6723" xr:uid="{777C74D9-5D39-411D-A1A6-4D7487D3BEE9}"/>
    <cellStyle name="Check Cell 16 2 5 8 2" xfId="6724" xr:uid="{B9CD857F-091F-4C48-B1D3-6FDC1C841C88}"/>
    <cellStyle name="Check Cell 16 2 5 8 2 2" xfId="6725" xr:uid="{CB3BCA95-6C7B-477D-9F52-E05243789637}"/>
    <cellStyle name="Check Cell 16 2 5 8 3" xfId="6726" xr:uid="{D849F8A0-4659-4A42-A1E6-6CF68616D332}"/>
    <cellStyle name="Check Cell 16 2 5 9" xfId="6727" xr:uid="{505FDC9F-F538-46E2-8468-B99A5B660A1C}"/>
    <cellStyle name="Check Cell 16 2 5 9 2" xfId="6728" xr:uid="{D082204C-511F-482C-8C6E-CF52FCAECC3F}"/>
    <cellStyle name="Check Cell 16 2 5 9 2 2" xfId="6729" xr:uid="{F13075C2-85CC-408F-B2A6-665549F61CEB}"/>
    <cellStyle name="Check Cell 16 2 5 9 3" xfId="6730" xr:uid="{781E6224-414F-47BF-ACED-BDD0A2C5C07E}"/>
    <cellStyle name="Check Cell 16 2 6" xfId="6731" xr:uid="{5A8049EE-81B5-409A-AEE1-A79E7231D389}"/>
    <cellStyle name="Check Cell 16 2 6 2" xfId="6732" xr:uid="{58D717CE-3903-4607-8BFC-3EF65ED06302}"/>
    <cellStyle name="Check Cell 16 2 6 2 2" xfId="6733" xr:uid="{98548FD0-CD58-4BDD-A86D-8676799C31BD}"/>
    <cellStyle name="Check Cell 16 2 6 3" xfId="6734" xr:uid="{1C96554D-EEF2-4A50-B4F1-3B6B73D3F3CE}"/>
    <cellStyle name="Check Cell 16 2 7" xfId="6735" xr:uid="{A8A1161F-A218-4472-A7B1-4722079FF750}"/>
    <cellStyle name="Check Cell 16 2 7 2" xfId="6736" xr:uid="{D6725EC8-3556-42B8-A96B-FAB06A103915}"/>
    <cellStyle name="Check Cell 16 2 7 2 2" xfId="6737" xr:uid="{FC5618DC-09CD-402F-99F1-56B596F7665B}"/>
    <cellStyle name="Check Cell 16 2 7 3" xfId="6738" xr:uid="{DAC0156F-CF18-41E6-B92F-9B1C3CAA85FD}"/>
    <cellStyle name="Check Cell 16 2 8" xfId="6739" xr:uid="{60AB96FF-7374-4FF7-8B9B-BFE89228E732}"/>
    <cellStyle name="Check Cell 16 2 8 2" xfId="6740" xr:uid="{10EB5860-D9D4-4F82-8FB0-119D3CFDFCDB}"/>
    <cellStyle name="Check Cell 16 2 8 2 2" xfId="6741" xr:uid="{3021ACCD-8AA4-407D-9D91-8585320C2CE9}"/>
    <cellStyle name="Check Cell 16 2 8 3" xfId="6742" xr:uid="{936066E8-C9D6-4EEF-8DEC-14E0B642B6A2}"/>
    <cellStyle name="Check Cell 16 2 9" xfId="6743" xr:uid="{EAAB162D-31AE-41B6-9333-C4C25FA11AF6}"/>
    <cellStyle name="Check Cell 16 2 9 2" xfId="6744" xr:uid="{FB7795F0-7734-46D3-93B8-3B0249A0B20C}"/>
    <cellStyle name="Check Cell 16 2 9 2 2" xfId="6745" xr:uid="{E299B251-1659-4EE2-A22A-866985D30939}"/>
    <cellStyle name="Check Cell 16 2 9 3" xfId="6746" xr:uid="{1DCAD317-D16A-46FA-B9DA-2DCEECD19E30}"/>
    <cellStyle name="Check Cell 16 3" xfId="6747" xr:uid="{AF2C62D2-E23E-451D-99AC-1D187EBBE1B0}"/>
    <cellStyle name="Check Cell 16 3 2" xfId="6748" xr:uid="{FEDC41B3-06A5-4113-A4D4-A073A177B94C}"/>
    <cellStyle name="Check Cell 16 3 2 2" xfId="6749" xr:uid="{D2780B1C-318C-4A64-8953-038ADDBA77C4}"/>
    <cellStyle name="Check Cell 16 3 3" xfId="6750" xr:uid="{0B641B06-663A-46D7-9B70-4FCA63757957}"/>
    <cellStyle name="Check Cell 16 4" xfId="6751" xr:uid="{AF3A9786-5B8E-40CE-9D6A-F7F5783ED6C5}"/>
    <cellStyle name="Check Cell 16 4 2" xfId="6752" xr:uid="{75B3D87D-4D61-41B8-9A78-CF76D40BEDF8}"/>
    <cellStyle name="Check Cell 17" xfId="6753" xr:uid="{F27AA77D-B0DF-4B19-A912-B52B0738504D}"/>
    <cellStyle name="Check Cell 17 2" xfId="6754" xr:uid="{A52A25CD-92DD-41AB-9C27-73F7A9B9880D}"/>
    <cellStyle name="Check Cell 17 2 10" xfId="6755" xr:uid="{B282B903-F71A-4B85-BAB7-8FDC34A01809}"/>
    <cellStyle name="Check Cell 17 2 10 2" xfId="6756" xr:uid="{572F2A58-EFB5-4FA0-83AE-BB8D1F16B340}"/>
    <cellStyle name="Check Cell 17 2 10 2 2" xfId="6757" xr:uid="{E409240B-3117-4710-A359-6C34ED200F5C}"/>
    <cellStyle name="Check Cell 17 2 10 3" xfId="6758" xr:uid="{C2E28479-8839-48C2-85C7-989B34F8AD48}"/>
    <cellStyle name="Check Cell 17 2 11" xfId="6759" xr:uid="{8C0AAD6D-5B08-4D00-ADE8-8E1EFBD54F98}"/>
    <cellStyle name="Check Cell 17 2 11 2" xfId="6760" xr:uid="{9F62548D-1247-45BD-BA76-B2EF78AA1957}"/>
    <cellStyle name="Check Cell 17 2 11 2 2" xfId="6761" xr:uid="{10F60697-0953-4FD7-9DDA-127E9DB01E76}"/>
    <cellStyle name="Check Cell 17 2 11 3" xfId="6762" xr:uid="{779C1FDA-9585-4A29-A8BD-236C403F9223}"/>
    <cellStyle name="Check Cell 17 2 12" xfId="6763" xr:uid="{F7C3DD33-B4BD-4574-A01D-686F7A4D8C22}"/>
    <cellStyle name="Check Cell 17 2 12 2" xfId="6764" xr:uid="{E7B8CDCA-4396-4971-A16F-06D001D74AE9}"/>
    <cellStyle name="Check Cell 17 2 12 2 2" xfId="6765" xr:uid="{82947362-1ED6-4FCA-B062-CFABE1752A94}"/>
    <cellStyle name="Check Cell 17 2 12 3" xfId="6766" xr:uid="{80FB531F-1ED9-4E41-BB51-5B7766A5D56F}"/>
    <cellStyle name="Check Cell 17 2 13" xfId="6767" xr:uid="{359BCF11-775D-4C09-9C41-3BF12A6EF84B}"/>
    <cellStyle name="Check Cell 17 2 13 2" xfId="6768" xr:uid="{7F81A9CF-48EC-48AC-BF33-9F87AD841B8C}"/>
    <cellStyle name="Check Cell 17 2 13 2 2" xfId="6769" xr:uid="{D7B0A92C-40BE-4ECC-99E7-25812F63D0C7}"/>
    <cellStyle name="Check Cell 17 2 13 3" xfId="6770" xr:uid="{B35C8F39-B2D5-48CE-9725-6F755BA57818}"/>
    <cellStyle name="Check Cell 17 2 2" xfId="6771" xr:uid="{07EF1CBE-C539-4721-97F1-DAF55A865AAE}"/>
    <cellStyle name="Check Cell 17 2 2 2" xfId="6772" xr:uid="{1AF65D8B-38E2-4C46-B632-CA0141126403}"/>
    <cellStyle name="Check Cell 17 2 2 2 2" xfId="6773" xr:uid="{940EFFDC-A536-43E1-9123-F0AF2957F88D}"/>
    <cellStyle name="Check Cell 17 2 2 2 2 2" xfId="6774" xr:uid="{B851A3F7-A7C7-4326-ACF0-3A8066E84A16}"/>
    <cellStyle name="Check Cell 17 2 2 2 3" xfId="6775" xr:uid="{1F7F3918-DDC8-486F-BA97-F52E8B56ECD2}"/>
    <cellStyle name="Check Cell 17 2 2 3" xfId="6776" xr:uid="{72DB7A00-B0B3-4A00-946A-E158E42DAB47}"/>
    <cellStyle name="Check Cell 17 2 2 3 2" xfId="6777" xr:uid="{5956F0B8-4FEA-46F6-9825-588284F59155}"/>
    <cellStyle name="Check Cell 17 2 2 3 2 2" xfId="6778" xr:uid="{2840C592-0892-43FA-878A-CC2D05308A66}"/>
    <cellStyle name="Check Cell 17 2 2 3 3" xfId="6779" xr:uid="{08F5E9A3-15C8-4D4B-B0FA-51EB9F05BBD3}"/>
    <cellStyle name="Check Cell 17 2 2 4" xfId="6780" xr:uid="{5790DB78-CCC4-4DF7-9200-AE33E25B3837}"/>
    <cellStyle name="Check Cell 17 2 2 4 2" xfId="6781" xr:uid="{C57931EB-CEAB-4D41-A43B-15C7E6FA6E76}"/>
    <cellStyle name="Check Cell 17 2 2 4 2 2" xfId="6782" xr:uid="{EF4770A6-C111-4C16-AE29-C1A8B3802989}"/>
    <cellStyle name="Check Cell 17 2 2 4 3" xfId="6783" xr:uid="{CC635BED-254F-428A-B668-E80F47481B0F}"/>
    <cellStyle name="Check Cell 17 2 2 5" xfId="6784" xr:uid="{C0825871-0490-435C-A4FA-471636FF851E}"/>
    <cellStyle name="Check Cell 17 2 2 5 2" xfId="6785" xr:uid="{2B6F910B-3B5E-4571-8E50-6916AC414DB0}"/>
    <cellStyle name="Check Cell 17 2 2 5 2 2" xfId="6786" xr:uid="{B1AB7D41-03BD-4A72-8266-4FBBA4C49E66}"/>
    <cellStyle name="Check Cell 17 2 2 5 3" xfId="6787" xr:uid="{C38B9F72-09A1-4B39-BC90-893ADE80E42F}"/>
    <cellStyle name="Check Cell 17 2 2 6" xfId="6788" xr:uid="{CAC720D9-D1C4-4954-9E37-4BF4919E865E}"/>
    <cellStyle name="Check Cell 17 2 2 6 2" xfId="6789" xr:uid="{6D8B2722-73E3-410F-B06E-C47D3363F6FE}"/>
    <cellStyle name="Check Cell 17 2 2 6 2 2" xfId="6790" xr:uid="{49164D1A-94DF-4C5B-A9D2-0DB4AB8F38C1}"/>
    <cellStyle name="Check Cell 17 2 2 6 3" xfId="6791" xr:uid="{BBF98784-4DE6-4729-9F6D-E4D5BE52A224}"/>
    <cellStyle name="Check Cell 17 2 2 7" xfId="6792" xr:uid="{EC8AA619-679E-4204-B8A3-1B1993C4BD69}"/>
    <cellStyle name="Check Cell 17 2 2 7 2" xfId="6793" xr:uid="{BF7BCB65-40AF-4A06-91C2-62091D8AA5A7}"/>
    <cellStyle name="Check Cell 17 2 2 7 2 2" xfId="6794" xr:uid="{05E84CFF-CBE8-4E77-AE69-9EE9774B70F2}"/>
    <cellStyle name="Check Cell 17 2 2 7 3" xfId="6795" xr:uid="{CA73ACFB-6A95-4D7D-87B1-13C712BEDB88}"/>
    <cellStyle name="Check Cell 17 2 2 8" xfId="6796" xr:uid="{2395643F-5D2C-4409-A05E-7DD4129F0944}"/>
    <cellStyle name="Check Cell 17 2 2 8 2" xfId="6797" xr:uid="{F0494A22-A12A-4C51-B3DD-7161A11A00C8}"/>
    <cellStyle name="Check Cell 17 2 2 8 2 2" xfId="6798" xr:uid="{86F2C6D1-C45F-46D9-8594-8AFC854DDD8F}"/>
    <cellStyle name="Check Cell 17 2 2 8 3" xfId="6799" xr:uid="{54BC3C51-9AE6-4A77-B77C-8024711BACEE}"/>
    <cellStyle name="Check Cell 17 2 2 9" xfId="6800" xr:uid="{FE741C7A-DE1E-4B50-9449-2B2668AE483D}"/>
    <cellStyle name="Check Cell 17 2 2 9 2" xfId="6801" xr:uid="{2CA4FB2B-1C24-40C3-B510-B30F6F692EF2}"/>
    <cellStyle name="Check Cell 17 2 2 9 2 2" xfId="6802" xr:uid="{5B84D14F-4466-42EB-A9C5-318F218A5A47}"/>
    <cellStyle name="Check Cell 17 2 2 9 3" xfId="6803" xr:uid="{D5FC6349-96C1-4BB9-8084-47BB396E296A}"/>
    <cellStyle name="Check Cell 17 2 3" xfId="6804" xr:uid="{1BE92E65-9C2A-484D-88EC-0521633713FF}"/>
    <cellStyle name="Check Cell 17 2 3 2" xfId="6805" xr:uid="{964D183C-50C8-4BCB-B6AF-A9E600458ED7}"/>
    <cellStyle name="Check Cell 17 2 3 2 2" xfId="6806" xr:uid="{E06F59A6-F4EE-4097-8D8E-D4E3127A6DFB}"/>
    <cellStyle name="Check Cell 17 2 3 2 2 2" xfId="6807" xr:uid="{AE51775E-E863-4236-9DDB-DE9630C90A7D}"/>
    <cellStyle name="Check Cell 17 2 3 2 3" xfId="6808" xr:uid="{6F398739-2D07-433F-A315-B08E89C6B9CA}"/>
    <cellStyle name="Check Cell 17 2 3 3" xfId="6809" xr:uid="{0BCBAA0D-4E02-4330-873F-BCE406750A56}"/>
    <cellStyle name="Check Cell 17 2 3 3 2" xfId="6810" xr:uid="{22B8FB6C-601D-433B-9FB1-3BC1F6E0B25F}"/>
    <cellStyle name="Check Cell 17 2 3 3 2 2" xfId="6811" xr:uid="{6973B50E-401E-48C4-9AD6-21F87D239F38}"/>
    <cellStyle name="Check Cell 17 2 3 3 3" xfId="6812" xr:uid="{5E68E83D-42F7-480C-846F-C8BE1448F8A5}"/>
    <cellStyle name="Check Cell 17 2 3 4" xfId="6813" xr:uid="{EF3A9BA9-3643-4254-B202-6526977E66A5}"/>
    <cellStyle name="Check Cell 17 2 3 4 2" xfId="6814" xr:uid="{5B226231-7BF4-4376-90C5-F609AF7C964B}"/>
    <cellStyle name="Check Cell 17 2 3 4 2 2" xfId="6815" xr:uid="{62899455-D3D6-40D6-9EC0-A181181E9A7B}"/>
    <cellStyle name="Check Cell 17 2 3 4 3" xfId="6816" xr:uid="{02AD993E-7CEB-4F89-98A5-E2869947E1C4}"/>
    <cellStyle name="Check Cell 17 2 3 5" xfId="6817" xr:uid="{592E14ED-3681-4602-80D5-B1E935279577}"/>
    <cellStyle name="Check Cell 17 2 3 5 2" xfId="6818" xr:uid="{67D3EE88-C8B9-4F43-9D14-199D98ECF993}"/>
    <cellStyle name="Check Cell 17 2 3 5 2 2" xfId="6819" xr:uid="{8AA4A9FF-29C9-4BB5-96C8-CCEE3E7342D8}"/>
    <cellStyle name="Check Cell 17 2 3 5 3" xfId="6820" xr:uid="{14FD526C-E85C-4059-A348-901622E54673}"/>
    <cellStyle name="Check Cell 17 2 3 6" xfId="6821" xr:uid="{4C001313-D324-4EFE-9DE8-FF3DBC0E012D}"/>
    <cellStyle name="Check Cell 17 2 3 6 2" xfId="6822" xr:uid="{879A9652-1AC0-4D35-9D07-9E5781A5240B}"/>
    <cellStyle name="Check Cell 17 2 3 6 2 2" xfId="6823" xr:uid="{8B9D8E94-15B2-4BC3-B18C-91C173C7A0F6}"/>
    <cellStyle name="Check Cell 17 2 3 6 3" xfId="6824" xr:uid="{ECB612C4-3644-4243-90AF-6DDA1CA53954}"/>
    <cellStyle name="Check Cell 17 2 3 7" xfId="6825" xr:uid="{4A946E21-356F-4F55-84D7-A104AEA7DD2E}"/>
    <cellStyle name="Check Cell 17 2 3 7 2" xfId="6826" xr:uid="{73316E28-95FF-4290-9DD5-0B4480F6C76E}"/>
    <cellStyle name="Check Cell 17 2 3 7 2 2" xfId="6827" xr:uid="{924E2192-10FC-4897-8AC1-5A8EF6570AF3}"/>
    <cellStyle name="Check Cell 17 2 3 7 3" xfId="6828" xr:uid="{43EDACCE-C393-4766-B637-1AC4DDCB4A79}"/>
    <cellStyle name="Check Cell 17 2 3 8" xfId="6829" xr:uid="{FE224683-3AF8-4ADF-B0B4-83B1B7567D93}"/>
    <cellStyle name="Check Cell 17 2 3 8 2" xfId="6830" xr:uid="{41537E80-3371-4A9A-B312-683C4690F81C}"/>
    <cellStyle name="Check Cell 17 2 3 8 2 2" xfId="6831" xr:uid="{933E1E3D-1914-44D8-AA6D-2BDB038029FC}"/>
    <cellStyle name="Check Cell 17 2 3 8 3" xfId="6832" xr:uid="{F2E8C1EB-98A6-47B4-8C28-177B95DFEADD}"/>
    <cellStyle name="Check Cell 17 2 3 9" xfId="6833" xr:uid="{19D9A79A-475C-4070-8920-9AED3CC388FD}"/>
    <cellStyle name="Check Cell 17 2 3 9 2" xfId="6834" xr:uid="{25ECC054-34FD-45FB-8E1C-87811290BEFA}"/>
    <cellStyle name="Check Cell 17 2 3 9 2 2" xfId="6835" xr:uid="{AD7CBCA3-0DE0-48AD-A413-F51C87464C60}"/>
    <cellStyle name="Check Cell 17 2 3 9 3" xfId="6836" xr:uid="{AA230A32-2CDA-449D-AD0A-B643EA206D64}"/>
    <cellStyle name="Check Cell 17 2 4" xfId="6837" xr:uid="{04C359F7-ABC1-4247-894F-389D3F96DD49}"/>
    <cellStyle name="Check Cell 17 2 4 2" xfId="6838" xr:uid="{71B33E46-D9EA-41B9-8F6D-3B37B1B47370}"/>
    <cellStyle name="Check Cell 17 2 4 2 2" xfId="6839" xr:uid="{5254BFCA-F868-4705-AC8C-7243CFCD11BA}"/>
    <cellStyle name="Check Cell 17 2 4 2 2 2" xfId="6840" xr:uid="{AE20C65D-B4E1-493A-A71D-BA4ED11C38CF}"/>
    <cellStyle name="Check Cell 17 2 4 2 3" xfId="6841" xr:uid="{2C4BA880-8C74-418D-8AAD-922070226CBA}"/>
    <cellStyle name="Check Cell 17 2 4 3" xfId="6842" xr:uid="{BF00500D-DC06-4876-9629-5D00A00571E8}"/>
    <cellStyle name="Check Cell 17 2 4 3 2" xfId="6843" xr:uid="{EF85E854-9179-46B8-98FD-29C0EC3C7626}"/>
    <cellStyle name="Check Cell 17 2 4 3 2 2" xfId="6844" xr:uid="{889CE9AC-ACF7-49E6-B555-D0516E41DB00}"/>
    <cellStyle name="Check Cell 17 2 4 3 3" xfId="6845" xr:uid="{C04C1F80-2C1E-43D0-BF83-982C36A2081B}"/>
    <cellStyle name="Check Cell 17 2 4 4" xfId="6846" xr:uid="{96248F94-4DAE-4894-A75C-4B7192364E26}"/>
    <cellStyle name="Check Cell 17 2 4 4 2" xfId="6847" xr:uid="{0C066FAF-F315-4350-9BFD-4D0369C6018E}"/>
    <cellStyle name="Check Cell 17 2 4 4 2 2" xfId="6848" xr:uid="{EDAF86F0-AC1D-4A40-9EE2-EA32248EB40C}"/>
    <cellStyle name="Check Cell 17 2 4 4 3" xfId="6849" xr:uid="{45B781DB-7FFB-4E9C-B873-FECB602428D4}"/>
    <cellStyle name="Check Cell 17 2 4 5" xfId="6850" xr:uid="{D2E929D8-1FAC-4A3C-9020-9804A6EE9A62}"/>
    <cellStyle name="Check Cell 17 2 4 5 2" xfId="6851" xr:uid="{B3E1DD3F-4C0A-45B7-AF57-6043CF8E7D3B}"/>
    <cellStyle name="Check Cell 17 2 4 5 2 2" xfId="6852" xr:uid="{5A9B256B-32CE-4480-BDAC-7912342C4CDA}"/>
    <cellStyle name="Check Cell 17 2 4 5 3" xfId="6853" xr:uid="{DF61B067-9DC3-4E83-8AA4-FA4514867159}"/>
    <cellStyle name="Check Cell 17 2 4 6" xfId="6854" xr:uid="{5D03DDB5-4E00-4BBD-AC7A-32DD55C00A56}"/>
    <cellStyle name="Check Cell 17 2 4 6 2" xfId="6855" xr:uid="{252AF6A5-FE71-4666-B939-F4F4352B3F28}"/>
    <cellStyle name="Check Cell 17 2 4 6 2 2" xfId="6856" xr:uid="{40597A60-516F-4950-AD84-E3EE14E88670}"/>
    <cellStyle name="Check Cell 17 2 4 6 3" xfId="6857" xr:uid="{CA9F7775-135B-4245-A954-5726B71E3E1A}"/>
    <cellStyle name="Check Cell 17 2 4 7" xfId="6858" xr:uid="{FF922A40-748D-4873-98E7-419526CFB5F3}"/>
    <cellStyle name="Check Cell 17 2 4 7 2" xfId="6859" xr:uid="{596E0A5A-8C98-4D13-999B-4B79A65F3B00}"/>
    <cellStyle name="Check Cell 17 2 4 7 2 2" xfId="6860" xr:uid="{69DDA546-37E6-4E62-BA74-40F065819A32}"/>
    <cellStyle name="Check Cell 17 2 4 7 3" xfId="6861" xr:uid="{FFA27DBC-99F3-4948-B22B-B229718143E1}"/>
    <cellStyle name="Check Cell 17 2 4 8" xfId="6862" xr:uid="{9A1176F8-98E9-4A86-949C-2330E1B3B55B}"/>
    <cellStyle name="Check Cell 17 2 4 8 2" xfId="6863" xr:uid="{71A91254-488D-46D8-8FEB-CB61274B1110}"/>
    <cellStyle name="Check Cell 17 2 4 8 2 2" xfId="6864" xr:uid="{CAD5F651-DB99-49C8-AB05-E9339F7AF970}"/>
    <cellStyle name="Check Cell 17 2 4 8 3" xfId="6865" xr:uid="{B9563D40-D5E2-4991-B607-DFD155398FDB}"/>
    <cellStyle name="Check Cell 17 2 4 9" xfId="6866" xr:uid="{21088AA6-D992-4767-A1B2-11A993641C31}"/>
    <cellStyle name="Check Cell 17 2 4 9 2" xfId="6867" xr:uid="{C9A44E40-E52F-4539-BD1B-E335672080DF}"/>
    <cellStyle name="Check Cell 17 2 4 9 2 2" xfId="6868" xr:uid="{9DEE8323-F4A3-4FA2-8234-AED08DD23D45}"/>
    <cellStyle name="Check Cell 17 2 4 9 3" xfId="6869" xr:uid="{006B35C5-EB7D-4CEC-8DD6-AFDF560AAAC0}"/>
    <cellStyle name="Check Cell 17 2 5" xfId="6870" xr:uid="{469A8440-6F4A-43DD-8418-850E436D6032}"/>
    <cellStyle name="Check Cell 17 2 5 2" xfId="6871" xr:uid="{727AD61F-BAFF-4C46-8CEF-5EFF0638BDBB}"/>
    <cellStyle name="Check Cell 17 2 5 2 2" xfId="6872" xr:uid="{8057DB84-18B3-44DB-9486-CB33FB0DF16A}"/>
    <cellStyle name="Check Cell 17 2 5 2 2 2" xfId="6873" xr:uid="{FC6AD223-6204-4A47-BB84-DCDBFE2ED384}"/>
    <cellStyle name="Check Cell 17 2 5 2 3" xfId="6874" xr:uid="{8FC13971-45F1-493B-B6A1-CB85C3D70ABA}"/>
    <cellStyle name="Check Cell 17 2 5 3" xfId="6875" xr:uid="{2A1B9019-F9FB-412F-BE9F-CAEB8C6E718C}"/>
    <cellStyle name="Check Cell 17 2 5 3 2" xfId="6876" xr:uid="{093C3EAA-08A3-429B-85AA-E2377A0EAAFB}"/>
    <cellStyle name="Check Cell 17 2 5 3 2 2" xfId="6877" xr:uid="{154159F5-BC38-47C8-9BFE-EBA1C645159C}"/>
    <cellStyle name="Check Cell 17 2 5 3 3" xfId="6878" xr:uid="{B657612B-45F3-46CA-8C86-15182FBC18D9}"/>
    <cellStyle name="Check Cell 17 2 5 4" xfId="6879" xr:uid="{8300CC04-1C4C-49C0-9CBC-EF6CD313E729}"/>
    <cellStyle name="Check Cell 17 2 5 4 2" xfId="6880" xr:uid="{C8B5AAE6-6C1A-4EC2-8A1B-D357C9AF6F39}"/>
    <cellStyle name="Check Cell 17 2 5 4 2 2" xfId="6881" xr:uid="{437C82C1-13FB-4C05-BAA5-292D87354F30}"/>
    <cellStyle name="Check Cell 17 2 5 4 3" xfId="6882" xr:uid="{9281872E-A27C-43D1-8185-882BE94D27F9}"/>
    <cellStyle name="Check Cell 17 2 5 5" xfId="6883" xr:uid="{986A5702-5E38-4A81-98A4-4E4C891A6489}"/>
    <cellStyle name="Check Cell 17 2 5 5 2" xfId="6884" xr:uid="{DF38E493-7DC2-49B2-B4C9-E4842DD08A2C}"/>
    <cellStyle name="Check Cell 17 2 5 5 2 2" xfId="6885" xr:uid="{7ADF8A87-EF85-4F3C-AC11-9DF021DAF1BF}"/>
    <cellStyle name="Check Cell 17 2 5 5 3" xfId="6886" xr:uid="{C4E9F960-520F-42D1-8F7F-082E8FE38664}"/>
    <cellStyle name="Check Cell 17 2 5 6" xfId="6887" xr:uid="{79E0F411-1398-4554-8BA6-8332846D29E5}"/>
    <cellStyle name="Check Cell 17 2 5 6 2" xfId="6888" xr:uid="{138D76D2-BE3F-4511-A61B-2F2F0E0F4337}"/>
    <cellStyle name="Check Cell 17 2 5 6 2 2" xfId="6889" xr:uid="{2A10D74F-DD5A-4440-B23E-BE0369977702}"/>
    <cellStyle name="Check Cell 17 2 5 6 3" xfId="6890" xr:uid="{623EAB61-ACFE-409C-BAA6-7B7EF38A2E3D}"/>
    <cellStyle name="Check Cell 17 2 5 7" xfId="6891" xr:uid="{4BE1A40B-95EA-4EBE-A0DF-FBAD0934DE41}"/>
    <cellStyle name="Check Cell 17 2 5 7 2" xfId="6892" xr:uid="{D35EB69B-F5FD-4CF8-98CA-C0FC075C9A04}"/>
    <cellStyle name="Check Cell 17 2 5 7 2 2" xfId="6893" xr:uid="{95A4C075-F7F5-424F-B5D8-FA51C0DD8209}"/>
    <cellStyle name="Check Cell 17 2 5 7 3" xfId="6894" xr:uid="{DDE46A19-1657-49F0-8D35-F9535EA0FD70}"/>
    <cellStyle name="Check Cell 17 2 5 8" xfId="6895" xr:uid="{FCE9AFD0-4F59-4EA4-B2FC-6BA5EDF9AB98}"/>
    <cellStyle name="Check Cell 17 2 5 8 2" xfId="6896" xr:uid="{76981D8F-6453-4742-AB3E-DB9101F18F29}"/>
    <cellStyle name="Check Cell 17 2 5 8 2 2" xfId="6897" xr:uid="{8264B2C6-FE2C-4BC7-9FFF-A39389F597DE}"/>
    <cellStyle name="Check Cell 17 2 5 8 3" xfId="6898" xr:uid="{B13A3AFA-25CF-49A3-BA05-9A56F45028B1}"/>
    <cellStyle name="Check Cell 17 2 5 9" xfId="6899" xr:uid="{8309CD52-8E91-4FAE-B73D-CFCF146CCE93}"/>
    <cellStyle name="Check Cell 17 2 5 9 2" xfId="6900" xr:uid="{744C3D59-FBF1-4470-8128-46A4070DBED5}"/>
    <cellStyle name="Check Cell 17 2 5 9 2 2" xfId="6901" xr:uid="{7EA5D70B-1218-43EC-B99D-1CFEA68E2938}"/>
    <cellStyle name="Check Cell 17 2 5 9 3" xfId="6902" xr:uid="{310EA36D-4902-4AC6-A6CC-B28D59AB932C}"/>
    <cellStyle name="Check Cell 17 2 6" xfId="6903" xr:uid="{30A80308-B5EF-444E-9BF8-C21F14B1A43D}"/>
    <cellStyle name="Check Cell 17 2 6 2" xfId="6904" xr:uid="{2930E1DA-ABCD-46FF-B32C-F6F8D95899E5}"/>
    <cellStyle name="Check Cell 17 2 6 2 2" xfId="6905" xr:uid="{6D1AD5E7-6C94-4A82-A640-3BC6DD925471}"/>
    <cellStyle name="Check Cell 17 2 6 3" xfId="6906" xr:uid="{AB66BBF2-92D1-4A18-93CC-CDEE516B4ECD}"/>
    <cellStyle name="Check Cell 17 2 7" xfId="6907" xr:uid="{D4902F47-6678-4F32-944D-287A4E39C0EA}"/>
    <cellStyle name="Check Cell 17 2 7 2" xfId="6908" xr:uid="{5AD7F7C3-3C04-4233-B537-8F2230D40705}"/>
    <cellStyle name="Check Cell 17 2 7 2 2" xfId="6909" xr:uid="{0FD9095D-9E3A-44A5-B5FF-B3AD3E43FB84}"/>
    <cellStyle name="Check Cell 17 2 7 3" xfId="6910" xr:uid="{FCED8C84-4060-42A1-8312-125C0DA5EC87}"/>
    <cellStyle name="Check Cell 17 2 8" xfId="6911" xr:uid="{9A1318CA-2965-4198-9B69-34199A0EDCEC}"/>
    <cellStyle name="Check Cell 17 2 8 2" xfId="6912" xr:uid="{E7671354-E53C-480F-B619-F4BAA63E2F44}"/>
    <cellStyle name="Check Cell 17 2 8 2 2" xfId="6913" xr:uid="{F456BA42-A96C-494C-822D-729482DB5815}"/>
    <cellStyle name="Check Cell 17 2 8 3" xfId="6914" xr:uid="{32D85BD5-CBBF-4C59-93CF-94680E6B270F}"/>
    <cellStyle name="Check Cell 17 2 9" xfId="6915" xr:uid="{39D196BD-ABAF-43BD-AC92-9E2EE587F2A0}"/>
    <cellStyle name="Check Cell 17 2 9 2" xfId="6916" xr:uid="{BB998367-E6BB-47A1-9BAE-D9B95B107F14}"/>
    <cellStyle name="Check Cell 17 2 9 2 2" xfId="6917" xr:uid="{5AD1F072-802E-4E58-B4C9-0ABDE75C617F}"/>
    <cellStyle name="Check Cell 17 2 9 3" xfId="6918" xr:uid="{9F6BF4C7-8C41-4873-916D-67E187FFF386}"/>
    <cellStyle name="Check Cell 17 3" xfId="6919" xr:uid="{5C3EE09D-7BA5-4710-AD55-125A773F3852}"/>
    <cellStyle name="Check Cell 17 3 2" xfId="6920" xr:uid="{8F2A98DF-3F5F-4160-8206-69041B4EEED4}"/>
    <cellStyle name="Check Cell 17 3 2 2" xfId="6921" xr:uid="{68371976-A94E-4114-B70C-0D42F7AC3FBD}"/>
    <cellStyle name="Check Cell 17 3 3" xfId="6922" xr:uid="{14DE9B57-F2A1-462E-B724-E3E4208A83E5}"/>
    <cellStyle name="Check Cell 17 4" xfId="6923" xr:uid="{D9AE0D15-8877-4A0A-A4CA-323DF78B3AFF}"/>
    <cellStyle name="Check Cell 17 4 2" xfId="6924" xr:uid="{6811429B-6A24-4988-9DAF-8D826459F1AD}"/>
    <cellStyle name="Check Cell 18" xfId="6925" xr:uid="{5169B266-317C-45A2-8920-23AA99141C26}"/>
    <cellStyle name="Check Cell 18 2" xfId="6926" xr:uid="{5080E17C-1768-4308-A82F-1B8ED6390E96}"/>
    <cellStyle name="Check Cell 18 2 10" xfId="6927" xr:uid="{A6DDDC0D-69C3-47CE-9E48-0C1AA1096FE7}"/>
    <cellStyle name="Check Cell 18 2 10 2" xfId="6928" xr:uid="{79285CCB-5007-4B72-AE3F-479CFF6AA02A}"/>
    <cellStyle name="Check Cell 18 2 10 2 2" xfId="6929" xr:uid="{BE5524F3-6F75-485C-AE8A-949C8DC040A6}"/>
    <cellStyle name="Check Cell 18 2 10 3" xfId="6930" xr:uid="{FA5108BC-7E00-40D4-81BE-42FB1E89DD92}"/>
    <cellStyle name="Check Cell 18 2 11" xfId="6931" xr:uid="{2E70F5F6-C36B-43EC-A768-D9374F1E3920}"/>
    <cellStyle name="Check Cell 18 2 11 2" xfId="6932" xr:uid="{3364A8DF-8E74-4CD6-A336-B9FEA34A503A}"/>
    <cellStyle name="Check Cell 18 2 11 2 2" xfId="6933" xr:uid="{7EE80C30-1438-47D8-873D-6126F808B6A2}"/>
    <cellStyle name="Check Cell 18 2 11 3" xfId="6934" xr:uid="{1C809900-3AA1-4FA8-B81F-E77926A10BD3}"/>
    <cellStyle name="Check Cell 18 2 12" xfId="6935" xr:uid="{BC2A9C6E-2037-42E9-A568-11E5AD45DDEB}"/>
    <cellStyle name="Check Cell 18 2 12 2" xfId="6936" xr:uid="{512C4952-37C2-4359-B10A-D0568C36084A}"/>
    <cellStyle name="Check Cell 18 2 12 2 2" xfId="6937" xr:uid="{1D70D430-97FD-4D09-8F51-D08F356872EB}"/>
    <cellStyle name="Check Cell 18 2 12 3" xfId="6938" xr:uid="{E7B8ECDF-38D9-462A-84B4-3F5E8C28FBFE}"/>
    <cellStyle name="Check Cell 18 2 13" xfId="6939" xr:uid="{4AC6D158-6852-44EB-A441-1B79E64BD49B}"/>
    <cellStyle name="Check Cell 18 2 13 2" xfId="6940" xr:uid="{E40FDECF-3CAC-4882-BB80-CAA5F62DAD5E}"/>
    <cellStyle name="Check Cell 18 2 13 2 2" xfId="6941" xr:uid="{A07ACB34-579C-4DF6-9839-F0835530DDF2}"/>
    <cellStyle name="Check Cell 18 2 13 3" xfId="6942" xr:uid="{762045B5-B812-49CF-B451-6B51FF27DDF0}"/>
    <cellStyle name="Check Cell 18 2 2" xfId="6943" xr:uid="{0098EAD8-617C-44A7-B955-BB08671D92BA}"/>
    <cellStyle name="Check Cell 18 2 2 2" xfId="6944" xr:uid="{C6C0AC97-C751-4AE0-888F-26A4B2C3A267}"/>
    <cellStyle name="Check Cell 18 2 2 2 2" xfId="6945" xr:uid="{3873BD21-B8A2-48FB-ABB5-35166F0250DD}"/>
    <cellStyle name="Check Cell 18 2 2 2 2 2" xfId="6946" xr:uid="{70A0BF24-2BE1-4AEE-9CEC-AB151A355ACA}"/>
    <cellStyle name="Check Cell 18 2 2 2 3" xfId="6947" xr:uid="{CD1F48CD-D8E9-4DD1-97FA-27008E2F149B}"/>
    <cellStyle name="Check Cell 18 2 2 3" xfId="6948" xr:uid="{26150D40-585E-4379-B673-98DD4CA27322}"/>
    <cellStyle name="Check Cell 18 2 2 3 2" xfId="6949" xr:uid="{31C2C559-E15A-44A6-BA24-9E6F774C2E70}"/>
    <cellStyle name="Check Cell 18 2 2 3 2 2" xfId="6950" xr:uid="{EF6650DD-36E7-47EF-A21A-CA1A667374C4}"/>
    <cellStyle name="Check Cell 18 2 2 3 3" xfId="6951" xr:uid="{C42B84A4-ED08-4498-8719-4181B1C0CBD0}"/>
    <cellStyle name="Check Cell 18 2 2 4" xfId="6952" xr:uid="{6DB91D6F-658F-4543-A7F3-E2E505519B72}"/>
    <cellStyle name="Check Cell 18 2 2 4 2" xfId="6953" xr:uid="{AB3BBAF0-BD0B-4BE8-A67F-FB09B124698B}"/>
    <cellStyle name="Check Cell 18 2 2 4 2 2" xfId="6954" xr:uid="{C6109A5B-1753-4962-BC1F-3EB431754925}"/>
    <cellStyle name="Check Cell 18 2 2 4 3" xfId="6955" xr:uid="{21E7B377-8CBA-4360-8208-8C80C75BD9B3}"/>
    <cellStyle name="Check Cell 18 2 2 5" xfId="6956" xr:uid="{A6A03693-7BEA-4346-8219-FECEDD71F1FF}"/>
    <cellStyle name="Check Cell 18 2 2 5 2" xfId="6957" xr:uid="{4B82EAA2-0EB4-473D-8F6A-D347F26B8A67}"/>
    <cellStyle name="Check Cell 18 2 2 5 2 2" xfId="6958" xr:uid="{463686AD-671C-4105-9217-85B5B9D1D052}"/>
    <cellStyle name="Check Cell 18 2 2 5 3" xfId="6959" xr:uid="{47B25AC1-5AF6-42AD-A2D6-73069CE6EC8C}"/>
    <cellStyle name="Check Cell 18 2 2 6" xfId="6960" xr:uid="{E2C8589A-87F9-4F34-A874-2663E2D13A82}"/>
    <cellStyle name="Check Cell 18 2 2 6 2" xfId="6961" xr:uid="{65E1017B-F254-43C6-871F-BF6FA1D1C8BD}"/>
    <cellStyle name="Check Cell 18 2 2 6 2 2" xfId="6962" xr:uid="{210A39C3-C794-4274-8692-FFD8A892997C}"/>
    <cellStyle name="Check Cell 18 2 2 6 3" xfId="6963" xr:uid="{DF7BEE0B-F0BF-4E4E-BC17-F27FD73D8EE3}"/>
    <cellStyle name="Check Cell 18 2 2 7" xfId="6964" xr:uid="{488904AC-E778-4876-BAE9-C6A4C2C85B17}"/>
    <cellStyle name="Check Cell 18 2 2 7 2" xfId="6965" xr:uid="{36B61186-E14D-422E-A13F-FCE71D287EDD}"/>
    <cellStyle name="Check Cell 18 2 2 7 2 2" xfId="6966" xr:uid="{ABC7C583-B431-4424-9B24-95430CB290D9}"/>
    <cellStyle name="Check Cell 18 2 2 7 3" xfId="6967" xr:uid="{E931619A-F1FD-49C1-8E18-F1129C80735D}"/>
    <cellStyle name="Check Cell 18 2 2 8" xfId="6968" xr:uid="{ACEB8430-8F60-4EFE-8C49-2B20BE232E51}"/>
    <cellStyle name="Check Cell 18 2 2 8 2" xfId="6969" xr:uid="{00C66849-BCDE-48E0-BEA8-24A0EA0E18CE}"/>
    <cellStyle name="Check Cell 18 2 2 8 2 2" xfId="6970" xr:uid="{DBC0D8AC-A86F-4740-9DCA-386241883E8A}"/>
    <cellStyle name="Check Cell 18 2 2 8 3" xfId="6971" xr:uid="{BCE9D53D-CB7C-410B-966D-9B46C8924B18}"/>
    <cellStyle name="Check Cell 18 2 2 9" xfId="6972" xr:uid="{D09870E6-9740-4179-A1A7-3C6AF247F906}"/>
    <cellStyle name="Check Cell 18 2 2 9 2" xfId="6973" xr:uid="{1A8D82D8-AE3A-465D-A55D-EBFEF46C483D}"/>
    <cellStyle name="Check Cell 18 2 2 9 2 2" xfId="6974" xr:uid="{178E78BB-F54C-46C4-8A2F-9E6CDDA71CC3}"/>
    <cellStyle name="Check Cell 18 2 2 9 3" xfId="6975" xr:uid="{F5583951-1FE6-478A-A4BA-5AE40D07CCAC}"/>
    <cellStyle name="Check Cell 18 2 3" xfId="6976" xr:uid="{3D607307-8A45-4E3F-9F22-8F9B637CDF73}"/>
    <cellStyle name="Check Cell 18 2 3 2" xfId="6977" xr:uid="{C53B0954-A656-439C-8635-90AF14285C0D}"/>
    <cellStyle name="Check Cell 18 2 3 2 2" xfId="6978" xr:uid="{81E31CC7-15A7-4D41-965D-CAAAC27F43D1}"/>
    <cellStyle name="Check Cell 18 2 3 2 2 2" xfId="6979" xr:uid="{B09F4B3A-5E92-45FA-8773-2DB1BF3DD82C}"/>
    <cellStyle name="Check Cell 18 2 3 2 3" xfId="6980" xr:uid="{392DFE91-679C-405D-998D-B818325E272B}"/>
    <cellStyle name="Check Cell 18 2 3 3" xfId="6981" xr:uid="{9772C75B-97FE-4111-B161-C7CAE4DF6928}"/>
    <cellStyle name="Check Cell 18 2 3 3 2" xfId="6982" xr:uid="{D4913231-09ED-4044-96E0-4F071A5A32F2}"/>
    <cellStyle name="Check Cell 18 2 3 3 2 2" xfId="6983" xr:uid="{212E76AB-486F-4FD0-9392-953918D1A0B5}"/>
    <cellStyle name="Check Cell 18 2 3 3 3" xfId="6984" xr:uid="{908F8073-AB8C-42C8-8DCB-B37C98531BE1}"/>
    <cellStyle name="Check Cell 18 2 3 4" xfId="6985" xr:uid="{1C82F9D0-7994-468B-BEDE-2227A59A313E}"/>
    <cellStyle name="Check Cell 18 2 3 4 2" xfId="6986" xr:uid="{8E53A54C-BB71-41CF-AABB-E8B307DD032B}"/>
    <cellStyle name="Check Cell 18 2 3 4 2 2" xfId="6987" xr:uid="{1B3A4086-5C50-449C-843F-A70DA64E7FD0}"/>
    <cellStyle name="Check Cell 18 2 3 4 3" xfId="6988" xr:uid="{95DAC61D-748B-4761-96E0-E6B904FDD14A}"/>
    <cellStyle name="Check Cell 18 2 3 5" xfId="6989" xr:uid="{6E94543B-6C40-4135-99ED-AC0DAD0441CF}"/>
    <cellStyle name="Check Cell 18 2 3 5 2" xfId="6990" xr:uid="{4E6FA1F8-64C6-49D2-9755-B268675C3413}"/>
    <cellStyle name="Check Cell 18 2 3 5 2 2" xfId="6991" xr:uid="{82B8AABF-36DE-4B04-9E69-E1A9CA28B319}"/>
    <cellStyle name="Check Cell 18 2 3 5 3" xfId="6992" xr:uid="{206D519B-2301-4E38-852E-4074B4956439}"/>
    <cellStyle name="Check Cell 18 2 3 6" xfId="6993" xr:uid="{04124435-4D7B-48CD-B5F4-F5277135DC2A}"/>
    <cellStyle name="Check Cell 18 2 3 6 2" xfId="6994" xr:uid="{2F51459F-2A90-4CBE-971E-637CC556D7BD}"/>
    <cellStyle name="Check Cell 18 2 3 6 2 2" xfId="6995" xr:uid="{B2A2AACC-138F-403C-A33C-59F060667FF8}"/>
    <cellStyle name="Check Cell 18 2 3 6 3" xfId="6996" xr:uid="{48F1D748-E3AC-4492-B52F-AD5B0664EB48}"/>
    <cellStyle name="Check Cell 18 2 3 7" xfId="6997" xr:uid="{8E6418B5-C3AE-466E-BECF-202196A47E2D}"/>
    <cellStyle name="Check Cell 18 2 3 7 2" xfId="6998" xr:uid="{26E99FEB-FC8D-4CF2-82E2-CB655F79E767}"/>
    <cellStyle name="Check Cell 18 2 3 7 2 2" xfId="6999" xr:uid="{B7B3B24B-943D-46A9-A9E1-98EDAD4E78D0}"/>
    <cellStyle name="Check Cell 18 2 3 7 3" xfId="7000" xr:uid="{B4BB5891-8A0D-4665-8BF9-FA6596E47ABA}"/>
    <cellStyle name="Check Cell 18 2 3 8" xfId="7001" xr:uid="{88CFC843-E371-4372-ACD0-73AD5A3AB2A5}"/>
    <cellStyle name="Check Cell 18 2 3 8 2" xfId="7002" xr:uid="{55199136-99D0-4FB9-9FD9-CD40F69C8B1D}"/>
    <cellStyle name="Check Cell 18 2 3 8 2 2" xfId="7003" xr:uid="{B088A6AC-A5CD-4588-BB00-0ED90CF6FC3E}"/>
    <cellStyle name="Check Cell 18 2 3 8 3" xfId="7004" xr:uid="{CF71F8BD-4A9D-46B9-B710-F1086B25D975}"/>
    <cellStyle name="Check Cell 18 2 3 9" xfId="7005" xr:uid="{BE17EFFA-2D93-4AC7-A6D5-36FDA84F358B}"/>
    <cellStyle name="Check Cell 18 2 3 9 2" xfId="7006" xr:uid="{CE272F9E-A8AA-4629-80C0-3FCE3958896A}"/>
    <cellStyle name="Check Cell 18 2 3 9 2 2" xfId="7007" xr:uid="{6A353B83-F5A1-4C1D-85BB-D3151BECD0C2}"/>
    <cellStyle name="Check Cell 18 2 3 9 3" xfId="7008" xr:uid="{D167F674-3585-44D6-85F6-BA6DED556DD9}"/>
    <cellStyle name="Check Cell 18 2 4" xfId="7009" xr:uid="{97096984-F7D8-433C-A777-268A06745C82}"/>
    <cellStyle name="Check Cell 18 2 4 2" xfId="7010" xr:uid="{6845C7B6-C325-4497-9687-5BC49EE2C1E0}"/>
    <cellStyle name="Check Cell 18 2 4 2 2" xfId="7011" xr:uid="{5FEA7FF5-DB1F-4904-A23D-0A92C4D7BBE4}"/>
    <cellStyle name="Check Cell 18 2 4 2 2 2" xfId="7012" xr:uid="{16BBC34F-2D89-4EFC-8446-8E08212D231B}"/>
    <cellStyle name="Check Cell 18 2 4 2 3" xfId="7013" xr:uid="{5EF144E4-4219-4E51-A26F-C2B1C97834FF}"/>
    <cellStyle name="Check Cell 18 2 4 3" xfId="7014" xr:uid="{1721C767-E981-438E-B1A4-DE07A6B096E1}"/>
    <cellStyle name="Check Cell 18 2 4 3 2" xfId="7015" xr:uid="{FABA3321-01D8-4847-9E5A-311E80ACB1EF}"/>
    <cellStyle name="Check Cell 18 2 4 3 2 2" xfId="7016" xr:uid="{3961C045-CE11-4D39-9527-ED5C124FF4AE}"/>
    <cellStyle name="Check Cell 18 2 4 3 3" xfId="7017" xr:uid="{D663647C-0621-4BEA-B108-3CA2969FF2A7}"/>
    <cellStyle name="Check Cell 18 2 4 4" xfId="7018" xr:uid="{2C6C8AB8-5052-45B1-A63C-7A03959149BD}"/>
    <cellStyle name="Check Cell 18 2 4 4 2" xfId="7019" xr:uid="{89C3162C-F1EF-4543-A6AF-C8B165CBE4EB}"/>
    <cellStyle name="Check Cell 18 2 4 4 2 2" xfId="7020" xr:uid="{18F78FB2-0300-4AB6-A336-1FADE7D026C1}"/>
    <cellStyle name="Check Cell 18 2 4 4 3" xfId="7021" xr:uid="{5599299C-C330-42E2-849A-004A8DA43B95}"/>
    <cellStyle name="Check Cell 18 2 4 5" xfId="7022" xr:uid="{BB042A17-8128-4AB4-A2AE-8F5018D4D6CA}"/>
    <cellStyle name="Check Cell 18 2 4 5 2" xfId="7023" xr:uid="{8AF645BB-A55B-4387-AACB-0AD8CB471C3E}"/>
    <cellStyle name="Check Cell 18 2 4 5 2 2" xfId="7024" xr:uid="{1237EA56-F5F0-496B-87E6-246EA755C701}"/>
    <cellStyle name="Check Cell 18 2 4 5 3" xfId="7025" xr:uid="{D91541BD-04C1-4A57-BFB3-42142CEAE477}"/>
    <cellStyle name="Check Cell 18 2 4 6" xfId="7026" xr:uid="{6F125595-B56C-4186-B2A8-6651BD292528}"/>
    <cellStyle name="Check Cell 18 2 4 6 2" xfId="7027" xr:uid="{C6E2BB25-7E51-4BE3-9F60-CB0381BD77BF}"/>
    <cellStyle name="Check Cell 18 2 4 6 2 2" xfId="7028" xr:uid="{A763310B-BEAA-4719-BF42-BFCFE091BFBF}"/>
    <cellStyle name="Check Cell 18 2 4 6 3" xfId="7029" xr:uid="{8866F0CB-E800-4194-AD7D-877B2C9B6A63}"/>
    <cellStyle name="Check Cell 18 2 4 7" xfId="7030" xr:uid="{82BE31B0-B428-4886-A35C-E12B08B65C4D}"/>
    <cellStyle name="Check Cell 18 2 4 7 2" xfId="7031" xr:uid="{FBFE2351-AF23-415C-A408-31D217C46248}"/>
    <cellStyle name="Check Cell 18 2 4 7 2 2" xfId="7032" xr:uid="{A7652D6A-DD53-4D3C-9FA2-D9AB8A9EF179}"/>
    <cellStyle name="Check Cell 18 2 4 7 3" xfId="7033" xr:uid="{5E572406-B1B3-4A7F-81E4-F4C41FA954C1}"/>
    <cellStyle name="Check Cell 18 2 4 8" xfId="7034" xr:uid="{83F523E3-DC20-4D21-A2E0-196EBD938157}"/>
    <cellStyle name="Check Cell 18 2 4 8 2" xfId="7035" xr:uid="{F518D4F6-BEB1-4E97-BFB9-23851B6E21EE}"/>
    <cellStyle name="Check Cell 18 2 4 8 2 2" xfId="7036" xr:uid="{93C63512-860B-4874-A3C2-A99FB9E91186}"/>
    <cellStyle name="Check Cell 18 2 4 8 3" xfId="7037" xr:uid="{E88AA17E-B91D-4753-A4CD-1E6CE0BD75C5}"/>
    <cellStyle name="Check Cell 18 2 4 9" xfId="7038" xr:uid="{5EA49D98-F80A-422B-B2BB-7F887250A01B}"/>
    <cellStyle name="Check Cell 18 2 4 9 2" xfId="7039" xr:uid="{DC6A3AFF-D4F4-47FB-ACBE-AD983FDBD90D}"/>
    <cellStyle name="Check Cell 18 2 4 9 2 2" xfId="7040" xr:uid="{61DD3384-966C-49F2-818F-75AE69389D2E}"/>
    <cellStyle name="Check Cell 18 2 4 9 3" xfId="7041" xr:uid="{5081099B-C8E8-4167-BB88-5CD4737415E9}"/>
    <cellStyle name="Check Cell 18 2 5" xfId="7042" xr:uid="{F39EC368-4060-4B42-B27E-AD315C4D3FC5}"/>
    <cellStyle name="Check Cell 18 2 5 2" xfId="7043" xr:uid="{4610620F-27C9-485D-9C34-76A1132B0F7B}"/>
    <cellStyle name="Check Cell 18 2 5 2 2" xfId="7044" xr:uid="{67358AF1-12F2-477F-945E-3D5B3FC31A80}"/>
    <cellStyle name="Check Cell 18 2 5 2 2 2" xfId="7045" xr:uid="{E9764B6B-3646-44CC-A5EB-7360FE507076}"/>
    <cellStyle name="Check Cell 18 2 5 2 3" xfId="7046" xr:uid="{1DA38F76-36BA-4F6F-B19A-0ABC1795ECA9}"/>
    <cellStyle name="Check Cell 18 2 5 3" xfId="7047" xr:uid="{C35DB396-8A37-4BA7-BE3E-DA6A901638B7}"/>
    <cellStyle name="Check Cell 18 2 5 3 2" xfId="7048" xr:uid="{B69A70D0-D1E7-417E-9747-773771D8056B}"/>
    <cellStyle name="Check Cell 18 2 5 3 2 2" xfId="7049" xr:uid="{BB903279-DC3E-4043-A787-AE04E714C205}"/>
    <cellStyle name="Check Cell 18 2 5 3 3" xfId="7050" xr:uid="{7C7599BA-068D-48B0-B70F-7E28DD0D1FB6}"/>
    <cellStyle name="Check Cell 18 2 5 4" xfId="7051" xr:uid="{89276568-72A7-44D0-A71C-0FA47A0E252C}"/>
    <cellStyle name="Check Cell 18 2 5 4 2" xfId="7052" xr:uid="{578C2A1B-5DD3-4109-80C3-204A4D00D607}"/>
    <cellStyle name="Check Cell 18 2 5 4 2 2" xfId="7053" xr:uid="{E7D90311-964C-4E56-A7CF-FE034DC73308}"/>
    <cellStyle name="Check Cell 18 2 5 4 3" xfId="7054" xr:uid="{C24D8181-B7E6-4718-8A12-0E9361F6B220}"/>
    <cellStyle name="Check Cell 18 2 5 5" xfId="7055" xr:uid="{1D4CBF4E-9D42-4A31-881F-C49DED2AD59C}"/>
    <cellStyle name="Check Cell 18 2 5 5 2" xfId="7056" xr:uid="{42E2D386-6675-4DC3-BD1B-665008BC8FCC}"/>
    <cellStyle name="Check Cell 18 2 5 5 2 2" xfId="7057" xr:uid="{0F63BD29-6606-4416-B8F8-5422600AC11B}"/>
    <cellStyle name="Check Cell 18 2 5 5 3" xfId="7058" xr:uid="{CF1623F9-9D98-4E93-B639-EFDDC971467F}"/>
    <cellStyle name="Check Cell 18 2 5 6" xfId="7059" xr:uid="{23A64546-04F0-4DE1-8698-363BB7D89DDC}"/>
    <cellStyle name="Check Cell 18 2 5 6 2" xfId="7060" xr:uid="{DA7CD631-CAEC-4DCD-95A5-0A6CB48183BB}"/>
    <cellStyle name="Check Cell 18 2 5 6 2 2" xfId="7061" xr:uid="{E27ADDFD-C1A4-47FC-8CD4-4C6B6825860A}"/>
    <cellStyle name="Check Cell 18 2 5 6 3" xfId="7062" xr:uid="{621B4757-B44E-4F2E-BA91-48880D1B3BED}"/>
    <cellStyle name="Check Cell 18 2 5 7" xfId="7063" xr:uid="{777EC608-5AF0-41B7-9C45-5317A706266C}"/>
    <cellStyle name="Check Cell 18 2 5 7 2" xfId="7064" xr:uid="{00F6FAD1-24B2-4489-ADC9-095D59B167B9}"/>
    <cellStyle name="Check Cell 18 2 5 7 2 2" xfId="7065" xr:uid="{D84925DE-DB82-4005-9A22-5A71AB35C9B1}"/>
    <cellStyle name="Check Cell 18 2 5 7 3" xfId="7066" xr:uid="{AC1141E1-85FE-4995-A6B7-31C88D747D6E}"/>
    <cellStyle name="Check Cell 18 2 5 8" xfId="7067" xr:uid="{CCBBA05D-018E-47E2-BB19-AFA7D62B9688}"/>
    <cellStyle name="Check Cell 18 2 5 8 2" xfId="7068" xr:uid="{88C0B402-7AF5-44FC-9825-E0F64B4F2647}"/>
    <cellStyle name="Check Cell 18 2 5 8 2 2" xfId="7069" xr:uid="{6E84B0C8-C0B0-40B1-BAA1-05893393F18F}"/>
    <cellStyle name="Check Cell 18 2 5 8 3" xfId="7070" xr:uid="{F9065BD8-8C94-4925-9A67-FEE6D30A1ACE}"/>
    <cellStyle name="Check Cell 18 2 5 9" xfId="7071" xr:uid="{68FF3433-BDC3-4F79-99D2-4462B283575F}"/>
    <cellStyle name="Check Cell 18 2 5 9 2" xfId="7072" xr:uid="{C2F68E61-BC87-4B44-9C60-C3D887A3B397}"/>
    <cellStyle name="Check Cell 18 2 5 9 2 2" xfId="7073" xr:uid="{1B3845A0-CCA6-4372-A608-CE70FEBA8633}"/>
    <cellStyle name="Check Cell 18 2 5 9 3" xfId="7074" xr:uid="{1DE2E798-06D6-4C74-ABB0-34A14608EFDC}"/>
    <cellStyle name="Check Cell 18 2 6" xfId="7075" xr:uid="{8128595D-BD38-4914-A368-9C63AF41347B}"/>
    <cellStyle name="Check Cell 18 2 6 2" xfId="7076" xr:uid="{C97F227D-4D29-464A-A3D3-501994928534}"/>
    <cellStyle name="Check Cell 18 2 6 2 2" xfId="7077" xr:uid="{DC3A8F64-BEC3-4954-917C-F570191C3D58}"/>
    <cellStyle name="Check Cell 18 2 6 3" xfId="7078" xr:uid="{BB26A0AE-A01A-4D1A-8A04-DEE3D597DED2}"/>
    <cellStyle name="Check Cell 18 2 7" xfId="7079" xr:uid="{3F7B14DB-1945-4E4A-8E8A-C1D06F967A16}"/>
    <cellStyle name="Check Cell 18 2 7 2" xfId="7080" xr:uid="{1AB9A186-601D-4069-9AA7-9C50A4FE0024}"/>
    <cellStyle name="Check Cell 18 2 7 2 2" xfId="7081" xr:uid="{A852D8A3-67ED-4EA8-B73A-F7F28475CF4B}"/>
    <cellStyle name="Check Cell 18 2 7 3" xfId="7082" xr:uid="{93A75135-20B2-4A85-800F-59A86CA09594}"/>
    <cellStyle name="Check Cell 18 2 8" xfId="7083" xr:uid="{0AAE3E65-8625-422F-A56D-EE2CC9D818EA}"/>
    <cellStyle name="Check Cell 18 2 8 2" xfId="7084" xr:uid="{D3935BA4-F95F-4E26-A87D-FB5C7BA90E29}"/>
    <cellStyle name="Check Cell 18 2 8 2 2" xfId="7085" xr:uid="{B7D352AA-4606-4278-8A10-D4F093EE77BD}"/>
    <cellStyle name="Check Cell 18 2 8 3" xfId="7086" xr:uid="{40C27BC8-571D-4128-BC58-DDB42D569EC0}"/>
    <cellStyle name="Check Cell 18 2 9" xfId="7087" xr:uid="{4433792D-7ADF-41C2-87F9-34636D60AA62}"/>
    <cellStyle name="Check Cell 18 2 9 2" xfId="7088" xr:uid="{8D1E0340-65CD-4A3D-B3AE-7CC0BC9ABF6E}"/>
    <cellStyle name="Check Cell 18 2 9 2 2" xfId="7089" xr:uid="{ED4D1F86-C27D-4D1B-BA25-FF172E69363E}"/>
    <cellStyle name="Check Cell 18 2 9 3" xfId="7090" xr:uid="{8ED052F3-F148-470D-92BB-506A89529417}"/>
    <cellStyle name="Check Cell 18 3" xfId="7091" xr:uid="{F748D867-C86D-4600-A8DA-3124AC0BACDD}"/>
    <cellStyle name="Check Cell 18 3 2" xfId="7092" xr:uid="{9A175B6A-A0CD-4412-B5FD-6F1EFD469BBC}"/>
    <cellStyle name="Check Cell 18 3 2 2" xfId="7093" xr:uid="{356E73E8-7627-4810-8991-FE576B34DED9}"/>
    <cellStyle name="Check Cell 18 3 3" xfId="7094" xr:uid="{F140A4E3-4E61-4B72-8679-D368612C26CF}"/>
    <cellStyle name="Check Cell 18 4" xfId="7095" xr:uid="{8444B939-78D5-4C13-8B29-EF1958D82D93}"/>
    <cellStyle name="Check Cell 18 4 2" xfId="7096" xr:uid="{10A218CB-96C4-4F14-97C3-0AD66F75164B}"/>
    <cellStyle name="Check Cell 19" xfId="7097" xr:uid="{11AFEA39-12AA-4DDF-AE03-1D1164F2190E}"/>
    <cellStyle name="Check Cell 19 2" xfId="7098" xr:uid="{F2B14415-5D00-4B37-B010-10FA4FE6A49C}"/>
    <cellStyle name="Check Cell 19 2 10" xfId="7099" xr:uid="{91166ECF-19A1-426D-A51E-AD832582282C}"/>
    <cellStyle name="Check Cell 19 2 10 2" xfId="7100" xr:uid="{03A8EB4A-5933-447E-8E4B-310D72607699}"/>
    <cellStyle name="Check Cell 19 2 10 2 2" xfId="7101" xr:uid="{A7CEC82B-300B-465E-B01A-43463B25E4D5}"/>
    <cellStyle name="Check Cell 19 2 10 3" xfId="7102" xr:uid="{FE7BC41B-B859-4FFD-AA46-0A1D4E2A396E}"/>
    <cellStyle name="Check Cell 19 2 11" xfId="7103" xr:uid="{28F18AE5-9A17-4525-9996-51E1D3A23BD7}"/>
    <cellStyle name="Check Cell 19 2 11 2" xfId="7104" xr:uid="{A996BA6C-370E-4F06-A686-6AE736D6E571}"/>
    <cellStyle name="Check Cell 19 2 11 2 2" xfId="7105" xr:uid="{67E49F2C-396A-482F-B4E4-4E5EDBE92E96}"/>
    <cellStyle name="Check Cell 19 2 11 3" xfId="7106" xr:uid="{EDD3E70A-3C7B-4916-B610-8AEA37213C9C}"/>
    <cellStyle name="Check Cell 19 2 12" xfId="7107" xr:uid="{17C558B3-CE5B-48CA-94C3-ADBB3D537150}"/>
    <cellStyle name="Check Cell 19 2 12 2" xfId="7108" xr:uid="{28EB7D2C-58D8-4B29-BB90-774B58457412}"/>
    <cellStyle name="Check Cell 19 2 12 2 2" xfId="7109" xr:uid="{51ED48E1-D95A-4F36-A948-98D4CCE12518}"/>
    <cellStyle name="Check Cell 19 2 12 3" xfId="7110" xr:uid="{95040855-9002-4EB9-88C9-346FEDBDD241}"/>
    <cellStyle name="Check Cell 19 2 13" xfId="7111" xr:uid="{0CBDB1B3-A208-4D52-B522-6954862D7951}"/>
    <cellStyle name="Check Cell 19 2 13 2" xfId="7112" xr:uid="{E80BAF75-5A10-4E53-8FF4-DC8AB627E2D0}"/>
    <cellStyle name="Check Cell 19 2 13 2 2" xfId="7113" xr:uid="{86D8328D-5BB8-4725-BA1D-BB1452EC64B9}"/>
    <cellStyle name="Check Cell 19 2 13 3" xfId="7114" xr:uid="{5380ACE3-1361-4614-9CB8-82DE7DF4A660}"/>
    <cellStyle name="Check Cell 19 2 2" xfId="7115" xr:uid="{BEC2CFD6-AE3C-4C66-B57F-5C1B8AEFE8F2}"/>
    <cellStyle name="Check Cell 19 2 2 2" xfId="7116" xr:uid="{EF9E3B32-BB64-4255-8DA7-A8F626F08641}"/>
    <cellStyle name="Check Cell 19 2 2 2 2" xfId="7117" xr:uid="{720399CA-0F31-4829-B1DD-B8C23FB5D38C}"/>
    <cellStyle name="Check Cell 19 2 2 2 2 2" xfId="7118" xr:uid="{36CEADD3-B8B6-4906-A50C-1F4F7D653712}"/>
    <cellStyle name="Check Cell 19 2 2 2 3" xfId="7119" xr:uid="{1FAEBEC3-7DB5-4824-92BA-79F737EB9F02}"/>
    <cellStyle name="Check Cell 19 2 2 3" xfId="7120" xr:uid="{3E761F3A-FD1E-4F17-B6DA-53B61C632609}"/>
    <cellStyle name="Check Cell 19 2 2 3 2" xfId="7121" xr:uid="{B4CC1CF0-6B46-4C1E-B2BF-88127BC2D20E}"/>
    <cellStyle name="Check Cell 19 2 2 3 2 2" xfId="7122" xr:uid="{D552E65A-8285-4E30-A86E-F110BEC859F7}"/>
    <cellStyle name="Check Cell 19 2 2 3 3" xfId="7123" xr:uid="{8F5CD3FF-D120-4950-9EC5-2DBF27B7D807}"/>
    <cellStyle name="Check Cell 19 2 2 4" xfId="7124" xr:uid="{81A44B5D-9930-45AF-9F96-FD25EDC35D0C}"/>
    <cellStyle name="Check Cell 19 2 2 4 2" xfId="7125" xr:uid="{859F29A2-ACCC-4959-90B8-74DF2464AFF9}"/>
    <cellStyle name="Check Cell 19 2 2 4 2 2" xfId="7126" xr:uid="{3758AA39-D7FD-463D-A4DC-540A331097F6}"/>
    <cellStyle name="Check Cell 19 2 2 4 3" xfId="7127" xr:uid="{7225AB54-12D5-4828-ACB5-FF65E18D42D2}"/>
    <cellStyle name="Check Cell 19 2 2 5" xfId="7128" xr:uid="{3C573590-F31B-4382-A519-7FC637538525}"/>
    <cellStyle name="Check Cell 19 2 2 5 2" xfId="7129" xr:uid="{F41E52EA-7DD9-4CDD-816D-162D7501243F}"/>
    <cellStyle name="Check Cell 19 2 2 5 2 2" xfId="7130" xr:uid="{5C8BBF7D-4924-4106-B85C-A27740EDE472}"/>
    <cellStyle name="Check Cell 19 2 2 5 3" xfId="7131" xr:uid="{A2527304-5CEC-4B27-9AFE-D9637AD34D6B}"/>
    <cellStyle name="Check Cell 19 2 2 6" xfId="7132" xr:uid="{6FB22ED0-711B-43E5-A577-B1E38B406A24}"/>
    <cellStyle name="Check Cell 19 2 2 6 2" xfId="7133" xr:uid="{8AD43AEF-E48F-43B3-987A-DBFA7DB143F0}"/>
    <cellStyle name="Check Cell 19 2 2 6 2 2" xfId="7134" xr:uid="{0C6E5EF1-C989-4E8D-A13B-D1DF44421EB3}"/>
    <cellStyle name="Check Cell 19 2 2 6 3" xfId="7135" xr:uid="{BBF0E37D-5DD4-4B82-B6DA-5F59CA85300E}"/>
    <cellStyle name="Check Cell 19 2 2 7" xfId="7136" xr:uid="{97129ED7-46AD-4CAC-AEF4-FD38CFFAE5AA}"/>
    <cellStyle name="Check Cell 19 2 2 7 2" xfId="7137" xr:uid="{1AB6B69C-1E18-4276-A1C1-EC1115D849F7}"/>
    <cellStyle name="Check Cell 19 2 2 7 2 2" xfId="7138" xr:uid="{E786D1FB-1949-4809-90A9-A609E659BBD0}"/>
    <cellStyle name="Check Cell 19 2 2 7 3" xfId="7139" xr:uid="{1C8016CB-75A7-4699-AA90-C46F28467FF8}"/>
    <cellStyle name="Check Cell 19 2 2 8" xfId="7140" xr:uid="{A0437033-78C6-4A42-8E1A-04D997DD22F2}"/>
    <cellStyle name="Check Cell 19 2 2 8 2" xfId="7141" xr:uid="{5AD31FB3-F833-4248-86B2-720EF70D88BD}"/>
    <cellStyle name="Check Cell 19 2 2 8 2 2" xfId="7142" xr:uid="{7B6D6C5F-4EE1-4253-B272-01EC38AF0C62}"/>
    <cellStyle name="Check Cell 19 2 2 8 3" xfId="7143" xr:uid="{A334CF99-61BD-4D2B-874A-0C3949414716}"/>
    <cellStyle name="Check Cell 19 2 2 9" xfId="7144" xr:uid="{015DA266-5123-44B9-86BE-A5FD221B3E21}"/>
    <cellStyle name="Check Cell 19 2 2 9 2" xfId="7145" xr:uid="{D1BD6D29-CE36-467D-BBF8-A4687FC0F4BE}"/>
    <cellStyle name="Check Cell 19 2 2 9 2 2" xfId="7146" xr:uid="{0A1660B2-7303-4A81-A549-3FC88E09CC9E}"/>
    <cellStyle name="Check Cell 19 2 2 9 3" xfId="7147" xr:uid="{61124E32-FC3F-4589-BB8E-34155AED6139}"/>
    <cellStyle name="Check Cell 19 2 3" xfId="7148" xr:uid="{2F413AFA-C4D9-4E1E-A52E-06CC69B48CA1}"/>
    <cellStyle name="Check Cell 19 2 3 2" xfId="7149" xr:uid="{699A0C4B-D8E1-412E-9513-B391D3542BCF}"/>
    <cellStyle name="Check Cell 19 2 3 2 2" xfId="7150" xr:uid="{49385750-DAEA-4CC2-BCFF-29698968446F}"/>
    <cellStyle name="Check Cell 19 2 3 2 2 2" xfId="7151" xr:uid="{B2D9F1EC-DAF5-4E2D-A6AC-B157B94CC263}"/>
    <cellStyle name="Check Cell 19 2 3 2 3" xfId="7152" xr:uid="{F3F032C4-241D-4AD5-8E49-2DD29279B87F}"/>
    <cellStyle name="Check Cell 19 2 3 3" xfId="7153" xr:uid="{2482B571-D997-4804-971E-1529DB3718E7}"/>
    <cellStyle name="Check Cell 19 2 3 3 2" xfId="7154" xr:uid="{41F234BC-0788-4B5C-8AB8-15BBEE74E26B}"/>
    <cellStyle name="Check Cell 19 2 3 3 2 2" xfId="7155" xr:uid="{472D66D9-F813-44A7-8BFB-8285252D4862}"/>
    <cellStyle name="Check Cell 19 2 3 3 3" xfId="7156" xr:uid="{2FFC5AC0-3D3A-4ACD-B5F6-D060F0BFDCD0}"/>
    <cellStyle name="Check Cell 19 2 3 4" xfId="7157" xr:uid="{8D12FAAA-63B3-484E-908B-13353C3D6806}"/>
    <cellStyle name="Check Cell 19 2 3 4 2" xfId="7158" xr:uid="{F5CFC43C-5FF8-4394-BA3D-742B08C30DCE}"/>
    <cellStyle name="Check Cell 19 2 3 4 2 2" xfId="7159" xr:uid="{525C9ECE-905A-4041-A2A7-3D55AC524F03}"/>
    <cellStyle name="Check Cell 19 2 3 4 3" xfId="7160" xr:uid="{05D1379F-1BB4-42F8-94B1-8CD22DB51075}"/>
    <cellStyle name="Check Cell 19 2 3 5" xfId="7161" xr:uid="{DE7B4D9B-BD68-44B5-B2C3-C900A7F27BEB}"/>
    <cellStyle name="Check Cell 19 2 3 5 2" xfId="7162" xr:uid="{657E73E0-AA1F-4475-A2E4-DCCAD74E2D3B}"/>
    <cellStyle name="Check Cell 19 2 3 5 2 2" xfId="7163" xr:uid="{7725DA65-81C8-4D4E-AB0D-1D8E533AF95C}"/>
    <cellStyle name="Check Cell 19 2 3 5 3" xfId="7164" xr:uid="{768E89F4-5990-4235-B85D-94ABF732A78B}"/>
    <cellStyle name="Check Cell 19 2 3 6" xfId="7165" xr:uid="{091B0F33-28B3-4FB6-A445-7D87B2682B47}"/>
    <cellStyle name="Check Cell 19 2 3 6 2" xfId="7166" xr:uid="{28C46DAC-62C9-4924-B454-1E61DE1C3EB6}"/>
    <cellStyle name="Check Cell 19 2 3 6 2 2" xfId="7167" xr:uid="{DE1C414C-3C10-4590-8781-94185A1B3C5C}"/>
    <cellStyle name="Check Cell 19 2 3 6 3" xfId="7168" xr:uid="{D2052FCC-7C8C-458C-8658-C76456AE594A}"/>
    <cellStyle name="Check Cell 19 2 3 7" xfId="7169" xr:uid="{DBDE4FC5-F4AC-4724-988E-3DC11E0EDCDC}"/>
    <cellStyle name="Check Cell 19 2 3 7 2" xfId="7170" xr:uid="{47AE7BE6-CCF5-4A79-AF52-A8126ABF8C5D}"/>
    <cellStyle name="Check Cell 19 2 3 7 2 2" xfId="7171" xr:uid="{6119DA15-B794-408C-8EE7-5FA3CBBC9508}"/>
    <cellStyle name="Check Cell 19 2 3 7 3" xfId="7172" xr:uid="{DA1D8B9B-50E4-4B8C-A40E-16DEC006320A}"/>
    <cellStyle name="Check Cell 19 2 3 8" xfId="7173" xr:uid="{606CACD0-5382-4A8B-9720-0F64934753F6}"/>
    <cellStyle name="Check Cell 19 2 3 8 2" xfId="7174" xr:uid="{6C411971-AA11-4B65-B6AE-F65971ABDD8B}"/>
    <cellStyle name="Check Cell 19 2 3 8 2 2" xfId="7175" xr:uid="{26B2DE01-A409-4989-97A5-342A7BD06044}"/>
    <cellStyle name="Check Cell 19 2 3 8 3" xfId="7176" xr:uid="{9EAC9BB2-9A77-4C1E-B3F0-993BDDCC8BF7}"/>
    <cellStyle name="Check Cell 19 2 3 9" xfId="7177" xr:uid="{F25ABD87-65E4-4E93-BEF2-D8ACDF363B6F}"/>
    <cellStyle name="Check Cell 19 2 3 9 2" xfId="7178" xr:uid="{AFA71F3A-7E48-4B68-BD3F-0E27EDA2F065}"/>
    <cellStyle name="Check Cell 19 2 3 9 2 2" xfId="7179" xr:uid="{AF78ECB2-D7FB-47D1-94EB-26A0C723C042}"/>
    <cellStyle name="Check Cell 19 2 3 9 3" xfId="7180" xr:uid="{80F86BD3-7A82-44AF-B882-6148ADC930D3}"/>
    <cellStyle name="Check Cell 19 2 4" xfId="7181" xr:uid="{EA60DD03-518E-4054-8652-03C8B92EECC0}"/>
    <cellStyle name="Check Cell 19 2 4 2" xfId="7182" xr:uid="{8ADB528C-620A-4A38-88A5-40C6DDDE3EDD}"/>
    <cellStyle name="Check Cell 19 2 4 2 2" xfId="7183" xr:uid="{CE5F2E42-6E81-4579-8221-CBB06650B75E}"/>
    <cellStyle name="Check Cell 19 2 4 2 2 2" xfId="7184" xr:uid="{5858B520-3FE4-4423-B2BF-9A4FE2EF1261}"/>
    <cellStyle name="Check Cell 19 2 4 2 3" xfId="7185" xr:uid="{6BDEAAF3-9F70-4518-BA94-DE16F3A95568}"/>
    <cellStyle name="Check Cell 19 2 4 3" xfId="7186" xr:uid="{BE6148EF-B4C2-446E-AF4A-363A317FC956}"/>
    <cellStyle name="Check Cell 19 2 4 3 2" xfId="7187" xr:uid="{59913897-98BB-46C1-B923-7134A5375DA5}"/>
    <cellStyle name="Check Cell 19 2 4 3 2 2" xfId="7188" xr:uid="{546BD20D-56DC-49C9-AAA1-DF2421768308}"/>
    <cellStyle name="Check Cell 19 2 4 3 3" xfId="7189" xr:uid="{335C602F-3948-44D5-9523-1A897E901998}"/>
    <cellStyle name="Check Cell 19 2 4 4" xfId="7190" xr:uid="{C432C724-C5A1-40EE-AB4E-74B5E1AFE43B}"/>
    <cellStyle name="Check Cell 19 2 4 4 2" xfId="7191" xr:uid="{83CDFCCC-FA13-4B3B-9A7B-BA29BC07FADD}"/>
    <cellStyle name="Check Cell 19 2 4 4 2 2" xfId="7192" xr:uid="{9AAEE256-7F17-48A0-8F31-1271D3CED098}"/>
    <cellStyle name="Check Cell 19 2 4 4 3" xfId="7193" xr:uid="{B6BE42A7-D374-47C5-8ABF-23FB49D18EB8}"/>
    <cellStyle name="Check Cell 19 2 4 5" xfId="7194" xr:uid="{7245AA37-3F21-4716-8630-BF4FD5044766}"/>
    <cellStyle name="Check Cell 19 2 4 5 2" xfId="7195" xr:uid="{4A783C92-88FD-4DCA-8CD3-6E79CC5F5ECB}"/>
    <cellStyle name="Check Cell 19 2 4 5 2 2" xfId="7196" xr:uid="{ACB9B671-94FA-455D-B0E8-E2F02ED5895E}"/>
    <cellStyle name="Check Cell 19 2 4 5 3" xfId="7197" xr:uid="{D9863830-E652-44F0-8AA1-C3BF242E0BB7}"/>
    <cellStyle name="Check Cell 19 2 4 6" xfId="7198" xr:uid="{A483CC3B-2AD8-45DA-83EB-5DEFFA8111D6}"/>
    <cellStyle name="Check Cell 19 2 4 6 2" xfId="7199" xr:uid="{0A74E779-60A7-41E2-8068-66686552889F}"/>
    <cellStyle name="Check Cell 19 2 4 6 2 2" xfId="7200" xr:uid="{3314FCF4-0E07-4485-BCC8-6A4E1C9627F8}"/>
    <cellStyle name="Check Cell 19 2 4 6 3" xfId="7201" xr:uid="{6503E55F-F148-4A2F-8FBB-D67C97AE1614}"/>
    <cellStyle name="Check Cell 19 2 4 7" xfId="7202" xr:uid="{093CC5AC-7C83-4B19-99FB-3B29E43735EC}"/>
    <cellStyle name="Check Cell 19 2 4 7 2" xfId="7203" xr:uid="{EC8D1A46-43C4-4B12-A965-B188C7D8D856}"/>
    <cellStyle name="Check Cell 19 2 4 7 2 2" xfId="7204" xr:uid="{42242F8E-E6BD-4CF7-9D95-662B324849CB}"/>
    <cellStyle name="Check Cell 19 2 4 7 3" xfId="7205" xr:uid="{309A340D-7F22-4140-AFD3-0CC2745564FB}"/>
    <cellStyle name="Check Cell 19 2 4 8" xfId="7206" xr:uid="{3BE36781-8C56-4E46-8A0C-D43127AAE258}"/>
    <cellStyle name="Check Cell 19 2 4 8 2" xfId="7207" xr:uid="{5C5FAB82-7BEE-4C78-B4A7-2A23FDAFF318}"/>
    <cellStyle name="Check Cell 19 2 4 8 2 2" xfId="7208" xr:uid="{31D07A61-2E96-4C74-8247-96DEC3BAAD14}"/>
    <cellStyle name="Check Cell 19 2 4 8 3" xfId="7209" xr:uid="{2E135EB4-8258-4108-A6A3-233EB57653E6}"/>
    <cellStyle name="Check Cell 19 2 4 9" xfId="7210" xr:uid="{AFB666FB-DA72-41F8-AAC6-432286C2FE42}"/>
    <cellStyle name="Check Cell 19 2 4 9 2" xfId="7211" xr:uid="{C2BEAC44-5CF9-4A6E-ACEE-E21C18FD1B26}"/>
    <cellStyle name="Check Cell 19 2 4 9 2 2" xfId="7212" xr:uid="{530A2629-E982-45DF-BC36-D599CDDF4057}"/>
    <cellStyle name="Check Cell 19 2 4 9 3" xfId="7213" xr:uid="{4EA37A13-B424-4DDF-A4C3-6384CE4E66EE}"/>
    <cellStyle name="Check Cell 19 2 5" xfId="7214" xr:uid="{44F180D7-D8B2-4905-8419-DC20A1B51F48}"/>
    <cellStyle name="Check Cell 19 2 5 2" xfId="7215" xr:uid="{A3CF4C95-C0EE-4ABE-BB66-97BC04E24B7E}"/>
    <cellStyle name="Check Cell 19 2 5 2 2" xfId="7216" xr:uid="{72653391-AB01-44C4-A921-6BDBC01F92DE}"/>
    <cellStyle name="Check Cell 19 2 5 2 2 2" xfId="7217" xr:uid="{AA9E0768-DD56-4E4A-869E-82C7227DCBB1}"/>
    <cellStyle name="Check Cell 19 2 5 2 3" xfId="7218" xr:uid="{7F31C651-CF5C-43E3-B441-E8B8BA332A83}"/>
    <cellStyle name="Check Cell 19 2 5 3" xfId="7219" xr:uid="{DBE3896D-D4B3-4B27-9E0F-DA87D0D19C4E}"/>
    <cellStyle name="Check Cell 19 2 5 3 2" xfId="7220" xr:uid="{BCE57FFD-0AE9-45C2-BDB7-612CF724823A}"/>
    <cellStyle name="Check Cell 19 2 5 3 2 2" xfId="7221" xr:uid="{7C442278-4118-4A80-A445-BB2E65E980D6}"/>
    <cellStyle name="Check Cell 19 2 5 3 3" xfId="7222" xr:uid="{874E4BF2-8BC2-44D8-918F-265D74BE1F02}"/>
    <cellStyle name="Check Cell 19 2 5 4" xfId="7223" xr:uid="{D1DED43B-3E58-48B2-A816-9EED2C7BB92E}"/>
    <cellStyle name="Check Cell 19 2 5 4 2" xfId="7224" xr:uid="{214F842E-250B-4869-AFCF-2B33E4F67E72}"/>
    <cellStyle name="Check Cell 19 2 5 4 2 2" xfId="7225" xr:uid="{71FA9553-AAE3-4D00-8204-82541B684585}"/>
    <cellStyle name="Check Cell 19 2 5 4 3" xfId="7226" xr:uid="{7558F06D-91B2-4F2F-991C-8FB2B6BE22AD}"/>
    <cellStyle name="Check Cell 19 2 5 5" xfId="7227" xr:uid="{8053E216-D0C3-4F92-8043-DD6AD2B7A0FD}"/>
    <cellStyle name="Check Cell 19 2 5 5 2" xfId="7228" xr:uid="{BD513983-5092-4356-B4F7-87DFC7821EEB}"/>
    <cellStyle name="Check Cell 19 2 5 5 2 2" xfId="7229" xr:uid="{DE06A95C-D53F-4506-B4D6-E5530DB1D713}"/>
    <cellStyle name="Check Cell 19 2 5 5 3" xfId="7230" xr:uid="{15F31CFF-1E6C-43BF-83E5-6F22B4C3B61B}"/>
    <cellStyle name="Check Cell 19 2 5 6" xfId="7231" xr:uid="{C0CDEC4E-F8FF-4A48-83BD-2990D7FAB75A}"/>
    <cellStyle name="Check Cell 19 2 5 6 2" xfId="7232" xr:uid="{40815B5E-F739-48AC-A4C9-DB3954F68702}"/>
    <cellStyle name="Check Cell 19 2 5 6 2 2" xfId="7233" xr:uid="{F273DF9D-9712-4B55-8D2B-61AE0CDCDB09}"/>
    <cellStyle name="Check Cell 19 2 5 6 3" xfId="7234" xr:uid="{FE6B9B4F-C75A-4CC9-B44F-950853753350}"/>
    <cellStyle name="Check Cell 19 2 5 7" xfId="7235" xr:uid="{EC33C7AE-1DEA-4AD5-BC73-D1D4653975E1}"/>
    <cellStyle name="Check Cell 19 2 5 7 2" xfId="7236" xr:uid="{CE7FB2AD-4B9F-4495-AA36-552A46EC57CA}"/>
    <cellStyle name="Check Cell 19 2 5 7 2 2" xfId="7237" xr:uid="{90F2E2AA-D5AB-4425-B5E5-2C8F0DF78231}"/>
    <cellStyle name="Check Cell 19 2 5 7 3" xfId="7238" xr:uid="{389BD0CF-2985-4C05-BEC4-28CC555F2AFA}"/>
    <cellStyle name="Check Cell 19 2 5 8" xfId="7239" xr:uid="{0BA8AD67-9818-4FC3-8EA5-B2F4194E6B80}"/>
    <cellStyle name="Check Cell 19 2 5 8 2" xfId="7240" xr:uid="{6958A8E1-7FCE-43FE-8F93-5FABDA356E9A}"/>
    <cellStyle name="Check Cell 19 2 5 8 2 2" xfId="7241" xr:uid="{3D5ECCB3-054E-4C08-B585-B0DA06D4AE04}"/>
    <cellStyle name="Check Cell 19 2 5 8 3" xfId="7242" xr:uid="{D95A0A78-F726-4097-908C-B967555C4F4B}"/>
    <cellStyle name="Check Cell 19 2 5 9" xfId="7243" xr:uid="{5B296CF5-6BC0-4868-8AA7-24571935232D}"/>
    <cellStyle name="Check Cell 19 2 5 9 2" xfId="7244" xr:uid="{80687CFB-5138-4D81-9756-E8083AC65655}"/>
    <cellStyle name="Check Cell 19 2 5 9 2 2" xfId="7245" xr:uid="{D30A0F54-EEE5-46F2-85BA-D7D02FF67AE0}"/>
    <cellStyle name="Check Cell 19 2 5 9 3" xfId="7246" xr:uid="{8686FE5F-05AA-4DE5-98C4-45FC7A02F876}"/>
    <cellStyle name="Check Cell 19 2 6" xfId="7247" xr:uid="{04D093DB-48F7-4502-B263-5BAD8B2FDA47}"/>
    <cellStyle name="Check Cell 19 2 6 2" xfId="7248" xr:uid="{2FAE1838-7C15-470D-A958-0F5F0CC6958C}"/>
    <cellStyle name="Check Cell 19 2 6 2 2" xfId="7249" xr:uid="{ECF60614-60F4-42BF-AE76-977D55CAFAA0}"/>
    <cellStyle name="Check Cell 19 2 6 3" xfId="7250" xr:uid="{9FA1BBB4-3B7A-4CAF-AD06-5FA24CEBC49A}"/>
    <cellStyle name="Check Cell 19 2 7" xfId="7251" xr:uid="{BF487192-7FD9-4786-91C6-342CA5502389}"/>
    <cellStyle name="Check Cell 19 2 7 2" xfId="7252" xr:uid="{96A1C3D9-A47F-4D76-92B0-B035A59BCA5C}"/>
    <cellStyle name="Check Cell 19 2 7 2 2" xfId="7253" xr:uid="{25765167-C77C-4045-B8E3-EE44FA19928C}"/>
    <cellStyle name="Check Cell 19 2 7 3" xfId="7254" xr:uid="{D49571FD-5371-4724-9830-FCFB2C3E9145}"/>
    <cellStyle name="Check Cell 19 2 8" xfId="7255" xr:uid="{E84E781D-F1F0-4359-AC1C-F044624E593D}"/>
    <cellStyle name="Check Cell 19 2 8 2" xfId="7256" xr:uid="{F26DEB68-3443-492C-8414-80096F156042}"/>
    <cellStyle name="Check Cell 19 2 8 2 2" xfId="7257" xr:uid="{D687CE59-E516-4A92-A3C6-619396B98E3E}"/>
    <cellStyle name="Check Cell 19 2 8 3" xfId="7258" xr:uid="{267B14DD-D648-4075-9E06-71C68ED075F4}"/>
    <cellStyle name="Check Cell 19 2 9" xfId="7259" xr:uid="{4C5A8125-57BF-460B-999C-81923EB5EA54}"/>
    <cellStyle name="Check Cell 19 2 9 2" xfId="7260" xr:uid="{4267A11A-58B2-41C4-BD4D-1B28B17EB0D0}"/>
    <cellStyle name="Check Cell 19 2 9 2 2" xfId="7261" xr:uid="{0C4A21E3-33BA-4106-80FD-65F3D1139AE3}"/>
    <cellStyle name="Check Cell 19 2 9 3" xfId="7262" xr:uid="{717B9D5A-C2EF-4982-B096-8EED5249C055}"/>
    <cellStyle name="Check Cell 19 3" xfId="7263" xr:uid="{0D594253-5AEE-4C1B-94D0-D9F0B63A4445}"/>
    <cellStyle name="Check Cell 19 3 2" xfId="7264" xr:uid="{89DCB668-AE4B-4E1C-9268-13A76A48D8D9}"/>
    <cellStyle name="Check Cell 19 3 2 2" xfId="7265" xr:uid="{1825697C-C7F1-4D87-9631-D72BAD406CBC}"/>
    <cellStyle name="Check Cell 19 3 3" xfId="7266" xr:uid="{94E020A8-EB84-448E-B818-879829B283BB}"/>
    <cellStyle name="Check Cell 19 4" xfId="7267" xr:uid="{C457263E-2F6F-44A9-9F99-5FE022999261}"/>
    <cellStyle name="Check Cell 19 4 2" xfId="7268" xr:uid="{25384721-1CDF-4F65-88EE-A043F997E566}"/>
    <cellStyle name="Check Cell 2" xfId="7269" xr:uid="{1A332B09-5A0F-47BA-BB86-58E77DA720CF}"/>
    <cellStyle name="Check Cell 2 2" xfId="7270" xr:uid="{EF1B5471-80A8-4C98-A122-AA1BE8F2E387}"/>
    <cellStyle name="Check Cell 2 2 10" xfId="7271" xr:uid="{98F72EE0-E3E4-4A83-A315-FE5C8F5B4381}"/>
    <cellStyle name="Check Cell 2 2 10 2" xfId="7272" xr:uid="{AFD93456-4ABF-48D7-BB96-7903A11F80B5}"/>
    <cellStyle name="Check Cell 2 2 10 2 2" xfId="7273" xr:uid="{3EAD215F-D854-49E3-879D-2E62B90C48CE}"/>
    <cellStyle name="Check Cell 2 2 10 3" xfId="7274" xr:uid="{3A94C83A-7064-49D1-8837-D7F6C22BFB49}"/>
    <cellStyle name="Check Cell 2 2 11" xfId="7275" xr:uid="{71FBC042-3768-463E-A058-C3DEB2F394ED}"/>
    <cellStyle name="Check Cell 2 2 11 2" xfId="7276" xr:uid="{4FE8196A-CE43-49FF-BDB9-08C70B466862}"/>
    <cellStyle name="Check Cell 2 2 11 2 2" xfId="7277" xr:uid="{0617CCE4-91BF-47CB-8B8B-E78FDEE81EEA}"/>
    <cellStyle name="Check Cell 2 2 11 3" xfId="7278" xr:uid="{2573636E-3E3A-41EF-87A7-A13A45C49D5D}"/>
    <cellStyle name="Check Cell 2 2 12" xfId="7279" xr:uid="{1631398D-2132-4EA9-A139-07952EF4CB5F}"/>
    <cellStyle name="Check Cell 2 2 12 2" xfId="7280" xr:uid="{7913C127-BDF4-44FC-8479-F1BA835E026B}"/>
    <cellStyle name="Check Cell 2 2 12 2 2" xfId="7281" xr:uid="{866A6521-A1DA-4A55-AB5E-16454A155563}"/>
    <cellStyle name="Check Cell 2 2 12 3" xfId="7282" xr:uid="{51C893C2-1CD4-4098-88CD-E72A89DD6B56}"/>
    <cellStyle name="Check Cell 2 2 13" xfId="7283" xr:uid="{0A423A79-D811-48B2-8163-F2DC0674473D}"/>
    <cellStyle name="Check Cell 2 2 13 2" xfId="7284" xr:uid="{14F26096-D16F-4230-BDC7-571DF1BEFDDD}"/>
    <cellStyle name="Check Cell 2 2 13 2 2" xfId="7285" xr:uid="{4AB1F842-72D6-4187-BCBF-7B91343483CA}"/>
    <cellStyle name="Check Cell 2 2 13 3" xfId="7286" xr:uid="{8A706B66-1A3B-4D40-A212-040F33E7A226}"/>
    <cellStyle name="Check Cell 2 2 2" xfId="7287" xr:uid="{5246ACFA-40F8-4616-B270-25BE8E9EE937}"/>
    <cellStyle name="Check Cell 2 2 2 2" xfId="7288" xr:uid="{B45D462A-C6E7-43E9-9325-5E37CF989F60}"/>
    <cellStyle name="Check Cell 2 2 2 2 2" xfId="7289" xr:uid="{9A02003F-472B-489F-8F94-689593036BEA}"/>
    <cellStyle name="Check Cell 2 2 2 2 2 2" xfId="7290" xr:uid="{4DD76763-AEAF-4F14-B1DC-C45973220D90}"/>
    <cellStyle name="Check Cell 2 2 2 2 3" xfId="7291" xr:uid="{7416FD0D-97C3-41EF-9312-EA264471AFE7}"/>
    <cellStyle name="Check Cell 2 2 2 3" xfId="7292" xr:uid="{F3E8BDCA-AFE4-46F4-82BC-33144F94C2A4}"/>
    <cellStyle name="Check Cell 2 2 2 3 2" xfId="7293" xr:uid="{12215785-9049-471E-9F30-09A6E6131E69}"/>
    <cellStyle name="Check Cell 2 2 2 3 2 2" xfId="7294" xr:uid="{CA486C38-9DEB-45C4-BDF2-AD8D44FFDF7F}"/>
    <cellStyle name="Check Cell 2 2 2 3 3" xfId="7295" xr:uid="{34848592-1D6E-4551-A1AF-4B4B04A291EF}"/>
    <cellStyle name="Check Cell 2 2 2 4" xfId="7296" xr:uid="{D87350A4-CD62-44F9-AF15-ADC12BA62E03}"/>
    <cellStyle name="Check Cell 2 2 2 4 2" xfId="7297" xr:uid="{FAB0A5C5-6778-4BAF-89F6-508902A6F326}"/>
    <cellStyle name="Check Cell 2 2 2 4 2 2" xfId="7298" xr:uid="{DE80DC98-3D07-47F1-B449-434AA4152E1D}"/>
    <cellStyle name="Check Cell 2 2 2 4 3" xfId="7299" xr:uid="{CBD9F36D-4FC5-44A1-A0C3-79FD05830C32}"/>
    <cellStyle name="Check Cell 2 2 2 5" xfId="7300" xr:uid="{866B0222-775D-4B03-A63D-BB6260483B03}"/>
    <cellStyle name="Check Cell 2 2 2 5 2" xfId="7301" xr:uid="{2C8C570C-1B10-4DC7-B7B5-C531C9D1D120}"/>
    <cellStyle name="Check Cell 2 2 2 5 2 2" xfId="7302" xr:uid="{0EFD92B7-B904-4CD4-8A04-273A2209DE10}"/>
    <cellStyle name="Check Cell 2 2 2 5 3" xfId="7303" xr:uid="{6EA069AE-9E0A-4BE7-8C6C-F37AFEC77AB9}"/>
    <cellStyle name="Check Cell 2 2 2 6" xfId="7304" xr:uid="{8DBFEC3C-2958-4F96-9826-7A4878CC58B0}"/>
    <cellStyle name="Check Cell 2 2 2 6 2" xfId="7305" xr:uid="{1CEA8907-4D00-424C-9710-A9250956C5E2}"/>
    <cellStyle name="Check Cell 2 2 2 6 2 2" xfId="7306" xr:uid="{825B0969-84A2-47AB-891F-ABCC9FC60F8E}"/>
    <cellStyle name="Check Cell 2 2 2 6 3" xfId="7307" xr:uid="{47D71D93-3337-4DDC-A56D-F44ECEDF82DA}"/>
    <cellStyle name="Check Cell 2 2 2 7" xfId="7308" xr:uid="{18823519-5519-492E-B049-03AF6157B0F5}"/>
    <cellStyle name="Check Cell 2 2 2 7 2" xfId="7309" xr:uid="{7900B20D-5853-4398-B361-FC4A707330BE}"/>
    <cellStyle name="Check Cell 2 2 2 7 2 2" xfId="7310" xr:uid="{EE8DAE23-5C80-49FF-BA4A-7CA97EA629B2}"/>
    <cellStyle name="Check Cell 2 2 2 7 3" xfId="7311" xr:uid="{6A897FE8-71CA-45D3-B618-26982DDC0228}"/>
    <cellStyle name="Check Cell 2 2 2 8" xfId="7312" xr:uid="{C103401A-9C65-4E14-860F-2878598EDF98}"/>
    <cellStyle name="Check Cell 2 2 2 8 2" xfId="7313" xr:uid="{3D17A43D-94E1-41C4-A9A4-21AE5919193C}"/>
    <cellStyle name="Check Cell 2 2 2 8 2 2" xfId="7314" xr:uid="{C24C8AA6-02E1-4ED8-AA0C-D2626AD73DED}"/>
    <cellStyle name="Check Cell 2 2 2 8 3" xfId="7315" xr:uid="{AA52EE82-5AF5-4738-8FF2-C95D0132A930}"/>
    <cellStyle name="Check Cell 2 2 2 9" xfId="7316" xr:uid="{6CB3273F-350A-4E38-A596-BDD248AD56D8}"/>
    <cellStyle name="Check Cell 2 2 2 9 2" xfId="7317" xr:uid="{7EDD1D3C-47D2-49CC-8F9D-FFBD2313D328}"/>
    <cellStyle name="Check Cell 2 2 2 9 2 2" xfId="7318" xr:uid="{140FC48C-96BD-4236-8E36-5D22A419DEC9}"/>
    <cellStyle name="Check Cell 2 2 2 9 3" xfId="7319" xr:uid="{DCD82141-3FAA-4DA7-917A-B7609AFC58A6}"/>
    <cellStyle name="Check Cell 2 2 3" xfId="7320" xr:uid="{BA3A5D64-3D88-4897-AD08-B25EBB32D0E5}"/>
    <cellStyle name="Check Cell 2 2 3 2" xfId="7321" xr:uid="{81966913-2AE2-4386-99C5-F029278890A1}"/>
    <cellStyle name="Check Cell 2 2 3 2 2" xfId="7322" xr:uid="{2D7C6EE5-8A43-42DD-A96B-3ED67D456336}"/>
    <cellStyle name="Check Cell 2 2 3 2 2 2" xfId="7323" xr:uid="{B0F614D6-E1F8-4209-8D1C-64F3F98DDC94}"/>
    <cellStyle name="Check Cell 2 2 3 2 3" xfId="7324" xr:uid="{7E9202C9-13AC-45D8-8C26-0ED8A81F11AB}"/>
    <cellStyle name="Check Cell 2 2 3 3" xfId="7325" xr:uid="{F5888BAA-24D3-42AD-B527-18F8D5E914B0}"/>
    <cellStyle name="Check Cell 2 2 3 3 2" xfId="7326" xr:uid="{04FD989F-7EC4-4B98-8DC8-12ED7A3D9542}"/>
    <cellStyle name="Check Cell 2 2 3 3 2 2" xfId="7327" xr:uid="{8A90CA34-DD75-4D30-AC37-7E9BA5DD00B6}"/>
    <cellStyle name="Check Cell 2 2 3 3 3" xfId="7328" xr:uid="{21C9272F-CEEA-4751-9EAA-B83FDA78B6DB}"/>
    <cellStyle name="Check Cell 2 2 3 4" xfId="7329" xr:uid="{828FCA91-0E37-40EF-AF21-D57042660D94}"/>
    <cellStyle name="Check Cell 2 2 3 4 2" xfId="7330" xr:uid="{24CB65A1-8044-497E-865A-2CE61928D4CC}"/>
    <cellStyle name="Check Cell 2 2 3 4 2 2" xfId="7331" xr:uid="{9F3D60E3-8BA9-4A09-994D-55A2FD96A3EF}"/>
    <cellStyle name="Check Cell 2 2 3 4 3" xfId="7332" xr:uid="{895DA0DD-903D-4034-855F-4A7F511DD45E}"/>
    <cellStyle name="Check Cell 2 2 3 5" xfId="7333" xr:uid="{24B26414-637F-446C-9775-89F167809A9F}"/>
    <cellStyle name="Check Cell 2 2 3 5 2" xfId="7334" xr:uid="{A168F212-8936-4275-82AE-E14E3EBFE35A}"/>
    <cellStyle name="Check Cell 2 2 3 5 2 2" xfId="7335" xr:uid="{81CC63F9-D9D8-4E21-9CDB-B92FEDC5EAFD}"/>
    <cellStyle name="Check Cell 2 2 3 5 3" xfId="7336" xr:uid="{557354A4-3051-413F-BDB4-EC70ED494850}"/>
    <cellStyle name="Check Cell 2 2 3 6" xfId="7337" xr:uid="{A78DFD51-BC3E-49BF-B06D-5F3D330971B4}"/>
    <cellStyle name="Check Cell 2 2 3 6 2" xfId="7338" xr:uid="{2AD73F4C-C31A-49DB-9224-34C0BE3DAFFF}"/>
    <cellStyle name="Check Cell 2 2 3 6 2 2" xfId="7339" xr:uid="{5BDA5D29-67A9-4B9A-ABB3-D00F94BB179D}"/>
    <cellStyle name="Check Cell 2 2 3 6 3" xfId="7340" xr:uid="{E5984258-CDFD-41B0-A5DC-DDC3CCA654B5}"/>
    <cellStyle name="Check Cell 2 2 3 7" xfId="7341" xr:uid="{576DAF62-0C6B-430E-932E-5A3A222733A0}"/>
    <cellStyle name="Check Cell 2 2 3 7 2" xfId="7342" xr:uid="{52609FC9-0898-4EAD-8AC8-236D103E9574}"/>
    <cellStyle name="Check Cell 2 2 3 7 2 2" xfId="7343" xr:uid="{279BAE36-83BD-44A7-8881-B291B3ABB901}"/>
    <cellStyle name="Check Cell 2 2 3 7 3" xfId="7344" xr:uid="{3C7FA27A-B02A-42F7-9FD4-CFD13863FF9D}"/>
    <cellStyle name="Check Cell 2 2 3 8" xfId="7345" xr:uid="{8CA7DA00-F493-4AF0-91A8-80FC9DA645DA}"/>
    <cellStyle name="Check Cell 2 2 3 8 2" xfId="7346" xr:uid="{ABE273CA-3E3C-41E7-A0CE-782A54004923}"/>
    <cellStyle name="Check Cell 2 2 3 8 2 2" xfId="7347" xr:uid="{7F3F56EF-2726-4453-9C63-AAC59A0552D4}"/>
    <cellStyle name="Check Cell 2 2 3 8 3" xfId="7348" xr:uid="{DECF0235-FC15-417F-AC3B-8ABB5A3A54A5}"/>
    <cellStyle name="Check Cell 2 2 3 9" xfId="7349" xr:uid="{952F4866-D562-4BCC-9A6E-33D150055DAE}"/>
    <cellStyle name="Check Cell 2 2 3 9 2" xfId="7350" xr:uid="{C784FB33-4E30-4173-9390-A6D72EA637CA}"/>
    <cellStyle name="Check Cell 2 2 3 9 2 2" xfId="7351" xr:uid="{0B6CE520-6977-4F18-94DF-961A883CAF3E}"/>
    <cellStyle name="Check Cell 2 2 3 9 3" xfId="7352" xr:uid="{F01349BD-6464-48FF-B639-199A92310CD5}"/>
    <cellStyle name="Check Cell 2 2 4" xfId="7353" xr:uid="{66C582A9-F7E4-4857-899F-10C8B202015C}"/>
    <cellStyle name="Check Cell 2 2 4 2" xfId="7354" xr:uid="{50E0622F-1F6B-43D3-BE0B-00A9DC19D5BD}"/>
    <cellStyle name="Check Cell 2 2 4 2 2" xfId="7355" xr:uid="{E7B87C59-8A1A-4BE4-8A23-CB5536921559}"/>
    <cellStyle name="Check Cell 2 2 4 2 2 2" xfId="7356" xr:uid="{E8073C0B-1E1F-46A6-8487-B7D7C529D6A1}"/>
    <cellStyle name="Check Cell 2 2 4 2 3" xfId="7357" xr:uid="{87DDF65C-040E-4792-AA3A-74043B9D8E44}"/>
    <cellStyle name="Check Cell 2 2 4 3" xfId="7358" xr:uid="{FE26FE2F-61C5-4F5D-ABB9-A0B5EBE4B65E}"/>
    <cellStyle name="Check Cell 2 2 4 3 2" xfId="7359" xr:uid="{77297ED2-6125-4B7A-9C94-7FDE5AB74AA9}"/>
    <cellStyle name="Check Cell 2 2 4 3 2 2" xfId="7360" xr:uid="{04FE845B-C513-4DD6-99A8-840CB386FDA3}"/>
    <cellStyle name="Check Cell 2 2 4 3 3" xfId="7361" xr:uid="{50FA18D6-8B53-4507-BDA8-23739002FF6E}"/>
    <cellStyle name="Check Cell 2 2 4 4" xfId="7362" xr:uid="{E023FBCE-1E3C-480B-9E83-D5CC70252097}"/>
    <cellStyle name="Check Cell 2 2 4 4 2" xfId="7363" xr:uid="{3D141A51-B19A-4833-AB7D-8661E108D7D0}"/>
    <cellStyle name="Check Cell 2 2 4 4 2 2" xfId="7364" xr:uid="{76C9707E-FC10-463E-8424-99CB92160E46}"/>
    <cellStyle name="Check Cell 2 2 4 4 3" xfId="7365" xr:uid="{EF3EB7BB-BE12-4C07-90D1-3A97667FE1C8}"/>
    <cellStyle name="Check Cell 2 2 4 5" xfId="7366" xr:uid="{9C943635-211B-457D-9414-368AD6E33C5D}"/>
    <cellStyle name="Check Cell 2 2 4 5 2" xfId="7367" xr:uid="{C3F67F43-B541-4A90-95ED-9AB3AA6788E9}"/>
    <cellStyle name="Check Cell 2 2 4 5 2 2" xfId="7368" xr:uid="{970AEBFF-2861-419D-AB43-F637FCFDCDC8}"/>
    <cellStyle name="Check Cell 2 2 4 5 3" xfId="7369" xr:uid="{4170A1BB-008F-4458-8BA3-82243FECEBED}"/>
    <cellStyle name="Check Cell 2 2 4 6" xfId="7370" xr:uid="{C246AC30-0519-43F4-815B-81D5DDFC8422}"/>
    <cellStyle name="Check Cell 2 2 4 6 2" xfId="7371" xr:uid="{97429C20-9218-4D5B-81F2-506B01FA2018}"/>
    <cellStyle name="Check Cell 2 2 4 6 2 2" xfId="7372" xr:uid="{EE909753-F0B5-4B33-81A2-05B21F9C3DC6}"/>
    <cellStyle name="Check Cell 2 2 4 6 3" xfId="7373" xr:uid="{E0681B75-3831-4A20-A9BB-4B82991E595D}"/>
    <cellStyle name="Check Cell 2 2 4 7" xfId="7374" xr:uid="{D58C2A80-6F9F-488E-AA0A-874F4BC63219}"/>
    <cellStyle name="Check Cell 2 2 4 7 2" xfId="7375" xr:uid="{5CEDAAB1-0517-4B15-96C0-89DE7FD015A1}"/>
    <cellStyle name="Check Cell 2 2 4 7 2 2" xfId="7376" xr:uid="{E06F9999-C1C4-4DD5-8EE7-B0FB65DBADCF}"/>
    <cellStyle name="Check Cell 2 2 4 7 3" xfId="7377" xr:uid="{06FECA8C-8762-4748-AAAD-957127ACFBEB}"/>
    <cellStyle name="Check Cell 2 2 4 8" xfId="7378" xr:uid="{0C8CA919-7869-4ED3-BB64-3FC7E0DA617E}"/>
    <cellStyle name="Check Cell 2 2 4 8 2" xfId="7379" xr:uid="{43577D25-75E0-45FD-B510-221DEB44DBAB}"/>
    <cellStyle name="Check Cell 2 2 4 8 2 2" xfId="7380" xr:uid="{57B0AEBE-0F93-499A-8FAB-03A6FBA36DF9}"/>
    <cellStyle name="Check Cell 2 2 4 8 3" xfId="7381" xr:uid="{DD17EA93-1F4F-4147-BC2C-63990B1E4A7D}"/>
    <cellStyle name="Check Cell 2 2 4 9" xfId="7382" xr:uid="{4A55CDAD-09FE-40D8-85B9-895E0B3CFDDA}"/>
    <cellStyle name="Check Cell 2 2 4 9 2" xfId="7383" xr:uid="{6B7F7EB9-A3A1-42FF-A732-7ED807AE92F0}"/>
    <cellStyle name="Check Cell 2 2 4 9 2 2" xfId="7384" xr:uid="{6C563080-E49C-4C42-AB5B-A4EC0260DC31}"/>
    <cellStyle name="Check Cell 2 2 4 9 3" xfId="7385" xr:uid="{FD1BC8A0-4659-4425-9570-8A4E299BA886}"/>
    <cellStyle name="Check Cell 2 2 5" xfId="7386" xr:uid="{95D06B57-9946-4449-85C4-A1100BA40FF6}"/>
    <cellStyle name="Check Cell 2 2 5 2" xfId="7387" xr:uid="{5F082C56-A0E4-4BB6-B4F8-69004372F0DC}"/>
    <cellStyle name="Check Cell 2 2 5 2 2" xfId="7388" xr:uid="{23D5D1F0-B854-4046-86DC-7667FF07C059}"/>
    <cellStyle name="Check Cell 2 2 5 2 2 2" xfId="7389" xr:uid="{EC1D3288-5947-449F-8E60-530AB8E46FA8}"/>
    <cellStyle name="Check Cell 2 2 5 2 3" xfId="7390" xr:uid="{18C6864B-9A3C-4233-9E59-E6F59D1205D0}"/>
    <cellStyle name="Check Cell 2 2 5 3" xfId="7391" xr:uid="{103E69AF-E3F5-47A2-915E-176C9C21C28D}"/>
    <cellStyle name="Check Cell 2 2 5 3 2" xfId="7392" xr:uid="{B4C3A58E-953E-4A5D-8224-61E289C89A1B}"/>
    <cellStyle name="Check Cell 2 2 5 3 2 2" xfId="7393" xr:uid="{7B52B749-3141-4997-88D5-6B3DFEBBB436}"/>
    <cellStyle name="Check Cell 2 2 5 3 3" xfId="7394" xr:uid="{86DD6A46-03E6-4C95-BEAF-3ACA05620BF7}"/>
    <cellStyle name="Check Cell 2 2 5 4" xfId="7395" xr:uid="{C45D8A75-A946-4727-A84F-491960CFA9EA}"/>
    <cellStyle name="Check Cell 2 2 5 4 2" xfId="7396" xr:uid="{1A250C91-D150-426B-9BF0-28940E61F0ED}"/>
    <cellStyle name="Check Cell 2 2 5 4 2 2" xfId="7397" xr:uid="{88AB9229-20FD-4F65-B3C2-4CED0D291AC5}"/>
    <cellStyle name="Check Cell 2 2 5 4 3" xfId="7398" xr:uid="{BF9BADBB-4A4E-453F-A523-EFBF79F714B4}"/>
    <cellStyle name="Check Cell 2 2 5 5" xfId="7399" xr:uid="{D2CE13C2-927F-4E41-BDC4-BF18C208795C}"/>
    <cellStyle name="Check Cell 2 2 5 5 2" xfId="7400" xr:uid="{01002996-8B7A-4E64-87B4-BF64D39F5F20}"/>
    <cellStyle name="Check Cell 2 2 5 5 2 2" xfId="7401" xr:uid="{6C0F75E4-7AF0-4B80-8268-A1B28C1AAC57}"/>
    <cellStyle name="Check Cell 2 2 5 5 3" xfId="7402" xr:uid="{8CDCB075-2C09-4D16-8396-3991EC2A1719}"/>
    <cellStyle name="Check Cell 2 2 5 6" xfId="7403" xr:uid="{380CD567-6866-4548-900A-932D60B88994}"/>
    <cellStyle name="Check Cell 2 2 5 6 2" xfId="7404" xr:uid="{6CF1711F-5EE7-456D-94EB-A6739CF18ED8}"/>
    <cellStyle name="Check Cell 2 2 5 6 2 2" xfId="7405" xr:uid="{08A98229-574A-41C8-B72C-5527661E4322}"/>
    <cellStyle name="Check Cell 2 2 5 6 3" xfId="7406" xr:uid="{CD0B9825-D336-49B0-A478-EF4DC05310B2}"/>
    <cellStyle name="Check Cell 2 2 5 7" xfId="7407" xr:uid="{07A116E8-7C4D-4C4B-828E-54F9A551A551}"/>
    <cellStyle name="Check Cell 2 2 5 7 2" xfId="7408" xr:uid="{522C9227-59C1-4E2F-9BCA-136291C65D4F}"/>
    <cellStyle name="Check Cell 2 2 5 7 2 2" xfId="7409" xr:uid="{CDBBA4F5-8E8B-4AA6-B596-8C7F04D35170}"/>
    <cellStyle name="Check Cell 2 2 5 7 3" xfId="7410" xr:uid="{F56FF612-2DE3-478F-B8EF-01C2E4606D81}"/>
    <cellStyle name="Check Cell 2 2 5 8" xfId="7411" xr:uid="{129EC019-1E46-42A2-9CC5-A88372E672E4}"/>
    <cellStyle name="Check Cell 2 2 5 8 2" xfId="7412" xr:uid="{8FE2A31A-D3F9-4846-8498-088EDE0981CF}"/>
    <cellStyle name="Check Cell 2 2 5 8 2 2" xfId="7413" xr:uid="{AEAD6104-5C55-4F45-A9FD-640A3CD124FB}"/>
    <cellStyle name="Check Cell 2 2 5 8 3" xfId="7414" xr:uid="{84D55C97-8839-4150-BB8C-C16743078990}"/>
    <cellStyle name="Check Cell 2 2 5 9" xfId="7415" xr:uid="{53CB89D8-1DCE-4281-AEF5-2A5368D97E2C}"/>
    <cellStyle name="Check Cell 2 2 5 9 2" xfId="7416" xr:uid="{E02AA67A-8F9D-47E1-8F4F-E5AB57985F72}"/>
    <cellStyle name="Check Cell 2 2 5 9 2 2" xfId="7417" xr:uid="{88C168DD-6952-464E-8770-CAF629CE9A40}"/>
    <cellStyle name="Check Cell 2 2 5 9 3" xfId="7418" xr:uid="{EC22DA12-AEE0-43DD-A404-5A609617F720}"/>
    <cellStyle name="Check Cell 2 2 6" xfId="7419" xr:uid="{C50A94D6-EC3B-4B9E-9BE3-3F536616E391}"/>
    <cellStyle name="Check Cell 2 2 6 2" xfId="7420" xr:uid="{626E2FFD-F020-4C0E-AA9E-6C35447BD924}"/>
    <cellStyle name="Check Cell 2 2 6 2 2" xfId="7421" xr:uid="{D0E17042-A20C-4CA7-BB2B-E1F3499D509A}"/>
    <cellStyle name="Check Cell 2 2 6 3" xfId="7422" xr:uid="{17F8E969-2D73-4BAA-A5BE-D3D5EAEE9591}"/>
    <cellStyle name="Check Cell 2 2 7" xfId="7423" xr:uid="{08FCA63C-805D-4227-A95D-C9DA65139AF2}"/>
    <cellStyle name="Check Cell 2 2 7 2" xfId="7424" xr:uid="{B6172010-C4ED-4241-B5B7-58B8DED001C0}"/>
    <cellStyle name="Check Cell 2 2 7 2 2" xfId="7425" xr:uid="{53C3FB54-9E21-4D8A-AF40-86562A4ED0C3}"/>
    <cellStyle name="Check Cell 2 2 7 3" xfId="7426" xr:uid="{73686028-1C06-4BAA-BE38-2100C6A4ACF7}"/>
    <cellStyle name="Check Cell 2 2 8" xfId="7427" xr:uid="{721174A1-E3AB-414E-9A4D-9BB18887DA32}"/>
    <cellStyle name="Check Cell 2 2 8 2" xfId="7428" xr:uid="{968ABAC9-FAB5-4407-A4B9-9C55DF373E3C}"/>
    <cellStyle name="Check Cell 2 2 8 2 2" xfId="7429" xr:uid="{61F6912C-DB94-4F46-A252-22A3726CD41A}"/>
    <cellStyle name="Check Cell 2 2 8 3" xfId="7430" xr:uid="{19DBC2BC-2C55-41BB-8732-9226428027EA}"/>
    <cellStyle name="Check Cell 2 2 9" xfId="7431" xr:uid="{E1F09B8B-8ADF-41CF-8771-CD1CA9E308BB}"/>
    <cellStyle name="Check Cell 2 2 9 2" xfId="7432" xr:uid="{BD2CF1FD-5C37-463C-AEB5-196EA8455366}"/>
    <cellStyle name="Check Cell 2 2 9 2 2" xfId="7433" xr:uid="{D31DB92B-0757-4085-8256-8A2FF96BB1D4}"/>
    <cellStyle name="Check Cell 2 2 9 3" xfId="7434" xr:uid="{9D66BEA7-7D61-46FE-90E3-CA91BE6C3358}"/>
    <cellStyle name="Check Cell 2 3" xfId="7435" xr:uid="{6DD5CBB4-44DE-4A2A-8A18-C1187049B84D}"/>
    <cellStyle name="Check Cell 2 3 2" xfId="7436" xr:uid="{6D354C19-512B-42E8-B634-722AAB934A55}"/>
    <cellStyle name="Check Cell 2 3 2 2" xfId="7437" xr:uid="{5CDED3EE-383F-49A8-9593-0A287BE38B40}"/>
    <cellStyle name="Check Cell 2 3 3" xfId="7438" xr:uid="{746CC904-94A5-4C98-8E52-5A010172BF41}"/>
    <cellStyle name="Check Cell 2 4" xfId="7439" xr:uid="{5BF2A15B-B590-450B-BFD8-A31ADA400802}"/>
    <cellStyle name="Check Cell 2 4 2" xfId="7440" xr:uid="{5FC9D80F-5441-428B-AC2D-365AE694BF05}"/>
    <cellStyle name="Check Cell 20" xfId="7441" xr:uid="{826E24B6-5FC6-4789-800C-4CADF640C772}"/>
    <cellStyle name="Check Cell 20 2" xfId="7442" xr:uid="{864E0C4D-5B4D-4B02-AB49-16A6E7A97613}"/>
    <cellStyle name="Check Cell 20 2 10" xfId="7443" xr:uid="{A335A07C-319C-447B-8F49-18652689BC88}"/>
    <cellStyle name="Check Cell 20 2 10 2" xfId="7444" xr:uid="{89D43A08-0FF0-4AA3-999C-8B97B3F00932}"/>
    <cellStyle name="Check Cell 20 2 10 2 2" xfId="7445" xr:uid="{D37717BA-A852-4C05-9880-7AC8850974FB}"/>
    <cellStyle name="Check Cell 20 2 10 3" xfId="7446" xr:uid="{F6ACCDC3-7CAF-44B8-B9D9-9AA8EDB1AA8B}"/>
    <cellStyle name="Check Cell 20 2 11" xfId="7447" xr:uid="{A5CB1BA1-1712-4D19-A53C-3197085E8CE6}"/>
    <cellStyle name="Check Cell 20 2 11 2" xfId="7448" xr:uid="{15DF3CFB-5541-4B60-8DA8-E478869AFA6D}"/>
    <cellStyle name="Check Cell 20 2 11 2 2" xfId="7449" xr:uid="{8C460F4C-2F4A-47C5-9FE6-E4532B8559ED}"/>
    <cellStyle name="Check Cell 20 2 11 3" xfId="7450" xr:uid="{5A7A1AC1-DFB1-4276-BDD0-054188DA9B8E}"/>
    <cellStyle name="Check Cell 20 2 12" xfId="7451" xr:uid="{DF80244A-E287-4FD5-BA26-5EDB099824C2}"/>
    <cellStyle name="Check Cell 20 2 12 2" xfId="7452" xr:uid="{4258A0D1-758A-4897-9253-A95189C3FFF6}"/>
    <cellStyle name="Check Cell 20 2 12 2 2" xfId="7453" xr:uid="{008A81FF-C3C7-42F3-AE1D-A02B8831A4D3}"/>
    <cellStyle name="Check Cell 20 2 12 3" xfId="7454" xr:uid="{79B496E9-CFB3-411F-8D2C-2D1F9A7FD1A6}"/>
    <cellStyle name="Check Cell 20 2 13" xfId="7455" xr:uid="{ECFB9495-C985-4E8D-8587-577023B9D3D8}"/>
    <cellStyle name="Check Cell 20 2 13 2" xfId="7456" xr:uid="{BDCA49BB-2520-4EE8-A935-6D7C7A905A3E}"/>
    <cellStyle name="Check Cell 20 2 13 2 2" xfId="7457" xr:uid="{6C0AAB9F-768A-4E90-95C0-29C7C55AF295}"/>
    <cellStyle name="Check Cell 20 2 13 3" xfId="7458" xr:uid="{70B51C40-931C-46CB-B850-B06239528749}"/>
    <cellStyle name="Check Cell 20 2 2" xfId="7459" xr:uid="{3F9EF3D6-ADE4-45D5-B3CB-156A2365BC31}"/>
    <cellStyle name="Check Cell 20 2 2 2" xfId="7460" xr:uid="{D96BB604-D77E-4166-9491-A993F47DE45E}"/>
    <cellStyle name="Check Cell 20 2 2 2 2" xfId="7461" xr:uid="{72540768-29B0-47FA-9286-79D15260CD71}"/>
    <cellStyle name="Check Cell 20 2 2 2 2 2" xfId="7462" xr:uid="{56C136F6-6D97-4B45-9044-8860E313529C}"/>
    <cellStyle name="Check Cell 20 2 2 2 3" xfId="7463" xr:uid="{2FAD43F9-769E-45FC-9206-97DE4D2B5E4E}"/>
    <cellStyle name="Check Cell 20 2 2 3" xfId="7464" xr:uid="{723B2523-F76A-4480-984B-D6D63786C138}"/>
    <cellStyle name="Check Cell 20 2 2 3 2" xfId="7465" xr:uid="{DCED5472-69B1-4FEF-AADB-64F16362B0EE}"/>
    <cellStyle name="Check Cell 20 2 2 3 2 2" xfId="7466" xr:uid="{64308510-B555-42F1-96A2-A145B1C8FFC2}"/>
    <cellStyle name="Check Cell 20 2 2 3 3" xfId="7467" xr:uid="{AE227B55-9C35-4D2C-A1BF-E443911C01CE}"/>
    <cellStyle name="Check Cell 20 2 2 4" xfId="7468" xr:uid="{820BB3EF-7233-4979-AAEC-526E2C5F8695}"/>
    <cellStyle name="Check Cell 20 2 2 4 2" xfId="7469" xr:uid="{31D9F1FB-93D1-4709-8A6E-33FA2BCF6A0F}"/>
    <cellStyle name="Check Cell 20 2 2 4 2 2" xfId="7470" xr:uid="{223421E5-B431-45BC-BC51-E7B7C89AB799}"/>
    <cellStyle name="Check Cell 20 2 2 4 3" xfId="7471" xr:uid="{BD6F4D9B-DB81-4A25-ACA8-0BB199DA1465}"/>
    <cellStyle name="Check Cell 20 2 2 5" xfId="7472" xr:uid="{1ADBD182-151F-47B5-BEFB-A52F72477AAB}"/>
    <cellStyle name="Check Cell 20 2 2 5 2" xfId="7473" xr:uid="{39A0C798-3C61-4472-8A16-D4A82A413D33}"/>
    <cellStyle name="Check Cell 20 2 2 5 2 2" xfId="7474" xr:uid="{8C3547BF-AE63-4491-80F9-645915B55310}"/>
    <cellStyle name="Check Cell 20 2 2 5 3" xfId="7475" xr:uid="{A78735BB-44DE-4FA8-88F3-526B37110C1A}"/>
    <cellStyle name="Check Cell 20 2 2 6" xfId="7476" xr:uid="{18888CA0-F5B8-4D4E-A851-B00C779E215C}"/>
    <cellStyle name="Check Cell 20 2 2 6 2" xfId="7477" xr:uid="{5DCCCF41-BF3C-4EC3-9220-572C81258E20}"/>
    <cellStyle name="Check Cell 20 2 2 6 2 2" xfId="7478" xr:uid="{907145A5-53A8-40B3-89CB-86EF4587EE92}"/>
    <cellStyle name="Check Cell 20 2 2 6 3" xfId="7479" xr:uid="{47623C83-5DED-443E-9E5C-F554E6ECF961}"/>
    <cellStyle name="Check Cell 20 2 2 7" xfId="7480" xr:uid="{15E1DBA3-2AC0-4A96-ABE6-A0637152A346}"/>
    <cellStyle name="Check Cell 20 2 2 7 2" xfId="7481" xr:uid="{BC8844F8-FC2D-4413-A945-440714781AB0}"/>
    <cellStyle name="Check Cell 20 2 2 7 2 2" xfId="7482" xr:uid="{8622DF9C-C4EE-4F97-9AA6-A2C161F1D6FF}"/>
    <cellStyle name="Check Cell 20 2 2 7 3" xfId="7483" xr:uid="{56495BE4-2E7C-4EDA-B658-A4E12BD024C4}"/>
    <cellStyle name="Check Cell 20 2 2 8" xfId="7484" xr:uid="{E064B7C8-8BB1-4085-AF64-AAA8AA48C7AA}"/>
    <cellStyle name="Check Cell 20 2 2 8 2" xfId="7485" xr:uid="{C03383BF-4A66-4394-B04F-B207D7695EEA}"/>
    <cellStyle name="Check Cell 20 2 2 8 2 2" xfId="7486" xr:uid="{57D68A25-C728-4899-BDD4-A28F3ED1A407}"/>
    <cellStyle name="Check Cell 20 2 2 8 3" xfId="7487" xr:uid="{460EA52A-AD2A-45D1-8DC8-8D23FDF4BD59}"/>
    <cellStyle name="Check Cell 20 2 2 9" xfId="7488" xr:uid="{A4A0B0A0-7E21-4599-A421-8C36913F5578}"/>
    <cellStyle name="Check Cell 20 2 2 9 2" xfId="7489" xr:uid="{C204FF26-229C-44F4-AE94-9D404D87DCDF}"/>
    <cellStyle name="Check Cell 20 2 2 9 2 2" xfId="7490" xr:uid="{679B0F8D-60E6-4233-B0B1-BD216877DF45}"/>
    <cellStyle name="Check Cell 20 2 2 9 3" xfId="7491" xr:uid="{6FF21059-E3EF-4569-8C5C-95AF0E6657F1}"/>
    <cellStyle name="Check Cell 20 2 3" xfId="7492" xr:uid="{CC6D8401-55A3-4229-8B40-26827FA8D964}"/>
    <cellStyle name="Check Cell 20 2 3 2" xfId="7493" xr:uid="{2252FC63-EE4A-4EF4-9042-59A89EC67910}"/>
    <cellStyle name="Check Cell 20 2 3 2 2" xfId="7494" xr:uid="{BDFC3444-7FFA-4900-88EA-538D1924DB8E}"/>
    <cellStyle name="Check Cell 20 2 3 2 2 2" xfId="7495" xr:uid="{1AEE23C4-839F-4D4B-9537-1A3A40216A31}"/>
    <cellStyle name="Check Cell 20 2 3 2 3" xfId="7496" xr:uid="{2DFBE249-0D47-44F7-BBD7-8BCE238C0CEC}"/>
    <cellStyle name="Check Cell 20 2 3 3" xfId="7497" xr:uid="{6680D764-6BED-401F-AC0E-AD71D64568F5}"/>
    <cellStyle name="Check Cell 20 2 3 3 2" xfId="7498" xr:uid="{C6735F61-1E45-4959-993C-709F1DEB5785}"/>
    <cellStyle name="Check Cell 20 2 3 3 2 2" xfId="7499" xr:uid="{A0971F5E-B396-4E73-B77A-A6B3E2E45214}"/>
    <cellStyle name="Check Cell 20 2 3 3 3" xfId="7500" xr:uid="{76CCE85E-8DD3-41B0-BD24-80FBD33AA805}"/>
    <cellStyle name="Check Cell 20 2 3 4" xfId="7501" xr:uid="{1856EF2C-7831-4C77-AC05-E1EF1D3DD97C}"/>
    <cellStyle name="Check Cell 20 2 3 4 2" xfId="7502" xr:uid="{2A3D6660-4FA7-46A1-9D2E-77C89823D91F}"/>
    <cellStyle name="Check Cell 20 2 3 4 2 2" xfId="7503" xr:uid="{C585B893-5C4E-45A3-B403-63343F49BE6E}"/>
    <cellStyle name="Check Cell 20 2 3 4 3" xfId="7504" xr:uid="{858463DF-24E2-417C-B600-111949DF5EB9}"/>
    <cellStyle name="Check Cell 20 2 3 5" xfId="7505" xr:uid="{F3C20421-3EFD-41AF-91CF-226C581EFF8D}"/>
    <cellStyle name="Check Cell 20 2 3 5 2" xfId="7506" xr:uid="{52ED581F-EA8F-4FA8-8442-65F0C6FF0091}"/>
    <cellStyle name="Check Cell 20 2 3 5 2 2" xfId="7507" xr:uid="{0F68715A-2294-4FCE-AA92-02EC35728796}"/>
    <cellStyle name="Check Cell 20 2 3 5 3" xfId="7508" xr:uid="{B534A055-F997-4C3E-B4A7-99A7BC0F15AF}"/>
    <cellStyle name="Check Cell 20 2 3 6" xfId="7509" xr:uid="{219712AE-C994-4B92-8118-36374D6437C1}"/>
    <cellStyle name="Check Cell 20 2 3 6 2" xfId="7510" xr:uid="{50F42877-1596-463A-8E4A-23605D37AC2E}"/>
    <cellStyle name="Check Cell 20 2 3 6 2 2" xfId="7511" xr:uid="{DC57E0C8-66FE-4B36-9981-E377CD9258BC}"/>
    <cellStyle name="Check Cell 20 2 3 6 3" xfId="7512" xr:uid="{C9B68D6E-4A96-4ED6-A78C-38352798762D}"/>
    <cellStyle name="Check Cell 20 2 3 7" xfId="7513" xr:uid="{F9D346A0-3176-414D-B601-5AF76A65DB70}"/>
    <cellStyle name="Check Cell 20 2 3 7 2" xfId="7514" xr:uid="{AED09BE6-388F-45EE-8ACD-9CD4320C5AE0}"/>
    <cellStyle name="Check Cell 20 2 3 7 2 2" xfId="7515" xr:uid="{F18BF9E4-FEF0-4586-A887-51357D3D6F45}"/>
    <cellStyle name="Check Cell 20 2 3 7 3" xfId="7516" xr:uid="{12225AA3-8BC9-4A1A-B327-D2C4C64EBAE7}"/>
    <cellStyle name="Check Cell 20 2 3 8" xfId="7517" xr:uid="{B3ADD3BF-1D92-4A42-A900-A23A7208C956}"/>
    <cellStyle name="Check Cell 20 2 3 8 2" xfId="7518" xr:uid="{11257B2D-F85A-4744-9A4F-150F903BF272}"/>
    <cellStyle name="Check Cell 20 2 3 8 2 2" xfId="7519" xr:uid="{221B930C-1B33-4557-8692-2F67D0F914F7}"/>
    <cellStyle name="Check Cell 20 2 3 8 3" xfId="7520" xr:uid="{90807CF2-4409-48B8-9291-F9FBFAC5EEAD}"/>
    <cellStyle name="Check Cell 20 2 3 9" xfId="7521" xr:uid="{E4F2597D-341F-4993-BBEE-878B8AF09296}"/>
    <cellStyle name="Check Cell 20 2 3 9 2" xfId="7522" xr:uid="{FEE0E079-A0F9-4BAD-B796-A4A3B9FDF8C7}"/>
    <cellStyle name="Check Cell 20 2 3 9 2 2" xfId="7523" xr:uid="{8E74890A-4897-4B8E-980E-2DB61E1553CB}"/>
    <cellStyle name="Check Cell 20 2 3 9 3" xfId="7524" xr:uid="{B357B535-8546-4DB7-9FD6-F72F7B7B689F}"/>
    <cellStyle name="Check Cell 20 2 4" xfId="7525" xr:uid="{53DF5C87-F0BB-4114-9A39-DCB9FB56EFA7}"/>
    <cellStyle name="Check Cell 20 2 4 2" xfId="7526" xr:uid="{CD3FFF8A-B6D4-4E08-ABF2-AB2E0E39B94F}"/>
    <cellStyle name="Check Cell 20 2 4 2 2" xfId="7527" xr:uid="{A0FEADB2-6B79-445D-90EA-3CE52174214F}"/>
    <cellStyle name="Check Cell 20 2 4 2 2 2" xfId="7528" xr:uid="{B523EDF5-7A2F-493E-80EC-82A66F617161}"/>
    <cellStyle name="Check Cell 20 2 4 2 3" xfId="7529" xr:uid="{7D2BDA74-E289-4A96-8653-EB63F527B541}"/>
    <cellStyle name="Check Cell 20 2 4 3" xfId="7530" xr:uid="{002A164F-C2D8-4378-A363-33681345AED4}"/>
    <cellStyle name="Check Cell 20 2 4 3 2" xfId="7531" xr:uid="{095D1C42-2420-49C7-95A3-3142074E7008}"/>
    <cellStyle name="Check Cell 20 2 4 3 2 2" xfId="7532" xr:uid="{918D5602-44C9-490C-B43E-4C72DE22B6FE}"/>
    <cellStyle name="Check Cell 20 2 4 3 3" xfId="7533" xr:uid="{0D9A9ACC-447C-460F-AD55-426C858C4270}"/>
    <cellStyle name="Check Cell 20 2 4 4" xfId="7534" xr:uid="{6F6AE526-ABC5-4CEA-94A2-66CC69D366B2}"/>
    <cellStyle name="Check Cell 20 2 4 4 2" xfId="7535" xr:uid="{462C7C18-4E39-4D95-8075-325E7831F997}"/>
    <cellStyle name="Check Cell 20 2 4 4 2 2" xfId="7536" xr:uid="{975893AC-45AC-42AB-828E-99939CB3EE10}"/>
    <cellStyle name="Check Cell 20 2 4 4 3" xfId="7537" xr:uid="{95894965-4AB4-4F05-AC33-DE6BB23A17C1}"/>
    <cellStyle name="Check Cell 20 2 4 5" xfId="7538" xr:uid="{9D2191C5-4554-43A9-8A0C-031B0CBD6D98}"/>
    <cellStyle name="Check Cell 20 2 4 5 2" xfId="7539" xr:uid="{C36A0000-CD5C-4BD7-9B7E-19AD4247C677}"/>
    <cellStyle name="Check Cell 20 2 4 5 2 2" xfId="7540" xr:uid="{0A82B5A1-1C61-4E13-A169-1F140E15CB83}"/>
    <cellStyle name="Check Cell 20 2 4 5 3" xfId="7541" xr:uid="{22795E4C-E377-414D-821C-5518D6655A00}"/>
    <cellStyle name="Check Cell 20 2 4 6" xfId="7542" xr:uid="{C259B06C-B5A7-4260-BB9D-17564A469B0A}"/>
    <cellStyle name="Check Cell 20 2 4 6 2" xfId="7543" xr:uid="{B38FA587-8461-452D-96C4-CF0C9BC6E18F}"/>
    <cellStyle name="Check Cell 20 2 4 6 2 2" xfId="7544" xr:uid="{1E30E136-B870-401C-8BCD-E3054FB3B53D}"/>
    <cellStyle name="Check Cell 20 2 4 6 3" xfId="7545" xr:uid="{8231C55B-243A-4699-94D1-DE4BD107CB2C}"/>
    <cellStyle name="Check Cell 20 2 4 7" xfId="7546" xr:uid="{02E957AC-A9CF-44DB-AF64-212271FAC6CF}"/>
    <cellStyle name="Check Cell 20 2 4 7 2" xfId="7547" xr:uid="{7BBE3D19-5C2A-4987-B5B2-49377C1F4A9F}"/>
    <cellStyle name="Check Cell 20 2 4 7 2 2" xfId="7548" xr:uid="{70838CB6-544E-4CB3-9C3B-1A205EEA2FB8}"/>
    <cellStyle name="Check Cell 20 2 4 7 3" xfId="7549" xr:uid="{F1D5AC60-8D6B-4F21-A10E-E02267F48284}"/>
    <cellStyle name="Check Cell 20 2 4 8" xfId="7550" xr:uid="{9B47D24E-8B41-440B-994C-D284EEA3A210}"/>
    <cellStyle name="Check Cell 20 2 4 8 2" xfId="7551" xr:uid="{2CEA7E5C-D9DA-4C37-A559-14B6E9B31EB2}"/>
    <cellStyle name="Check Cell 20 2 4 8 2 2" xfId="7552" xr:uid="{FB31869A-B44F-4C75-A69E-7051E976DA1E}"/>
    <cellStyle name="Check Cell 20 2 4 8 3" xfId="7553" xr:uid="{87824535-E139-4423-8E02-6F9AE3341207}"/>
    <cellStyle name="Check Cell 20 2 4 9" xfId="7554" xr:uid="{28464919-E7B5-45A9-88B1-C1FCE2E1B796}"/>
    <cellStyle name="Check Cell 20 2 4 9 2" xfId="7555" xr:uid="{0582D713-2618-4CE8-8229-EE7CD6E209AA}"/>
    <cellStyle name="Check Cell 20 2 4 9 2 2" xfId="7556" xr:uid="{3CAFB9B7-7646-46E5-B986-0012E9537F3E}"/>
    <cellStyle name="Check Cell 20 2 4 9 3" xfId="7557" xr:uid="{17A21507-AC17-439A-817B-3EC096528DCB}"/>
    <cellStyle name="Check Cell 20 2 5" xfId="7558" xr:uid="{87F73053-B832-4DED-B067-B4A6838C789F}"/>
    <cellStyle name="Check Cell 20 2 5 2" xfId="7559" xr:uid="{794C55A5-E736-48C1-8C86-2CD1A044B2CC}"/>
    <cellStyle name="Check Cell 20 2 5 2 2" xfId="7560" xr:uid="{61CA3F5E-280D-4362-9F5E-60205035D495}"/>
    <cellStyle name="Check Cell 20 2 5 2 2 2" xfId="7561" xr:uid="{92679B6F-6ED1-4F81-8476-671C68568CEE}"/>
    <cellStyle name="Check Cell 20 2 5 2 3" xfId="7562" xr:uid="{B49D9999-6E4E-4D2B-9E16-CAEEC5D0F1C7}"/>
    <cellStyle name="Check Cell 20 2 5 3" xfId="7563" xr:uid="{B3F75F7A-68EB-480D-BB90-E33EFEC33383}"/>
    <cellStyle name="Check Cell 20 2 5 3 2" xfId="7564" xr:uid="{D0C76BD6-25FE-4546-8ECB-36017EF34D23}"/>
    <cellStyle name="Check Cell 20 2 5 3 2 2" xfId="7565" xr:uid="{E758E821-4732-436C-AAA1-E8B49CFC211B}"/>
    <cellStyle name="Check Cell 20 2 5 3 3" xfId="7566" xr:uid="{F7B39C30-693C-4F70-B4BF-799737D55BE9}"/>
    <cellStyle name="Check Cell 20 2 5 4" xfId="7567" xr:uid="{92B7992D-83D4-4CB7-87E5-57A20D9B81EF}"/>
    <cellStyle name="Check Cell 20 2 5 4 2" xfId="7568" xr:uid="{CA9C0005-EFA3-4B9A-9155-ED5265AACDE2}"/>
    <cellStyle name="Check Cell 20 2 5 4 2 2" xfId="7569" xr:uid="{1F707D0C-3EA8-4D47-8C89-DA338340268A}"/>
    <cellStyle name="Check Cell 20 2 5 4 3" xfId="7570" xr:uid="{91D39248-12D5-42CF-AA09-DEFED7D4FD4D}"/>
    <cellStyle name="Check Cell 20 2 5 5" xfId="7571" xr:uid="{8BC860B8-4CB9-4592-BC42-DC0E99E0AD2C}"/>
    <cellStyle name="Check Cell 20 2 5 5 2" xfId="7572" xr:uid="{D4628FF9-54BE-4A03-9243-DBB651EE39A3}"/>
    <cellStyle name="Check Cell 20 2 5 5 2 2" xfId="7573" xr:uid="{B395EB20-2031-4BF2-8E3C-8B37BAB0B34F}"/>
    <cellStyle name="Check Cell 20 2 5 5 3" xfId="7574" xr:uid="{FA5C8170-A570-47DC-8F88-D083DEFB6882}"/>
    <cellStyle name="Check Cell 20 2 5 6" xfId="7575" xr:uid="{2306F798-E5CB-4E2E-A009-DD0E354EA80A}"/>
    <cellStyle name="Check Cell 20 2 5 6 2" xfId="7576" xr:uid="{77E6DD82-E1A6-49BC-B67C-A12F12C401BD}"/>
    <cellStyle name="Check Cell 20 2 5 6 2 2" xfId="7577" xr:uid="{5AC58C6E-1241-4DF2-9DA0-BF7979C9395C}"/>
    <cellStyle name="Check Cell 20 2 5 6 3" xfId="7578" xr:uid="{D4C0A902-1952-4751-8574-BF82B50A309C}"/>
    <cellStyle name="Check Cell 20 2 5 7" xfId="7579" xr:uid="{6587BAF8-5A55-4829-B8E9-40095DC5BB49}"/>
    <cellStyle name="Check Cell 20 2 5 7 2" xfId="7580" xr:uid="{CFBF1655-11B6-4AAE-87CD-A3F6077DF320}"/>
    <cellStyle name="Check Cell 20 2 5 7 2 2" xfId="7581" xr:uid="{3DE9FC5C-E5FF-4CB3-B0DF-8F8FACDB7A96}"/>
    <cellStyle name="Check Cell 20 2 5 7 3" xfId="7582" xr:uid="{14B7094B-9134-4FB0-A4C5-43280F5D9F1C}"/>
    <cellStyle name="Check Cell 20 2 5 8" xfId="7583" xr:uid="{8401C606-622F-4B37-B585-3A16A32A93D1}"/>
    <cellStyle name="Check Cell 20 2 5 8 2" xfId="7584" xr:uid="{F2F21BEB-7D21-474C-BF6B-E08D55138D74}"/>
    <cellStyle name="Check Cell 20 2 5 8 2 2" xfId="7585" xr:uid="{63A1BF0C-D304-4BCB-A95C-1B1EC5AF961D}"/>
    <cellStyle name="Check Cell 20 2 5 8 3" xfId="7586" xr:uid="{DA648152-4F2F-43FC-A9C2-E26FD39EFA69}"/>
    <cellStyle name="Check Cell 20 2 5 9" xfId="7587" xr:uid="{DE06F06A-06C3-42B9-AEA5-5040052B3072}"/>
    <cellStyle name="Check Cell 20 2 5 9 2" xfId="7588" xr:uid="{0C259BF9-BA0F-4BBC-99E8-37518A3FC570}"/>
    <cellStyle name="Check Cell 20 2 5 9 2 2" xfId="7589" xr:uid="{8A847C52-684F-46FF-B267-6F8F624CCF17}"/>
    <cellStyle name="Check Cell 20 2 5 9 3" xfId="7590" xr:uid="{4CD597B0-1CCF-4D01-A74E-54856AEBF3D3}"/>
    <cellStyle name="Check Cell 20 2 6" xfId="7591" xr:uid="{F9C640A9-0B58-40B6-9CD7-4484B3E5D92E}"/>
    <cellStyle name="Check Cell 20 2 6 2" xfId="7592" xr:uid="{7F05F6CD-E11A-4E9E-BCAF-6483E731ED3F}"/>
    <cellStyle name="Check Cell 20 2 6 2 2" xfId="7593" xr:uid="{52143A4A-FE27-4159-B993-77F461AEFF30}"/>
    <cellStyle name="Check Cell 20 2 6 3" xfId="7594" xr:uid="{ACD0873F-FEF6-48FE-B442-B03CDACDDF74}"/>
    <cellStyle name="Check Cell 20 2 7" xfId="7595" xr:uid="{39218BDB-D16D-45B8-9154-0D8EF6BDBB44}"/>
    <cellStyle name="Check Cell 20 2 7 2" xfId="7596" xr:uid="{E121AC14-335C-4E89-A95A-0F16A08C9183}"/>
    <cellStyle name="Check Cell 20 2 7 2 2" xfId="7597" xr:uid="{C0F6741D-14E7-49E4-9D94-3F0819220367}"/>
    <cellStyle name="Check Cell 20 2 7 3" xfId="7598" xr:uid="{F36DEAC1-F5F7-4EC6-9E88-B52AA306C41C}"/>
    <cellStyle name="Check Cell 20 2 8" xfId="7599" xr:uid="{A33FC5EE-A9A1-4F54-BA38-9467C5FBD974}"/>
    <cellStyle name="Check Cell 20 2 8 2" xfId="7600" xr:uid="{C026D6B5-3C2C-42EA-A1D7-3C83F7A57445}"/>
    <cellStyle name="Check Cell 20 2 8 2 2" xfId="7601" xr:uid="{E50ECB18-987D-4ACE-91EE-A3C8DE378CE0}"/>
    <cellStyle name="Check Cell 20 2 8 3" xfId="7602" xr:uid="{29F52201-104C-45FB-95FC-6BE77378B02E}"/>
    <cellStyle name="Check Cell 20 2 9" xfId="7603" xr:uid="{F35A23E9-0A94-47C4-ABD1-884FA4D84408}"/>
    <cellStyle name="Check Cell 20 2 9 2" xfId="7604" xr:uid="{7A1D8796-D0BD-4353-BC8D-7C5D22832EAF}"/>
    <cellStyle name="Check Cell 20 2 9 2 2" xfId="7605" xr:uid="{5158420A-C653-48E1-83B4-543F5BA4D94E}"/>
    <cellStyle name="Check Cell 20 2 9 3" xfId="7606" xr:uid="{F578EA18-00DF-4A32-A972-295AE5B1E7CD}"/>
    <cellStyle name="Check Cell 20 3" xfId="7607" xr:uid="{0380D226-0199-4B73-952F-1A401D7D5643}"/>
    <cellStyle name="Check Cell 20 3 2" xfId="7608" xr:uid="{3AC67EF7-13CD-4376-A3BB-E9AB7309CC4D}"/>
    <cellStyle name="Check Cell 20 3 2 2" xfId="7609" xr:uid="{980279E8-BA73-47FA-90A7-C7101C43A5EF}"/>
    <cellStyle name="Check Cell 20 3 3" xfId="7610" xr:uid="{E2D180EF-804F-4BEF-A78D-3EC1B1DA053E}"/>
    <cellStyle name="Check Cell 20 4" xfId="7611" xr:uid="{0C08061C-6D33-428D-9722-15942D223474}"/>
    <cellStyle name="Check Cell 20 4 2" xfId="7612" xr:uid="{1C1C0489-0482-4BCC-AB61-1BD3C20A710D}"/>
    <cellStyle name="Check Cell 21" xfId="7613" xr:uid="{E2B5E5A4-7C0F-44F0-8F2A-FF5F3A42C735}"/>
    <cellStyle name="Check Cell 21 2" xfId="7614" xr:uid="{0A71A7AE-82AE-47CF-94F5-BCF7611FBBBF}"/>
    <cellStyle name="Check Cell 21 2 10" xfId="7615" xr:uid="{1803FF9C-A88C-4995-BCB0-7448C661F818}"/>
    <cellStyle name="Check Cell 21 2 10 2" xfId="7616" xr:uid="{4CCEAF9D-4680-46CE-A84E-798B02486CE6}"/>
    <cellStyle name="Check Cell 21 2 10 2 2" xfId="7617" xr:uid="{2AFAD7AB-013E-4C29-B4D0-FF5D85E7E95C}"/>
    <cellStyle name="Check Cell 21 2 10 3" xfId="7618" xr:uid="{FFCC0F76-28B9-4FD8-9399-BEF8BF67E429}"/>
    <cellStyle name="Check Cell 21 2 11" xfId="7619" xr:uid="{8F2AECD8-A556-4973-91A2-87D2EE56F448}"/>
    <cellStyle name="Check Cell 21 2 11 2" xfId="7620" xr:uid="{8BBEB689-EA4A-446C-AB7B-8CABB0CE3073}"/>
    <cellStyle name="Check Cell 21 2 11 2 2" xfId="7621" xr:uid="{2FBA116B-278C-4004-B001-C8F35D37E99A}"/>
    <cellStyle name="Check Cell 21 2 11 3" xfId="7622" xr:uid="{3E45758D-07B7-46DD-BA66-B43218268924}"/>
    <cellStyle name="Check Cell 21 2 12" xfId="7623" xr:uid="{D572D210-2D0A-4744-B99C-5AF86B9A877B}"/>
    <cellStyle name="Check Cell 21 2 12 2" xfId="7624" xr:uid="{B0904034-CF21-456E-83B5-A5F3E4FF440C}"/>
    <cellStyle name="Check Cell 21 2 12 2 2" xfId="7625" xr:uid="{5B97A7EF-8882-4FA9-98E8-813511148B21}"/>
    <cellStyle name="Check Cell 21 2 12 3" xfId="7626" xr:uid="{E306D665-DF4F-46EB-B6A4-F0DA716F3916}"/>
    <cellStyle name="Check Cell 21 2 13" xfId="7627" xr:uid="{94A43A27-9624-41BC-A8D9-E86D0D3FC13C}"/>
    <cellStyle name="Check Cell 21 2 13 2" xfId="7628" xr:uid="{F612AC6A-81F7-416A-BA0E-6EC48C1222F3}"/>
    <cellStyle name="Check Cell 21 2 13 2 2" xfId="7629" xr:uid="{ABBC00F4-AD1E-4993-999E-D7B1DD02A032}"/>
    <cellStyle name="Check Cell 21 2 13 3" xfId="7630" xr:uid="{F7C06049-25FF-4F45-90A8-2CF50F98DE3D}"/>
    <cellStyle name="Check Cell 21 2 2" xfId="7631" xr:uid="{EBC428B9-6413-44FD-8334-358B00CC11D9}"/>
    <cellStyle name="Check Cell 21 2 2 2" xfId="7632" xr:uid="{B4556819-EA4F-49FF-B05A-2240C29647E9}"/>
    <cellStyle name="Check Cell 21 2 2 2 2" xfId="7633" xr:uid="{84E70170-56CF-4D06-8462-7B0B281282C1}"/>
    <cellStyle name="Check Cell 21 2 2 2 2 2" xfId="7634" xr:uid="{AEEA061D-D635-40CC-97A6-52DDBAA62872}"/>
    <cellStyle name="Check Cell 21 2 2 2 3" xfId="7635" xr:uid="{672A876D-3164-48BF-939A-BEBD90D3955D}"/>
    <cellStyle name="Check Cell 21 2 2 3" xfId="7636" xr:uid="{C0FAA3FF-63D4-4C0C-AD50-0DD93D8EE09D}"/>
    <cellStyle name="Check Cell 21 2 2 3 2" xfId="7637" xr:uid="{17311FE4-F90E-46BC-9DAE-195464CE615E}"/>
    <cellStyle name="Check Cell 21 2 2 3 2 2" xfId="7638" xr:uid="{CAD00923-F6A5-4824-BE53-FB66E39D9EBE}"/>
    <cellStyle name="Check Cell 21 2 2 3 3" xfId="7639" xr:uid="{BC533FF3-6718-4B39-8AE9-DB31093DC363}"/>
    <cellStyle name="Check Cell 21 2 2 4" xfId="7640" xr:uid="{A70116C2-0524-4BFD-A81E-9EBF5E7C9074}"/>
    <cellStyle name="Check Cell 21 2 2 4 2" xfId="7641" xr:uid="{C64319FF-80AF-4ED5-9F1D-AF3B347391FA}"/>
    <cellStyle name="Check Cell 21 2 2 4 2 2" xfId="7642" xr:uid="{5B4B69FF-4900-440D-801D-E5B030DAC932}"/>
    <cellStyle name="Check Cell 21 2 2 4 3" xfId="7643" xr:uid="{6F79A6B7-38CE-49EE-9E5C-F362CCABF987}"/>
    <cellStyle name="Check Cell 21 2 2 5" xfId="7644" xr:uid="{D7F5A6EC-935D-434C-824A-5F92CAE611DD}"/>
    <cellStyle name="Check Cell 21 2 2 5 2" xfId="7645" xr:uid="{CF5E8255-8102-48FD-A6A3-580303B6CF6B}"/>
    <cellStyle name="Check Cell 21 2 2 5 2 2" xfId="7646" xr:uid="{BAEFE183-F567-4D67-B20D-120B1C5A7054}"/>
    <cellStyle name="Check Cell 21 2 2 5 3" xfId="7647" xr:uid="{4A6AE12D-14AA-46F3-B94E-409F7BCB43B4}"/>
    <cellStyle name="Check Cell 21 2 2 6" xfId="7648" xr:uid="{8B3D738E-68B9-4B40-8622-B82508CC554F}"/>
    <cellStyle name="Check Cell 21 2 2 6 2" xfId="7649" xr:uid="{27233B19-E405-44A0-8EBF-D239593A4000}"/>
    <cellStyle name="Check Cell 21 2 2 6 2 2" xfId="7650" xr:uid="{F1306790-6822-4908-8C5C-3AACECA51057}"/>
    <cellStyle name="Check Cell 21 2 2 6 3" xfId="7651" xr:uid="{B3C8CC29-F127-4C95-8D17-B4F3F6487FC3}"/>
    <cellStyle name="Check Cell 21 2 2 7" xfId="7652" xr:uid="{C90EDE6A-7FB4-4B42-AB05-7B8802DC98F6}"/>
    <cellStyle name="Check Cell 21 2 2 7 2" xfId="7653" xr:uid="{D458D02A-8D68-424A-9E44-0FAA3634B99D}"/>
    <cellStyle name="Check Cell 21 2 2 7 2 2" xfId="7654" xr:uid="{814BDD77-19CD-468B-BC9E-F0BDE6FB6C3B}"/>
    <cellStyle name="Check Cell 21 2 2 7 3" xfId="7655" xr:uid="{23F83135-9170-4D39-B446-E907FDFB9ABF}"/>
    <cellStyle name="Check Cell 21 2 2 8" xfId="7656" xr:uid="{3A11F292-CFCD-4AAA-AE75-1A5C2E66900A}"/>
    <cellStyle name="Check Cell 21 2 2 8 2" xfId="7657" xr:uid="{4B405340-BEA3-4243-8877-DA467324FB0C}"/>
    <cellStyle name="Check Cell 21 2 2 8 2 2" xfId="7658" xr:uid="{A7B76F5C-9F3A-4170-AEDF-2F6CDAFB60A8}"/>
    <cellStyle name="Check Cell 21 2 2 8 3" xfId="7659" xr:uid="{A394BF47-437F-440C-9CAD-C5ACC35FDF5A}"/>
    <cellStyle name="Check Cell 21 2 2 9" xfId="7660" xr:uid="{AFABC873-47D5-4F05-B986-20F0D8BB2C49}"/>
    <cellStyle name="Check Cell 21 2 2 9 2" xfId="7661" xr:uid="{FA131301-2D0C-4B66-B936-9B6F356696DF}"/>
    <cellStyle name="Check Cell 21 2 2 9 2 2" xfId="7662" xr:uid="{87B0AB69-1532-4B33-B183-9EA345655D23}"/>
    <cellStyle name="Check Cell 21 2 2 9 3" xfId="7663" xr:uid="{95FD7D95-83C9-40EA-B919-C70C534888F7}"/>
    <cellStyle name="Check Cell 21 2 3" xfId="7664" xr:uid="{B1FBABCF-D454-4A75-B6B2-CCA208D48EE6}"/>
    <cellStyle name="Check Cell 21 2 3 2" xfId="7665" xr:uid="{10F451A0-4F55-4B14-BB4C-0645C4D95255}"/>
    <cellStyle name="Check Cell 21 2 3 2 2" xfId="7666" xr:uid="{20F42D8E-3205-4935-9C96-011F5B0C4574}"/>
    <cellStyle name="Check Cell 21 2 3 2 2 2" xfId="7667" xr:uid="{FFC8ECA9-0D55-431F-AAF6-3EB7DFE30A84}"/>
    <cellStyle name="Check Cell 21 2 3 2 3" xfId="7668" xr:uid="{6FD24340-E704-4A66-A06A-3A6CA380145F}"/>
    <cellStyle name="Check Cell 21 2 3 3" xfId="7669" xr:uid="{755CE0BD-F508-439D-8381-198BE3ECA62B}"/>
    <cellStyle name="Check Cell 21 2 3 3 2" xfId="7670" xr:uid="{46E461F1-31BE-49FC-A690-461DA0E5359D}"/>
    <cellStyle name="Check Cell 21 2 3 3 2 2" xfId="7671" xr:uid="{235F1039-E2C3-450F-8018-C37D73B6F2CC}"/>
    <cellStyle name="Check Cell 21 2 3 3 3" xfId="7672" xr:uid="{F085E932-574A-417D-9EBB-A3BB2983B13C}"/>
    <cellStyle name="Check Cell 21 2 3 4" xfId="7673" xr:uid="{0C8A0744-FE62-4BED-8C16-175FB6AB37BD}"/>
    <cellStyle name="Check Cell 21 2 3 4 2" xfId="7674" xr:uid="{1DA77163-42C0-48B7-88BF-CB53FB22FE11}"/>
    <cellStyle name="Check Cell 21 2 3 4 2 2" xfId="7675" xr:uid="{B2521DB0-084D-4D44-B124-EB030D6884BE}"/>
    <cellStyle name="Check Cell 21 2 3 4 3" xfId="7676" xr:uid="{45DD36B0-C585-404F-B59D-451970E6B1EB}"/>
    <cellStyle name="Check Cell 21 2 3 5" xfId="7677" xr:uid="{F674EF38-096C-46B2-8B73-68E0E322ACE9}"/>
    <cellStyle name="Check Cell 21 2 3 5 2" xfId="7678" xr:uid="{FB3D93CB-139B-44B2-9FE3-FE8EE9B92707}"/>
    <cellStyle name="Check Cell 21 2 3 5 2 2" xfId="7679" xr:uid="{71E41C53-5B11-4020-9737-787DA49812B0}"/>
    <cellStyle name="Check Cell 21 2 3 5 3" xfId="7680" xr:uid="{8929D1EE-52AD-4CA9-9C8D-873F2DF48796}"/>
    <cellStyle name="Check Cell 21 2 3 6" xfId="7681" xr:uid="{88FAFAA2-0B2C-4313-B30F-D3D02813A5D4}"/>
    <cellStyle name="Check Cell 21 2 3 6 2" xfId="7682" xr:uid="{B60D9FD7-0573-47DC-AFF7-769DEA3FA0D8}"/>
    <cellStyle name="Check Cell 21 2 3 6 2 2" xfId="7683" xr:uid="{0EB82A00-3B24-4D62-A3D8-4C5ECD9CE3B3}"/>
    <cellStyle name="Check Cell 21 2 3 6 3" xfId="7684" xr:uid="{2BCEE676-E63B-407F-989F-F788282B1366}"/>
    <cellStyle name="Check Cell 21 2 3 7" xfId="7685" xr:uid="{79F8E35A-20C4-41D9-9685-24B9E8F3BE47}"/>
    <cellStyle name="Check Cell 21 2 3 7 2" xfId="7686" xr:uid="{EB8FB84A-D7DF-4AF8-AF4B-47E7B8DFC6EC}"/>
    <cellStyle name="Check Cell 21 2 3 7 2 2" xfId="7687" xr:uid="{6984F1B9-B59F-4CA4-878E-D29BB13B8C06}"/>
    <cellStyle name="Check Cell 21 2 3 7 3" xfId="7688" xr:uid="{AD2A3E73-D026-4D49-BF95-1F62E8D61073}"/>
    <cellStyle name="Check Cell 21 2 3 8" xfId="7689" xr:uid="{EAB93A66-C37C-4229-9F74-7FE8723FC7D2}"/>
    <cellStyle name="Check Cell 21 2 3 8 2" xfId="7690" xr:uid="{32CB4761-72EE-45DC-8B9F-1F55A24992BF}"/>
    <cellStyle name="Check Cell 21 2 3 8 2 2" xfId="7691" xr:uid="{4B04210F-2DE9-4317-B80B-05A3B2E7424A}"/>
    <cellStyle name="Check Cell 21 2 3 8 3" xfId="7692" xr:uid="{D9D44A64-9B60-4F3E-BD40-FE9638308C89}"/>
    <cellStyle name="Check Cell 21 2 3 9" xfId="7693" xr:uid="{E7A5351D-14F8-4DE6-BDD9-B10D3B5D5F69}"/>
    <cellStyle name="Check Cell 21 2 3 9 2" xfId="7694" xr:uid="{B6FEAC07-2D0D-4810-A341-A64B82DB0114}"/>
    <cellStyle name="Check Cell 21 2 3 9 2 2" xfId="7695" xr:uid="{CD905852-44CD-4EFA-BD5C-1697D5C0C669}"/>
    <cellStyle name="Check Cell 21 2 3 9 3" xfId="7696" xr:uid="{F8DE532F-A64C-43D1-AE29-D9354D6F696D}"/>
    <cellStyle name="Check Cell 21 2 4" xfId="7697" xr:uid="{9FE85B73-EED4-46FE-8786-56A715B8A07A}"/>
    <cellStyle name="Check Cell 21 2 4 2" xfId="7698" xr:uid="{628EB3FE-61C4-4275-BF45-9C9E78014DFE}"/>
    <cellStyle name="Check Cell 21 2 4 2 2" xfId="7699" xr:uid="{A1784008-22F7-4536-8DD7-A2BF92AD306D}"/>
    <cellStyle name="Check Cell 21 2 4 2 2 2" xfId="7700" xr:uid="{423D5FD9-0E38-42DB-9BB5-9A7D414025D2}"/>
    <cellStyle name="Check Cell 21 2 4 2 3" xfId="7701" xr:uid="{9406AB39-61C0-480A-8029-B9DD4C3F259F}"/>
    <cellStyle name="Check Cell 21 2 4 3" xfId="7702" xr:uid="{70566760-5037-4250-B5FB-5ECD3AB73F1B}"/>
    <cellStyle name="Check Cell 21 2 4 3 2" xfId="7703" xr:uid="{7812EFE0-F6AB-44FB-8D10-2C1C679EC400}"/>
    <cellStyle name="Check Cell 21 2 4 3 2 2" xfId="7704" xr:uid="{4311393A-70CD-427F-99C1-6067693026E0}"/>
    <cellStyle name="Check Cell 21 2 4 3 3" xfId="7705" xr:uid="{9EAF65AB-0082-4E7D-B89A-B8D74FFDF827}"/>
    <cellStyle name="Check Cell 21 2 4 4" xfId="7706" xr:uid="{6DFDB844-1779-4972-8A35-62B1A1A02271}"/>
    <cellStyle name="Check Cell 21 2 4 4 2" xfId="7707" xr:uid="{9BCA5505-B6F6-42B7-906B-5119F9341E7A}"/>
    <cellStyle name="Check Cell 21 2 4 4 2 2" xfId="7708" xr:uid="{12FB4F0B-AA9F-4431-A897-2A374065254E}"/>
    <cellStyle name="Check Cell 21 2 4 4 3" xfId="7709" xr:uid="{FDC14FAE-22F6-4542-BDFD-7ECA9C10FE80}"/>
    <cellStyle name="Check Cell 21 2 4 5" xfId="7710" xr:uid="{FB675587-B81E-4621-B123-7E7D5E5CD802}"/>
    <cellStyle name="Check Cell 21 2 4 5 2" xfId="7711" xr:uid="{C4734011-D495-49CB-BB59-97AFCD9B9D3F}"/>
    <cellStyle name="Check Cell 21 2 4 5 2 2" xfId="7712" xr:uid="{D67FD4EA-B95D-4CB9-8291-2313149BD1C9}"/>
    <cellStyle name="Check Cell 21 2 4 5 3" xfId="7713" xr:uid="{D420FE30-7EBE-4580-ABA3-8FB16ADEF442}"/>
    <cellStyle name="Check Cell 21 2 4 6" xfId="7714" xr:uid="{2E611BEF-44E0-4C05-B112-CCA614A2A469}"/>
    <cellStyle name="Check Cell 21 2 4 6 2" xfId="7715" xr:uid="{B22257F1-083E-4FBB-ABD2-EAB754E639C9}"/>
    <cellStyle name="Check Cell 21 2 4 6 2 2" xfId="7716" xr:uid="{4761F35F-169B-4635-B7F4-392B9D38310E}"/>
    <cellStyle name="Check Cell 21 2 4 6 3" xfId="7717" xr:uid="{3BAB64BD-4848-4A20-A1B3-279F7F927EEC}"/>
    <cellStyle name="Check Cell 21 2 4 7" xfId="7718" xr:uid="{82C8C16C-207F-4F14-B31D-55F106431AC6}"/>
    <cellStyle name="Check Cell 21 2 4 7 2" xfId="7719" xr:uid="{9AAAB9AB-48AA-4D7C-94F7-71A78E6D5263}"/>
    <cellStyle name="Check Cell 21 2 4 7 2 2" xfId="7720" xr:uid="{2BFC7C0D-91AA-4CEE-9B03-3C8E2D194B1A}"/>
    <cellStyle name="Check Cell 21 2 4 7 3" xfId="7721" xr:uid="{1B2AAF3C-E8AE-48A8-93E0-B7A4B7CF908A}"/>
    <cellStyle name="Check Cell 21 2 4 8" xfId="7722" xr:uid="{264743BC-31C3-4DDB-AE3A-B1F5F4C82BC5}"/>
    <cellStyle name="Check Cell 21 2 4 8 2" xfId="7723" xr:uid="{1025D4D1-C1A1-4B41-95C5-7AB9FE010F0F}"/>
    <cellStyle name="Check Cell 21 2 4 8 2 2" xfId="7724" xr:uid="{A33C4235-2541-40E7-953A-2A4069AC6C80}"/>
    <cellStyle name="Check Cell 21 2 4 8 3" xfId="7725" xr:uid="{2B6D46DA-95D3-42F1-918C-38B5E143032D}"/>
    <cellStyle name="Check Cell 21 2 4 9" xfId="7726" xr:uid="{82AE1E1E-9BC5-44FF-9635-E4A939D39027}"/>
    <cellStyle name="Check Cell 21 2 4 9 2" xfId="7727" xr:uid="{30B6CC6B-B437-4A61-9377-10F3BFB13FB2}"/>
    <cellStyle name="Check Cell 21 2 4 9 2 2" xfId="7728" xr:uid="{333C6121-E2E0-4A59-B9C8-29752B714DD9}"/>
    <cellStyle name="Check Cell 21 2 4 9 3" xfId="7729" xr:uid="{F4023E6F-70F2-40B0-9128-BBD5733E7A62}"/>
    <cellStyle name="Check Cell 21 2 5" xfId="7730" xr:uid="{2CF4398B-9F3C-40CE-899E-410F88CB7B1A}"/>
    <cellStyle name="Check Cell 21 2 5 2" xfId="7731" xr:uid="{0CD9E679-4A9B-444B-AA07-B5FF56FAC323}"/>
    <cellStyle name="Check Cell 21 2 5 2 2" xfId="7732" xr:uid="{285E3647-DFB2-4F69-A284-790B6A9B36FD}"/>
    <cellStyle name="Check Cell 21 2 5 2 2 2" xfId="7733" xr:uid="{8F534F3A-1C4F-4AF7-B730-F0882B77B952}"/>
    <cellStyle name="Check Cell 21 2 5 2 3" xfId="7734" xr:uid="{C65FA6F9-5F37-4668-92AD-3F1E763D1104}"/>
    <cellStyle name="Check Cell 21 2 5 3" xfId="7735" xr:uid="{18294C83-AA62-4880-A7E4-5CED5CF95B61}"/>
    <cellStyle name="Check Cell 21 2 5 3 2" xfId="7736" xr:uid="{CB4F528A-BDB3-45D0-97D0-1CC9EA513368}"/>
    <cellStyle name="Check Cell 21 2 5 3 2 2" xfId="7737" xr:uid="{01E82D22-19EF-4AC7-8A7C-A45938E60E06}"/>
    <cellStyle name="Check Cell 21 2 5 3 3" xfId="7738" xr:uid="{77B68800-3C0A-47FA-B8F7-E486D760026E}"/>
    <cellStyle name="Check Cell 21 2 5 4" xfId="7739" xr:uid="{358386CC-2BF8-443D-BE7C-55AE515D8BBF}"/>
    <cellStyle name="Check Cell 21 2 5 4 2" xfId="7740" xr:uid="{482C9FEB-26E2-4574-BAB1-6AE34DD71D9F}"/>
    <cellStyle name="Check Cell 21 2 5 4 2 2" xfId="7741" xr:uid="{D4F9E7FA-1312-407B-85CB-30F909884B76}"/>
    <cellStyle name="Check Cell 21 2 5 4 3" xfId="7742" xr:uid="{59772563-FB3F-4FAD-9329-9212B4D91894}"/>
    <cellStyle name="Check Cell 21 2 5 5" xfId="7743" xr:uid="{B7DF513A-5914-41C9-A547-6B7F32D9206F}"/>
    <cellStyle name="Check Cell 21 2 5 5 2" xfId="7744" xr:uid="{1AEADCCE-8EE6-49D3-8B03-25F2CCB36327}"/>
    <cellStyle name="Check Cell 21 2 5 5 2 2" xfId="7745" xr:uid="{06BE2A14-E4BC-47B2-94CB-4D50990871EF}"/>
    <cellStyle name="Check Cell 21 2 5 5 3" xfId="7746" xr:uid="{B3B5887B-0855-46BD-AF84-87A8C1B35CF8}"/>
    <cellStyle name="Check Cell 21 2 5 6" xfId="7747" xr:uid="{BDBD004B-7709-4F2A-88E1-208781665B50}"/>
    <cellStyle name="Check Cell 21 2 5 6 2" xfId="7748" xr:uid="{FFB66803-243C-4294-AF1B-96A824549A57}"/>
    <cellStyle name="Check Cell 21 2 5 6 2 2" xfId="7749" xr:uid="{4DE18FA4-AE52-40B3-9FD3-A0A8E593410D}"/>
    <cellStyle name="Check Cell 21 2 5 6 3" xfId="7750" xr:uid="{EEC997E5-398D-4DCD-8D33-8464D60EC5FA}"/>
    <cellStyle name="Check Cell 21 2 5 7" xfId="7751" xr:uid="{47D7B1E3-4DD9-4BA2-8C6B-767F7500744E}"/>
    <cellStyle name="Check Cell 21 2 5 7 2" xfId="7752" xr:uid="{F7A893DE-1B1B-4AF6-9EBF-0F81D2F9951C}"/>
    <cellStyle name="Check Cell 21 2 5 7 2 2" xfId="7753" xr:uid="{0556860B-1AD4-4808-99D7-925B6EF1A0EA}"/>
    <cellStyle name="Check Cell 21 2 5 7 3" xfId="7754" xr:uid="{9902313F-D3DD-401D-BD96-BD7BF7448AD6}"/>
    <cellStyle name="Check Cell 21 2 5 8" xfId="7755" xr:uid="{46D3AADC-B39C-4504-A841-E4EFEFCA8D68}"/>
    <cellStyle name="Check Cell 21 2 5 8 2" xfId="7756" xr:uid="{3A4C1A74-54BD-436E-B5F0-1F20C0F24D86}"/>
    <cellStyle name="Check Cell 21 2 5 8 2 2" xfId="7757" xr:uid="{8206D5AD-72FB-4150-AF94-5468B6D4AD70}"/>
    <cellStyle name="Check Cell 21 2 5 8 3" xfId="7758" xr:uid="{4356218B-5AD7-4401-97E1-98732C2AAEF1}"/>
    <cellStyle name="Check Cell 21 2 5 9" xfId="7759" xr:uid="{E746A506-0DDA-43AB-AF22-6AC98F10E20F}"/>
    <cellStyle name="Check Cell 21 2 5 9 2" xfId="7760" xr:uid="{D62AFA76-5D43-42B1-BB17-17E0FDF4271A}"/>
    <cellStyle name="Check Cell 21 2 5 9 2 2" xfId="7761" xr:uid="{A0484910-4711-4A32-BE6B-A9BF92175E16}"/>
    <cellStyle name="Check Cell 21 2 5 9 3" xfId="7762" xr:uid="{892C4B17-BB10-482C-ABE9-78CAAF48D52D}"/>
    <cellStyle name="Check Cell 21 2 6" xfId="7763" xr:uid="{E9E56EE7-C816-4812-8883-AE383D1183E4}"/>
    <cellStyle name="Check Cell 21 2 6 2" xfId="7764" xr:uid="{A0C353A5-8D15-47F4-8EE4-18E240605A39}"/>
    <cellStyle name="Check Cell 21 2 6 2 2" xfId="7765" xr:uid="{F0325C25-181D-4E71-8293-EFA45D8D9D66}"/>
    <cellStyle name="Check Cell 21 2 6 3" xfId="7766" xr:uid="{1DF80205-1647-4423-8C58-E640B0352268}"/>
    <cellStyle name="Check Cell 21 2 7" xfId="7767" xr:uid="{B8AAC97C-C194-49FD-BE55-9148677D1931}"/>
    <cellStyle name="Check Cell 21 2 7 2" xfId="7768" xr:uid="{E8FD742B-61DE-4FE7-895A-68E22504EFBF}"/>
    <cellStyle name="Check Cell 21 2 7 2 2" xfId="7769" xr:uid="{F2D2722C-7C1A-4C98-823E-86A12A934D66}"/>
    <cellStyle name="Check Cell 21 2 7 3" xfId="7770" xr:uid="{5EBF0B17-D5ED-43EC-94A0-520715E03F5F}"/>
    <cellStyle name="Check Cell 21 2 8" xfId="7771" xr:uid="{EF5219A3-BD09-4193-B5BE-FA03A29E6678}"/>
    <cellStyle name="Check Cell 21 2 8 2" xfId="7772" xr:uid="{53FA7032-6F12-42E7-9483-7E95D9FA32BE}"/>
    <cellStyle name="Check Cell 21 2 8 2 2" xfId="7773" xr:uid="{3AD34EF6-5C95-41C7-9F57-83AA6653066B}"/>
    <cellStyle name="Check Cell 21 2 8 3" xfId="7774" xr:uid="{8783AB29-A18F-42BE-A9E4-6CF0A026CE30}"/>
    <cellStyle name="Check Cell 21 2 9" xfId="7775" xr:uid="{35B0BF16-7CD6-4AAF-A479-B6DBD503C076}"/>
    <cellStyle name="Check Cell 21 2 9 2" xfId="7776" xr:uid="{90273A3B-11B8-45C1-B326-5700BB41CE38}"/>
    <cellStyle name="Check Cell 21 2 9 2 2" xfId="7777" xr:uid="{C291F397-A8F6-451E-BFC3-0FF879D18C57}"/>
    <cellStyle name="Check Cell 21 2 9 3" xfId="7778" xr:uid="{605CE4E4-7D31-43A1-BF96-477442F5D5DE}"/>
    <cellStyle name="Check Cell 21 3" xfId="7779" xr:uid="{A6AC729D-1915-48A2-8A6D-7BC773D5A720}"/>
    <cellStyle name="Check Cell 21 3 2" xfId="7780" xr:uid="{E48FE861-C6D9-487A-8162-9CB2BADA167D}"/>
    <cellStyle name="Check Cell 21 3 2 2" xfId="7781" xr:uid="{1EDF5F22-3108-4B22-AECD-99737C4901CB}"/>
    <cellStyle name="Check Cell 21 3 3" xfId="7782" xr:uid="{23890B6B-6980-4C73-A68E-3F62CF97F89F}"/>
    <cellStyle name="Check Cell 21 4" xfId="7783" xr:uid="{730D7007-0FBC-4515-84C6-1A376EF40252}"/>
    <cellStyle name="Check Cell 21 4 2" xfId="7784" xr:uid="{2D1EDABF-7B06-41FD-B0AB-B9E1FA8F9A5F}"/>
    <cellStyle name="Check Cell 22" xfId="7785" xr:uid="{BB7B2820-F99C-43B8-874D-1C6F9DF814B8}"/>
    <cellStyle name="Check Cell 22 2" xfId="7786" xr:uid="{4346AB81-C5EB-47E8-95A8-1F72F62F46D0}"/>
    <cellStyle name="Check Cell 22 2 10" xfId="7787" xr:uid="{3DE72B82-3646-40B1-A826-CF3746C217A9}"/>
    <cellStyle name="Check Cell 22 2 10 2" xfId="7788" xr:uid="{8FCA1DAF-E733-4A88-973F-01D0CE06D8F5}"/>
    <cellStyle name="Check Cell 22 2 10 2 2" xfId="7789" xr:uid="{589D3F43-0DC8-49F6-9FBB-FF8F245CB506}"/>
    <cellStyle name="Check Cell 22 2 10 3" xfId="7790" xr:uid="{1315964B-E732-4B4F-8B4E-8C4D0DB4EA56}"/>
    <cellStyle name="Check Cell 22 2 11" xfId="7791" xr:uid="{CA366BD4-9FE2-490A-906C-D61AF579A96F}"/>
    <cellStyle name="Check Cell 22 2 11 2" xfId="7792" xr:uid="{7EB31123-2032-4777-8830-0607A206B634}"/>
    <cellStyle name="Check Cell 22 2 11 2 2" xfId="7793" xr:uid="{204E70AA-AE36-48CF-B1D2-CC3DFA34EDCA}"/>
    <cellStyle name="Check Cell 22 2 11 3" xfId="7794" xr:uid="{171C6623-8F76-463F-9A96-8917D3B7C627}"/>
    <cellStyle name="Check Cell 22 2 12" xfId="7795" xr:uid="{00329AEA-F430-4F9A-9467-81E9F14BFCAE}"/>
    <cellStyle name="Check Cell 22 2 12 2" xfId="7796" xr:uid="{B7F67724-F50D-43F4-A3CA-7059D7F12FAC}"/>
    <cellStyle name="Check Cell 22 2 12 2 2" xfId="7797" xr:uid="{56BF6CE6-362D-40BD-AF0D-A724C18781D9}"/>
    <cellStyle name="Check Cell 22 2 12 3" xfId="7798" xr:uid="{4781696C-6F6B-4645-A846-74EFDCF54C48}"/>
    <cellStyle name="Check Cell 22 2 13" xfId="7799" xr:uid="{FDE18394-0E51-421F-B819-4C91D5430DBE}"/>
    <cellStyle name="Check Cell 22 2 13 2" xfId="7800" xr:uid="{2A6737F9-FD1C-4F8F-BB7D-5F443D008C73}"/>
    <cellStyle name="Check Cell 22 2 13 2 2" xfId="7801" xr:uid="{EF3B6810-741A-4A1A-A11D-8F5658E03A4F}"/>
    <cellStyle name="Check Cell 22 2 13 3" xfId="7802" xr:uid="{184F50FD-16EF-47AE-8AD2-9781582924BE}"/>
    <cellStyle name="Check Cell 22 2 2" xfId="7803" xr:uid="{EE1974F6-A099-4A7D-9DC0-7032653BD8FC}"/>
    <cellStyle name="Check Cell 22 2 2 2" xfId="7804" xr:uid="{72EE6027-F327-4CEE-B83A-82374E9F34A7}"/>
    <cellStyle name="Check Cell 22 2 2 2 2" xfId="7805" xr:uid="{60992C8C-7A2A-4679-9377-D8AADA2DB23D}"/>
    <cellStyle name="Check Cell 22 2 2 2 2 2" xfId="7806" xr:uid="{E6736C04-D1A7-43D0-8A8B-24D2694DF84E}"/>
    <cellStyle name="Check Cell 22 2 2 2 3" xfId="7807" xr:uid="{752AC099-4DE9-4705-A484-8EA7D89397D1}"/>
    <cellStyle name="Check Cell 22 2 2 3" xfId="7808" xr:uid="{2F6F299B-A284-428B-A999-34DF4FFA562D}"/>
    <cellStyle name="Check Cell 22 2 2 3 2" xfId="7809" xr:uid="{08021EA2-EC5E-467D-A973-6D7C52ACB1C1}"/>
    <cellStyle name="Check Cell 22 2 2 3 2 2" xfId="7810" xr:uid="{02031A28-0DFA-48F8-96CB-30A61100DAD9}"/>
    <cellStyle name="Check Cell 22 2 2 3 3" xfId="7811" xr:uid="{FCE1CA6C-F2FB-4A2F-81CE-653932DBBF13}"/>
    <cellStyle name="Check Cell 22 2 2 4" xfId="7812" xr:uid="{A8592612-A0A6-42CE-9A4D-8D459E0B03AC}"/>
    <cellStyle name="Check Cell 22 2 2 4 2" xfId="7813" xr:uid="{6B5171AD-BCFA-4CD5-ABAA-D906DBEAC546}"/>
    <cellStyle name="Check Cell 22 2 2 4 2 2" xfId="7814" xr:uid="{C1912BD4-F275-4C65-AA7C-A2E1F3D54669}"/>
    <cellStyle name="Check Cell 22 2 2 4 3" xfId="7815" xr:uid="{2D538C7F-5B59-4692-B3E5-B447C6ECECA9}"/>
    <cellStyle name="Check Cell 22 2 2 5" xfId="7816" xr:uid="{3BB2D96A-A274-43EA-996C-24962A2C5A37}"/>
    <cellStyle name="Check Cell 22 2 2 5 2" xfId="7817" xr:uid="{B9F08D75-B188-4FF4-8CD9-9D268C71C6E1}"/>
    <cellStyle name="Check Cell 22 2 2 5 2 2" xfId="7818" xr:uid="{ADE8AC70-53EB-4FF0-878E-D3B3875A1BAD}"/>
    <cellStyle name="Check Cell 22 2 2 5 3" xfId="7819" xr:uid="{776F389B-1DEC-4F5E-8164-69F0B2120371}"/>
    <cellStyle name="Check Cell 22 2 2 6" xfId="7820" xr:uid="{992EF7B7-D033-4A52-8F14-469A19C06BED}"/>
    <cellStyle name="Check Cell 22 2 2 6 2" xfId="7821" xr:uid="{0ED6CD71-0FF8-4095-91DC-952D1A788D5D}"/>
    <cellStyle name="Check Cell 22 2 2 6 2 2" xfId="7822" xr:uid="{E7BFF5C7-3C3A-4FC3-A80C-53D738AD79D8}"/>
    <cellStyle name="Check Cell 22 2 2 6 3" xfId="7823" xr:uid="{CF5B3694-2A4F-48D3-9265-ACE2CFDD3780}"/>
    <cellStyle name="Check Cell 22 2 2 7" xfId="7824" xr:uid="{AEBADEB1-BBEC-4FD8-BD16-6110142618DC}"/>
    <cellStyle name="Check Cell 22 2 2 7 2" xfId="7825" xr:uid="{3A9BC0AB-A160-45F9-A066-A9820426933F}"/>
    <cellStyle name="Check Cell 22 2 2 7 2 2" xfId="7826" xr:uid="{251D1D97-59C3-4C77-ABDD-CC4D6267E20D}"/>
    <cellStyle name="Check Cell 22 2 2 7 3" xfId="7827" xr:uid="{9FAE3C35-4CD3-439B-9484-3D9FBE865A16}"/>
    <cellStyle name="Check Cell 22 2 2 8" xfId="7828" xr:uid="{9F91D5EF-2000-4D9F-B55B-2066C4E3634E}"/>
    <cellStyle name="Check Cell 22 2 2 8 2" xfId="7829" xr:uid="{9AA04D7B-916B-4701-9798-67232E01BF1A}"/>
    <cellStyle name="Check Cell 22 2 2 8 2 2" xfId="7830" xr:uid="{2C380E15-42FA-43A1-96FF-5BE0395F8964}"/>
    <cellStyle name="Check Cell 22 2 2 8 3" xfId="7831" xr:uid="{463E81C0-3476-4C89-8342-E4BC57E6B1DD}"/>
    <cellStyle name="Check Cell 22 2 2 9" xfId="7832" xr:uid="{97E576D6-BA41-489D-8F5A-5B3D99A42A66}"/>
    <cellStyle name="Check Cell 22 2 2 9 2" xfId="7833" xr:uid="{FFC7A3D4-47CF-4540-8DF5-F520AB494E7D}"/>
    <cellStyle name="Check Cell 22 2 2 9 2 2" xfId="7834" xr:uid="{CFA4C5BB-D5A1-481E-BFBF-310EC4C04311}"/>
    <cellStyle name="Check Cell 22 2 2 9 3" xfId="7835" xr:uid="{27B271C0-6ADF-42BD-897B-CE31A099E690}"/>
    <cellStyle name="Check Cell 22 2 3" xfId="7836" xr:uid="{CE5F77FF-F220-445B-8C98-CF49CF713ACE}"/>
    <cellStyle name="Check Cell 22 2 3 2" xfId="7837" xr:uid="{06A5190D-1BC8-4C29-A5A0-1368B95EB0EF}"/>
    <cellStyle name="Check Cell 22 2 3 2 2" xfId="7838" xr:uid="{6A9ECB77-92F8-4747-AF0F-FFF699692194}"/>
    <cellStyle name="Check Cell 22 2 3 2 2 2" xfId="7839" xr:uid="{AFAE744B-2FD3-4B7F-8096-B125C01B7843}"/>
    <cellStyle name="Check Cell 22 2 3 2 3" xfId="7840" xr:uid="{86BD52F4-C574-4A00-8B41-F8BC03474F7D}"/>
    <cellStyle name="Check Cell 22 2 3 3" xfId="7841" xr:uid="{0D2B66A4-EE3A-4616-8B94-688492698A65}"/>
    <cellStyle name="Check Cell 22 2 3 3 2" xfId="7842" xr:uid="{A608794E-386D-48DA-9729-94307FECDB53}"/>
    <cellStyle name="Check Cell 22 2 3 3 2 2" xfId="7843" xr:uid="{0E6AB566-4CCA-4623-8D56-8F4FB431DDF5}"/>
    <cellStyle name="Check Cell 22 2 3 3 3" xfId="7844" xr:uid="{9D9A2C02-00E5-4451-8C86-96A4CF33FD75}"/>
    <cellStyle name="Check Cell 22 2 3 4" xfId="7845" xr:uid="{5A5DF282-DB11-4DDF-A48C-7D499C859ACF}"/>
    <cellStyle name="Check Cell 22 2 3 4 2" xfId="7846" xr:uid="{3C951C52-CE44-4FAB-A096-DDA3B803CE9A}"/>
    <cellStyle name="Check Cell 22 2 3 4 2 2" xfId="7847" xr:uid="{6E9CD9C8-1D76-4FBB-A311-5C31D265E06D}"/>
    <cellStyle name="Check Cell 22 2 3 4 3" xfId="7848" xr:uid="{CE818D98-B3D2-4FBD-8881-DBC62BE79792}"/>
    <cellStyle name="Check Cell 22 2 3 5" xfId="7849" xr:uid="{B47B0289-7FBD-4653-A480-75D6C683979F}"/>
    <cellStyle name="Check Cell 22 2 3 5 2" xfId="7850" xr:uid="{B390D174-8686-455D-8DF3-C720D47036ED}"/>
    <cellStyle name="Check Cell 22 2 3 5 2 2" xfId="7851" xr:uid="{B5C8B2AB-4862-44DA-A400-D2430C59E6A4}"/>
    <cellStyle name="Check Cell 22 2 3 5 3" xfId="7852" xr:uid="{A4809B09-0AD5-4065-B2D8-FA0C47BC6482}"/>
    <cellStyle name="Check Cell 22 2 3 6" xfId="7853" xr:uid="{A37F848A-B46A-446B-BF13-1360DF519CD3}"/>
    <cellStyle name="Check Cell 22 2 3 6 2" xfId="7854" xr:uid="{5F8C52A0-6D3E-443F-8E4A-D1DD3A938691}"/>
    <cellStyle name="Check Cell 22 2 3 6 2 2" xfId="7855" xr:uid="{4154E8DB-8323-4B18-8A77-75BB97E2858F}"/>
    <cellStyle name="Check Cell 22 2 3 6 3" xfId="7856" xr:uid="{90EB95BB-1C9C-4869-B997-981638FA1545}"/>
    <cellStyle name="Check Cell 22 2 3 7" xfId="7857" xr:uid="{C1094CA8-DD80-4496-8B6D-1D88FE53A241}"/>
    <cellStyle name="Check Cell 22 2 3 7 2" xfId="7858" xr:uid="{B311832C-57DF-4074-8987-5B3B51D073E4}"/>
    <cellStyle name="Check Cell 22 2 3 7 2 2" xfId="7859" xr:uid="{6B2D8743-389E-4ED3-8213-8392797E8DA8}"/>
    <cellStyle name="Check Cell 22 2 3 7 3" xfId="7860" xr:uid="{6AB29C0C-709E-412D-BFE8-52C9092ED432}"/>
    <cellStyle name="Check Cell 22 2 3 8" xfId="7861" xr:uid="{0235A6CA-61DF-4FB5-930F-2D090F9481A7}"/>
    <cellStyle name="Check Cell 22 2 3 8 2" xfId="7862" xr:uid="{4244F324-C51B-4474-9A03-2D2879EDB63D}"/>
    <cellStyle name="Check Cell 22 2 3 8 2 2" xfId="7863" xr:uid="{F4D28F34-C25D-4F5E-A06E-16F34A35C6A1}"/>
    <cellStyle name="Check Cell 22 2 3 8 3" xfId="7864" xr:uid="{7084AE5D-B7B1-4E45-9719-0F1A54F8AE60}"/>
    <cellStyle name="Check Cell 22 2 3 9" xfId="7865" xr:uid="{BBFB57BA-8765-49D3-BE68-4A8284F4D4E9}"/>
    <cellStyle name="Check Cell 22 2 3 9 2" xfId="7866" xr:uid="{7284DD1A-22DD-413A-9C4D-A6E2E3A8A8C3}"/>
    <cellStyle name="Check Cell 22 2 3 9 2 2" xfId="7867" xr:uid="{78A16A06-40F1-4BD0-B343-FDB8311CAF99}"/>
    <cellStyle name="Check Cell 22 2 3 9 3" xfId="7868" xr:uid="{9E93F3DF-CACD-48A3-8056-74E218F1595B}"/>
    <cellStyle name="Check Cell 22 2 4" xfId="7869" xr:uid="{F2C8A01F-02B0-48D5-A73B-99447280C5B5}"/>
    <cellStyle name="Check Cell 22 2 4 2" xfId="7870" xr:uid="{1CF25587-B555-4EB7-86EB-C6B0D7BF1E0B}"/>
    <cellStyle name="Check Cell 22 2 4 2 2" xfId="7871" xr:uid="{927D0404-86C7-4E44-AB4F-C47E09897E35}"/>
    <cellStyle name="Check Cell 22 2 4 2 2 2" xfId="7872" xr:uid="{F29B2B56-BE15-45A4-9EED-1549E7BAE5E3}"/>
    <cellStyle name="Check Cell 22 2 4 2 3" xfId="7873" xr:uid="{B343E430-0C58-4245-A5EB-E068A6F2DF1A}"/>
    <cellStyle name="Check Cell 22 2 4 3" xfId="7874" xr:uid="{7C8A76C1-EDED-4B27-B6C3-1F23AAB426AD}"/>
    <cellStyle name="Check Cell 22 2 4 3 2" xfId="7875" xr:uid="{F9BFF99D-0694-4CA6-920B-3C218E9878F8}"/>
    <cellStyle name="Check Cell 22 2 4 3 2 2" xfId="7876" xr:uid="{A287CCCC-12A8-4BD4-B500-30CF68836AA0}"/>
    <cellStyle name="Check Cell 22 2 4 3 3" xfId="7877" xr:uid="{23DE86F7-E087-41C7-B0CB-E80C1F6CD16D}"/>
    <cellStyle name="Check Cell 22 2 4 4" xfId="7878" xr:uid="{A40F24ED-DB3D-4D60-AF37-ABB00F29E222}"/>
    <cellStyle name="Check Cell 22 2 4 4 2" xfId="7879" xr:uid="{D8621369-393B-45A1-921E-E27CCF74CBAA}"/>
    <cellStyle name="Check Cell 22 2 4 4 2 2" xfId="7880" xr:uid="{66778137-305D-4818-8AE8-8B5403FE0209}"/>
    <cellStyle name="Check Cell 22 2 4 4 3" xfId="7881" xr:uid="{C331EAFE-A4FD-4C8B-B4B8-46B927E6D6E4}"/>
    <cellStyle name="Check Cell 22 2 4 5" xfId="7882" xr:uid="{22A604B8-A530-4C58-B0FD-D7E7541F0918}"/>
    <cellStyle name="Check Cell 22 2 4 5 2" xfId="7883" xr:uid="{A98D5CA5-1970-4F40-93AE-9F38F3F903A4}"/>
    <cellStyle name="Check Cell 22 2 4 5 2 2" xfId="7884" xr:uid="{57C3B505-ED55-4CB8-BB88-692A737674E7}"/>
    <cellStyle name="Check Cell 22 2 4 5 3" xfId="7885" xr:uid="{41117C1F-FA39-4D1F-BDDF-8AD79501CAA6}"/>
    <cellStyle name="Check Cell 22 2 4 6" xfId="7886" xr:uid="{2B4DC9ED-8B4C-4BC0-A028-C43A752BD91F}"/>
    <cellStyle name="Check Cell 22 2 4 6 2" xfId="7887" xr:uid="{1153B35C-C682-47FE-91FD-D34DB74B362A}"/>
    <cellStyle name="Check Cell 22 2 4 6 2 2" xfId="7888" xr:uid="{B8A25F77-E2E2-406B-8B78-B5618E389706}"/>
    <cellStyle name="Check Cell 22 2 4 6 3" xfId="7889" xr:uid="{D834EC26-EC6B-44C0-B1EC-C536E2690EA3}"/>
    <cellStyle name="Check Cell 22 2 4 7" xfId="7890" xr:uid="{293FDE79-D6E4-4C3A-951E-5ECC3614C20F}"/>
    <cellStyle name="Check Cell 22 2 4 7 2" xfId="7891" xr:uid="{41F9156C-0D16-4F17-A305-C8AA0B8E7676}"/>
    <cellStyle name="Check Cell 22 2 4 7 2 2" xfId="7892" xr:uid="{CC0648D7-6BE8-4040-9A9B-6CBE3A4B92CB}"/>
    <cellStyle name="Check Cell 22 2 4 7 3" xfId="7893" xr:uid="{E4A6EA7B-77A1-48CF-A718-9702B8261198}"/>
    <cellStyle name="Check Cell 22 2 4 8" xfId="7894" xr:uid="{1A101CC7-1C12-4907-924B-AD42DBBF9C79}"/>
    <cellStyle name="Check Cell 22 2 4 8 2" xfId="7895" xr:uid="{8A1F36D0-D0D6-4D3A-8FD1-AC1ACC024E41}"/>
    <cellStyle name="Check Cell 22 2 4 8 2 2" xfId="7896" xr:uid="{5B15A2F3-4E33-4DAA-A19A-F06B80F2F61A}"/>
    <cellStyle name="Check Cell 22 2 4 8 3" xfId="7897" xr:uid="{2C6002B7-C7F2-4B61-AB96-77092EDC41FA}"/>
    <cellStyle name="Check Cell 22 2 4 9" xfId="7898" xr:uid="{DF7B6112-B495-4574-A3D4-5F2ABAD574B2}"/>
    <cellStyle name="Check Cell 22 2 4 9 2" xfId="7899" xr:uid="{00D95451-24A3-4543-B6C4-C41B53730904}"/>
    <cellStyle name="Check Cell 22 2 4 9 2 2" xfId="7900" xr:uid="{BE5DFF53-CDBC-44CF-90B9-B961C2A465EB}"/>
    <cellStyle name="Check Cell 22 2 4 9 3" xfId="7901" xr:uid="{47C7F60A-331A-448F-ABC5-943D64A5A1C0}"/>
    <cellStyle name="Check Cell 22 2 5" xfId="7902" xr:uid="{78F5C4B1-FB78-4303-88A1-AA1232DBF0B2}"/>
    <cellStyle name="Check Cell 22 2 5 2" xfId="7903" xr:uid="{15A3AF8F-6177-4ED5-B6A6-471DA1CB3151}"/>
    <cellStyle name="Check Cell 22 2 5 2 2" xfId="7904" xr:uid="{DC44F5D4-CF00-464E-BE42-A9D363F3C4E5}"/>
    <cellStyle name="Check Cell 22 2 5 2 2 2" xfId="7905" xr:uid="{D68FED24-C626-4A75-B9E3-AB17F45E4FAF}"/>
    <cellStyle name="Check Cell 22 2 5 2 3" xfId="7906" xr:uid="{BF5D0CA1-865F-454C-9CC9-44B5BBB1A44B}"/>
    <cellStyle name="Check Cell 22 2 5 3" xfId="7907" xr:uid="{7E5C9705-27FC-4906-89FF-AEC34F83B405}"/>
    <cellStyle name="Check Cell 22 2 5 3 2" xfId="7908" xr:uid="{21E1918B-4078-403A-8A89-E6207B665A11}"/>
    <cellStyle name="Check Cell 22 2 5 3 2 2" xfId="7909" xr:uid="{4C584785-9082-483A-8925-74A45A1DD57F}"/>
    <cellStyle name="Check Cell 22 2 5 3 3" xfId="7910" xr:uid="{78CFF0A1-D9E1-41C4-B584-1446C5B852B7}"/>
    <cellStyle name="Check Cell 22 2 5 4" xfId="7911" xr:uid="{01FFC682-0F46-451E-ABAF-41F231587F54}"/>
    <cellStyle name="Check Cell 22 2 5 4 2" xfId="7912" xr:uid="{EE242BA0-D2D7-4327-A79A-6A8CC8B788DB}"/>
    <cellStyle name="Check Cell 22 2 5 4 2 2" xfId="7913" xr:uid="{123704C8-B6E9-41DD-B3E3-3DD587080E43}"/>
    <cellStyle name="Check Cell 22 2 5 4 3" xfId="7914" xr:uid="{4AE3ABDC-7260-47F3-9A61-84E521874A50}"/>
    <cellStyle name="Check Cell 22 2 5 5" xfId="7915" xr:uid="{0D001DB8-D562-4B2A-B3EC-809A246B6836}"/>
    <cellStyle name="Check Cell 22 2 5 5 2" xfId="7916" xr:uid="{E3B43792-C0F3-4870-A638-23D70F32DCD1}"/>
    <cellStyle name="Check Cell 22 2 5 5 2 2" xfId="7917" xr:uid="{47EC0CC3-AC6C-4ED1-9DA5-C53C57D79430}"/>
    <cellStyle name="Check Cell 22 2 5 5 3" xfId="7918" xr:uid="{34213470-8001-4C6D-97F3-DC9950B28065}"/>
    <cellStyle name="Check Cell 22 2 5 6" xfId="7919" xr:uid="{1E3162FE-295D-408F-8862-6ACDA0CE27EF}"/>
    <cellStyle name="Check Cell 22 2 5 6 2" xfId="7920" xr:uid="{0604C429-E354-48E8-9BE6-3E21F52B3975}"/>
    <cellStyle name="Check Cell 22 2 5 6 2 2" xfId="7921" xr:uid="{0178BA83-95E2-4AFC-B25A-78D561B3D93F}"/>
    <cellStyle name="Check Cell 22 2 5 6 3" xfId="7922" xr:uid="{3806E5A2-58F8-4209-9DCB-2890BB327A72}"/>
    <cellStyle name="Check Cell 22 2 5 7" xfId="7923" xr:uid="{C1E2013D-EEBF-408A-A2F2-442B558498BF}"/>
    <cellStyle name="Check Cell 22 2 5 7 2" xfId="7924" xr:uid="{D0256B18-56FA-4045-8507-A5C14C42586D}"/>
    <cellStyle name="Check Cell 22 2 5 7 2 2" xfId="7925" xr:uid="{84E878A7-25DB-4F1C-95B3-6A4E368E4467}"/>
    <cellStyle name="Check Cell 22 2 5 7 3" xfId="7926" xr:uid="{C899F4B6-0F83-4DC5-B5FF-910369C02317}"/>
    <cellStyle name="Check Cell 22 2 5 8" xfId="7927" xr:uid="{E762C588-5302-4E23-B454-334181D99D35}"/>
    <cellStyle name="Check Cell 22 2 5 8 2" xfId="7928" xr:uid="{A71A4842-23DB-49BD-947F-D0886B2A5DDD}"/>
    <cellStyle name="Check Cell 22 2 5 8 2 2" xfId="7929" xr:uid="{C840280F-C070-4612-B62F-CCABD889F6E7}"/>
    <cellStyle name="Check Cell 22 2 5 8 3" xfId="7930" xr:uid="{D29D4B88-E142-4449-B72F-D048976D9FC9}"/>
    <cellStyle name="Check Cell 22 2 5 9" xfId="7931" xr:uid="{F7CBB0B3-EA4D-4B7B-8BED-FC0AEDCE6B1B}"/>
    <cellStyle name="Check Cell 22 2 5 9 2" xfId="7932" xr:uid="{1481482F-2106-4FD7-B481-3B5119101CCC}"/>
    <cellStyle name="Check Cell 22 2 5 9 2 2" xfId="7933" xr:uid="{5F28EEC0-40CB-4A8B-9A75-E7BC28CC924B}"/>
    <cellStyle name="Check Cell 22 2 5 9 3" xfId="7934" xr:uid="{8EB4C73C-B4EE-437B-A4AA-A5F920AABAC4}"/>
    <cellStyle name="Check Cell 22 2 6" xfId="7935" xr:uid="{A36DDC49-C592-4249-9589-12408B978437}"/>
    <cellStyle name="Check Cell 22 2 6 2" xfId="7936" xr:uid="{03FC1228-5524-4C08-BE1E-145A24D20F3C}"/>
    <cellStyle name="Check Cell 22 2 6 2 2" xfId="7937" xr:uid="{5EEEA092-8DFA-4E9E-B5EE-EC488A6C8F23}"/>
    <cellStyle name="Check Cell 22 2 6 3" xfId="7938" xr:uid="{AA1A793E-CAEC-4503-ACBF-81CB538A7676}"/>
    <cellStyle name="Check Cell 22 2 7" xfId="7939" xr:uid="{E1D5DBA2-B426-45BE-ADD2-DEA26E9B7E06}"/>
    <cellStyle name="Check Cell 22 2 7 2" xfId="7940" xr:uid="{B1DE1722-720B-4062-B6EB-033D81FCA93F}"/>
    <cellStyle name="Check Cell 22 2 7 2 2" xfId="7941" xr:uid="{042298DB-962B-454A-933C-2C9859531264}"/>
    <cellStyle name="Check Cell 22 2 7 3" xfId="7942" xr:uid="{3003658C-20F1-40CA-9ECA-ED5DD8633677}"/>
    <cellStyle name="Check Cell 22 2 8" xfId="7943" xr:uid="{ECB56E6F-52C6-4AAE-BF3C-B8E05ED46936}"/>
    <cellStyle name="Check Cell 22 2 8 2" xfId="7944" xr:uid="{93404262-6C19-45E0-B03B-C8D616BED0CA}"/>
    <cellStyle name="Check Cell 22 2 8 2 2" xfId="7945" xr:uid="{7FE63EA4-2BF9-4969-BE99-E7159F9F0D98}"/>
    <cellStyle name="Check Cell 22 2 8 3" xfId="7946" xr:uid="{C31997C4-75B6-42A4-887F-8DA6FB26E1B9}"/>
    <cellStyle name="Check Cell 22 2 9" xfId="7947" xr:uid="{131B9A36-05D6-4681-86B5-8ABF15A8E8F2}"/>
    <cellStyle name="Check Cell 22 2 9 2" xfId="7948" xr:uid="{A53FE790-1CB0-4776-A5B5-254C3638ADA5}"/>
    <cellStyle name="Check Cell 22 2 9 2 2" xfId="7949" xr:uid="{5A999A66-89C7-469E-BEA5-C0B5A41C4092}"/>
    <cellStyle name="Check Cell 22 2 9 3" xfId="7950" xr:uid="{C3001B0A-CD31-4573-B4FC-84ABDDBD896C}"/>
    <cellStyle name="Check Cell 22 3" xfId="7951" xr:uid="{AB933B55-A4FA-4085-9726-28FA88211628}"/>
    <cellStyle name="Check Cell 22 3 2" xfId="7952" xr:uid="{39627431-D3BC-4FD4-BA5A-ACB7CCAEE303}"/>
    <cellStyle name="Check Cell 22 3 2 2" xfId="7953" xr:uid="{C6D0688B-32A5-42D4-B4A5-5F90112921AB}"/>
    <cellStyle name="Check Cell 22 3 3" xfId="7954" xr:uid="{A3D29AD1-C487-45A5-B384-89D857D1D155}"/>
    <cellStyle name="Check Cell 22 4" xfId="7955" xr:uid="{C04563FC-68C2-4D3A-9BC4-EEBC8F98B747}"/>
    <cellStyle name="Check Cell 22 4 2" xfId="7956" xr:uid="{8E6D488C-F6D7-467B-B20C-037971EB64C6}"/>
    <cellStyle name="Check Cell 23" xfId="7957" xr:uid="{4B3E045B-5AAE-40B8-AC40-86DF8DBC3A33}"/>
    <cellStyle name="Check Cell 23 2" xfId="7958" xr:uid="{5C3643C7-5380-4017-84C8-1DBFCBC34534}"/>
    <cellStyle name="Check Cell 23 2 10" xfId="7959" xr:uid="{CAFC3F66-B281-4690-8C93-443F641BB4AC}"/>
    <cellStyle name="Check Cell 23 2 10 2" xfId="7960" xr:uid="{83246D87-CC6C-4925-8CC8-AAB39F86F498}"/>
    <cellStyle name="Check Cell 23 2 10 2 2" xfId="7961" xr:uid="{752DDEBF-03BD-46F0-A241-0E704C38620A}"/>
    <cellStyle name="Check Cell 23 2 10 3" xfId="7962" xr:uid="{8A0C0DC8-9A40-476C-BD91-43530A56D2C8}"/>
    <cellStyle name="Check Cell 23 2 11" xfId="7963" xr:uid="{2853AC09-D794-4ACF-B95C-CF0B24E5AEAE}"/>
    <cellStyle name="Check Cell 23 2 11 2" xfId="7964" xr:uid="{6721371D-2A48-4EAB-AA56-DFCDC4A1F369}"/>
    <cellStyle name="Check Cell 23 2 11 2 2" xfId="7965" xr:uid="{E5013A54-0231-4B10-A966-AB48920654AE}"/>
    <cellStyle name="Check Cell 23 2 11 3" xfId="7966" xr:uid="{6D91CF88-5068-4D81-A658-834975959364}"/>
    <cellStyle name="Check Cell 23 2 12" xfId="7967" xr:uid="{2370BE77-14AB-4EA1-860A-23BAE4BECD1E}"/>
    <cellStyle name="Check Cell 23 2 12 2" xfId="7968" xr:uid="{7B13D217-93B0-4B11-A171-8026D5913C60}"/>
    <cellStyle name="Check Cell 23 2 12 2 2" xfId="7969" xr:uid="{6F1CA9A1-C588-4655-8814-6B363CF58108}"/>
    <cellStyle name="Check Cell 23 2 12 3" xfId="7970" xr:uid="{C0D68CCB-A288-47B8-9C67-54091FAEC0E7}"/>
    <cellStyle name="Check Cell 23 2 13" xfId="7971" xr:uid="{3ED12486-9D06-4EFA-A100-153ABE5E3C28}"/>
    <cellStyle name="Check Cell 23 2 13 2" xfId="7972" xr:uid="{FD324972-C31C-4A83-9F4C-16922D127B66}"/>
    <cellStyle name="Check Cell 23 2 13 2 2" xfId="7973" xr:uid="{E34052F6-129A-4BD8-AFB5-189B4B7EAC97}"/>
    <cellStyle name="Check Cell 23 2 13 3" xfId="7974" xr:uid="{08802478-2BFC-4ABA-8031-50BAD7F0BE57}"/>
    <cellStyle name="Check Cell 23 2 2" xfId="7975" xr:uid="{65D351A6-9D94-4BA1-9001-A3F23D2584AF}"/>
    <cellStyle name="Check Cell 23 2 2 2" xfId="7976" xr:uid="{2DA0FB9B-5826-45A9-866D-1E83BB9E5E2E}"/>
    <cellStyle name="Check Cell 23 2 2 2 2" xfId="7977" xr:uid="{3067E24B-3E44-448D-BE8E-B6562F9B5929}"/>
    <cellStyle name="Check Cell 23 2 2 2 2 2" xfId="7978" xr:uid="{EC868187-CDE9-48AD-9110-36B3BAA16DE4}"/>
    <cellStyle name="Check Cell 23 2 2 2 3" xfId="7979" xr:uid="{B7EF93A1-8586-461A-82EB-BEB13F6C4008}"/>
    <cellStyle name="Check Cell 23 2 2 3" xfId="7980" xr:uid="{F0737BFF-392F-414A-8E9E-D41A3E49CB8F}"/>
    <cellStyle name="Check Cell 23 2 2 3 2" xfId="7981" xr:uid="{221A434E-7E0D-4262-9CB4-993D597E52B5}"/>
    <cellStyle name="Check Cell 23 2 2 3 2 2" xfId="7982" xr:uid="{E44087DD-88C9-412E-BAB9-8999370B5064}"/>
    <cellStyle name="Check Cell 23 2 2 3 3" xfId="7983" xr:uid="{4EB39BF5-BC6D-4F2F-B8A5-81E118F90E9A}"/>
    <cellStyle name="Check Cell 23 2 2 4" xfId="7984" xr:uid="{0B1097FB-B060-4E11-96FE-F8D78C516AD7}"/>
    <cellStyle name="Check Cell 23 2 2 4 2" xfId="7985" xr:uid="{34D8E06B-9CB6-4FA3-9E5F-1CE021256341}"/>
    <cellStyle name="Check Cell 23 2 2 4 2 2" xfId="7986" xr:uid="{4F6D8144-9292-4A2D-8BAA-F751A2A31C57}"/>
    <cellStyle name="Check Cell 23 2 2 4 3" xfId="7987" xr:uid="{05B9DB59-DF6B-4FAC-B9ED-B3F893E02641}"/>
    <cellStyle name="Check Cell 23 2 2 5" xfId="7988" xr:uid="{813468E5-48BB-43A6-B042-53A152281C6B}"/>
    <cellStyle name="Check Cell 23 2 2 5 2" xfId="7989" xr:uid="{2B8C151F-6738-4750-A29D-7BBD0ADA0EB0}"/>
    <cellStyle name="Check Cell 23 2 2 5 2 2" xfId="7990" xr:uid="{50867950-7BCA-4726-9922-4334EE5B56AF}"/>
    <cellStyle name="Check Cell 23 2 2 5 3" xfId="7991" xr:uid="{53CC3F4F-7EE3-4A42-A404-5BACF4258BD7}"/>
    <cellStyle name="Check Cell 23 2 2 6" xfId="7992" xr:uid="{6C120C0C-67BE-4C55-9B3C-E12892D73DCA}"/>
    <cellStyle name="Check Cell 23 2 2 6 2" xfId="7993" xr:uid="{44D3B929-573F-4226-A93A-AA05090FB7DA}"/>
    <cellStyle name="Check Cell 23 2 2 6 2 2" xfId="7994" xr:uid="{12D4FB04-4293-4B13-ACBF-58F778E0C245}"/>
    <cellStyle name="Check Cell 23 2 2 6 3" xfId="7995" xr:uid="{328E130D-9736-4F57-8724-FA330AC14824}"/>
    <cellStyle name="Check Cell 23 2 2 7" xfId="7996" xr:uid="{211A65CA-8D6F-4924-87E8-A0E8A3E752F9}"/>
    <cellStyle name="Check Cell 23 2 2 7 2" xfId="7997" xr:uid="{BDE92389-77D5-4A21-AAF9-5E399920C4B3}"/>
    <cellStyle name="Check Cell 23 2 2 7 2 2" xfId="7998" xr:uid="{92B0A8BA-2D5B-44A8-B783-69EA48E7A1ED}"/>
    <cellStyle name="Check Cell 23 2 2 7 3" xfId="7999" xr:uid="{AB99C805-7811-4404-A0DB-1AC1E703758F}"/>
    <cellStyle name="Check Cell 23 2 2 8" xfId="8000" xr:uid="{6E838514-7EAA-4F7B-BDC6-058905B03F35}"/>
    <cellStyle name="Check Cell 23 2 2 8 2" xfId="8001" xr:uid="{86D01481-ADD7-42F6-B9EA-C721F04B249F}"/>
    <cellStyle name="Check Cell 23 2 2 8 2 2" xfId="8002" xr:uid="{BC03F486-F4B5-4C54-8237-1C4EA97F8B87}"/>
    <cellStyle name="Check Cell 23 2 2 8 3" xfId="8003" xr:uid="{362DBF26-E863-4D2E-ACEC-3E1F9028DE8F}"/>
    <cellStyle name="Check Cell 23 2 2 9" xfId="8004" xr:uid="{B63DED7E-966A-4BAD-855F-D41C59B15FB5}"/>
    <cellStyle name="Check Cell 23 2 2 9 2" xfId="8005" xr:uid="{F24D2D1A-1814-4AD5-A956-161CED16DD5F}"/>
    <cellStyle name="Check Cell 23 2 2 9 2 2" xfId="8006" xr:uid="{668C87A3-FC09-42A6-83B7-A1C8B91062FD}"/>
    <cellStyle name="Check Cell 23 2 2 9 3" xfId="8007" xr:uid="{2D94D909-4EA6-4065-80B1-2829C4034DEB}"/>
    <cellStyle name="Check Cell 23 2 3" xfId="8008" xr:uid="{1460CB8E-8B2F-49F0-A6A2-BF40A152E49A}"/>
    <cellStyle name="Check Cell 23 2 3 2" xfId="8009" xr:uid="{9C6D1619-02F2-4392-A3EE-1494807BD2A0}"/>
    <cellStyle name="Check Cell 23 2 3 2 2" xfId="8010" xr:uid="{AB9D515B-2C29-4609-9DBD-5426A7931096}"/>
    <cellStyle name="Check Cell 23 2 3 2 2 2" xfId="8011" xr:uid="{BD4D6872-3B67-4C39-A0B1-1B0D70E2E95B}"/>
    <cellStyle name="Check Cell 23 2 3 2 3" xfId="8012" xr:uid="{EA416CFA-35FE-477E-927E-8A44EDB310A9}"/>
    <cellStyle name="Check Cell 23 2 3 3" xfId="8013" xr:uid="{59381DA0-07BF-44A1-8B4D-BD0033BCE5FE}"/>
    <cellStyle name="Check Cell 23 2 3 3 2" xfId="8014" xr:uid="{03596EFB-741B-46D8-8699-0BD6B817A2F3}"/>
    <cellStyle name="Check Cell 23 2 3 3 2 2" xfId="8015" xr:uid="{8560018B-943B-40E5-B150-3E7D1E4BEC9A}"/>
    <cellStyle name="Check Cell 23 2 3 3 3" xfId="8016" xr:uid="{3DAA57E3-F622-4DFF-9045-51572F230365}"/>
    <cellStyle name="Check Cell 23 2 3 4" xfId="8017" xr:uid="{FF149EC2-1ADD-4D40-A281-29BDB4A85FA3}"/>
    <cellStyle name="Check Cell 23 2 3 4 2" xfId="8018" xr:uid="{E78D0A33-2C79-48CA-9F09-AE37CB38F03C}"/>
    <cellStyle name="Check Cell 23 2 3 4 2 2" xfId="8019" xr:uid="{9C252ADB-6BA6-4449-8EC6-D731CF1D25AE}"/>
    <cellStyle name="Check Cell 23 2 3 4 3" xfId="8020" xr:uid="{68FAC674-C367-4D8A-B9A9-B26F954E521E}"/>
    <cellStyle name="Check Cell 23 2 3 5" xfId="8021" xr:uid="{B3DBA4CF-7E77-45B7-9991-FA34807D83AC}"/>
    <cellStyle name="Check Cell 23 2 3 5 2" xfId="8022" xr:uid="{97BF208F-DA01-402B-A35E-AAB3F43B515B}"/>
    <cellStyle name="Check Cell 23 2 3 5 2 2" xfId="8023" xr:uid="{BA3CA3AC-E8AD-47D9-8418-E0267C8BB6E4}"/>
    <cellStyle name="Check Cell 23 2 3 5 3" xfId="8024" xr:uid="{9C57ACA8-DAED-4382-8CDD-63D92922D0E4}"/>
    <cellStyle name="Check Cell 23 2 3 6" xfId="8025" xr:uid="{A4D959B7-A58A-4534-ABFD-9AE1DEC4505F}"/>
    <cellStyle name="Check Cell 23 2 3 6 2" xfId="8026" xr:uid="{B3BA8B6B-671B-461F-A66C-06FDE0686591}"/>
    <cellStyle name="Check Cell 23 2 3 6 2 2" xfId="8027" xr:uid="{BB1447AD-B10E-45E5-B1FE-017E9DF976EF}"/>
    <cellStyle name="Check Cell 23 2 3 6 3" xfId="8028" xr:uid="{89B60752-ACD8-4390-952E-6E130EB0FB71}"/>
    <cellStyle name="Check Cell 23 2 3 7" xfId="8029" xr:uid="{627E1ECE-7069-4F7D-A747-3A33E32E724B}"/>
    <cellStyle name="Check Cell 23 2 3 7 2" xfId="8030" xr:uid="{2FB25877-CC59-4375-9A56-637FBD04BCD4}"/>
    <cellStyle name="Check Cell 23 2 3 7 2 2" xfId="8031" xr:uid="{13E5AA91-416D-42B3-90E3-87917E2CF8B1}"/>
    <cellStyle name="Check Cell 23 2 3 7 3" xfId="8032" xr:uid="{CF354369-6305-45C4-9EA8-9583FFF47043}"/>
    <cellStyle name="Check Cell 23 2 3 8" xfId="8033" xr:uid="{D4D35ABC-9B57-49CC-83E3-E039F9F84E5E}"/>
    <cellStyle name="Check Cell 23 2 3 8 2" xfId="8034" xr:uid="{9E6C4FAA-1C74-43B7-B0E6-A94B8D2515CF}"/>
    <cellStyle name="Check Cell 23 2 3 8 2 2" xfId="8035" xr:uid="{BD086A4A-16F8-4C98-B97C-D52D2B0B2FD4}"/>
    <cellStyle name="Check Cell 23 2 3 8 3" xfId="8036" xr:uid="{BB2D8627-9BC5-453B-9F33-252CA34DAD9C}"/>
    <cellStyle name="Check Cell 23 2 3 9" xfId="8037" xr:uid="{6E6EC4D4-7B98-465A-9592-6CC70FFE8F3F}"/>
    <cellStyle name="Check Cell 23 2 3 9 2" xfId="8038" xr:uid="{75A55089-477B-488F-8419-9B272F61460F}"/>
    <cellStyle name="Check Cell 23 2 3 9 2 2" xfId="8039" xr:uid="{A1825D46-A80C-4D7A-BEB5-6E5A39B2F2C3}"/>
    <cellStyle name="Check Cell 23 2 3 9 3" xfId="8040" xr:uid="{5D5C9431-7C78-4DC1-98FE-D53E809C1CE1}"/>
    <cellStyle name="Check Cell 23 2 4" xfId="8041" xr:uid="{13A31DBB-7809-4C27-872B-0B9A1EA5C47B}"/>
    <cellStyle name="Check Cell 23 2 4 2" xfId="8042" xr:uid="{6AA5EC75-3716-4FAA-84A1-9D24F47149A8}"/>
    <cellStyle name="Check Cell 23 2 4 2 2" xfId="8043" xr:uid="{8EFDEF10-0975-4AF8-9A3C-A7692BCB6DB9}"/>
    <cellStyle name="Check Cell 23 2 4 2 2 2" xfId="8044" xr:uid="{20EFDABE-3D21-4075-B042-8A107E87F248}"/>
    <cellStyle name="Check Cell 23 2 4 2 3" xfId="8045" xr:uid="{978A1BA1-8C6D-4424-BEC2-6D31C6FB02C6}"/>
    <cellStyle name="Check Cell 23 2 4 3" xfId="8046" xr:uid="{DD9EC7D7-DB5E-4051-8815-464A2EC55AED}"/>
    <cellStyle name="Check Cell 23 2 4 3 2" xfId="8047" xr:uid="{E3FEBDA2-C90B-4CB3-9783-2CE8BA37CB7D}"/>
    <cellStyle name="Check Cell 23 2 4 3 2 2" xfId="8048" xr:uid="{2FB935CD-BE31-430B-A297-308134BFCBB5}"/>
    <cellStyle name="Check Cell 23 2 4 3 3" xfId="8049" xr:uid="{9AB1ED91-5837-41C2-B304-9B649E0B1E09}"/>
    <cellStyle name="Check Cell 23 2 4 4" xfId="8050" xr:uid="{4DFBB7AE-0A26-4512-A4DB-215A73122DB0}"/>
    <cellStyle name="Check Cell 23 2 4 4 2" xfId="8051" xr:uid="{EC11120F-7D95-4A8C-B8B7-DE043B9198E5}"/>
    <cellStyle name="Check Cell 23 2 4 4 2 2" xfId="8052" xr:uid="{AAB7C92D-D58D-4A8F-9FCB-0EC4E70C489C}"/>
    <cellStyle name="Check Cell 23 2 4 4 3" xfId="8053" xr:uid="{3A833AA3-9353-4B4B-9DEA-D7DFB8D1E188}"/>
    <cellStyle name="Check Cell 23 2 4 5" xfId="8054" xr:uid="{7FD21F67-E040-475F-A998-3456E4D49F1D}"/>
    <cellStyle name="Check Cell 23 2 4 5 2" xfId="8055" xr:uid="{6640F646-18B9-4AEB-A42F-32544CD695A2}"/>
    <cellStyle name="Check Cell 23 2 4 5 2 2" xfId="8056" xr:uid="{7C8A1E0E-0B7E-47AF-A369-3D4CD47B0261}"/>
    <cellStyle name="Check Cell 23 2 4 5 3" xfId="8057" xr:uid="{1C645C4B-6743-4619-B105-2C4841EE98C4}"/>
    <cellStyle name="Check Cell 23 2 4 6" xfId="8058" xr:uid="{676AF839-1422-4808-AFF9-94E25720163C}"/>
    <cellStyle name="Check Cell 23 2 4 6 2" xfId="8059" xr:uid="{84588EF8-5184-4365-B1C4-B4CB33DAA97E}"/>
    <cellStyle name="Check Cell 23 2 4 6 2 2" xfId="8060" xr:uid="{FF4EA40F-9A86-4780-821B-5ADE89F9C72D}"/>
    <cellStyle name="Check Cell 23 2 4 6 3" xfId="8061" xr:uid="{66F5E877-A0DE-420F-A3E3-A9B6B4BB59E4}"/>
    <cellStyle name="Check Cell 23 2 4 7" xfId="8062" xr:uid="{0F32FFFF-9673-4E7A-B1AD-02F900766569}"/>
    <cellStyle name="Check Cell 23 2 4 7 2" xfId="8063" xr:uid="{16D1E010-E966-4041-B0FD-8E532E045FFD}"/>
    <cellStyle name="Check Cell 23 2 4 7 2 2" xfId="8064" xr:uid="{7F6988F4-05BC-40FE-8991-A52402932531}"/>
    <cellStyle name="Check Cell 23 2 4 7 3" xfId="8065" xr:uid="{C4B5F5AC-9F05-44CB-808E-9FEF0FB4AAC3}"/>
    <cellStyle name="Check Cell 23 2 4 8" xfId="8066" xr:uid="{1C1707A3-4DEE-475A-8848-C949DDBC364F}"/>
    <cellStyle name="Check Cell 23 2 4 8 2" xfId="8067" xr:uid="{B4F72233-B761-4185-ACFA-616E96F79F68}"/>
    <cellStyle name="Check Cell 23 2 4 8 2 2" xfId="8068" xr:uid="{AD7E9107-06A5-4061-82FF-D383338897CB}"/>
    <cellStyle name="Check Cell 23 2 4 8 3" xfId="8069" xr:uid="{3C22E3D4-44E2-4FB7-B672-A4633525500E}"/>
    <cellStyle name="Check Cell 23 2 4 9" xfId="8070" xr:uid="{F820AAC2-8FF3-4A4D-A13A-35DC583639FD}"/>
    <cellStyle name="Check Cell 23 2 4 9 2" xfId="8071" xr:uid="{E47AA01B-EAF2-4716-BBFD-3BD5B40D3579}"/>
    <cellStyle name="Check Cell 23 2 4 9 2 2" xfId="8072" xr:uid="{E9C68DF1-AA08-407D-A9E7-218E40FF488E}"/>
    <cellStyle name="Check Cell 23 2 4 9 3" xfId="8073" xr:uid="{AEF500F1-B30B-4399-9E82-22ACDC9FF10B}"/>
    <cellStyle name="Check Cell 23 2 5" xfId="8074" xr:uid="{430149F1-09F5-4A50-B11C-7A637F431F4F}"/>
    <cellStyle name="Check Cell 23 2 5 2" xfId="8075" xr:uid="{4C32FDCE-09AA-407A-9D06-94EAD4F57DA8}"/>
    <cellStyle name="Check Cell 23 2 5 2 2" xfId="8076" xr:uid="{55EF4882-5DB0-4130-810D-F69CF8F8CA3F}"/>
    <cellStyle name="Check Cell 23 2 5 2 2 2" xfId="8077" xr:uid="{2EDCB0A7-366B-4F4E-9C3B-CC8FA3BD2D35}"/>
    <cellStyle name="Check Cell 23 2 5 2 3" xfId="8078" xr:uid="{6650E9D6-49F0-48E4-8467-C616C45B90CD}"/>
    <cellStyle name="Check Cell 23 2 5 3" xfId="8079" xr:uid="{415B26D3-8EDF-4529-836A-0FBD615C7AE6}"/>
    <cellStyle name="Check Cell 23 2 5 3 2" xfId="8080" xr:uid="{D9925FAF-578D-4641-BDC1-EC2287CA94B4}"/>
    <cellStyle name="Check Cell 23 2 5 3 2 2" xfId="8081" xr:uid="{3C7BC31A-2E16-4AF3-B5B7-4098D3A98ABA}"/>
    <cellStyle name="Check Cell 23 2 5 3 3" xfId="8082" xr:uid="{84115E1D-8B66-4EC0-8D38-6A116C947182}"/>
    <cellStyle name="Check Cell 23 2 5 4" xfId="8083" xr:uid="{0BA3A6A1-FA8D-4620-9056-D8F18BDDDBA0}"/>
    <cellStyle name="Check Cell 23 2 5 4 2" xfId="8084" xr:uid="{032B03B5-B33B-4678-A4DF-C5492D86907A}"/>
    <cellStyle name="Check Cell 23 2 5 4 2 2" xfId="8085" xr:uid="{B4102142-4A66-4F8F-8A81-E8CF97202E72}"/>
    <cellStyle name="Check Cell 23 2 5 4 3" xfId="8086" xr:uid="{5FC3BFA1-6DB8-449B-9D73-BA1BD1C29D35}"/>
    <cellStyle name="Check Cell 23 2 5 5" xfId="8087" xr:uid="{B1617522-5E5D-4011-AD44-BA42890C877B}"/>
    <cellStyle name="Check Cell 23 2 5 5 2" xfId="8088" xr:uid="{EB2932BE-F413-435E-A658-6287177678EC}"/>
    <cellStyle name="Check Cell 23 2 5 5 2 2" xfId="8089" xr:uid="{DF09ED0D-5382-4F79-88A6-DB9EC7340072}"/>
    <cellStyle name="Check Cell 23 2 5 5 3" xfId="8090" xr:uid="{95E0561F-E31B-4FD1-8569-F435C973FCFA}"/>
    <cellStyle name="Check Cell 23 2 5 6" xfId="8091" xr:uid="{D345859C-D115-4880-90DB-C26495A8D86D}"/>
    <cellStyle name="Check Cell 23 2 5 6 2" xfId="8092" xr:uid="{4DB91FB4-63F2-43E0-8903-995AE44AC91B}"/>
    <cellStyle name="Check Cell 23 2 5 6 2 2" xfId="8093" xr:uid="{DD471C8D-72DF-4F6A-BD25-DD163F11A75D}"/>
    <cellStyle name="Check Cell 23 2 5 6 3" xfId="8094" xr:uid="{3CBD3E10-F473-44AC-B897-7EF9C4D8C853}"/>
    <cellStyle name="Check Cell 23 2 5 7" xfId="8095" xr:uid="{8A4BD30B-AF06-4BB8-8BD0-3138BF0D47A9}"/>
    <cellStyle name="Check Cell 23 2 5 7 2" xfId="8096" xr:uid="{5A9CD54B-E251-4DA7-BCC4-F8E19BC7B4C5}"/>
    <cellStyle name="Check Cell 23 2 5 7 2 2" xfId="8097" xr:uid="{949CA74E-F4AD-4687-8F5C-C2D24B322BFB}"/>
    <cellStyle name="Check Cell 23 2 5 7 3" xfId="8098" xr:uid="{6C525050-BAAD-42FC-806B-B0FD157FF95C}"/>
    <cellStyle name="Check Cell 23 2 5 8" xfId="8099" xr:uid="{B8A4173D-FCB5-4460-8AEF-6D5B32D18B7C}"/>
    <cellStyle name="Check Cell 23 2 5 8 2" xfId="8100" xr:uid="{C330DFB6-4EA4-40FD-9260-8FF7D1387C1A}"/>
    <cellStyle name="Check Cell 23 2 5 8 2 2" xfId="8101" xr:uid="{C56A78CD-4889-4956-9477-61306725F7F4}"/>
    <cellStyle name="Check Cell 23 2 5 8 3" xfId="8102" xr:uid="{BBDB43F7-EEC4-4EDE-BFF8-032B3742E7EB}"/>
    <cellStyle name="Check Cell 23 2 5 9" xfId="8103" xr:uid="{CE604DDC-D403-4B8A-B6C0-3BF349B7A98B}"/>
    <cellStyle name="Check Cell 23 2 5 9 2" xfId="8104" xr:uid="{CE3DEC31-F566-4408-85A0-C4FB9C7B8C80}"/>
    <cellStyle name="Check Cell 23 2 5 9 2 2" xfId="8105" xr:uid="{CFB80231-2ED7-4E5E-9AE5-5227F95F9111}"/>
    <cellStyle name="Check Cell 23 2 5 9 3" xfId="8106" xr:uid="{C54ED117-628F-46E9-89BA-92463E7D6712}"/>
    <cellStyle name="Check Cell 23 2 6" xfId="8107" xr:uid="{9DB4E559-A834-45CE-B9B7-C0F8ECD53786}"/>
    <cellStyle name="Check Cell 23 2 6 2" xfId="8108" xr:uid="{F2D5F662-A685-470F-A489-E5F7E19BDC31}"/>
    <cellStyle name="Check Cell 23 2 6 2 2" xfId="8109" xr:uid="{8264293A-7D6B-4457-88A4-399A5DA260D3}"/>
    <cellStyle name="Check Cell 23 2 6 3" xfId="8110" xr:uid="{C391B80F-F0C7-4BE7-9029-EC3E3D284820}"/>
    <cellStyle name="Check Cell 23 2 7" xfId="8111" xr:uid="{85296C51-3588-441D-AB81-E91B1AE242DD}"/>
    <cellStyle name="Check Cell 23 2 7 2" xfId="8112" xr:uid="{465534D1-2364-47AE-A48A-E83AC517CC4B}"/>
    <cellStyle name="Check Cell 23 2 7 2 2" xfId="8113" xr:uid="{CBB70A5A-7FC9-4099-8126-17EAD757F815}"/>
    <cellStyle name="Check Cell 23 2 7 3" xfId="8114" xr:uid="{8CDA3DA9-3BC1-4CFF-BF5F-0CD09A2FEDA2}"/>
    <cellStyle name="Check Cell 23 2 8" xfId="8115" xr:uid="{CC21A2D0-F120-4F6B-B99B-1EF2712CC154}"/>
    <cellStyle name="Check Cell 23 2 8 2" xfId="8116" xr:uid="{561E723D-DFAD-49BA-8822-D1C770A99F4C}"/>
    <cellStyle name="Check Cell 23 2 8 2 2" xfId="8117" xr:uid="{6FFDA42F-C3E1-4E8B-B785-728F20DD0CCD}"/>
    <cellStyle name="Check Cell 23 2 8 3" xfId="8118" xr:uid="{A73C0C96-CBDF-4988-B525-F2E6752372B0}"/>
    <cellStyle name="Check Cell 23 2 9" xfId="8119" xr:uid="{B029821A-FF2F-4578-9933-FC46B3F119A2}"/>
    <cellStyle name="Check Cell 23 2 9 2" xfId="8120" xr:uid="{6B865A69-F961-4295-B4E8-D696005891B3}"/>
    <cellStyle name="Check Cell 23 2 9 2 2" xfId="8121" xr:uid="{1FC1AACC-D0EB-43B1-9C2D-9E98D008F757}"/>
    <cellStyle name="Check Cell 23 2 9 3" xfId="8122" xr:uid="{65F25726-A182-4321-845B-3FDC12E2645A}"/>
    <cellStyle name="Check Cell 23 3" xfId="8123" xr:uid="{A4B9ED6B-982F-48E6-AA93-A05C64F6205D}"/>
    <cellStyle name="Check Cell 23 3 2" xfId="8124" xr:uid="{AAB9DC10-F7AF-4FBC-9A6D-D6DC18D7900F}"/>
    <cellStyle name="Check Cell 23 3 2 2" xfId="8125" xr:uid="{4416F8AD-7F32-4B97-B619-F7A155D6C174}"/>
    <cellStyle name="Check Cell 23 3 3" xfId="8126" xr:uid="{36248DB2-E322-4853-9EA2-9B5103F57340}"/>
    <cellStyle name="Check Cell 23 4" xfId="8127" xr:uid="{6ACF7C81-00AA-46C7-8E1A-610A20BB8D70}"/>
    <cellStyle name="Check Cell 23 4 2" xfId="8128" xr:uid="{1F4951ED-9F67-4905-ADE4-BFD2DE24F175}"/>
    <cellStyle name="Check Cell 24" xfId="8129" xr:uid="{88DCEE84-5C11-44ED-AD2D-FBBC0913B902}"/>
    <cellStyle name="Check Cell 24 2" xfId="8130" xr:uid="{2DB6FB67-BDD1-4F41-875D-A8F3D11AE46D}"/>
    <cellStyle name="Check Cell 24 2 10" xfId="8131" xr:uid="{60D7FE88-138F-4C8E-99E9-7BC1E2BE5663}"/>
    <cellStyle name="Check Cell 24 2 10 2" xfId="8132" xr:uid="{872B6C2D-F614-4D67-B3DD-8ACCA564D6B8}"/>
    <cellStyle name="Check Cell 24 2 10 2 2" xfId="8133" xr:uid="{8DB03BA0-90C3-43FB-811E-58399FDCCB58}"/>
    <cellStyle name="Check Cell 24 2 10 3" xfId="8134" xr:uid="{63DE8F4B-5C80-48A0-948A-C9550F10C420}"/>
    <cellStyle name="Check Cell 24 2 11" xfId="8135" xr:uid="{6AFA9283-73A2-4692-83EB-9FC44460DF2E}"/>
    <cellStyle name="Check Cell 24 2 11 2" xfId="8136" xr:uid="{75C5B30B-7FDC-4DF2-B66E-81609C444803}"/>
    <cellStyle name="Check Cell 24 2 11 2 2" xfId="8137" xr:uid="{F3D94344-125D-4958-BA78-72B3713F4BBD}"/>
    <cellStyle name="Check Cell 24 2 11 3" xfId="8138" xr:uid="{C5614450-22AE-4AA8-9B90-D016C1EA7D22}"/>
    <cellStyle name="Check Cell 24 2 12" xfId="8139" xr:uid="{0F75399E-4553-4670-82E8-0AEAD9BA1B24}"/>
    <cellStyle name="Check Cell 24 2 12 2" xfId="8140" xr:uid="{F36C8A06-3A2B-46BD-829E-22617E754623}"/>
    <cellStyle name="Check Cell 24 2 12 2 2" xfId="8141" xr:uid="{A8E2C344-CC67-4B6F-8DAA-66CDCAE8BB8D}"/>
    <cellStyle name="Check Cell 24 2 12 3" xfId="8142" xr:uid="{6D95B7DF-6874-4F01-B3F8-1DF687214429}"/>
    <cellStyle name="Check Cell 24 2 13" xfId="8143" xr:uid="{B19A815C-AC98-40E5-AEF1-C581070DD12A}"/>
    <cellStyle name="Check Cell 24 2 13 2" xfId="8144" xr:uid="{8BFE055A-7A08-4561-A3C9-0096AA192F89}"/>
    <cellStyle name="Check Cell 24 2 13 2 2" xfId="8145" xr:uid="{BA28CCE2-3264-4828-AB40-C09CE89D542A}"/>
    <cellStyle name="Check Cell 24 2 13 3" xfId="8146" xr:uid="{F43D8167-5D10-4D43-8C09-887D165CC401}"/>
    <cellStyle name="Check Cell 24 2 2" xfId="8147" xr:uid="{5A9647EE-91FF-4B05-8605-E5A3F90A6E12}"/>
    <cellStyle name="Check Cell 24 2 2 2" xfId="8148" xr:uid="{3C72CE53-D111-41E0-9CE0-AD2DAD83545D}"/>
    <cellStyle name="Check Cell 24 2 2 2 2" xfId="8149" xr:uid="{F627BEE4-8D80-4FD8-BAB7-869C8A8C9756}"/>
    <cellStyle name="Check Cell 24 2 2 2 2 2" xfId="8150" xr:uid="{2D61C0C8-C2A7-4327-9050-C1289C0578C8}"/>
    <cellStyle name="Check Cell 24 2 2 2 3" xfId="8151" xr:uid="{9ACD3BDE-5365-46D4-8F49-70462BF193EF}"/>
    <cellStyle name="Check Cell 24 2 2 3" xfId="8152" xr:uid="{7D5DF70B-5097-4DE3-A38D-9064F91A58FD}"/>
    <cellStyle name="Check Cell 24 2 2 3 2" xfId="8153" xr:uid="{DF97B1E7-110C-4C3B-8E03-F2D3B16137F5}"/>
    <cellStyle name="Check Cell 24 2 2 3 2 2" xfId="8154" xr:uid="{D87DFC37-9D0C-4452-A470-828CDE8406AF}"/>
    <cellStyle name="Check Cell 24 2 2 3 3" xfId="8155" xr:uid="{2CF769CE-70EF-4B59-A26D-6445CBCCC45B}"/>
    <cellStyle name="Check Cell 24 2 2 4" xfId="8156" xr:uid="{34CD7A35-6CA9-441E-BD8A-EE0EA74AC476}"/>
    <cellStyle name="Check Cell 24 2 2 4 2" xfId="8157" xr:uid="{33823192-42ED-4234-A595-B5FA449E4CDE}"/>
    <cellStyle name="Check Cell 24 2 2 4 2 2" xfId="8158" xr:uid="{E70AD8A8-A35E-4A61-96BA-C21351EA3A48}"/>
    <cellStyle name="Check Cell 24 2 2 4 3" xfId="8159" xr:uid="{84CC5924-612E-42CA-B1BF-9F3468A17109}"/>
    <cellStyle name="Check Cell 24 2 2 5" xfId="8160" xr:uid="{EE1A9018-09E3-4344-BD40-936C7D6B358B}"/>
    <cellStyle name="Check Cell 24 2 2 5 2" xfId="8161" xr:uid="{8BFB8F86-89E4-4916-8F3B-4602F278EACE}"/>
    <cellStyle name="Check Cell 24 2 2 5 2 2" xfId="8162" xr:uid="{D14BDCEA-764A-4B48-B365-1E9D5F78E9D9}"/>
    <cellStyle name="Check Cell 24 2 2 5 3" xfId="8163" xr:uid="{8BF58F3A-9E33-48DA-A3AE-39E25D6C7904}"/>
    <cellStyle name="Check Cell 24 2 2 6" xfId="8164" xr:uid="{E5EE48D1-5A2A-4588-AB04-E64E7BB79085}"/>
    <cellStyle name="Check Cell 24 2 2 6 2" xfId="8165" xr:uid="{1CFFB447-EA76-4AB1-8ED0-E83344E653CD}"/>
    <cellStyle name="Check Cell 24 2 2 6 2 2" xfId="8166" xr:uid="{069D0D42-D8D3-4964-8C46-C394C9CA407E}"/>
    <cellStyle name="Check Cell 24 2 2 6 3" xfId="8167" xr:uid="{6E41C203-7CC8-4229-96CE-F8D7EA628B27}"/>
    <cellStyle name="Check Cell 24 2 2 7" xfId="8168" xr:uid="{01E9C6B3-690B-4C24-A73C-7776C73E1070}"/>
    <cellStyle name="Check Cell 24 2 2 7 2" xfId="8169" xr:uid="{72315BAD-86BE-43DF-8728-D7AF8FDCFBF7}"/>
    <cellStyle name="Check Cell 24 2 2 7 2 2" xfId="8170" xr:uid="{DE5A6E62-3367-49E8-AB53-78EC789EAE22}"/>
    <cellStyle name="Check Cell 24 2 2 7 3" xfId="8171" xr:uid="{936A38D7-7202-41DA-95C8-519F7CF31FCA}"/>
    <cellStyle name="Check Cell 24 2 2 8" xfId="8172" xr:uid="{FBBDB617-8F20-4A74-96D8-A16FCB1F020A}"/>
    <cellStyle name="Check Cell 24 2 2 8 2" xfId="8173" xr:uid="{77327778-F072-419C-B6B6-C9F62513465A}"/>
    <cellStyle name="Check Cell 24 2 2 8 2 2" xfId="8174" xr:uid="{62850F29-0232-4F56-8431-56EEBDA06BCE}"/>
    <cellStyle name="Check Cell 24 2 2 8 3" xfId="8175" xr:uid="{4E8F9F57-E904-4A62-84B6-1AF31EB059F0}"/>
    <cellStyle name="Check Cell 24 2 2 9" xfId="8176" xr:uid="{AA01AD90-EAE6-41D6-B53F-C7CAB30668D8}"/>
    <cellStyle name="Check Cell 24 2 2 9 2" xfId="8177" xr:uid="{49C7A551-829C-40BA-BCC7-8AFBC57335A1}"/>
    <cellStyle name="Check Cell 24 2 2 9 2 2" xfId="8178" xr:uid="{26F61E96-1AFF-4957-A034-F71452C22F65}"/>
    <cellStyle name="Check Cell 24 2 2 9 3" xfId="8179" xr:uid="{5B7BEAE6-B804-4FA7-96B9-97F75401A6C6}"/>
    <cellStyle name="Check Cell 24 2 3" xfId="8180" xr:uid="{B2C68024-77A5-4644-B620-3969ED7A05DB}"/>
    <cellStyle name="Check Cell 24 2 3 2" xfId="8181" xr:uid="{ED5965B0-969A-4D14-9FE8-3C1802D3D38E}"/>
    <cellStyle name="Check Cell 24 2 3 2 2" xfId="8182" xr:uid="{B966D040-F727-4094-9700-D618A5509273}"/>
    <cellStyle name="Check Cell 24 2 3 2 2 2" xfId="8183" xr:uid="{4D0A10AD-10D1-4782-A041-4A0B61529B95}"/>
    <cellStyle name="Check Cell 24 2 3 2 3" xfId="8184" xr:uid="{10256034-64D8-45E4-8DDB-09A2A1830E57}"/>
    <cellStyle name="Check Cell 24 2 3 3" xfId="8185" xr:uid="{6435559D-5C8F-472F-BFF1-846AE737DBFE}"/>
    <cellStyle name="Check Cell 24 2 3 3 2" xfId="8186" xr:uid="{D4316A1C-E341-4712-8BEE-151053953638}"/>
    <cellStyle name="Check Cell 24 2 3 3 2 2" xfId="8187" xr:uid="{5D715117-9D44-467F-B2B0-5BB69D81A28E}"/>
    <cellStyle name="Check Cell 24 2 3 3 3" xfId="8188" xr:uid="{26763E36-2A0D-4F0C-88CA-3E16180B9C73}"/>
    <cellStyle name="Check Cell 24 2 3 4" xfId="8189" xr:uid="{54F10545-CFCE-4251-8318-8B96F0FA16A9}"/>
    <cellStyle name="Check Cell 24 2 3 4 2" xfId="8190" xr:uid="{62121056-8568-4FCD-8731-87B31D443E57}"/>
    <cellStyle name="Check Cell 24 2 3 4 2 2" xfId="8191" xr:uid="{B26F7503-18FF-4C08-B3AC-394D2714D364}"/>
    <cellStyle name="Check Cell 24 2 3 4 3" xfId="8192" xr:uid="{92F60A98-6102-481D-A390-D07420484DD6}"/>
    <cellStyle name="Check Cell 24 2 3 5" xfId="8193" xr:uid="{A795CB1A-B949-45A6-9538-A4B030A652F7}"/>
    <cellStyle name="Check Cell 24 2 3 5 2" xfId="8194" xr:uid="{25D47EF3-19A8-47B8-AB0B-D07FB2BCEE8F}"/>
    <cellStyle name="Check Cell 24 2 3 5 2 2" xfId="8195" xr:uid="{F2F3CFE3-8264-4EF6-B0FB-1E0A5406882B}"/>
    <cellStyle name="Check Cell 24 2 3 5 3" xfId="8196" xr:uid="{6B5F98C4-27A7-4A46-A846-3EC3D6EB6AE1}"/>
    <cellStyle name="Check Cell 24 2 3 6" xfId="8197" xr:uid="{B49C5D17-2521-40DC-A143-7C12B0BA03DE}"/>
    <cellStyle name="Check Cell 24 2 3 6 2" xfId="8198" xr:uid="{D0704BEF-B7D2-4E87-9BCE-84E5074330BC}"/>
    <cellStyle name="Check Cell 24 2 3 6 2 2" xfId="8199" xr:uid="{46610E36-8393-41D4-B3B2-522F450D3570}"/>
    <cellStyle name="Check Cell 24 2 3 6 3" xfId="8200" xr:uid="{C8AE8EFE-0A75-4B04-A763-5E10546FBB24}"/>
    <cellStyle name="Check Cell 24 2 3 7" xfId="8201" xr:uid="{09474515-DE4F-4701-8235-15D386A6014E}"/>
    <cellStyle name="Check Cell 24 2 3 7 2" xfId="8202" xr:uid="{2884A218-C069-43D1-B5A2-43525D53E6BA}"/>
    <cellStyle name="Check Cell 24 2 3 7 2 2" xfId="8203" xr:uid="{112D24E0-5877-4F5D-9F5F-347748179F8C}"/>
    <cellStyle name="Check Cell 24 2 3 7 3" xfId="8204" xr:uid="{85A1F10E-EBAB-4EF9-B03F-6B5EAE0CECC1}"/>
    <cellStyle name="Check Cell 24 2 3 8" xfId="8205" xr:uid="{D65B9429-439F-4D2F-AC9A-C37A3D84AAE3}"/>
    <cellStyle name="Check Cell 24 2 3 8 2" xfId="8206" xr:uid="{2F7EEF15-5EA7-4559-9A48-93D6D51FBAA6}"/>
    <cellStyle name="Check Cell 24 2 3 8 2 2" xfId="8207" xr:uid="{F5D08099-B4B6-437D-BCEF-B933802B41C2}"/>
    <cellStyle name="Check Cell 24 2 3 8 3" xfId="8208" xr:uid="{9ED177C0-C73E-4AA0-8CD1-72BC1C874230}"/>
    <cellStyle name="Check Cell 24 2 3 9" xfId="8209" xr:uid="{49920BAF-B3BD-45A4-B000-98C19734DA9A}"/>
    <cellStyle name="Check Cell 24 2 3 9 2" xfId="8210" xr:uid="{A1713E51-B369-400F-B63C-9D2B51FF943E}"/>
    <cellStyle name="Check Cell 24 2 3 9 2 2" xfId="8211" xr:uid="{52D7F338-7011-42A1-88EA-8A7AAD15B93F}"/>
    <cellStyle name="Check Cell 24 2 3 9 3" xfId="8212" xr:uid="{31A83CB3-3503-43B2-BAE1-1B6F344E3E85}"/>
    <cellStyle name="Check Cell 24 2 4" xfId="8213" xr:uid="{5F07EE48-9893-455D-8AAA-354AB4A62B41}"/>
    <cellStyle name="Check Cell 24 2 4 2" xfId="8214" xr:uid="{11DC6014-6CF2-4237-A3EB-1AC53E0670B2}"/>
    <cellStyle name="Check Cell 24 2 4 2 2" xfId="8215" xr:uid="{171C46F6-90C4-433D-AAA3-D226C253773B}"/>
    <cellStyle name="Check Cell 24 2 4 2 2 2" xfId="8216" xr:uid="{137EA121-DA69-4E52-91FE-23F48A1D6BAA}"/>
    <cellStyle name="Check Cell 24 2 4 2 3" xfId="8217" xr:uid="{A28BD01C-22BC-4045-8EE8-56746BFAE731}"/>
    <cellStyle name="Check Cell 24 2 4 3" xfId="8218" xr:uid="{00E83A5E-46B6-4D4E-9DE6-9207913AC15C}"/>
    <cellStyle name="Check Cell 24 2 4 3 2" xfId="8219" xr:uid="{00200B5F-C5C9-41AB-8F1B-6B482CB10020}"/>
    <cellStyle name="Check Cell 24 2 4 3 2 2" xfId="8220" xr:uid="{2085C26B-8D2E-49A5-937C-541FDA787676}"/>
    <cellStyle name="Check Cell 24 2 4 3 3" xfId="8221" xr:uid="{E44AE996-5E96-4F64-8F04-668DE69CBBA5}"/>
    <cellStyle name="Check Cell 24 2 4 4" xfId="8222" xr:uid="{68D0A61C-3609-443E-9185-CE06C4D8C216}"/>
    <cellStyle name="Check Cell 24 2 4 4 2" xfId="8223" xr:uid="{19BA5C5F-C42C-4832-80E9-CE305FD698A8}"/>
    <cellStyle name="Check Cell 24 2 4 4 2 2" xfId="8224" xr:uid="{08A9D571-074D-4578-816D-A86E5BE1FAB0}"/>
    <cellStyle name="Check Cell 24 2 4 4 3" xfId="8225" xr:uid="{ED1D09B3-EF12-4555-ABE4-021E8B796089}"/>
    <cellStyle name="Check Cell 24 2 4 5" xfId="8226" xr:uid="{1807A319-9C3F-4FF4-A4FF-413177A6007A}"/>
    <cellStyle name="Check Cell 24 2 4 5 2" xfId="8227" xr:uid="{BA3A5113-C40E-480B-9923-E3528E9C2346}"/>
    <cellStyle name="Check Cell 24 2 4 5 2 2" xfId="8228" xr:uid="{7D8464B4-11CA-4C13-A23D-2A611A1E6A96}"/>
    <cellStyle name="Check Cell 24 2 4 5 3" xfId="8229" xr:uid="{F37FBC97-1682-44D1-87CB-8CD761DC3136}"/>
    <cellStyle name="Check Cell 24 2 4 6" xfId="8230" xr:uid="{DE4465D9-C809-4B21-A1BF-022D51D09DB2}"/>
    <cellStyle name="Check Cell 24 2 4 6 2" xfId="8231" xr:uid="{043D3800-40F3-4E97-AFB5-4FD60318440D}"/>
    <cellStyle name="Check Cell 24 2 4 6 2 2" xfId="8232" xr:uid="{51051C96-2904-414E-A3F3-79F5AE1F7D95}"/>
    <cellStyle name="Check Cell 24 2 4 6 3" xfId="8233" xr:uid="{9D8FC8F8-80BC-4AA8-B870-C9AAD3DCDA59}"/>
    <cellStyle name="Check Cell 24 2 4 7" xfId="8234" xr:uid="{51907E2F-C28E-465D-A7C9-FA31489BAB77}"/>
    <cellStyle name="Check Cell 24 2 4 7 2" xfId="8235" xr:uid="{4BD78EC6-E9F2-4DD4-97F6-72B87B7DE74C}"/>
    <cellStyle name="Check Cell 24 2 4 7 2 2" xfId="8236" xr:uid="{A86C3266-0822-48E0-B259-4DD862D37E24}"/>
    <cellStyle name="Check Cell 24 2 4 7 3" xfId="8237" xr:uid="{09B57E50-55A6-484C-BFB1-F6F08D36524A}"/>
    <cellStyle name="Check Cell 24 2 4 8" xfId="8238" xr:uid="{A2850793-1565-4E40-903D-4A5F6EEAC8F1}"/>
    <cellStyle name="Check Cell 24 2 4 8 2" xfId="8239" xr:uid="{0EEFDBCB-23FF-4607-8AEB-242F7A8C42C7}"/>
    <cellStyle name="Check Cell 24 2 4 8 2 2" xfId="8240" xr:uid="{01EBA91B-2206-483E-B7FA-EADA7ED3F920}"/>
    <cellStyle name="Check Cell 24 2 4 8 3" xfId="8241" xr:uid="{7DCEEBA7-F8A1-4BB9-8082-407C31BC6095}"/>
    <cellStyle name="Check Cell 24 2 4 9" xfId="8242" xr:uid="{5673306A-469F-4660-8FAB-6D20FA673F01}"/>
    <cellStyle name="Check Cell 24 2 4 9 2" xfId="8243" xr:uid="{21C6E3D4-BA14-464E-A6A1-48D27A3F8B76}"/>
    <cellStyle name="Check Cell 24 2 4 9 2 2" xfId="8244" xr:uid="{26D866F3-6DD6-40F9-974F-E95CFA7A6BDC}"/>
    <cellStyle name="Check Cell 24 2 4 9 3" xfId="8245" xr:uid="{918242A6-A31C-4365-8447-EE8D945D42A6}"/>
    <cellStyle name="Check Cell 24 2 5" xfId="8246" xr:uid="{3182F488-45FA-4B0D-A941-600DF9449ADC}"/>
    <cellStyle name="Check Cell 24 2 5 2" xfId="8247" xr:uid="{F2FA6D00-180A-40B0-9CC6-2E6E1ABD8BCA}"/>
    <cellStyle name="Check Cell 24 2 5 2 2" xfId="8248" xr:uid="{E44B5D71-97E3-43DC-9207-8DA9E1769031}"/>
    <cellStyle name="Check Cell 24 2 5 2 2 2" xfId="8249" xr:uid="{58DEA96F-2C0E-4E87-B05E-D7EE13DF6739}"/>
    <cellStyle name="Check Cell 24 2 5 2 3" xfId="8250" xr:uid="{C8D5863C-C48F-4791-9242-A3E164A6B0B5}"/>
    <cellStyle name="Check Cell 24 2 5 3" xfId="8251" xr:uid="{87CE2D45-682B-491D-8D98-C0B6A7C53154}"/>
    <cellStyle name="Check Cell 24 2 5 3 2" xfId="8252" xr:uid="{CD3893C3-7634-4869-89A2-1D50CA1EE07A}"/>
    <cellStyle name="Check Cell 24 2 5 3 2 2" xfId="8253" xr:uid="{4FC40B20-B124-4EDF-9F0C-042B83392444}"/>
    <cellStyle name="Check Cell 24 2 5 3 3" xfId="8254" xr:uid="{C2D031E3-9AD0-494C-9DC4-881CE05D2B47}"/>
    <cellStyle name="Check Cell 24 2 5 4" xfId="8255" xr:uid="{E3387117-EA18-44CF-BB64-08AE87A00EBA}"/>
    <cellStyle name="Check Cell 24 2 5 4 2" xfId="8256" xr:uid="{A87B07DD-438E-48C9-B20D-50BC143C4B10}"/>
    <cellStyle name="Check Cell 24 2 5 4 2 2" xfId="8257" xr:uid="{1991FDB6-103E-4002-92AB-5397D405AE86}"/>
    <cellStyle name="Check Cell 24 2 5 4 3" xfId="8258" xr:uid="{4D8B58A7-AFF5-4AF8-9D2D-4ACA511B911C}"/>
    <cellStyle name="Check Cell 24 2 5 5" xfId="8259" xr:uid="{C3F02674-8AD5-424B-9070-AC6BE2F3E0FC}"/>
    <cellStyle name="Check Cell 24 2 5 5 2" xfId="8260" xr:uid="{EFD2B121-8F96-4E50-857A-C623A02E9165}"/>
    <cellStyle name="Check Cell 24 2 5 5 2 2" xfId="8261" xr:uid="{1A825D7C-27BB-44D7-8D9B-F3BB10C32EB0}"/>
    <cellStyle name="Check Cell 24 2 5 5 3" xfId="8262" xr:uid="{19762372-84A3-47F9-9761-227F2F7B6A2D}"/>
    <cellStyle name="Check Cell 24 2 5 6" xfId="8263" xr:uid="{E03E6E05-F073-44F8-8946-FDD00D90DDE6}"/>
    <cellStyle name="Check Cell 24 2 5 6 2" xfId="8264" xr:uid="{25694A74-9332-4374-A791-2596FB1BC344}"/>
    <cellStyle name="Check Cell 24 2 5 6 2 2" xfId="8265" xr:uid="{FCDDC594-74F0-4432-AC67-F30EE4799E66}"/>
    <cellStyle name="Check Cell 24 2 5 6 3" xfId="8266" xr:uid="{E672A3B3-27C2-411C-9D26-3572520D44E7}"/>
    <cellStyle name="Check Cell 24 2 5 7" xfId="8267" xr:uid="{05C1A4F3-BD1C-4509-920F-6065459176DA}"/>
    <cellStyle name="Check Cell 24 2 5 7 2" xfId="8268" xr:uid="{A956D47D-79C3-48B2-AC2E-CB70099FE3A4}"/>
    <cellStyle name="Check Cell 24 2 5 7 2 2" xfId="8269" xr:uid="{EF9EAA85-2FB7-471C-97C7-BC417BAF52BA}"/>
    <cellStyle name="Check Cell 24 2 5 7 3" xfId="8270" xr:uid="{B4D1E2E0-4388-478F-B707-9E1DF7CED45C}"/>
    <cellStyle name="Check Cell 24 2 5 8" xfId="8271" xr:uid="{24CC190E-6EC6-4D10-A7CB-CDF8C0739609}"/>
    <cellStyle name="Check Cell 24 2 5 8 2" xfId="8272" xr:uid="{DB47373B-31AF-435F-AD0C-C9D531D47641}"/>
    <cellStyle name="Check Cell 24 2 5 8 2 2" xfId="8273" xr:uid="{04690EA9-BAA4-4B6B-A42F-F37B2E626588}"/>
    <cellStyle name="Check Cell 24 2 5 8 3" xfId="8274" xr:uid="{58758A30-74CC-4820-BB34-480C365E8BF0}"/>
    <cellStyle name="Check Cell 24 2 5 9" xfId="8275" xr:uid="{B19E0B1A-6463-45AB-98CD-9C2251D61DBA}"/>
    <cellStyle name="Check Cell 24 2 5 9 2" xfId="8276" xr:uid="{262421DD-C2BE-41AF-BD16-CAEC3EE4F52B}"/>
    <cellStyle name="Check Cell 24 2 5 9 2 2" xfId="8277" xr:uid="{110339A1-6553-469D-9B7A-13D0802BAF99}"/>
    <cellStyle name="Check Cell 24 2 5 9 3" xfId="8278" xr:uid="{F169BC0C-BF4F-4931-B4B9-9CD7ADA71247}"/>
    <cellStyle name="Check Cell 24 2 6" xfId="8279" xr:uid="{C98AA6A1-8F42-40D3-9CE8-2A11C90009F5}"/>
    <cellStyle name="Check Cell 24 2 6 2" xfId="8280" xr:uid="{9982CB4E-D394-47B6-938C-03ACADEBB673}"/>
    <cellStyle name="Check Cell 24 2 6 2 2" xfId="8281" xr:uid="{6EBD38B4-8DEC-4B3B-8749-A486360FA42A}"/>
    <cellStyle name="Check Cell 24 2 6 3" xfId="8282" xr:uid="{C2B7E0EE-2418-4BCA-A9E1-2545A12584FD}"/>
    <cellStyle name="Check Cell 24 2 7" xfId="8283" xr:uid="{FF3155E6-432F-4AE2-89DE-3BBC192BE0AB}"/>
    <cellStyle name="Check Cell 24 2 7 2" xfId="8284" xr:uid="{A7DFCAB1-21A4-4017-9BF4-ADFCA681AFA9}"/>
    <cellStyle name="Check Cell 24 2 7 2 2" xfId="8285" xr:uid="{0D4475E3-C4AA-473A-8634-B7EDE54370F2}"/>
    <cellStyle name="Check Cell 24 2 7 3" xfId="8286" xr:uid="{6D26EEB0-C5B1-4BF5-985A-831A113354A7}"/>
    <cellStyle name="Check Cell 24 2 8" xfId="8287" xr:uid="{D4CBFB4D-EE3D-4DAB-A83A-D4B154652FE9}"/>
    <cellStyle name="Check Cell 24 2 8 2" xfId="8288" xr:uid="{4F7119BB-E09D-417A-B65C-251D8181155A}"/>
    <cellStyle name="Check Cell 24 2 8 2 2" xfId="8289" xr:uid="{D5ED88EA-DF71-4A01-B63E-315CFF109A3C}"/>
    <cellStyle name="Check Cell 24 2 8 3" xfId="8290" xr:uid="{2E4248CD-B0B7-48D0-8592-D0FFB321C9CF}"/>
    <cellStyle name="Check Cell 24 2 9" xfId="8291" xr:uid="{60136253-4828-4267-AD51-1797AFC5EEB2}"/>
    <cellStyle name="Check Cell 24 2 9 2" xfId="8292" xr:uid="{D5941116-DE49-4CD4-B9F8-B5B3844F72D1}"/>
    <cellStyle name="Check Cell 24 2 9 2 2" xfId="8293" xr:uid="{BC6473AE-D681-4CCF-AEC1-A66AF3DB44FA}"/>
    <cellStyle name="Check Cell 24 2 9 3" xfId="8294" xr:uid="{A35AA68B-62D5-4DE3-BA42-D4A82390DFDD}"/>
    <cellStyle name="Check Cell 24 3" xfId="8295" xr:uid="{8E8ED78B-BCED-4DDB-BE84-0E9230C84A9A}"/>
    <cellStyle name="Check Cell 24 3 2" xfId="8296" xr:uid="{76E6B297-A0E0-47F7-8375-392067986E2D}"/>
    <cellStyle name="Check Cell 24 3 2 2" xfId="8297" xr:uid="{E33E986D-0E07-4C20-B538-4E0682B73308}"/>
    <cellStyle name="Check Cell 24 3 3" xfId="8298" xr:uid="{5C1D29A0-AFBB-4CBB-9D40-75A95BF2B0A6}"/>
    <cellStyle name="Check Cell 24 4" xfId="8299" xr:uid="{72B4483D-5513-4346-A689-90C3558AE741}"/>
    <cellStyle name="Check Cell 24 4 2" xfId="8300" xr:uid="{B9E5E202-AFCF-4E34-B3CE-6118ED49FFE0}"/>
    <cellStyle name="Check Cell 25" xfId="8301" xr:uid="{829B2EB5-7C8B-4AC3-8E3F-A54FC40AE1A0}"/>
    <cellStyle name="Check Cell 25 2" xfId="8302" xr:uid="{76620BE1-920D-462E-BEE0-C13E7408AA06}"/>
    <cellStyle name="Check Cell 25 2 10" xfId="8303" xr:uid="{40885842-801C-4CC2-810E-4907BA259AD1}"/>
    <cellStyle name="Check Cell 25 2 10 2" xfId="8304" xr:uid="{FCE82BB7-04C3-43CE-8D35-184DFA622D2F}"/>
    <cellStyle name="Check Cell 25 2 10 2 2" xfId="8305" xr:uid="{EC19B962-350B-470B-A1D5-DCBEEEB3CA02}"/>
    <cellStyle name="Check Cell 25 2 10 3" xfId="8306" xr:uid="{72DCE750-4FBD-47E2-B330-B30BF7C8685E}"/>
    <cellStyle name="Check Cell 25 2 11" xfId="8307" xr:uid="{FE1B6BBE-6CE1-4D51-90E5-9093400CE200}"/>
    <cellStyle name="Check Cell 25 2 11 2" xfId="8308" xr:uid="{9841DAA8-A83B-449D-89EB-3A319F892178}"/>
    <cellStyle name="Check Cell 25 2 11 2 2" xfId="8309" xr:uid="{F0F79727-7ECD-489D-9795-824F3C2BD2E1}"/>
    <cellStyle name="Check Cell 25 2 11 3" xfId="8310" xr:uid="{83EA56EF-6194-41AB-8DFB-8A2A813A4533}"/>
    <cellStyle name="Check Cell 25 2 12" xfId="8311" xr:uid="{83BD5C75-C69F-4668-A5EC-066F89FE00E0}"/>
    <cellStyle name="Check Cell 25 2 12 2" xfId="8312" xr:uid="{988E9E6C-DBE6-4873-92D8-AD4BE7BFAA1D}"/>
    <cellStyle name="Check Cell 25 2 12 2 2" xfId="8313" xr:uid="{BBC24063-9F0A-468B-9A6F-AFED45D90EE9}"/>
    <cellStyle name="Check Cell 25 2 12 3" xfId="8314" xr:uid="{658AB7AE-AB02-4F77-A9E0-BA9E64885EB3}"/>
    <cellStyle name="Check Cell 25 2 13" xfId="8315" xr:uid="{895AE0CB-CA31-4E08-892D-905AC6228025}"/>
    <cellStyle name="Check Cell 25 2 13 2" xfId="8316" xr:uid="{C10A5E13-46A3-4A1B-BDBE-289E4E5FA025}"/>
    <cellStyle name="Check Cell 25 2 13 2 2" xfId="8317" xr:uid="{E4D23207-8EBB-48EC-88E5-4B2339BF9D37}"/>
    <cellStyle name="Check Cell 25 2 13 3" xfId="8318" xr:uid="{DEBD2A70-F0C1-4F5A-8033-864E64856657}"/>
    <cellStyle name="Check Cell 25 2 2" xfId="8319" xr:uid="{DE641C31-0855-4F98-A79C-C3C860CAB9F2}"/>
    <cellStyle name="Check Cell 25 2 2 2" xfId="8320" xr:uid="{5EF46C16-F2F3-40CA-8892-B31B00A81391}"/>
    <cellStyle name="Check Cell 25 2 2 2 2" xfId="8321" xr:uid="{6C6B291A-D66C-4013-BB05-56BE75C7ADE3}"/>
    <cellStyle name="Check Cell 25 2 2 2 2 2" xfId="8322" xr:uid="{64BB772A-EBA9-4A86-BA85-333417C52D8A}"/>
    <cellStyle name="Check Cell 25 2 2 2 3" xfId="8323" xr:uid="{917225E2-2CE5-4C28-A8D3-F205D12B3093}"/>
    <cellStyle name="Check Cell 25 2 2 3" xfId="8324" xr:uid="{B755639C-3059-4ED4-84C9-CABF7F8B9722}"/>
    <cellStyle name="Check Cell 25 2 2 3 2" xfId="8325" xr:uid="{52E1736C-D546-4B57-92A4-549212B59983}"/>
    <cellStyle name="Check Cell 25 2 2 3 2 2" xfId="8326" xr:uid="{EDB97B1C-85E1-40E5-91EC-F5456A64097B}"/>
    <cellStyle name="Check Cell 25 2 2 3 3" xfId="8327" xr:uid="{9C59ADEA-B7A7-41F6-8157-BBA780956931}"/>
    <cellStyle name="Check Cell 25 2 2 4" xfId="8328" xr:uid="{1E5EA58B-B841-450E-842F-899B00557484}"/>
    <cellStyle name="Check Cell 25 2 2 4 2" xfId="8329" xr:uid="{72AE596A-E08A-4B18-92A7-504F59C1ABB5}"/>
    <cellStyle name="Check Cell 25 2 2 4 2 2" xfId="8330" xr:uid="{0CB46CCA-5341-4DA1-9478-C145BC43846D}"/>
    <cellStyle name="Check Cell 25 2 2 4 3" xfId="8331" xr:uid="{16B86086-1E8B-4BD2-9712-32B4E748F8FA}"/>
    <cellStyle name="Check Cell 25 2 2 5" xfId="8332" xr:uid="{78F5A89A-CF01-49F1-88DA-3A52A51F6CEB}"/>
    <cellStyle name="Check Cell 25 2 2 5 2" xfId="8333" xr:uid="{F6285905-17BF-477F-8071-E2892C0DA8E1}"/>
    <cellStyle name="Check Cell 25 2 2 5 2 2" xfId="8334" xr:uid="{CF3D3780-1F69-41E6-8C91-745957B8041C}"/>
    <cellStyle name="Check Cell 25 2 2 5 3" xfId="8335" xr:uid="{6176C41E-678C-4ABB-B532-DBA591DF101F}"/>
    <cellStyle name="Check Cell 25 2 2 6" xfId="8336" xr:uid="{A7B1DBF0-D01C-47B3-80D0-7078919182CD}"/>
    <cellStyle name="Check Cell 25 2 2 6 2" xfId="8337" xr:uid="{2F52FCE1-16F1-4C05-A4E7-86C0EF76D21B}"/>
    <cellStyle name="Check Cell 25 2 2 6 2 2" xfId="8338" xr:uid="{89438B2C-F4CE-478C-8F2E-6FF79C791F3A}"/>
    <cellStyle name="Check Cell 25 2 2 6 3" xfId="8339" xr:uid="{6D511D63-C84C-453D-BB4D-3535206E9BE3}"/>
    <cellStyle name="Check Cell 25 2 2 7" xfId="8340" xr:uid="{CD3268C5-1627-4B53-91C5-9A1FF6D1C24D}"/>
    <cellStyle name="Check Cell 25 2 2 7 2" xfId="8341" xr:uid="{014E17CF-EF16-4060-955A-C0476A63C866}"/>
    <cellStyle name="Check Cell 25 2 2 7 2 2" xfId="8342" xr:uid="{A8A4CE89-FFE7-4C56-AA49-EAE04DFA10F7}"/>
    <cellStyle name="Check Cell 25 2 2 7 3" xfId="8343" xr:uid="{451606E2-6849-4E22-ACD5-CA77C2C814DB}"/>
    <cellStyle name="Check Cell 25 2 2 8" xfId="8344" xr:uid="{2BA6E553-1CDE-4D0E-A71E-22907E205B0E}"/>
    <cellStyle name="Check Cell 25 2 2 8 2" xfId="8345" xr:uid="{8AC375B9-4395-4274-AD68-924C3C35B810}"/>
    <cellStyle name="Check Cell 25 2 2 8 2 2" xfId="8346" xr:uid="{B90355C3-52DE-40C5-8403-F7DBC8A96A19}"/>
    <cellStyle name="Check Cell 25 2 2 8 3" xfId="8347" xr:uid="{1825EAB6-B957-45D1-A4F6-9AAA6F429B05}"/>
    <cellStyle name="Check Cell 25 2 2 9" xfId="8348" xr:uid="{0EA71DEA-D650-45E2-A11A-F9E01AEEC700}"/>
    <cellStyle name="Check Cell 25 2 2 9 2" xfId="8349" xr:uid="{74C6AB38-6AB0-4C27-BEA9-386741F8EAEB}"/>
    <cellStyle name="Check Cell 25 2 2 9 2 2" xfId="8350" xr:uid="{FD464386-F535-4B44-83AE-8E0C3BC2E4D9}"/>
    <cellStyle name="Check Cell 25 2 2 9 3" xfId="8351" xr:uid="{6FB12797-B642-4D35-AA6A-1E17CA5C8444}"/>
    <cellStyle name="Check Cell 25 2 3" xfId="8352" xr:uid="{3655926C-C56E-45F5-8E26-90A7E5575C04}"/>
    <cellStyle name="Check Cell 25 2 3 2" xfId="8353" xr:uid="{23880A71-0937-44E4-B80A-22856E644B36}"/>
    <cellStyle name="Check Cell 25 2 3 2 2" xfId="8354" xr:uid="{684F9FC1-DCB3-448A-9499-A06F5CA5DAEB}"/>
    <cellStyle name="Check Cell 25 2 3 2 2 2" xfId="8355" xr:uid="{70963605-CD93-46C4-A2D1-C74452E2AE95}"/>
    <cellStyle name="Check Cell 25 2 3 2 3" xfId="8356" xr:uid="{3A3D6DF1-6A65-4B5D-B3CC-82E1BBF94E67}"/>
    <cellStyle name="Check Cell 25 2 3 3" xfId="8357" xr:uid="{41993E35-3C64-4B82-BEC7-CDAB93E50E58}"/>
    <cellStyle name="Check Cell 25 2 3 3 2" xfId="8358" xr:uid="{91942E19-677F-4296-A9F2-ED91992533BC}"/>
    <cellStyle name="Check Cell 25 2 3 3 2 2" xfId="8359" xr:uid="{F4303B0E-ADE9-4F94-A29B-D5A283AF77DC}"/>
    <cellStyle name="Check Cell 25 2 3 3 3" xfId="8360" xr:uid="{C173F7A7-6EA5-4093-BB58-DDC62C69EE01}"/>
    <cellStyle name="Check Cell 25 2 3 4" xfId="8361" xr:uid="{070EF3E2-DB20-4B0C-82F3-6CEA38E1DC00}"/>
    <cellStyle name="Check Cell 25 2 3 4 2" xfId="8362" xr:uid="{61F72789-78FC-4F29-A2FC-0B65A16E6C22}"/>
    <cellStyle name="Check Cell 25 2 3 4 2 2" xfId="8363" xr:uid="{4261D5D3-3BA8-4D7F-83EA-3014F3858C47}"/>
    <cellStyle name="Check Cell 25 2 3 4 3" xfId="8364" xr:uid="{E8B425CB-F40A-4871-9BDE-346F77E05BFF}"/>
    <cellStyle name="Check Cell 25 2 3 5" xfId="8365" xr:uid="{01CA6AD8-98C1-486F-A405-A28C84448778}"/>
    <cellStyle name="Check Cell 25 2 3 5 2" xfId="8366" xr:uid="{C30E1656-4723-472E-9C0D-5C2273E119BF}"/>
    <cellStyle name="Check Cell 25 2 3 5 2 2" xfId="8367" xr:uid="{3EDD6B90-5FD0-47BD-B0B9-18298DF8C30B}"/>
    <cellStyle name="Check Cell 25 2 3 5 3" xfId="8368" xr:uid="{18538CF1-EEBD-4D1E-A749-4D98C700C2EB}"/>
    <cellStyle name="Check Cell 25 2 3 6" xfId="8369" xr:uid="{A6BC8B47-7414-4D5B-8D2A-5EB057A875D3}"/>
    <cellStyle name="Check Cell 25 2 3 6 2" xfId="8370" xr:uid="{05506135-CD23-44AD-8953-761753F9DA99}"/>
    <cellStyle name="Check Cell 25 2 3 6 2 2" xfId="8371" xr:uid="{5159A7FA-D9D9-4FF6-9349-01D444DEBB93}"/>
    <cellStyle name="Check Cell 25 2 3 6 3" xfId="8372" xr:uid="{013BE32E-A08F-47A6-A32E-67E6438D37FA}"/>
    <cellStyle name="Check Cell 25 2 3 7" xfId="8373" xr:uid="{D8ABE60E-132F-4051-9A9F-25D68DC8577D}"/>
    <cellStyle name="Check Cell 25 2 3 7 2" xfId="8374" xr:uid="{1FE0C42E-CBAA-4569-AF81-F9BA102EFCB6}"/>
    <cellStyle name="Check Cell 25 2 3 7 2 2" xfId="8375" xr:uid="{E3F3147A-D83C-4B93-83A4-A14ED0E882BB}"/>
    <cellStyle name="Check Cell 25 2 3 7 3" xfId="8376" xr:uid="{2D17BFD2-91BF-49CB-ADEF-98DB46BDFEA3}"/>
    <cellStyle name="Check Cell 25 2 3 8" xfId="8377" xr:uid="{12C6B964-A217-4C94-90D1-9D9652E58AB5}"/>
    <cellStyle name="Check Cell 25 2 3 8 2" xfId="8378" xr:uid="{40C49CBD-F414-4D4C-821D-7DF429CE3517}"/>
    <cellStyle name="Check Cell 25 2 3 8 2 2" xfId="8379" xr:uid="{7AFB92E1-CBC7-4F4C-B98F-92CB7B4B03E3}"/>
    <cellStyle name="Check Cell 25 2 3 8 3" xfId="8380" xr:uid="{6953373C-34A5-45BC-8A7C-A88864E7081F}"/>
    <cellStyle name="Check Cell 25 2 3 9" xfId="8381" xr:uid="{3EA16647-8035-4594-A570-3745E4746CFC}"/>
    <cellStyle name="Check Cell 25 2 3 9 2" xfId="8382" xr:uid="{5CC0F934-D4D5-4189-8F7A-F9900DAA6429}"/>
    <cellStyle name="Check Cell 25 2 3 9 2 2" xfId="8383" xr:uid="{0357C87E-2DF4-454F-8F84-096DC476B2ED}"/>
    <cellStyle name="Check Cell 25 2 3 9 3" xfId="8384" xr:uid="{F10EF9AE-85BB-48CB-83FA-104211F452AB}"/>
    <cellStyle name="Check Cell 25 2 4" xfId="8385" xr:uid="{BB55FEF9-3756-43F4-9AA5-3C9B29A686A6}"/>
    <cellStyle name="Check Cell 25 2 4 2" xfId="8386" xr:uid="{B2B03244-E7A0-4DAB-80D9-52C282377286}"/>
    <cellStyle name="Check Cell 25 2 4 2 2" xfId="8387" xr:uid="{DCEFF713-F82F-4C30-8415-84892C153B45}"/>
    <cellStyle name="Check Cell 25 2 4 2 2 2" xfId="8388" xr:uid="{387B43B4-4F63-465E-B64A-488278D00D34}"/>
    <cellStyle name="Check Cell 25 2 4 2 3" xfId="8389" xr:uid="{0A57CB4C-78CA-4E63-AEF7-7A686725E0BE}"/>
    <cellStyle name="Check Cell 25 2 4 3" xfId="8390" xr:uid="{044057EF-31F1-4D50-BFC9-33CF6895033B}"/>
    <cellStyle name="Check Cell 25 2 4 3 2" xfId="8391" xr:uid="{7C2B80A8-3915-4A16-A59D-280258D28486}"/>
    <cellStyle name="Check Cell 25 2 4 3 2 2" xfId="8392" xr:uid="{A5C1B409-274E-4FE1-91D9-486B4179B3B8}"/>
    <cellStyle name="Check Cell 25 2 4 3 3" xfId="8393" xr:uid="{9BD45D26-3C49-4D23-832B-DDF50C9EBB9F}"/>
    <cellStyle name="Check Cell 25 2 4 4" xfId="8394" xr:uid="{EF043064-7C86-4A6D-B185-DD21F38FF642}"/>
    <cellStyle name="Check Cell 25 2 4 4 2" xfId="8395" xr:uid="{B353262A-BE1E-44A4-9574-75D99A019778}"/>
    <cellStyle name="Check Cell 25 2 4 4 2 2" xfId="8396" xr:uid="{C2A62DA6-1E9A-453F-B392-A44439C37239}"/>
    <cellStyle name="Check Cell 25 2 4 4 3" xfId="8397" xr:uid="{FC208C14-A9A6-49C0-BF06-501CE65AE53C}"/>
    <cellStyle name="Check Cell 25 2 4 5" xfId="8398" xr:uid="{90EF5708-B4EC-403F-8DD3-FF8207FA2498}"/>
    <cellStyle name="Check Cell 25 2 4 5 2" xfId="8399" xr:uid="{2DF9033D-0DF8-498E-82CA-5E48E7C91A4C}"/>
    <cellStyle name="Check Cell 25 2 4 5 2 2" xfId="8400" xr:uid="{071CF86E-B176-48F4-ADCB-8FD1653B5922}"/>
    <cellStyle name="Check Cell 25 2 4 5 3" xfId="8401" xr:uid="{26FFE0AF-068B-438F-B691-5E3D98BC5ECB}"/>
    <cellStyle name="Check Cell 25 2 4 6" xfId="8402" xr:uid="{ECA3108B-BFEA-46BF-9586-79867CD007B8}"/>
    <cellStyle name="Check Cell 25 2 4 6 2" xfId="8403" xr:uid="{E370137D-8D65-4779-83C7-0D11F7C684EC}"/>
    <cellStyle name="Check Cell 25 2 4 6 2 2" xfId="8404" xr:uid="{9204EEF2-177A-46A1-B036-E651FBE72FCE}"/>
    <cellStyle name="Check Cell 25 2 4 6 3" xfId="8405" xr:uid="{3613E2BC-8234-42B9-8630-931B8CA3A22B}"/>
    <cellStyle name="Check Cell 25 2 4 7" xfId="8406" xr:uid="{AD9E1114-D55B-468B-B607-1E32C046D3AD}"/>
    <cellStyle name="Check Cell 25 2 4 7 2" xfId="8407" xr:uid="{6B6F4472-B145-48BE-B997-9631BA57771C}"/>
    <cellStyle name="Check Cell 25 2 4 7 2 2" xfId="8408" xr:uid="{C61CDB22-4852-472D-8BBD-6526CDA79EAF}"/>
    <cellStyle name="Check Cell 25 2 4 7 3" xfId="8409" xr:uid="{CAEBA249-B016-4B9E-B08A-FC46C8CE872F}"/>
    <cellStyle name="Check Cell 25 2 4 8" xfId="8410" xr:uid="{3C8BEACD-93AA-491F-95A9-497DBC9377E6}"/>
    <cellStyle name="Check Cell 25 2 4 8 2" xfId="8411" xr:uid="{AA36F087-5703-4427-8432-4BEC2BA5445A}"/>
    <cellStyle name="Check Cell 25 2 4 8 2 2" xfId="8412" xr:uid="{B460AA32-64BC-4722-B449-580D77D3983C}"/>
    <cellStyle name="Check Cell 25 2 4 8 3" xfId="8413" xr:uid="{B28F02DB-D988-4050-97C8-DE6525B251A1}"/>
    <cellStyle name="Check Cell 25 2 4 9" xfId="8414" xr:uid="{8101B367-D911-4670-BA8C-E5373244190F}"/>
    <cellStyle name="Check Cell 25 2 4 9 2" xfId="8415" xr:uid="{144E37F1-C617-412B-905C-30B358C487BB}"/>
    <cellStyle name="Check Cell 25 2 4 9 2 2" xfId="8416" xr:uid="{6F76D0B6-8716-47FD-B510-62CD4231F0D1}"/>
    <cellStyle name="Check Cell 25 2 4 9 3" xfId="8417" xr:uid="{95BDD3BE-B967-4D66-986E-46B13638D73B}"/>
    <cellStyle name="Check Cell 25 2 5" xfId="8418" xr:uid="{C61FE558-FC32-469C-B025-A3DAD4C08666}"/>
    <cellStyle name="Check Cell 25 2 5 2" xfId="8419" xr:uid="{8D2F94A6-9921-46BD-B7EF-4217C2F4160C}"/>
    <cellStyle name="Check Cell 25 2 5 2 2" xfId="8420" xr:uid="{0D440565-3849-4646-9903-2EFFCFA92404}"/>
    <cellStyle name="Check Cell 25 2 5 2 2 2" xfId="8421" xr:uid="{1B10CBE8-EEE9-4C78-B3A3-C90248D634D8}"/>
    <cellStyle name="Check Cell 25 2 5 2 3" xfId="8422" xr:uid="{3FBFEA37-83C0-4766-8FB1-4DC327329E3D}"/>
    <cellStyle name="Check Cell 25 2 5 3" xfId="8423" xr:uid="{759BAA03-6FEF-4CF7-B5A8-7F89A132C8E0}"/>
    <cellStyle name="Check Cell 25 2 5 3 2" xfId="8424" xr:uid="{25E0EC0F-4FEC-4A07-A3D3-BFCE8FA21D9B}"/>
    <cellStyle name="Check Cell 25 2 5 3 2 2" xfId="8425" xr:uid="{A54B9408-A83E-495B-89DC-872E9C4771C3}"/>
    <cellStyle name="Check Cell 25 2 5 3 3" xfId="8426" xr:uid="{BCBFBFD7-A91A-472E-9761-C03F1B44F5E3}"/>
    <cellStyle name="Check Cell 25 2 5 4" xfId="8427" xr:uid="{2F0FC8ED-8305-44C3-8DD0-709993C531BF}"/>
    <cellStyle name="Check Cell 25 2 5 4 2" xfId="8428" xr:uid="{5E325C51-6F96-43AE-8AFC-E1D28A924B1F}"/>
    <cellStyle name="Check Cell 25 2 5 4 2 2" xfId="8429" xr:uid="{2FBF223F-3C6B-4720-ABDB-0FAC99EC1ACA}"/>
    <cellStyle name="Check Cell 25 2 5 4 3" xfId="8430" xr:uid="{FD99B935-EFAB-4F7F-82D0-52E6AB400D09}"/>
    <cellStyle name="Check Cell 25 2 5 5" xfId="8431" xr:uid="{870CA4A3-C095-4FAE-9D23-1845E51411D2}"/>
    <cellStyle name="Check Cell 25 2 5 5 2" xfId="8432" xr:uid="{9E430C4D-4F63-40DE-9C21-2E2EA724FDA1}"/>
    <cellStyle name="Check Cell 25 2 5 5 2 2" xfId="8433" xr:uid="{3E068311-ABDF-4CBD-8ADD-DE84BDE18A38}"/>
    <cellStyle name="Check Cell 25 2 5 5 3" xfId="8434" xr:uid="{6712B521-AAC7-4B57-BEA4-5A06B26B272F}"/>
    <cellStyle name="Check Cell 25 2 5 6" xfId="8435" xr:uid="{5404ED21-6F7B-44AD-83D1-F1DE989D81F0}"/>
    <cellStyle name="Check Cell 25 2 5 6 2" xfId="8436" xr:uid="{EA9F274B-E05D-4F4A-BCCC-CF60FC975472}"/>
    <cellStyle name="Check Cell 25 2 5 6 2 2" xfId="8437" xr:uid="{D037C22D-CF36-4A34-ABAA-339D7524C721}"/>
    <cellStyle name="Check Cell 25 2 5 6 3" xfId="8438" xr:uid="{39B66D74-7242-4E07-B427-4AD1E41A872F}"/>
    <cellStyle name="Check Cell 25 2 5 7" xfId="8439" xr:uid="{8C1AF772-16B6-4149-8B7B-2A14BE1D94EF}"/>
    <cellStyle name="Check Cell 25 2 5 7 2" xfId="8440" xr:uid="{1D0AB7EA-D08D-41E3-869E-5887EEE6A73C}"/>
    <cellStyle name="Check Cell 25 2 5 7 2 2" xfId="8441" xr:uid="{FD34AA93-64B0-4C8E-AED4-779EB81DB789}"/>
    <cellStyle name="Check Cell 25 2 5 7 3" xfId="8442" xr:uid="{C54A0493-CB6E-4687-9FD7-416D06DBCA08}"/>
    <cellStyle name="Check Cell 25 2 5 8" xfId="8443" xr:uid="{CFC022A4-96F9-4522-8A48-6658BD27BC32}"/>
    <cellStyle name="Check Cell 25 2 5 8 2" xfId="8444" xr:uid="{A322908A-4B8B-4676-B701-2B3B67DFD28E}"/>
    <cellStyle name="Check Cell 25 2 5 8 2 2" xfId="8445" xr:uid="{14FB15E3-5E72-46A4-B7D8-475F3414530F}"/>
    <cellStyle name="Check Cell 25 2 5 8 3" xfId="8446" xr:uid="{2EB5427D-F927-43CB-ACDF-16955375FF36}"/>
    <cellStyle name="Check Cell 25 2 5 9" xfId="8447" xr:uid="{9AD438D3-EDAB-44A9-92C6-869A6812408E}"/>
    <cellStyle name="Check Cell 25 2 5 9 2" xfId="8448" xr:uid="{17A48829-EFF7-4A80-A0D7-6976223E46B9}"/>
    <cellStyle name="Check Cell 25 2 5 9 2 2" xfId="8449" xr:uid="{B0727303-4F1A-4FFC-8033-AAEE871B5A4C}"/>
    <cellStyle name="Check Cell 25 2 5 9 3" xfId="8450" xr:uid="{FADDF28F-2D86-47E2-875D-B86AE07C650B}"/>
    <cellStyle name="Check Cell 25 2 6" xfId="8451" xr:uid="{B2CCE836-59B6-4F28-A38B-F35D929F81C8}"/>
    <cellStyle name="Check Cell 25 2 6 2" xfId="8452" xr:uid="{07B588FF-6322-428C-8941-CB1468654FB9}"/>
    <cellStyle name="Check Cell 25 2 6 2 2" xfId="8453" xr:uid="{59C15A7E-EC54-47BA-9DFB-FB463B1306B0}"/>
    <cellStyle name="Check Cell 25 2 6 3" xfId="8454" xr:uid="{8A452BB5-5C1D-44A1-9936-E5891FEB3804}"/>
    <cellStyle name="Check Cell 25 2 7" xfId="8455" xr:uid="{60377EC3-9DC9-4298-B8A2-2E0268D92081}"/>
    <cellStyle name="Check Cell 25 2 7 2" xfId="8456" xr:uid="{A75577D9-E8F7-49EA-818D-D8E8CB76AF9E}"/>
    <cellStyle name="Check Cell 25 2 7 2 2" xfId="8457" xr:uid="{C64FBC1E-8963-4A7A-AC50-3766B140A94F}"/>
    <cellStyle name="Check Cell 25 2 7 3" xfId="8458" xr:uid="{DD5D3D35-3EC4-4BAA-8E14-67874E20122A}"/>
    <cellStyle name="Check Cell 25 2 8" xfId="8459" xr:uid="{871CD7F1-52DD-4F96-B680-ED53AD8F460C}"/>
    <cellStyle name="Check Cell 25 2 8 2" xfId="8460" xr:uid="{7AEAC9AA-AA23-4639-8464-8C00319B65D2}"/>
    <cellStyle name="Check Cell 25 2 8 2 2" xfId="8461" xr:uid="{8D19CE1A-9898-4FB3-A510-E4A078A64550}"/>
    <cellStyle name="Check Cell 25 2 8 3" xfId="8462" xr:uid="{423128B8-25F6-47F0-BEF8-85A833352CF5}"/>
    <cellStyle name="Check Cell 25 2 9" xfId="8463" xr:uid="{DC597492-DB80-4BEF-A652-E11848892D98}"/>
    <cellStyle name="Check Cell 25 2 9 2" xfId="8464" xr:uid="{F52693A2-C50D-4CBD-B35E-92768F071860}"/>
    <cellStyle name="Check Cell 25 2 9 2 2" xfId="8465" xr:uid="{910E7D31-CCCD-4F9B-87AF-8F99F2F6ADF7}"/>
    <cellStyle name="Check Cell 25 2 9 3" xfId="8466" xr:uid="{4B83FA59-A412-4F45-9755-B6BA730D9302}"/>
    <cellStyle name="Check Cell 25 3" xfId="8467" xr:uid="{BBDDBE47-E29A-489E-AEFD-9869CCD101CC}"/>
    <cellStyle name="Check Cell 25 3 2" xfId="8468" xr:uid="{ECE81A2E-A6A2-4ECB-87B8-AAD0F53B2CBE}"/>
    <cellStyle name="Check Cell 25 3 2 2" xfId="8469" xr:uid="{51E2AF65-654C-42C0-BE82-A3C6C0D9E740}"/>
    <cellStyle name="Check Cell 25 3 3" xfId="8470" xr:uid="{C63E7720-09B4-4F49-8CFD-C158D8F765DD}"/>
    <cellStyle name="Check Cell 25 4" xfId="8471" xr:uid="{7CE5458D-3659-4F54-A874-938C68D2EB5E}"/>
    <cellStyle name="Check Cell 25 4 2" xfId="8472" xr:uid="{B69E8E65-7B34-4ECA-97A3-4876D3B8263E}"/>
    <cellStyle name="Check Cell 26" xfId="8473" xr:uid="{E8BB0B17-5D06-46E4-A0FA-29573B6796EA}"/>
    <cellStyle name="Check Cell 26 2" xfId="8474" xr:uid="{930CA40A-E66C-4C2B-BAA0-9B9B7F2011E5}"/>
    <cellStyle name="Check Cell 26 2 10" xfId="8475" xr:uid="{FEEB9108-EDC4-4B8F-9C83-C9D362AC3458}"/>
    <cellStyle name="Check Cell 26 2 10 2" xfId="8476" xr:uid="{84FD10D5-E55B-424A-8A7E-2239975D3D2A}"/>
    <cellStyle name="Check Cell 26 2 10 2 2" xfId="8477" xr:uid="{E50A121C-9F73-40F5-8AE1-10B3ED7C82E7}"/>
    <cellStyle name="Check Cell 26 2 10 3" xfId="8478" xr:uid="{E001C316-9F0D-48D5-95AE-4C72C473CCC7}"/>
    <cellStyle name="Check Cell 26 2 11" xfId="8479" xr:uid="{CB98712D-83A4-4106-9AFE-7FD86CF34835}"/>
    <cellStyle name="Check Cell 26 2 11 2" xfId="8480" xr:uid="{7148AD46-0B0B-4165-9CF6-BE23C9EA387C}"/>
    <cellStyle name="Check Cell 26 2 11 2 2" xfId="8481" xr:uid="{8E94D318-710D-4E1E-A462-1E7D2954C72D}"/>
    <cellStyle name="Check Cell 26 2 11 3" xfId="8482" xr:uid="{41F00EF6-9FE2-44D8-8B15-18507A5FD003}"/>
    <cellStyle name="Check Cell 26 2 12" xfId="8483" xr:uid="{DBA4565F-538A-46B1-9353-DF7851856B87}"/>
    <cellStyle name="Check Cell 26 2 12 2" xfId="8484" xr:uid="{E9F04020-8A5C-42E6-8F1C-7E3FCA4D556F}"/>
    <cellStyle name="Check Cell 26 2 12 2 2" xfId="8485" xr:uid="{4E6D938A-023D-44E0-B665-727CE19FA1A1}"/>
    <cellStyle name="Check Cell 26 2 12 3" xfId="8486" xr:uid="{90FAA513-3EA4-4670-A07B-FD04E7E93F07}"/>
    <cellStyle name="Check Cell 26 2 13" xfId="8487" xr:uid="{8E56942D-5A32-4E29-881D-9D7384CF0B27}"/>
    <cellStyle name="Check Cell 26 2 13 2" xfId="8488" xr:uid="{AF8170A3-DBDA-4E41-8338-7560172CD538}"/>
    <cellStyle name="Check Cell 26 2 13 2 2" xfId="8489" xr:uid="{B21516E4-815B-46AB-A891-12BE86812D9C}"/>
    <cellStyle name="Check Cell 26 2 13 3" xfId="8490" xr:uid="{0353F3FE-23ED-43A1-A89A-7FE5AFA3F01A}"/>
    <cellStyle name="Check Cell 26 2 2" xfId="8491" xr:uid="{1514CCC2-567F-4A3C-99E1-0433EA94DFD5}"/>
    <cellStyle name="Check Cell 26 2 2 2" xfId="8492" xr:uid="{0345AB76-C98B-413A-BDD1-190E44A5659F}"/>
    <cellStyle name="Check Cell 26 2 2 2 2" xfId="8493" xr:uid="{16E3A004-A632-4DED-9625-AB680BEEB94E}"/>
    <cellStyle name="Check Cell 26 2 2 2 2 2" xfId="8494" xr:uid="{290EA244-D428-4DDE-BE9E-3245734B8245}"/>
    <cellStyle name="Check Cell 26 2 2 2 3" xfId="8495" xr:uid="{0A8119F4-D261-44DC-AB9B-CEB2757938E1}"/>
    <cellStyle name="Check Cell 26 2 2 3" xfId="8496" xr:uid="{A8F01CD6-9FB6-423F-9728-C815984EBACF}"/>
    <cellStyle name="Check Cell 26 2 2 3 2" xfId="8497" xr:uid="{9C3AC1E7-E348-498D-9669-3E0E3A034E00}"/>
    <cellStyle name="Check Cell 26 2 2 3 2 2" xfId="8498" xr:uid="{7000E44A-CC35-4370-9AE1-9CDA8EA29E8C}"/>
    <cellStyle name="Check Cell 26 2 2 3 3" xfId="8499" xr:uid="{3B8E722E-22CC-429E-96F1-2F7C58A34C31}"/>
    <cellStyle name="Check Cell 26 2 2 4" xfId="8500" xr:uid="{5C91E585-7E85-402B-9939-383B93DFFFA7}"/>
    <cellStyle name="Check Cell 26 2 2 4 2" xfId="8501" xr:uid="{2D50D6D4-8503-49EF-8722-F666658950B5}"/>
    <cellStyle name="Check Cell 26 2 2 4 2 2" xfId="8502" xr:uid="{070304DF-4E4D-4600-92AE-5E0F21277D76}"/>
    <cellStyle name="Check Cell 26 2 2 4 3" xfId="8503" xr:uid="{5FCF772E-C0C0-4254-984B-BCD0621DDB3D}"/>
    <cellStyle name="Check Cell 26 2 2 5" xfId="8504" xr:uid="{3B5597D6-83E4-4939-BDC3-F1821ABA87AB}"/>
    <cellStyle name="Check Cell 26 2 2 5 2" xfId="8505" xr:uid="{FEBC728A-6F64-47EA-81A5-DBFA316B8526}"/>
    <cellStyle name="Check Cell 26 2 2 5 2 2" xfId="8506" xr:uid="{7FE8D99C-46CB-4D4E-BB5A-018201BC3057}"/>
    <cellStyle name="Check Cell 26 2 2 5 3" xfId="8507" xr:uid="{D3A04ABC-39D0-49F3-A72D-266BD433BAA7}"/>
    <cellStyle name="Check Cell 26 2 2 6" xfId="8508" xr:uid="{68BD1EAA-5A0F-4B74-A50C-B351022D3C26}"/>
    <cellStyle name="Check Cell 26 2 2 6 2" xfId="8509" xr:uid="{340B61C0-D19E-4BA1-B736-2C5A75E1D0FF}"/>
    <cellStyle name="Check Cell 26 2 2 6 2 2" xfId="8510" xr:uid="{D58AD9FA-1CE7-4EBE-8EAB-8AA9436CDBA9}"/>
    <cellStyle name="Check Cell 26 2 2 6 3" xfId="8511" xr:uid="{4D43D350-54DF-40F7-AE79-86458EF922C3}"/>
    <cellStyle name="Check Cell 26 2 2 7" xfId="8512" xr:uid="{07B749A0-D665-4C4E-A7F5-64D6894FEDE3}"/>
    <cellStyle name="Check Cell 26 2 2 7 2" xfId="8513" xr:uid="{33BF0FF6-EC8F-47DB-BDAB-C2D8DB2F1559}"/>
    <cellStyle name="Check Cell 26 2 2 7 2 2" xfId="8514" xr:uid="{42A474A2-9F7C-46B8-B789-720C2B7EFB5F}"/>
    <cellStyle name="Check Cell 26 2 2 7 3" xfId="8515" xr:uid="{E47DC737-9BD2-440C-BE58-15BC36A9DF98}"/>
    <cellStyle name="Check Cell 26 2 2 8" xfId="8516" xr:uid="{8ED2F8DE-7579-4215-923E-270E2F914840}"/>
    <cellStyle name="Check Cell 26 2 2 8 2" xfId="8517" xr:uid="{9554B977-D936-4AFA-BD8B-A90BA0CBF88A}"/>
    <cellStyle name="Check Cell 26 2 2 8 2 2" xfId="8518" xr:uid="{1AEEFA1B-3F28-43B0-A1FC-6ADF85043673}"/>
    <cellStyle name="Check Cell 26 2 2 8 3" xfId="8519" xr:uid="{4CC59A4C-7626-4C6D-A317-4099139C32C1}"/>
    <cellStyle name="Check Cell 26 2 2 9" xfId="8520" xr:uid="{21514D8D-DB6B-4776-9FB9-5A565C713F62}"/>
    <cellStyle name="Check Cell 26 2 2 9 2" xfId="8521" xr:uid="{51CABE70-F4FA-49F0-92DC-21628144936E}"/>
    <cellStyle name="Check Cell 26 2 2 9 2 2" xfId="8522" xr:uid="{118757FD-BFD5-476A-ACAE-D00AE495B721}"/>
    <cellStyle name="Check Cell 26 2 2 9 3" xfId="8523" xr:uid="{35F69503-0F76-4E55-B42A-2AD7E1DF77ED}"/>
    <cellStyle name="Check Cell 26 2 3" xfId="8524" xr:uid="{522FAC12-E799-4C61-83E1-F31394DF038D}"/>
    <cellStyle name="Check Cell 26 2 3 2" xfId="8525" xr:uid="{751E75BE-C1B6-4A4B-A6C6-2E56F7338B8C}"/>
    <cellStyle name="Check Cell 26 2 3 2 2" xfId="8526" xr:uid="{76F86DA1-A0DB-450D-8950-03D1B18AC9E2}"/>
    <cellStyle name="Check Cell 26 2 3 2 2 2" xfId="8527" xr:uid="{29B519E4-E767-4EC7-922F-EA87F0E05612}"/>
    <cellStyle name="Check Cell 26 2 3 2 3" xfId="8528" xr:uid="{2E840364-6191-47CC-8FC2-A0AA8FD640A6}"/>
    <cellStyle name="Check Cell 26 2 3 3" xfId="8529" xr:uid="{6E50A102-0504-4B0D-AFCD-64530C7C77A6}"/>
    <cellStyle name="Check Cell 26 2 3 3 2" xfId="8530" xr:uid="{C28F13A4-9B13-4848-9A53-602409124DB8}"/>
    <cellStyle name="Check Cell 26 2 3 3 2 2" xfId="8531" xr:uid="{1FB567FD-ED47-49EA-B374-CDFFF09CA596}"/>
    <cellStyle name="Check Cell 26 2 3 3 3" xfId="8532" xr:uid="{6DAF47A4-8945-4589-AA81-B552D74EB543}"/>
    <cellStyle name="Check Cell 26 2 3 4" xfId="8533" xr:uid="{533B2EA3-0AA6-4037-981A-DC0279C84150}"/>
    <cellStyle name="Check Cell 26 2 3 4 2" xfId="8534" xr:uid="{72F44D6C-2D70-46CF-B6CD-13D137F916B5}"/>
    <cellStyle name="Check Cell 26 2 3 4 2 2" xfId="8535" xr:uid="{060547EE-0D8A-4063-A0FB-95B5F6B0AFF5}"/>
    <cellStyle name="Check Cell 26 2 3 4 3" xfId="8536" xr:uid="{15656451-8862-4616-A007-DD9620F9E31A}"/>
    <cellStyle name="Check Cell 26 2 3 5" xfId="8537" xr:uid="{00FE3844-9613-4957-9193-B17EBA5EA23D}"/>
    <cellStyle name="Check Cell 26 2 3 5 2" xfId="8538" xr:uid="{7E3621E8-2301-4B18-AF26-555BB6FB12B7}"/>
    <cellStyle name="Check Cell 26 2 3 5 2 2" xfId="8539" xr:uid="{85AD79F6-1AFF-42DA-8A6F-332FBCFC9719}"/>
    <cellStyle name="Check Cell 26 2 3 5 3" xfId="8540" xr:uid="{DD550E74-41FD-47DF-9799-30ACEA69035D}"/>
    <cellStyle name="Check Cell 26 2 3 6" xfId="8541" xr:uid="{2F5FC870-02D9-417F-A43A-34CCFC44408F}"/>
    <cellStyle name="Check Cell 26 2 3 6 2" xfId="8542" xr:uid="{7FF2C850-D44A-4B2A-8173-6D6482BA14A3}"/>
    <cellStyle name="Check Cell 26 2 3 6 2 2" xfId="8543" xr:uid="{8A6C4822-7038-49C1-A759-31BAC5D808F0}"/>
    <cellStyle name="Check Cell 26 2 3 6 3" xfId="8544" xr:uid="{3DE199E8-15D9-43FB-B08B-5C414E41A834}"/>
    <cellStyle name="Check Cell 26 2 3 7" xfId="8545" xr:uid="{006D07A3-FC33-4043-9ABE-31DC3F693709}"/>
    <cellStyle name="Check Cell 26 2 3 7 2" xfId="8546" xr:uid="{792E6905-4DE6-4BDD-A857-D3D5E34F3288}"/>
    <cellStyle name="Check Cell 26 2 3 7 2 2" xfId="8547" xr:uid="{2AACEECD-4905-42A9-8449-330E1C8E6905}"/>
    <cellStyle name="Check Cell 26 2 3 7 3" xfId="8548" xr:uid="{2519A48C-7FF4-4F5D-B56D-9E6400C83D15}"/>
    <cellStyle name="Check Cell 26 2 3 8" xfId="8549" xr:uid="{17CB8A9B-1968-443D-9472-B90A03BC9183}"/>
    <cellStyle name="Check Cell 26 2 3 8 2" xfId="8550" xr:uid="{C6F95843-73E0-4923-8858-5A9CB91ACD22}"/>
    <cellStyle name="Check Cell 26 2 3 8 2 2" xfId="8551" xr:uid="{68A9870B-C4AA-4FC4-A77F-959A251053C9}"/>
    <cellStyle name="Check Cell 26 2 3 8 3" xfId="8552" xr:uid="{9F4E1C63-D386-42AE-91EF-91E1E2ADA69B}"/>
    <cellStyle name="Check Cell 26 2 3 9" xfId="8553" xr:uid="{287393A9-00C6-4864-9A9B-B62FA3AEC377}"/>
    <cellStyle name="Check Cell 26 2 3 9 2" xfId="8554" xr:uid="{2D452766-1A3B-480F-B132-F999A95D66B9}"/>
    <cellStyle name="Check Cell 26 2 3 9 2 2" xfId="8555" xr:uid="{A6492EDF-9420-4E34-B24B-6C6C9D4A6587}"/>
    <cellStyle name="Check Cell 26 2 3 9 3" xfId="8556" xr:uid="{F3C1CAE7-D6A3-4D2F-B55D-B21647532C01}"/>
    <cellStyle name="Check Cell 26 2 4" xfId="8557" xr:uid="{1C579CF1-F5A6-40F0-B007-F3DB822EF6BF}"/>
    <cellStyle name="Check Cell 26 2 4 2" xfId="8558" xr:uid="{317A5C7A-894F-4829-8A51-620C9198076D}"/>
    <cellStyle name="Check Cell 26 2 4 2 2" xfId="8559" xr:uid="{CA501ED4-196D-43C8-B15D-C20ECF358106}"/>
    <cellStyle name="Check Cell 26 2 4 2 2 2" xfId="8560" xr:uid="{E7FB8C34-B10E-4BE0-B391-032438128D78}"/>
    <cellStyle name="Check Cell 26 2 4 2 3" xfId="8561" xr:uid="{768AB167-3BAA-4184-A4B1-6AAC847726AE}"/>
    <cellStyle name="Check Cell 26 2 4 3" xfId="8562" xr:uid="{6ADAD4DF-6FEF-4DB9-A7B4-3C2BEC388BFA}"/>
    <cellStyle name="Check Cell 26 2 4 3 2" xfId="8563" xr:uid="{6720FC7B-D48D-4D0A-9AE9-70667426E2FF}"/>
    <cellStyle name="Check Cell 26 2 4 3 2 2" xfId="8564" xr:uid="{E6AC65A4-7A77-4027-8168-233029E57515}"/>
    <cellStyle name="Check Cell 26 2 4 3 3" xfId="8565" xr:uid="{678211DA-5F9E-422D-940C-F2FA17B6E899}"/>
    <cellStyle name="Check Cell 26 2 4 4" xfId="8566" xr:uid="{09FBE08F-77C0-410A-BC0B-4E707B112FC6}"/>
    <cellStyle name="Check Cell 26 2 4 4 2" xfId="8567" xr:uid="{8553CEBB-93A6-4E4B-B92A-81D298245D12}"/>
    <cellStyle name="Check Cell 26 2 4 4 2 2" xfId="8568" xr:uid="{37FCA5CD-5898-431B-A612-209322396A34}"/>
    <cellStyle name="Check Cell 26 2 4 4 3" xfId="8569" xr:uid="{C758AEC8-4F82-49C4-A31F-CF7795F1E07E}"/>
    <cellStyle name="Check Cell 26 2 4 5" xfId="8570" xr:uid="{14A4B0E7-47CF-4BB2-BC3A-8B59CF68A51B}"/>
    <cellStyle name="Check Cell 26 2 4 5 2" xfId="8571" xr:uid="{14F15186-C0ED-45AE-BFF8-207C299ED924}"/>
    <cellStyle name="Check Cell 26 2 4 5 2 2" xfId="8572" xr:uid="{F4849348-767B-4BD6-8BF6-95D301324222}"/>
    <cellStyle name="Check Cell 26 2 4 5 3" xfId="8573" xr:uid="{1A6BF084-F3B1-46E4-8BFA-1F45707EBB39}"/>
    <cellStyle name="Check Cell 26 2 4 6" xfId="8574" xr:uid="{06937D33-5ADA-4BFF-825F-4781450BA494}"/>
    <cellStyle name="Check Cell 26 2 4 6 2" xfId="8575" xr:uid="{0439EF5C-AC0A-4A83-A246-6200BFE8C253}"/>
    <cellStyle name="Check Cell 26 2 4 6 2 2" xfId="8576" xr:uid="{EC1B170A-81CC-4EE6-911B-3309A7362CD8}"/>
    <cellStyle name="Check Cell 26 2 4 6 3" xfId="8577" xr:uid="{2BB38002-F3F0-4F05-83EF-AFFD012BD4F0}"/>
    <cellStyle name="Check Cell 26 2 4 7" xfId="8578" xr:uid="{2C2F4D9B-AA37-4A4C-9AA6-295390548C8A}"/>
    <cellStyle name="Check Cell 26 2 4 7 2" xfId="8579" xr:uid="{0E14F5F7-9FC6-4534-B46F-8759FD4D81A4}"/>
    <cellStyle name="Check Cell 26 2 4 7 2 2" xfId="8580" xr:uid="{EC61FC71-8D49-4E0E-9341-F9AF3DABFBCA}"/>
    <cellStyle name="Check Cell 26 2 4 7 3" xfId="8581" xr:uid="{A05DFC6B-29BB-4ACE-BD4C-0AF7EB36B8E4}"/>
    <cellStyle name="Check Cell 26 2 4 8" xfId="8582" xr:uid="{E1F489A1-F432-4942-8EE7-9D46C5D7AE3A}"/>
    <cellStyle name="Check Cell 26 2 4 8 2" xfId="8583" xr:uid="{794AD6FB-A944-4037-B364-59EAC13A1518}"/>
    <cellStyle name="Check Cell 26 2 4 8 2 2" xfId="8584" xr:uid="{58B89CFB-53AB-46FA-BE46-D93AC3E16549}"/>
    <cellStyle name="Check Cell 26 2 4 8 3" xfId="8585" xr:uid="{E3FEB3F3-9F8E-42DF-9845-DBF3D5B65281}"/>
    <cellStyle name="Check Cell 26 2 4 9" xfId="8586" xr:uid="{15741187-48A0-42FC-9E74-6F9C9B7FA54B}"/>
    <cellStyle name="Check Cell 26 2 4 9 2" xfId="8587" xr:uid="{7D11940C-FC57-4060-8040-DB675029A4C4}"/>
    <cellStyle name="Check Cell 26 2 4 9 2 2" xfId="8588" xr:uid="{45A5E37A-269D-49B2-B388-911CF3D1B70D}"/>
    <cellStyle name="Check Cell 26 2 4 9 3" xfId="8589" xr:uid="{EC371F89-65B8-4BB1-BE79-8B31231080EA}"/>
    <cellStyle name="Check Cell 26 2 5" xfId="8590" xr:uid="{FB8758C7-31A0-4BFC-A260-BB7A129DB5BB}"/>
    <cellStyle name="Check Cell 26 2 5 2" xfId="8591" xr:uid="{55C6E0F7-AD46-46EE-BD39-95989712E3FC}"/>
    <cellStyle name="Check Cell 26 2 5 2 2" xfId="8592" xr:uid="{18573192-94D5-469B-86D7-C91F8A758C4F}"/>
    <cellStyle name="Check Cell 26 2 5 2 2 2" xfId="8593" xr:uid="{4E683F70-DE9F-4963-819B-2A16770170FA}"/>
    <cellStyle name="Check Cell 26 2 5 2 3" xfId="8594" xr:uid="{C33C45F5-0316-4923-B0A0-A909CD8AE991}"/>
    <cellStyle name="Check Cell 26 2 5 3" xfId="8595" xr:uid="{DABA67D1-6EB3-41A2-9A3E-D1E6EB868FEA}"/>
    <cellStyle name="Check Cell 26 2 5 3 2" xfId="8596" xr:uid="{38ADF2B6-703E-4B58-A22B-86C154BDC704}"/>
    <cellStyle name="Check Cell 26 2 5 3 2 2" xfId="8597" xr:uid="{FD662D8D-E996-44E2-9FA9-6B8E2CC6CD39}"/>
    <cellStyle name="Check Cell 26 2 5 3 3" xfId="8598" xr:uid="{34000761-A71E-473C-A66A-6C1B1BB02502}"/>
    <cellStyle name="Check Cell 26 2 5 4" xfId="8599" xr:uid="{F92379C8-49F7-4753-B906-2BEC6D137F4C}"/>
    <cellStyle name="Check Cell 26 2 5 4 2" xfId="8600" xr:uid="{8FF0F699-6B35-499D-9474-4D36F40434D3}"/>
    <cellStyle name="Check Cell 26 2 5 4 2 2" xfId="8601" xr:uid="{D3704E4C-FC25-43DD-AE75-BC6274ACCDCF}"/>
    <cellStyle name="Check Cell 26 2 5 4 3" xfId="8602" xr:uid="{46839D20-66C0-498D-8DF1-59C3F63891D6}"/>
    <cellStyle name="Check Cell 26 2 5 5" xfId="8603" xr:uid="{4059DEC6-10D6-4229-A5BF-6F5C92D37FB2}"/>
    <cellStyle name="Check Cell 26 2 5 5 2" xfId="8604" xr:uid="{3466BDE6-4466-46B5-9D97-34BACC3880C0}"/>
    <cellStyle name="Check Cell 26 2 5 5 2 2" xfId="8605" xr:uid="{40C16BC1-753F-4A60-BF77-E2910470DDA7}"/>
    <cellStyle name="Check Cell 26 2 5 5 3" xfId="8606" xr:uid="{B2B452DE-FF02-4BE3-9B62-B40E57A2AFB5}"/>
    <cellStyle name="Check Cell 26 2 5 6" xfId="8607" xr:uid="{D8726D59-BB4A-4AC1-B46E-C0FF57C29EE8}"/>
    <cellStyle name="Check Cell 26 2 5 6 2" xfId="8608" xr:uid="{10F334D8-B50A-40B9-8D78-EEFD1A417171}"/>
    <cellStyle name="Check Cell 26 2 5 6 2 2" xfId="8609" xr:uid="{B82352AC-7949-40E4-9586-BB348E9D7B33}"/>
    <cellStyle name="Check Cell 26 2 5 6 3" xfId="8610" xr:uid="{F717587D-4A48-4315-A4E5-CA989E99895B}"/>
    <cellStyle name="Check Cell 26 2 5 7" xfId="8611" xr:uid="{4308D224-A2F5-411D-9512-1447750220E1}"/>
    <cellStyle name="Check Cell 26 2 5 7 2" xfId="8612" xr:uid="{381A9F83-653D-4901-B645-04DE340D6E96}"/>
    <cellStyle name="Check Cell 26 2 5 7 2 2" xfId="8613" xr:uid="{B6E479ED-F293-418B-9BDE-E7AEE1129F25}"/>
    <cellStyle name="Check Cell 26 2 5 7 3" xfId="8614" xr:uid="{EEBE850F-32B7-4CD5-8A69-76146BBCF158}"/>
    <cellStyle name="Check Cell 26 2 5 8" xfId="8615" xr:uid="{0D775DAE-AAC7-4133-AAE0-736D7564C274}"/>
    <cellStyle name="Check Cell 26 2 5 8 2" xfId="8616" xr:uid="{87E8C704-5D54-4725-B722-30AB591D81A8}"/>
    <cellStyle name="Check Cell 26 2 5 8 2 2" xfId="8617" xr:uid="{8859B6C9-CE81-45B4-A027-9CD77E3A3628}"/>
    <cellStyle name="Check Cell 26 2 5 8 3" xfId="8618" xr:uid="{0FD844C8-C5D2-413F-8E3F-A4F2F2A1AE2D}"/>
    <cellStyle name="Check Cell 26 2 5 9" xfId="8619" xr:uid="{164F3A28-D6B7-4F45-BCD5-0E3F0926C108}"/>
    <cellStyle name="Check Cell 26 2 5 9 2" xfId="8620" xr:uid="{FC084C39-6868-474A-B39C-D04194E0FAB2}"/>
    <cellStyle name="Check Cell 26 2 5 9 2 2" xfId="8621" xr:uid="{ACCD09A8-A957-4FAA-8515-69D366667C39}"/>
    <cellStyle name="Check Cell 26 2 5 9 3" xfId="8622" xr:uid="{ADE48D06-A774-45F5-9DBA-41AE7BB8CD8C}"/>
    <cellStyle name="Check Cell 26 2 6" xfId="8623" xr:uid="{04B6C5E3-7680-428C-A633-0D3D34C0FD97}"/>
    <cellStyle name="Check Cell 26 2 6 2" xfId="8624" xr:uid="{FF522D1D-ED7C-48F8-AAE4-2FD6A5F877C8}"/>
    <cellStyle name="Check Cell 26 2 6 2 2" xfId="8625" xr:uid="{06E31FCD-1EF6-4AE0-A824-AAC5A3755E35}"/>
    <cellStyle name="Check Cell 26 2 6 3" xfId="8626" xr:uid="{5EE4073B-C723-4122-8BB1-EB14207B1C0D}"/>
    <cellStyle name="Check Cell 26 2 7" xfId="8627" xr:uid="{96282F52-BA4C-446B-8CEE-CEFE476DD7E0}"/>
    <cellStyle name="Check Cell 26 2 7 2" xfId="8628" xr:uid="{8DA3850E-B08B-4544-A16B-DF208E407FF4}"/>
    <cellStyle name="Check Cell 26 2 7 2 2" xfId="8629" xr:uid="{EB0ED807-4106-49ED-BE5F-AB7A5EF40FF8}"/>
    <cellStyle name="Check Cell 26 2 7 3" xfId="8630" xr:uid="{6BBE0670-291D-4744-BD4D-687BD9C15BFE}"/>
    <cellStyle name="Check Cell 26 2 8" xfId="8631" xr:uid="{62BF497F-9600-4466-B570-D501BF4D0072}"/>
    <cellStyle name="Check Cell 26 2 8 2" xfId="8632" xr:uid="{1AF6659A-8E9D-4395-A3A0-23415ADF089E}"/>
    <cellStyle name="Check Cell 26 2 8 2 2" xfId="8633" xr:uid="{B10017F5-8890-4CFC-A0F8-EE4C81A16008}"/>
    <cellStyle name="Check Cell 26 2 8 3" xfId="8634" xr:uid="{97BFBEB8-5FF0-4FEE-A85F-31B8F321386D}"/>
    <cellStyle name="Check Cell 26 2 9" xfId="8635" xr:uid="{2F757CD6-775C-4604-A698-4BEEF118F44F}"/>
    <cellStyle name="Check Cell 26 2 9 2" xfId="8636" xr:uid="{D2FCE05B-C5A7-4358-AD6E-45866951BFE8}"/>
    <cellStyle name="Check Cell 26 2 9 2 2" xfId="8637" xr:uid="{84FBC321-F879-47BF-BCDE-91D1624C2D08}"/>
    <cellStyle name="Check Cell 26 2 9 3" xfId="8638" xr:uid="{FB4F54D2-E271-484C-BA1A-6865EF1C8DF9}"/>
    <cellStyle name="Check Cell 26 3" xfId="8639" xr:uid="{EF2D6539-5D3D-4915-909F-08EB3D6958D6}"/>
    <cellStyle name="Check Cell 26 3 2" xfId="8640" xr:uid="{FC5CAA1E-A15C-41C0-8EA3-C2EB09194C02}"/>
    <cellStyle name="Check Cell 26 3 2 2" xfId="8641" xr:uid="{9170B2FC-C608-4716-B82E-15B12DF07736}"/>
    <cellStyle name="Check Cell 26 3 3" xfId="8642" xr:uid="{312E9BAD-F99F-4B0D-999F-D2BD5C36E3EB}"/>
    <cellStyle name="Check Cell 26 4" xfId="8643" xr:uid="{2B76FB18-5345-4780-83D4-8B6DEE399DFE}"/>
    <cellStyle name="Check Cell 26 4 2" xfId="8644" xr:uid="{AF8B0FAE-F599-4E08-BF21-8A2703BAFB76}"/>
    <cellStyle name="Check Cell 27" xfId="8645" xr:uid="{95CA46A8-DB6E-4163-BE1D-936F87E9072D}"/>
    <cellStyle name="Check Cell 27 2" xfId="8646" xr:uid="{53C4AAC0-CF73-4D1C-80F2-02FCA9D55F16}"/>
    <cellStyle name="Check Cell 27 2 10" xfId="8647" xr:uid="{3302AE64-466D-4A1D-A926-EABD175A2481}"/>
    <cellStyle name="Check Cell 27 2 10 2" xfId="8648" xr:uid="{429172A0-969A-4A0E-A8D9-FF04387F6B71}"/>
    <cellStyle name="Check Cell 27 2 10 2 2" xfId="8649" xr:uid="{61220506-18DD-4CDB-ACE7-F000A91B1438}"/>
    <cellStyle name="Check Cell 27 2 10 3" xfId="8650" xr:uid="{5281EF6E-8A93-4B4C-8489-A1D1479BD4C3}"/>
    <cellStyle name="Check Cell 27 2 11" xfId="8651" xr:uid="{99B14796-055E-4EB5-BA16-07728850E7DD}"/>
    <cellStyle name="Check Cell 27 2 11 2" xfId="8652" xr:uid="{62927646-8F83-434F-BAD6-E7AB7CFD8EC3}"/>
    <cellStyle name="Check Cell 27 2 11 2 2" xfId="8653" xr:uid="{7C4D696C-4775-4292-A5B6-FC252ADEAE48}"/>
    <cellStyle name="Check Cell 27 2 11 3" xfId="8654" xr:uid="{6C3BB6A9-B628-43CD-B959-46B29DF354E0}"/>
    <cellStyle name="Check Cell 27 2 12" xfId="8655" xr:uid="{BDD1F80E-CFB6-4BF6-B9DD-998E87334DAD}"/>
    <cellStyle name="Check Cell 27 2 12 2" xfId="8656" xr:uid="{22C93513-AEB7-4F27-948C-7D544F2029CC}"/>
    <cellStyle name="Check Cell 27 2 12 2 2" xfId="8657" xr:uid="{8EF89BAF-735B-43A5-9E4D-028BF723EC28}"/>
    <cellStyle name="Check Cell 27 2 12 3" xfId="8658" xr:uid="{D4914466-AE57-4E1A-9B0B-C572785835E3}"/>
    <cellStyle name="Check Cell 27 2 13" xfId="8659" xr:uid="{7B33B0D2-761E-4126-A8D5-921DF71BE027}"/>
    <cellStyle name="Check Cell 27 2 13 2" xfId="8660" xr:uid="{5DBD3EB9-B305-4921-865F-908A22B66AC3}"/>
    <cellStyle name="Check Cell 27 2 13 2 2" xfId="8661" xr:uid="{57D8F978-FEE3-4A37-96A8-56DB62AAB0E7}"/>
    <cellStyle name="Check Cell 27 2 13 3" xfId="8662" xr:uid="{7D1A2D83-B669-4053-AC98-3E3E8800C652}"/>
    <cellStyle name="Check Cell 27 2 2" xfId="8663" xr:uid="{3D51AD8A-1950-40C2-81C4-F022B0587B42}"/>
    <cellStyle name="Check Cell 27 2 2 2" xfId="8664" xr:uid="{37BFCE7A-35F6-4F01-9387-6D3EF64AE1DD}"/>
    <cellStyle name="Check Cell 27 2 2 2 2" xfId="8665" xr:uid="{5D89E9A1-EF8D-4FAB-9CC8-BC418F80CA93}"/>
    <cellStyle name="Check Cell 27 2 2 2 2 2" xfId="8666" xr:uid="{AADB8E02-57B6-4F98-96E7-23297D3DCE98}"/>
    <cellStyle name="Check Cell 27 2 2 2 3" xfId="8667" xr:uid="{9A2C9C17-42B7-483A-86C4-E6D72FC800B1}"/>
    <cellStyle name="Check Cell 27 2 2 3" xfId="8668" xr:uid="{AD073330-A912-4C4D-AB1A-46277FFF4C71}"/>
    <cellStyle name="Check Cell 27 2 2 3 2" xfId="8669" xr:uid="{D2C25065-F257-4EA9-8F7E-13F9D7F7B21A}"/>
    <cellStyle name="Check Cell 27 2 2 3 2 2" xfId="8670" xr:uid="{E13ADD9B-5328-4FAB-8D1B-22CF09794D67}"/>
    <cellStyle name="Check Cell 27 2 2 3 3" xfId="8671" xr:uid="{1BDF1721-62F9-456C-8F7C-D8C73AA53A58}"/>
    <cellStyle name="Check Cell 27 2 2 4" xfId="8672" xr:uid="{E3118046-EDD4-4891-87E3-922EDEBCF57D}"/>
    <cellStyle name="Check Cell 27 2 2 4 2" xfId="8673" xr:uid="{E74D5390-9942-48C2-9AF4-D174D4320D95}"/>
    <cellStyle name="Check Cell 27 2 2 4 2 2" xfId="8674" xr:uid="{EC10A11A-A795-452E-AFB1-9F43E6FFF74A}"/>
    <cellStyle name="Check Cell 27 2 2 4 3" xfId="8675" xr:uid="{3FC6A6F0-6BE8-41A9-920D-75B4BCECD8D1}"/>
    <cellStyle name="Check Cell 27 2 2 5" xfId="8676" xr:uid="{1153351B-1E1F-4999-8A5F-454F5447F999}"/>
    <cellStyle name="Check Cell 27 2 2 5 2" xfId="8677" xr:uid="{ED1D9380-B55D-48F0-B017-0A5CE401CAB7}"/>
    <cellStyle name="Check Cell 27 2 2 5 2 2" xfId="8678" xr:uid="{C6361764-6645-4987-A586-96447BA8FBE0}"/>
    <cellStyle name="Check Cell 27 2 2 5 3" xfId="8679" xr:uid="{543F8A6D-1C2A-4242-8556-B6B1BB70DBD1}"/>
    <cellStyle name="Check Cell 27 2 2 6" xfId="8680" xr:uid="{7293B0EE-1DE9-4C86-85B3-D356B3E8C596}"/>
    <cellStyle name="Check Cell 27 2 2 6 2" xfId="8681" xr:uid="{5953DD70-C5C7-4ED0-B900-7712C368A955}"/>
    <cellStyle name="Check Cell 27 2 2 6 2 2" xfId="8682" xr:uid="{245F3531-DB68-4FC7-BCF9-627A5A9A8D63}"/>
    <cellStyle name="Check Cell 27 2 2 6 3" xfId="8683" xr:uid="{2DAF9CAC-6850-47C2-B0BC-6B0FAAB1C317}"/>
    <cellStyle name="Check Cell 27 2 2 7" xfId="8684" xr:uid="{8219D351-6E02-46E0-8959-99D7A68226EE}"/>
    <cellStyle name="Check Cell 27 2 2 7 2" xfId="8685" xr:uid="{000754DE-3A58-4CAC-B938-260A83D56CC0}"/>
    <cellStyle name="Check Cell 27 2 2 7 2 2" xfId="8686" xr:uid="{2D5C2C19-7CFD-41F3-9397-719BFB39E93F}"/>
    <cellStyle name="Check Cell 27 2 2 7 3" xfId="8687" xr:uid="{1C2BEA8A-2B1C-4547-B68D-2D4B8FD6C854}"/>
    <cellStyle name="Check Cell 27 2 2 8" xfId="8688" xr:uid="{80754E2F-83ED-4F29-9652-CA29A82DC51D}"/>
    <cellStyle name="Check Cell 27 2 2 8 2" xfId="8689" xr:uid="{8C682617-A944-49B2-944A-A22710850B15}"/>
    <cellStyle name="Check Cell 27 2 2 8 2 2" xfId="8690" xr:uid="{04873597-567B-40D5-ACB4-CAE7AFB4BE93}"/>
    <cellStyle name="Check Cell 27 2 2 8 3" xfId="8691" xr:uid="{CB52C5B5-A574-4143-92DC-99643EADEB85}"/>
    <cellStyle name="Check Cell 27 2 2 9" xfId="8692" xr:uid="{7CEE7523-537B-4B9D-9A4E-866441BC86FD}"/>
    <cellStyle name="Check Cell 27 2 2 9 2" xfId="8693" xr:uid="{65A44E15-035C-4CCD-906B-D68AEF8642CA}"/>
    <cellStyle name="Check Cell 27 2 2 9 2 2" xfId="8694" xr:uid="{30972F97-DF63-4658-A19E-8E9A27E58196}"/>
    <cellStyle name="Check Cell 27 2 2 9 3" xfId="8695" xr:uid="{9459693C-A93A-4FF9-98C5-8F4B57B41ABE}"/>
    <cellStyle name="Check Cell 27 2 3" xfId="8696" xr:uid="{EBC35843-67B8-4C85-9783-EED2AB94C113}"/>
    <cellStyle name="Check Cell 27 2 3 2" xfId="8697" xr:uid="{D75E7FE4-1D29-410B-8A12-106478D7FBF2}"/>
    <cellStyle name="Check Cell 27 2 3 2 2" xfId="8698" xr:uid="{D2DF09D6-ACC3-41F3-ACD3-60A43AED21D6}"/>
    <cellStyle name="Check Cell 27 2 3 2 2 2" xfId="8699" xr:uid="{C903088A-0C51-45DD-A33B-7DEF734BB9AB}"/>
    <cellStyle name="Check Cell 27 2 3 2 3" xfId="8700" xr:uid="{AED87D47-AE9B-447B-85F0-0C0B52D4C02B}"/>
    <cellStyle name="Check Cell 27 2 3 3" xfId="8701" xr:uid="{615C74F0-65AD-40A7-95D8-F3DEA9218FFA}"/>
    <cellStyle name="Check Cell 27 2 3 3 2" xfId="8702" xr:uid="{E7348ACB-62D1-462E-AE62-3E968C36D44E}"/>
    <cellStyle name="Check Cell 27 2 3 3 2 2" xfId="8703" xr:uid="{0DCA0441-C659-424C-9B28-A05E1BCA8311}"/>
    <cellStyle name="Check Cell 27 2 3 3 3" xfId="8704" xr:uid="{4D23EDF3-5A36-47A0-B7A9-BA877E39409D}"/>
    <cellStyle name="Check Cell 27 2 3 4" xfId="8705" xr:uid="{7E437DE4-FD38-489F-A7E1-9D38E61077F9}"/>
    <cellStyle name="Check Cell 27 2 3 4 2" xfId="8706" xr:uid="{B1B003AC-29FE-4686-B692-CF9DE363F7E9}"/>
    <cellStyle name="Check Cell 27 2 3 4 2 2" xfId="8707" xr:uid="{B26CCF40-AADB-41CF-AA58-1F6FDE12753B}"/>
    <cellStyle name="Check Cell 27 2 3 4 3" xfId="8708" xr:uid="{9105E9A1-B0DF-4551-9B6B-02D6EB9DFA05}"/>
    <cellStyle name="Check Cell 27 2 3 5" xfId="8709" xr:uid="{F3A46027-3B99-4F9E-AB6A-12D271EAEB7A}"/>
    <cellStyle name="Check Cell 27 2 3 5 2" xfId="8710" xr:uid="{ADB9036A-7429-4E75-A813-7AEC995FCC3F}"/>
    <cellStyle name="Check Cell 27 2 3 5 2 2" xfId="8711" xr:uid="{E5FE8A39-302F-4F4F-9DA4-FA82A02E477A}"/>
    <cellStyle name="Check Cell 27 2 3 5 3" xfId="8712" xr:uid="{A4D05FA9-E071-4DBD-9AAF-92182534F9A3}"/>
    <cellStyle name="Check Cell 27 2 3 6" xfId="8713" xr:uid="{7B71BF09-0A85-4CDE-BAB1-308FBB6D6C57}"/>
    <cellStyle name="Check Cell 27 2 3 6 2" xfId="8714" xr:uid="{DB19B9AC-C976-400E-B1E4-601F731A0390}"/>
    <cellStyle name="Check Cell 27 2 3 6 2 2" xfId="8715" xr:uid="{4F08812B-13E0-4D7D-A519-8A04C6C606EC}"/>
    <cellStyle name="Check Cell 27 2 3 6 3" xfId="8716" xr:uid="{3A37E4AE-BDBC-48BD-BB00-70708EAFC277}"/>
    <cellStyle name="Check Cell 27 2 3 7" xfId="8717" xr:uid="{FC646342-EC2A-460B-9D53-7F2FEFD56261}"/>
    <cellStyle name="Check Cell 27 2 3 7 2" xfId="8718" xr:uid="{E9301824-C915-4406-B97E-15E87D4F70DF}"/>
    <cellStyle name="Check Cell 27 2 3 7 2 2" xfId="8719" xr:uid="{A6A83AF0-1567-4FCB-A5B1-8581CF5A9429}"/>
    <cellStyle name="Check Cell 27 2 3 7 3" xfId="8720" xr:uid="{DC71F08C-F1E8-49AA-A171-EF1C84BC3B96}"/>
    <cellStyle name="Check Cell 27 2 3 8" xfId="8721" xr:uid="{3E09C41D-A41B-4672-9A28-41CCB133DEBB}"/>
    <cellStyle name="Check Cell 27 2 3 8 2" xfId="8722" xr:uid="{609BD2FD-6D62-4A85-B42A-5582CAD4DADB}"/>
    <cellStyle name="Check Cell 27 2 3 8 2 2" xfId="8723" xr:uid="{C14E0BB4-3637-4CD7-9C75-62FEB26C263E}"/>
    <cellStyle name="Check Cell 27 2 3 8 3" xfId="8724" xr:uid="{4D744223-3F0D-42EC-B700-619121F8EF5A}"/>
    <cellStyle name="Check Cell 27 2 3 9" xfId="8725" xr:uid="{8CEEAFE1-CE12-4E7A-AB0B-3C9C19BE191A}"/>
    <cellStyle name="Check Cell 27 2 3 9 2" xfId="8726" xr:uid="{86CD8201-7220-49C1-814C-D112D07CD5E1}"/>
    <cellStyle name="Check Cell 27 2 3 9 2 2" xfId="8727" xr:uid="{C1DEEAE5-63F3-47D5-91A2-D61C50F57F7F}"/>
    <cellStyle name="Check Cell 27 2 3 9 3" xfId="8728" xr:uid="{C666FD27-E9B9-4307-B0D8-BA20E5ABE6D5}"/>
    <cellStyle name="Check Cell 27 2 4" xfId="8729" xr:uid="{F6F8A724-7C56-4CCF-B1F7-D68A3624A7F9}"/>
    <cellStyle name="Check Cell 27 2 4 2" xfId="8730" xr:uid="{25AFA934-F74B-4873-BAB2-CA215D26B38B}"/>
    <cellStyle name="Check Cell 27 2 4 2 2" xfId="8731" xr:uid="{17D3767C-036F-4830-83F5-D6766F1151DA}"/>
    <cellStyle name="Check Cell 27 2 4 2 2 2" xfId="8732" xr:uid="{79CEBDDF-A175-4DB0-A303-FE2BFC9CEE0A}"/>
    <cellStyle name="Check Cell 27 2 4 2 3" xfId="8733" xr:uid="{8F6527CD-96D3-4D2E-923B-A684B21443DC}"/>
    <cellStyle name="Check Cell 27 2 4 3" xfId="8734" xr:uid="{106B4FC2-473A-4E97-B9BC-1B988770DD01}"/>
    <cellStyle name="Check Cell 27 2 4 3 2" xfId="8735" xr:uid="{44F00551-1226-4B9F-981B-B530D07475C9}"/>
    <cellStyle name="Check Cell 27 2 4 3 2 2" xfId="8736" xr:uid="{1EA72E1E-725B-49C3-9036-4DA3006F4B18}"/>
    <cellStyle name="Check Cell 27 2 4 3 3" xfId="8737" xr:uid="{FE5FEFC6-EF9B-41E7-8FA2-97EDED87B2B0}"/>
    <cellStyle name="Check Cell 27 2 4 4" xfId="8738" xr:uid="{A90AA88C-8751-45C1-A098-E9F7E2362E88}"/>
    <cellStyle name="Check Cell 27 2 4 4 2" xfId="8739" xr:uid="{FDD07188-2795-4EB0-98A9-94FE3B4159D1}"/>
    <cellStyle name="Check Cell 27 2 4 4 2 2" xfId="8740" xr:uid="{2DBFD898-0C50-4FB9-9B6C-FD9CE9EE5B7B}"/>
    <cellStyle name="Check Cell 27 2 4 4 3" xfId="8741" xr:uid="{333E6ED4-0D8D-48BF-9C2C-321187BAB91C}"/>
    <cellStyle name="Check Cell 27 2 4 5" xfId="8742" xr:uid="{4407084B-9B4A-4BE9-8807-C06EFD78AD18}"/>
    <cellStyle name="Check Cell 27 2 4 5 2" xfId="8743" xr:uid="{294D6E0B-D367-4473-874A-165138BAABDD}"/>
    <cellStyle name="Check Cell 27 2 4 5 2 2" xfId="8744" xr:uid="{10ED860E-C234-48CF-BEBA-CD4C72CD1EE5}"/>
    <cellStyle name="Check Cell 27 2 4 5 3" xfId="8745" xr:uid="{8D745318-D18D-41C6-B8B9-FE0283DF000B}"/>
    <cellStyle name="Check Cell 27 2 4 6" xfId="8746" xr:uid="{0EE49CC5-E533-400A-8FDB-0E3FB1BA7278}"/>
    <cellStyle name="Check Cell 27 2 4 6 2" xfId="8747" xr:uid="{BE8B68A2-64AD-415A-8B5E-EDCEC8F6FF60}"/>
    <cellStyle name="Check Cell 27 2 4 6 2 2" xfId="8748" xr:uid="{B554CABB-962E-4075-9ECD-143B8B5C848B}"/>
    <cellStyle name="Check Cell 27 2 4 6 3" xfId="8749" xr:uid="{14F4C1C9-FD89-4D78-9340-B1C9811BD1E7}"/>
    <cellStyle name="Check Cell 27 2 4 7" xfId="8750" xr:uid="{B405BAF6-2AEE-41E5-866C-908C080A987D}"/>
    <cellStyle name="Check Cell 27 2 4 7 2" xfId="8751" xr:uid="{7180F6E1-B78D-4025-A0AA-CA3E385524CF}"/>
    <cellStyle name="Check Cell 27 2 4 7 2 2" xfId="8752" xr:uid="{EF2A6BE2-7F6B-42BF-8BB8-A8B97DBB9694}"/>
    <cellStyle name="Check Cell 27 2 4 7 3" xfId="8753" xr:uid="{D06B25B5-F01F-4BD3-A9F1-2B9AC375A692}"/>
    <cellStyle name="Check Cell 27 2 4 8" xfId="8754" xr:uid="{8867B5AE-4412-4EA7-90B0-868E04D3EDCC}"/>
    <cellStyle name="Check Cell 27 2 4 8 2" xfId="8755" xr:uid="{719271F3-D9C0-438A-A2F2-23F61996D8CA}"/>
    <cellStyle name="Check Cell 27 2 4 8 2 2" xfId="8756" xr:uid="{FB437913-1127-4C1C-9410-6981080AF12E}"/>
    <cellStyle name="Check Cell 27 2 4 8 3" xfId="8757" xr:uid="{168C1D33-C0A6-40C7-8DBF-5EB3E00D0E1D}"/>
    <cellStyle name="Check Cell 27 2 4 9" xfId="8758" xr:uid="{46792C4A-0818-47B0-AC44-020C60B22C4B}"/>
    <cellStyle name="Check Cell 27 2 4 9 2" xfId="8759" xr:uid="{B2AB2FB6-EE85-4013-BB06-40A440D8E17B}"/>
    <cellStyle name="Check Cell 27 2 4 9 2 2" xfId="8760" xr:uid="{CE48CD3C-6FBE-4771-BF7B-62631D3B53B1}"/>
    <cellStyle name="Check Cell 27 2 4 9 3" xfId="8761" xr:uid="{61063B49-8F18-4273-8367-A4881280A4C7}"/>
    <cellStyle name="Check Cell 27 2 5" xfId="8762" xr:uid="{1F593C54-CFDC-4D9A-A081-EC4A428110DD}"/>
    <cellStyle name="Check Cell 27 2 5 2" xfId="8763" xr:uid="{C68ADCC6-0BEC-4D3A-8A8A-D6ED9D416106}"/>
    <cellStyle name="Check Cell 27 2 5 2 2" xfId="8764" xr:uid="{AD570D50-E75E-408F-8198-88307651D4EA}"/>
    <cellStyle name="Check Cell 27 2 5 2 2 2" xfId="8765" xr:uid="{7A669002-BFF2-41EA-9C0A-4CDF8821FDDF}"/>
    <cellStyle name="Check Cell 27 2 5 2 3" xfId="8766" xr:uid="{157F151C-A974-481F-85FE-00A9C1A55261}"/>
    <cellStyle name="Check Cell 27 2 5 3" xfId="8767" xr:uid="{190A25C6-9CD7-4049-B8FF-559F7A43C8F0}"/>
    <cellStyle name="Check Cell 27 2 5 3 2" xfId="8768" xr:uid="{E59C2E14-2975-429B-B77D-4830BBBE4858}"/>
    <cellStyle name="Check Cell 27 2 5 3 2 2" xfId="8769" xr:uid="{98C1A912-68B9-4321-9D66-AC06D3A0DC67}"/>
    <cellStyle name="Check Cell 27 2 5 3 3" xfId="8770" xr:uid="{CE4B45C3-99EF-4DE1-81B0-93244069AAEB}"/>
    <cellStyle name="Check Cell 27 2 5 4" xfId="8771" xr:uid="{337AC137-D557-4AA5-BAB5-8AD9D5AE06A7}"/>
    <cellStyle name="Check Cell 27 2 5 4 2" xfId="8772" xr:uid="{1F89D5A7-985D-4E1E-A33B-E6E93D448B0C}"/>
    <cellStyle name="Check Cell 27 2 5 4 2 2" xfId="8773" xr:uid="{1E244C37-4CEE-400F-98DF-E17172D41FA8}"/>
    <cellStyle name="Check Cell 27 2 5 4 3" xfId="8774" xr:uid="{A94CDDE1-872B-4EB8-8C84-113FDE2DD058}"/>
    <cellStyle name="Check Cell 27 2 5 5" xfId="8775" xr:uid="{76F1FC5E-933D-46B0-B600-D751BDBDC9F5}"/>
    <cellStyle name="Check Cell 27 2 5 5 2" xfId="8776" xr:uid="{B3229269-94AC-43AA-964F-543C505A74C8}"/>
    <cellStyle name="Check Cell 27 2 5 5 2 2" xfId="8777" xr:uid="{D6AC5912-BB1E-4D19-A2F4-5FC08DE38A6D}"/>
    <cellStyle name="Check Cell 27 2 5 5 3" xfId="8778" xr:uid="{C9F3C228-7E54-4B40-A439-B93D971CE616}"/>
    <cellStyle name="Check Cell 27 2 5 6" xfId="8779" xr:uid="{C1E8B6E1-C919-4D5A-835A-FA9D0455E73C}"/>
    <cellStyle name="Check Cell 27 2 5 6 2" xfId="8780" xr:uid="{15726E30-8DBE-4C63-9447-8CB6552E9D05}"/>
    <cellStyle name="Check Cell 27 2 5 6 2 2" xfId="8781" xr:uid="{467D40B5-898E-4B0A-B8AC-0EB21C0D7205}"/>
    <cellStyle name="Check Cell 27 2 5 6 3" xfId="8782" xr:uid="{BC1C39E0-A59F-4914-9A07-5FEF4557F40B}"/>
    <cellStyle name="Check Cell 27 2 5 7" xfId="8783" xr:uid="{0290BEED-1208-40BA-A98B-D33A7465DA8B}"/>
    <cellStyle name="Check Cell 27 2 5 7 2" xfId="8784" xr:uid="{36BC7916-6649-4736-924F-A79E61C90DA6}"/>
    <cellStyle name="Check Cell 27 2 5 7 2 2" xfId="8785" xr:uid="{6E206A9A-A28C-4473-ADB7-B996782358C8}"/>
    <cellStyle name="Check Cell 27 2 5 7 3" xfId="8786" xr:uid="{73CDD7DE-3B8C-4D12-9852-4CE214944738}"/>
    <cellStyle name="Check Cell 27 2 5 8" xfId="8787" xr:uid="{40C2C9EA-391B-4876-B1B1-7FA3683CA08E}"/>
    <cellStyle name="Check Cell 27 2 5 8 2" xfId="8788" xr:uid="{116FE6B1-EDA5-4ADD-8263-FF738694C546}"/>
    <cellStyle name="Check Cell 27 2 5 8 2 2" xfId="8789" xr:uid="{855CC1F2-27B0-4B52-8645-DB47A92AD3E9}"/>
    <cellStyle name="Check Cell 27 2 5 8 3" xfId="8790" xr:uid="{35C3B78D-1679-4E13-A287-4FD8D8715E3B}"/>
    <cellStyle name="Check Cell 27 2 5 9" xfId="8791" xr:uid="{355D76B0-CCC4-4322-9400-6CBBD4FA8CDA}"/>
    <cellStyle name="Check Cell 27 2 5 9 2" xfId="8792" xr:uid="{593F4293-8FB2-42CC-B98B-5BEDAA4C3837}"/>
    <cellStyle name="Check Cell 27 2 5 9 2 2" xfId="8793" xr:uid="{83B6120B-F5F3-46EF-B9BC-A9CFB0E3CD1F}"/>
    <cellStyle name="Check Cell 27 2 5 9 3" xfId="8794" xr:uid="{086D18BD-D78A-4384-B6BB-816901C7E3BD}"/>
    <cellStyle name="Check Cell 27 2 6" xfId="8795" xr:uid="{7B521810-02E0-453F-B80C-9871C05B6B8D}"/>
    <cellStyle name="Check Cell 27 2 6 2" xfId="8796" xr:uid="{E1689EF6-1C74-480D-911B-5ACB9F18F873}"/>
    <cellStyle name="Check Cell 27 2 6 2 2" xfId="8797" xr:uid="{F285DF01-EBC1-45EB-8E22-EDC5F0188D2A}"/>
    <cellStyle name="Check Cell 27 2 6 3" xfId="8798" xr:uid="{8F246238-332C-4F61-9D70-1D9D61A31CDD}"/>
    <cellStyle name="Check Cell 27 2 7" xfId="8799" xr:uid="{5FB0D047-D854-432B-9DA5-0E89175FD6CF}"/>
    <cellStyle name="Check Cell 27 2 7 2" xfId="8800" xr:uid="{6659582E-24B9-4170-A585-3E6CC16E1D59}"/>
    <cellStyle name="Check Cell 27 2 7 2 2" xfId="8801" xr:uid="{31E47E09-67AF-423A-9D6E-D27C6FC6606A}"/>
    <cellStyle name="Check Cell 27 2 7 3" xfId="8802" xr:uid="{FA4419C6-EF77-40B0-B3C9-24DD7B443B6F}"/>
    <cellStyle name="Check Cell 27 2 8" xfId="8803" xr:uid="{ED84E094-F686-4814-86F4-33E7B94C6482}"/>
    <cellStyle name="Check Cell 27 2 8 2" xfId="8804" xr:uid="{108DC810-9D16-4A2B-BA3E-4EC7BDBB9D2A}"/>
    <cellStyle name="Check Cell 27 2 8 2 2" xfId="8805" xr:uid="{F996FA7B-C439-4BA3-A470-A375A11194F4}"/>
    <cellStyle name="Check Cell 27 2 8 3" xfId="8806" xr:uid="{2C67E341-267E-44C3-A8F1-269788FD45B4}"/>
    <cellStyle name="Check Cell 27 2 9" xfId="8807" xr:uid="{14EC1D8B-971E-4597-95BB-EA35067AED52}"/>
    <cellStyle name="Check Cell 27 2 9 2" xfId="8808" xr:uid="{4A7FE8DA-E829-4716-B3E7-2C0A07D35C7C}"/>
    <cellStyle name="Check Cell 27 2 9 2 2" xfId="8809" xr:uid="{286C988F-FAA1-4F49-AEDB-0EE0E54EEC63}"/>
    <cellStyle name="Check Cell 27 2 9 3" xfId="8810" xr:uid="{17AFE10F-7EF7-4B42-8417-0B66E6A510A5}"/>
    <cellStyle name="Check Cell 27 3" xfId="8811" xr:uid="{5A98F602-93CD-4D57-9C98-9C83EF228A26}"/>
    <cellStyle name="Check Cell 27 3 2" xfId="8812" xr:uid="{52FC1CA9-4E74-4A47-B8A4-2E0324397796}"/>
    <cellStyle name="Check Cell 27 3 2 2" xfId="8813" xr:uid="{B88BE63E-DB60-49E0-A9DC-CDF64656EEDA}"/>
    <cellStyle name="Check Cell 27 3 3" xfId="8814" xr:uid="{974FE912-B177-41B3-A309-5744996DE7C4}"/>
    <cellStyle name="Check Cell 27 4" xfId="8815" xr:uid="{C7F0B27D-8030-4A71-82A1-D98DC14E7090}"/>
    <cellStyle name="Check Cell 27 4 2" xfId="8816" xr:uid="{EDD17FD5-FF3B-42DA-A7E6-38B2D230E07F}"/>
    <cellStyle name="Check Cell 28" xfId="8817" xr:uid="{D7A8EB5A-C751-48D8-A6F6-A44BA14A5D58}"/>
    <cellStyle name="Check Cell 28 2" xfId="8818" xr:uid="{1F755BB9-E768-4474-A8AC-38FEF83A803E}"/>
    <cellStyle name="Check Cell 28 2 10" xfId="8819" xr:uid="{968CFF51-CD4C-41FB-839E-2EC28C8376E3}"/>
    <cellStyle name="Check Cell 28 2 10 2" xfId="8820" xr:uid="{02D25CF2-094B-46FB-A991-C6D4B0A61A90}"/>
    <cellStyle name="Check Cell 28 2 10 2 2" xfId="8821" xr:uid="{6A236D6C-BF4C-45B2-AE92-B81E51BAD95D}"/>
    <cellStyle name="Check Cell 28 2 10 3" xfId="8822" xr:uid="{0E815A3D-5E72-4072-B1C9-0DAD879B19FD}"/>
    <cellStyle name="Check Cell 28 2 11" xfId="8823" xr:uid="{71DEBFF5-79CF-4E98-AAC3-AF8F5360D041}"/>
    <cellStyle name="Check Cell 28 2 11 2" xfId="8824" xr:uid="{FC37199B-8D89-4D38-B355-80CF75BD1643}"/>
    <cellStyle name="Check Cell 28 2 11 2 2" xfId="8825" xr:uid="{40D39F3B-5D58-4598-97D6-9CC6F0E0FD81}"/>
    <cellStyle name="Check Cell 28 2 11 3" xfId="8826" xr:uid="{32A0B477-FCD1-445F-9C9E-1174253A3B96}"/>
    <cellStyle name="Check Cell 28 2 12" xfId="8827" xr:uid="{ED931A13-3F26-4C00-9F3F-21FB7C8EFB04}"/>
    <cellStyle name="Check Cell 28 2 12 2" xfId="8828" xr:uid="{AD20F6A1-09DE-4A44-8753-AF64BCEEB272}"/>
    <cellStyle name="Check Cell 28 2 12 2 2" xfId="8829" xr:uid="{B828FA0A-968E-420F-96F8-6A11FC2E56F4}"/>
    <cellStyle name="Check Cell 28 2 12 3" xfId="8830" xr:uid="{D6E38341-29F1-41CB-B0D1-E7BEF3E9E06A}"/>
    <cellStyle name="Check Cell 28 2 13" xfId="8831" xr:uid="{3B475E83-6EAF-4A4C-B039-870C0BAA56C0}"/>
    <cellStyle name="Check Cell 28 2 13 2" xfId="8832" xr:uid="{8307E4AC-41F3-4B8B-8559-71B3FD42EF4B}"/>
    <cellStyle name="Check Cell 28 2 13 2 2" xfId="8833" xr:uid="{4D6D5318-F48C-4CBD-A9FD-7366BA6C58AE}"/>
    <cellStyle name="Check Cell 28 2 13 3" xfId="8834" xr:uid="{49CD1072-6FC3-4B27-9B83-276E9FFEA034}"/>
    <cellStyle name="Check Cell 28 2 2" xfId="8835" xr:uid="{F5ED5E1F-79B9-460D-85CB-5055914917FC}"/>
    <cellStyle name="Check Cell 28 2 2 2" xfId="8836" xr:uid="{22B2A7A6-C564-49DB-919B-6C5E1C107C42}"/>
    <cellStyle name="Check Cell 28 2 2 2 2" xfId="8837" xr:uid="{1664328E-4654-49A0-A6EF-D9476AF56401}"/>
    <cellStyle name="Check Cell 28 2 2 2 2 2" xfId="8838" xr:uid="{4E5ACA49-C25F-4CED-8D41-FD50E521EA34}"/>
    <cellStyle name="Check Cell 28 2 2 2 3" xfId="8839" xr:uid="{08A1161E-7BA0-454C-AC2F-6B66F81BCAA3}"/>
    <cellStyle name="Check Cell 28 2 2 3" xfId="8840" xr:uid="{350EA934-A0E6-4A48-9CF1-54FB8865AF1C}"/>
    <cellStyle name="Check Cell 28 2 2 3 2" xfId="8841" xr:uid="{AB400377-A8DB-4057-9A36-1CEB37319BCC}"/>
    <cellStyle name="Check Cell 28 2 2 3 2 2" xfId="8842" xr:uid="{173A1501-A34E-4AB1-9E15-9EB98E7A5C43}"/>
    <cellStyle name="Check Cell 28 2 2 3 3" xfId="8843" xr:uid="{97136344-ADD3-4FEF-9F61-F85552DBBC27}"/>
    <cellStyle name="Check Cell 28 2 2 4" xfId="8844" xr:uid="{CA250165-696B-4F72-B601-B46F3309CD99}"/>
    <cellStyle name="Check Cell 28 2 2 4 2" xfId="8845" xr:uid="{1B6765BF-783B-4022-B041-4B474627149B}"/>
    <cellStyle name="Check Cell 28 2 2 4 2 2" xfId="8846" xr:uid="{36686398-7755-4BF5-944C-DB3D8002FF8C}"/>
    <cellStyle name="Check Cell 28 2 2 4 3" xfId="8847" xr:uid="{D5016FDC-C399-402F-8EAA-4F2243E99CD8}"/>
    <cellStyle name="Check Cell 28 2 2 5" xfId="8848" xr:uid="{85B5A0B9-06A0-4A62-93E0-BE3F621E6CCE}"/>
    <cellStyle name="Check Cell 28 2 2 5 2" xfId="8849" xr:uid="{7E10418B-1CF9-474A-84AB-A255359327B6}"/>
    <cellStyle name="Check Cell 28 2 2 5 2 2" xfId="8850" xr:uid="{18F6A8EF-E6DB-4623-A466-ABEFBB6543F9}"/>
    <cellStyle name="Check Cell 28 2 2 5 3" xfId="8851" xr:uid="{7D3EC6CB-3C42-4119-88F8-71CBDCE9556D}"/>
    <cellStyle name="Check Cell 28 2 2 6" xfId="8852" xr:uid="{2213475B-ED0B-45F0-BD03-A3D0D695507B}"/>
    <cellStyle name="Check Cell 28 2 2 6 2" xfId="8853" xr:uid="{37A3B706-D70E-48A5-B08B-56942DC3C5D0}"/>
    <cellStyle name="Check Cell 28 2 2 6 2 2" xfId="8854" xr:uid="{19566A48-1070-41D8-B42D-947005F0481A}"/>
    <cellStyle name="Check Cell 28 2 2 6 3" xfId="8855" xr:uid="{0D32B725-9105-4B19-B4F8-68D67F48AFF6}"/>
    <cellStyle name="Check Cell 28 2 2 7" xfId="8856" xr:uid="{937DA878-BA5E-4AA7-918F-68383C447C64}"/>
    <cellStyle name="Check Cell 28 2 2 7 2" xfId="8857" xr:uid="{77C755C9-E4EF-4C6D-B44C-375C173C8453}"/>
    <cellStyle name="Check Cell 28 2 2 7 2 2" xfId="8858" xr:uid="{D1CB848F-8438-4510-B9EF-F0BD8DE8F401}"/>
    <cellStyle name="Check Cell 28 2 2 7 3" xfId="8859" xr:uid="{8E0087A2-807E-43C3-9F08-4AEC1A6E53D7}"/>
    <cellStyle name="Check Cell 28 2 2 8" xfId="8860" xr:uid="{573F8B4E-CE48-439F-8EE1-88C290E96AF0}"/>
    <cellStyle name="Check Cell 28 2 2 8 2" xfId="8861" xr:uid="{46A33713-0218-4256-8BD0-5EEC53FF9E97}"/>
    <cellStyle name="Check Cell 28 2 2 8 2 2" xfId="8862" xr:uid="{1C209A8D-C142-4484-AEE5-5A81AEA5055C}"/>
    <cellStyle name="Check Cell 28 2 2 8 3" xfId="8863" xr:uid="{8D5603CB-7C5F-4A53-8298-9E692867109C}"/>
    <cellStyle name="Check Cell 28 2 2 9" xfId="8864" xr:uid="{E3D8049E-05AE-4E57-95E5-80A29C245F6D}"/>
    <cellStyle name="Check Cell 28 2 2 9 2" xfId="8865" xr:uid="{CE154D1B-D8D4-416E-934B-845857AE65D0}"/>
    <cellStyle name="Check Cell 28 2 2 9 2 2" xfId="8866" xr:uid="{BA1B1F2B-02C1-4A6D-B65B-7EDD293A8620}"/>
    <cellStyle name="Check Cell 28 2 2 9 3" xfId="8867" xr:uid="{1E2C8180-565D-4A8F-A857-7E7F132A76E1}"/>
    <cellStyle name="Check Cell 28 2 3" xfId="8868" xr:uid="{CEC3A288-D5B4-412D-A36A-B686973B0A58}"/>
    <cellStyle name="Check Cell 28 2 3 2" xfId="8869" xr:uid="{38448026-97E4-4B85-A4FA-ED11C35F6BCC}"/>
    <cellStyle name="Check Cell 28 2 3 2 2" xfId="8870" xr:uid="{55BB6E4D-98BA-490A-9BD0-5A83ED50299E}"/>
    <cellStyle name="Check Cell 28 2 3 2 2 2" xfId="8871" xr:uid="{0473442F-BDB0-40A6-B413-DE5F6F59DB97}"/>
    <cellStyle name="Check Cell 28 2 3 2 3" xfId="8872" xr:uid="{3C19BA03-6192-4850-94B5-970B831E2008}"/>
    <cellStyle name="Check Cell 28 2 3 3" xfId="8873" xr:uid="{91EFAEFB-354E-4053-BDBE-17968EF98A1C}"/>
    <cellStyle name="Check Cell 28 2 3 3 2" xfId="8874" xr:uid="{D675067F-2D01-45B3-AA49-A933B3B664C7}"/>
    <cellStyle name="Check Cell 28 2 3 3 2 2" xfId="8875" xr:uid="{E71F170B-1C4F-45A2-AC8D-D97D7B99E6AA}"/>
    <cellStyle name="Check Cell 28 2 3 3 3" xfId="8876" xr:uid="{D97BF97A-D4FF-4A13-BEE9-E38E63520980}"/>
    <cellStyle name="Check Cell 28 2 3 4" xfId="8877" xr:uid="{CFDE6DCB-CAFE-44B1-A748-D7B8D4E01024}"/>
    <cellStyle name="Check Cell 28 2 3 4 2" xfId="8878" xr:uid="{C507E39C-59C7-4BF3-AE16-BD9DE0F7F1EF}"/>
    <cellStyle name="Check Cell 28 2 3 4 2 2" xfId="8879" xr:uid="{B4894EC4-CF59-4B33-84C8-7CB2EA88484D}"/>
    <cellStyle name="Check Cell 28 2 3 4 3" xfId="8880" xr:uid="{6941EBC7-D43F-4843-BC03-2FB4B3EFAAA8}"/>
    <cellStyle name="Check Cell 28 2 3 5" xfId="8881" xr:uid="{0A6833B2-0255-469A-B9DA-AF53B1744526}"/>
    <cellStyle name="Check Cell 28 2 3 5 2" xfId="8882" xr:uid="{55C51C35-CBA9-4C58-ABD4-EB92D4FFB0A1}"/>
    <cellStyle name="Check Cell 28 2 3 5 2 2" xfId="8883" xr:uid="{EDA32C5B-C047-4D5A-B6E2-FDC3E805F8F1}"/>
    <cellStyle name="Check Cell 28 2 3 5 3" xfId="8884" xr:uid="{EA29897A-7FE7-472C-98E5-E76F6ACE2878}"/>
    <cellStyle name="Check Cell 28 2 3 6" xfId="8885" xr:uid="{DCC7642A-D791-4968-A99A-E2A3BA5E9031}"/>
    <cellStyle name="Check Cell 28 2 3 6 2" xfId="8886" xr:uid="{CA14FCFB-577A-4770-98D5-D053CD1EC6C8}"/>
    <cellStyle name="Check Cell 28 2 3 6 2 2" xfId="8887" xr:uid="{27380EAC-6AB3-40E8-ABDF-B53760DAA6A1}"/>
    <cellStyle name="Check Cell 28 2 3 6 3" xfId="8888" xr:uid="{025CF81A-0F5A-406C-97C4-40D6ADA0EBB3}"/>
    <cellStyle name="Check Cell 28 2 3 7" xfId="8889" xr:uid="{142E9FC4-7D49-4C23-A8D8-0E75D1E2D145}"/>
    <cellStyle name="Check Cell 28 2 3 7 2" xfId="8890" xr:uid="{CA5810F4-3ED7-4175-9CCD-BBE0046E551F}"/>
    <cellStyle name="Check Cell 28 2 3 7 2 2" xfId="8891" xr:uid="{CE013693-9C8D-46E8-8413-D72F36E29BAD}"/>
    <cellStyle name="Check Cell 28 2 3 7 3" xfId="8892" xr:uid="{DDC522AD-AD72-427D-ADA2-30C678B0C77F}"/>
    <cellStyle name="Check Cell 28 2 3 8" xfId="8893" xr:uid="{111AB2AD-CCCA-418B-BB3B-96EDCC92927A}"/>
    <cellStyle name="Check Cell 28 2 3 8 2" xfId="8894" xr:uid="{A2510382-7C8B-48DA-A0B5-7D3E7FCFD00A}"/>
    <cellStyle name="Check Cell 28 2 3 8 2 2" xfId="8895" xr:uid="{EF9394A6-2118-485C-915D-C57395162F05}"/>
    <cellStyle name="Check Cell 28 2 3 8 3" xfId="8896" xr:uid="{0FBD940E-C156-4CF7-B8BD-76302733CFA1}"/>
    <cellStyle name="Check Cell 28 2 3 9" xfId="8897" xr:uid="{FCCA1620-5772-4E22-8D67-31ADA32154E0}"/>
    <cellStyle name="Check Cell 28 2 3 9 2" xfId="8898" xr:uid="{1B41F3A0-040F-417B-979C-E4BB646C5C86}"/>
    <cellStyle name="Check Cell 28 2 3 9 2 2" xfId="8899" xr:uid="{3B66DE87-ECEB-42A0-854D-2D373DA7B1CA}"/>
    <cellStyle name="Check Cell 28 2 3 9 3" xfId="8900" xr:uid="{154242D3-DC33-4D1F-829F-59F2DF62DCE5}"/>
    <cellStyle name="Check Cell 28 2 4" xfId="8901" xr:uid="{43DD4D87-60F3-4073-B97B-92DF39CD7076}"/>
    <cellStyle name="Check Cell 28 2 4 2" xfId="8902" xr:uid="{86340072-9F44-4672-8237-720468C9F0C9}"/>
    <cellStyle name="Check Cell 28 2 4 2 2" xfId="8903" xr:uid="{057995CD-DAAE-46B1-AE4F-8781F460FADF}"/>
    <cellStyle name="Check Cell 28 2 4 2 2 2" xfId="8904" xr:uid="{9E7A61D0-D8F9-458A-BCE0-E329A876DBA8}"/>
    <cellStyle name="Check Cell 28 2 4 2 3" xfId="8905" xr:uid="{CEE59BB7-276F-4965-B747-49CCE624D80F}"/>
    <cellStyle name="Check Cell 28 2 4 3" xfId="8906" xr:uid="{0FD183EC-2687-4CC9-831A-0DC21198F877}"/>
    <cellStyle name="Check Cell 28 2 4 3 2" xfId="8907" xr:uid="{9A941F8C-3076-4A87-A988-E941091E0A2B}"/>
    <cellStyle name="Check Cell 28 2 4 3 2 2" xfId="8908" xr:uid="{FB79CA6E-DE49-48B2-AD80-009A8D52CA8A}"/>
    <cellStyle name="Check Cell 28 2 4 3 3" xfId="8909" xr:uid="{FBCD5B74-100A-4BC1-B923-8B058DD7B75B}"/>
    <cellStyle name="Check Cell 28 2 4 4" xfId="8910" xr:uid="{11083EFD-89CF-41F2-8D75-C4FFB7A649A9}"/>
    <cellStyle name="Check Cell 28 2 4 4 2" xfId="8911" xr:uid="{1C3B3555-8CB2-4D67-92BC-4F97ADE2329D}"/>
    <cellStyle name="Check Cell 28 2 4 4 2 2" xfId="8912" xr:uid="{F4CC8CFE-F526-4AE2-AF06-E91606CC64AC}"/>
    <cellStyle name="Check Cell 28 2 4 4 3" xfId="8913" xr:uid="{F657F86E-22C9-4A43-A0AD-84CA51026FFC}"/>
    <cellStyle name="Check Cell 28 2 4 5" xfId="8914" xr:uid="{08947417-1354-4789-BB1A-02A9B153926E}"/>
    <cellStyle name="Check Cell 28 2 4 5 2" xfId="8915" xr:uid="{499C3002-965A-49BC-8616-83509D0BA9C6}"/>
    <cellStyle name="Check Cell 28 2 4 5 2 2" xfId="8916" xr:uid="{2B129ABF-B210-4A50-B90E-0E802D247793}"/>
    <cellStyle name="Check Cell 28 2 4 5 3" xfId="8917" xr:uid="{5AB0C231-C618-4F06-A8BC-B303C4F4B6D7}"/>
    <cellStyle name="Check Cell 28 2 4 6" xfId="8918" xr:uid="{EC4C9BC0-EF02-4C52-A8FF-B7E8A1C0809E}"/>
    <cellStyle name="Check Cell 28 2 4 6 2" xfId="8919" xr:uid="{91696B13-73E6-47D6-B3B4-B9FDC8840907}"/>
    <cellStyle name="Check Cell 28 2 4 6 2 2" xfId="8920" xr:uid="{1B164403-A93D-4162-9DD8-5EDBA12120EC}"/>
    <cellStyle name="Check Cell 28 2 4 6 3" xfId="8921" xr:uid="{F6784C65-B800-47BE-988A-FD423C502F76}"/>
    <cellStyle name="Check Cell 28 2 4 7" xfId="8922" xr:uid="{737D317B-8755-449C-A604-4151D12B43E6}"/>
    <cellStyle name="Check Cell 28 2 4 7 2" xfId="8923" xr:uid="{E7978CCF-80E0-48CD-B8E6-902A1410FF8D}"/>
    <cellStyle name="Check Cell 28 2 4 7 2 2" xfId="8924" xr:uid="{A2FD7190-F96F-4CDF-B797-189698A4E7EC}"/>
    <cellStyle name="Check Cell 28 2 4 7 3" xfId="8925" xr:uid="{5BD5EBC4-29CD-478F-BD31-D21427E29C00}"/>
    <cellStyle name="Check Cell 28 2 4 8" xfId="8926" xr:uid="{31E10DE0-E848-4652-B50B-F7FA62DEE813}"/>
    <cellStyle name="Check Cell 28 2 4 8 2" xfId="8927" xr:uid="{368B6175-1A2D-4472-AE8A-D100A58F26CE}"/>
    <cellStyle name="Check Cell 28 2 4 8 2 2" xfId="8928" xr:uid="{FB615092-A930-44BB-9B31-816427CC8E1E}"/>
    <cellStyle name="Check Cell 28 2 4 8 3" xfId="8929" xr:uid="{F0B19869-53A2-4EAE-9A97-DAF82C0CD166}"/>
    <cellStyle name="Check Cell 28 2 4 9" xfId="8930" xr:uid="{A05C0122-BCCA-415E-8C76-ED06E7B6C8B0}"/>
    <cellStyle name="Check Cell 28 2 4 9 2" xfId="8931" xr:uid="{B70B9641-337D-4776-B055-0DDD9405D0FF}"/>
    <cellStyle name="Check Cell 28 2 4 9 2 2" xfId="8932" xr:uid="{51084FB9-B575-4F4F-89F5-DCCD76CA3651}"/>
    <cellStyle name="Check Cell 28 2 4 9 3" xfId="8933" xr:uid="{7D3EC3EF-A410-4FB4-BB5B-DC48B07CE207}"/>
    <cellStyle name="Check Cell 28 2 5" xfId="8934" xr:uid="{F8DB846D-4FC5-4E18-824F-79BBA0FBBA11}"/>
    <cellStyle name="Check Cell 28 2 5 2" xfId="8935" xr:uid="{4121B471-1EBF-4FAF-A000-038C903E0F48}"/>
    <cellStyle name="Check Cell 28 2 5 2 2" xfId="8936" xr:uid="{CFEFDEC9-C954-4448-A65D-783D700BB71C}"/>
    <cellStyle name="Check Cell 28 2 5 2 2 2" xfId="8937" xr:uid="{1C421437-A98B-4050-9E01-3DFC6CCA6446}"/>
    <cellStyle name="Check Cell 28 2 5 2 3" xfId="8938" xr:uid="{6738ED7B-FB5B-465C-8E7E-5DA841E574D6}"/>
    <cellStyle name="Check Cell 28 2 5 3" xfId="8939" xr:uid="{F2DE2999-219D-4A8C-BA97-1C0F765612F6}"/>
    <cellStyle name="Check Cell 28 2 5 3 2" xfId="8940" xr:uid="{6BFB341B-835F-4527-8236-C2AF5BAE2A3F}"/>
    <cellStyle name="Check Cell 28 2 5 3 2 2" xfId="8941" xr:uid="{A816A92D-BB21-48BD-BEA1-D9A3AECE5D69}"/>
    <cellStyle name="Check Cell 28 2 5 3 3" xfId="8942" xr:uid="{DF65E548-A54B-4456-B605-A95BB7062B48}"/>
    <cellStyle name="Check Cell 28 2 5 4" xfId="8943" xr:uid="{36F14064-9F2D-47DE-96F4-23531CF16417}"/>
    <cellStyle name="Check Cell 28 2 5 4 2" xfId="8944" xr:uid="{444F4E98-CD4B-41C1-8EE2-A650EE10EC3D}"/>
    <cellStyle name="Check Cell 28 2 5 4 2 2" xfId="8945" xr:uid="{06D39777-9D4B-4D1E-A122-7D461E5A9F98}"/>
    <cellStyle name="Check Cell 28 2 5 4 3" xfId="8946" xr:uid="{3B3CD746-3E0E-4CB6-A022-473BA5C59585}"/>
    <cellStyle name="Check Cell 28 2 5 5" xfId="8947" xr:uid="{AA6C4A7B-0B95-4E39-A4DD-66642648EB7B}"/>
    <cellStyle name="Check Cell 28 2 5 5 2" xfId="8948" xr:uid="{8E887347-69FC-4F13-BD48-91F5560B6AFF}"/>
    <cellStyle name="Check Cell 28 2 5 5 2 2" xfId="8949" xr:uid="{A7208835-F40F-4C7F-818D-ABFF72999653}"/>
    <cellStyle name="Check Cell 28 2 5 5 3" xfId="8950" xr:uid="{76D0509E-8DDA-411E-AAF9-855401431146}"/>
    <cellStyle name="Check Cell 28 2 5 6" xfId="8951" xr:uid="{CBB86313-B558-4F53-BDAD-B164F6A84E61}"/>
    <cellStyle name="Check Cell 28 2 5 6 2" xfId="8952" xr:uid="{7E33CC31-1F96-4EEC-B24E-C6D8CFE71FA9}"/>
    <cellStyle name="Check Cell 28 2 5 6 2 2" xfId="8953" xr:uid="{16CD9B0A-F0CD-4303-9686-5063865927B1}"/>
    <cellStyle name="Check Cell 28 2 5 6 3" xfId="8954" xr:uid="{E751F4FF-95D5-4D2D-9663-A893F3A801F7}"/>
    <cellStyle name="Check Cell 28 2 5 7" xfId="8955" xr:uid="{E29E8837-7037-4817-AAAA-2D6D623AFAD5}"/>
    <cellStyle name="Check Cell 28 2 5 7 2" xfId="8956" xr:uid="{536571A8-C49B-4375-881F-8BC721F99D85}"/>
    <cellStyle name="Check Cell 28 2 5 7 2 2" xfId="8957" xr:uid="{2212BFCD-A555-44E0-8455-5BCA5A36AB2C}"/>
    <cellStyle name="Check Cell 28 2 5 7 3" xfId="8958" xr:uid="{DB89E99F-AED0-46D1-9E95-3154C01BE467}"/>
    <cellStyle name="Check Cell 28 2 5 8" xfId="8959" xr:uid="{F0C8D069-D9A5-4124-92B0-065A27A314A0}"/>
    <cellStyle name="Check Cell 28 2 5 8 2" xfId="8960" xr:uid="{57573AE0-8440-4651-86AB-26C73FB08395}"/>
    <cellStyle name="Check Cell 28 2 5 8 2 2" xfId="8961" xr:uid="{A4484665-10D9-4703-B092-584FED4334CB}"/>
    <cellStyle name="Check Cell 28 2 5 8 3" xfId="8962" xr:uid="{54D17581-54BE-4B48-8160-E1B864AE00D4}"/>
    <cellStyle name="Check Cell 28 2 5 9" xfId="8963" xr:uid="{D66C7A73-93A7-48C1-A5AB-CE75139314C9}"/>
    <cellStyle name="Check Cell 28 2 5 9 2" xfId="8964" xr:uid="{845B0BEC-C07F-4E91-BE61-4FA89320BF09}"/>
    <cellStyle name="Check Cell 28 2 5 9 2 2" xfId="8965" xr:uid="{330BA2B8-B48B-4B35-924B-B063012E08A6}"/>
    <cellStyle name="Check Cell 28 2 5 9 3" xfId="8966" xr:uid="{DDD20795-3B35-4C07-BB8D-7B8DF91FDA92}"/>
    <cellStyle name="Check Cell 28 2 6" xfId="8967" xr:uid="{CEBCFFE4-8D94-4985-BB87-316887E7EAC8}"/>
    <cellStyle name="Check Cell 28 2 6 2" xfId="8968" xr:uid="{B84D053A-C3DF-40CA-B4D8-9B937B6DDE54}"/>
    <cellStyle name="Check Cell 28 2 6 2 2" xfId="8969" xr:uid="{CCBF04CA-9610-4EA0-853F-6EEF6172092C}"/>
    <cellStyle name="Check Cell 28 2 6 3" xfId="8970" xr:uid="{DD7D6CA7-A561-45AC-8B77-B2C60FD07C71}"/>
    <cellStyle name="Check Cell 28 2 7" xfId="8971" xr:uid="{B53B7762-466D-4645-9627-9741C42AE0EE}"/>
    <cellStyle name="Check Cell 28 2 7 2" xfId="8972" xr:uid="{7C7D75D1-CAE7-46B3-BA6D-5A7651FD9706}"/>
    <cellStyle name="Check Cell 28 2 7 2 2" xfId="8973" xr:uid="{60312E08-C74F-4DCC-8C41-A886D94E85B7}"/>
    <cellStyle name="Check Cell 28 2 7 3" xfId="8974" xr:uid="{5CF00974-680B-4818-9BE7-6C8FF66011DF}"/>
    <cellStyle name="Check Cell 28 2 8" xfId="8975" xr:uid="{0ED5BBE5-E2AD-44D2-AE39-4458A52B63EA}"/>
    <cellStyle name="Check Cell 28 2 8 2" xfId="8976" xr:uid="{426DA2D6-A579-45C8-AF54-EA954ABAA3EF}"/>
    <cellStyle name="Check Cell 28 2 8 2 2" xfId="8977" xr:uid="{BEF3FFB0-94A3-4F2A-B054-715F076480C2}"/>
    <cellStyle name="Check Cell 28 2 8 3" xfId="8978" xr:uid="{2B01EF47-E72E-4F88-84D6-70B01BA3B35A}"/>
    <cellStyle name="Check Cell 28 2 9" xfId="8979" xr:uid="{7449D8B3-B6B4-4FC3-BE10-05E505ED3D16}"/>
    <cellStyle name="Check Cell 28 2 9 2" xfId="8980" xr:uid="{D7DFADC4-100B-403D-B1F1-C23BEED9A116}"/>
    <cellStyle name="Check Cell 28 2 9 2 2" xfId="8981" xr:uid="{0EC897FF-A64A-4955-9457-904EB6768D46}"/>
    <cellStyle name="Check Cell 28 2 9 3" xfId="8982" xr:uid="{7CE882DB-3686-4B08-8DE7-F89534C96F1D}"/>
    <cellStyle name="Check Cell 28 3" xfId="8983" xr:uid="{40EF5B93-AE33-4FEE-A16D-0B55CE8D88B3}"/>
    <cellStyle name="Check Cell 28 3 2" xfId="8984" xr:uid="{FB053B53-97AD-42B0-A6C2-82429821162C}"/>
    <cellStyle name="Check Cell 28 3 2 2" xfId="8985" xr:uid="{E30FA50B-1052-41E3-B478-34E74635189C}"/>
    <cellStyle name="Check Cell 28 3 3" xfId="8986" xr:uid="{6818BD41-ED3A-485F-9C56-8CFC4F185FD3}"/>
    <cellStyle name="Check Cell 28 4" xfId="8987" xr:uid="{E9457EB4-B709-412E-9364-DEBFF4ABE71E}"/>
    <cellStyle name="Check Cell 28 4 2" xfId="8988" xr:uid="{08A82C94-2636-414E-9F70-C970D928DF49}"/>
    <cellStyle name="Check Cell 29" xfId="8989" xr:uid="{72F03314-ACED-449B-A537-9D0627F94896}"/>
    <cellStyle name="Check Cell 29 2" xfId="8990" xr:uid="{BC996E66-BC02-47FE-B2AD-C9669E4EF35B}"/>
    <cellStyle name="Check Cell 29 2 10" xfId="8991" xr:uid="{000BF006-7703-4A1B-93C0-0E3FDD659EEE}"/>
    <cellStyle name="Check Cell 29 2 10 2" xfId="8992" xr:uid="{C09157A7-36C0-4571-906B-DAB17B41F7CC}"/>
    <cellStyle name="Check Cell 29 2 10 2 2" xfId="8993" xr:uid="{3D89B58F-91AA-417E-BCEF-7176399F05D2}"/>
    <cellStyle name="Check Cell 29 2 10 3" xfId="8994" xr:uid="{88CA217E-8312-4A55-A114-198BD305E2B7}"/>
    <cellStyle name="Check Cell 29 2 11" xfId="8995" xr:uid="{D4E3A545-F486-413A-BA03-ABE6A4DB3AF7}"/>
    <cellStyle name="Check Cell 29 2 11 2" xfId="8996" xr:uid="{4118209A-8A80-4C4A-8973-34F9187B81F5}"/>
    <cellStyle name="Check Cell 29 2 11 2 2" xfId="8997" xr:uid="{E3AB2E29-CA60-4066-98DD-E5C300979760}"/>
    <cellStyle name="Check Cell 29 2 11 3" xfId="8998" xr:uid="{9372D82E-D07E-4E1B-A7D3-EBD0889AF9AA}"/>
    <cellStyle name="Check Cell 29 2 12" xfId="8999" xr:uid="{24B70992-F9E5-439A-A41A-469EA22A45D6}"/>
    <cellStyle name="Check Cell 29 2 12 2" xfId="9000" xr:uid="{B04B059B-453D-48B7-AFD8-8AE8D9CDC5F0}"/>
    <cellStyle name="Check Cell 29 2 12 2 2" xfId="9001" xr:uid="{8A76816B-77A1-4CEE-A777-C70DE6B5F82D}"/>
    <cellStyle name="Check Cell 29 2 12 3" xfId="9002" xr:uid="{858DF2AA-983B-42DC-A226-9A5E7EFA360E}"/>
    <cellStyle name="Check Cell 29 2 13" xfId="9003" xr:uid="{25692887-7DDA-4D96-A712-C1A9FFC1CED5}"/>
    <cellStyle name="Check Cell 29 2 13 2" xfId="9004" xr:uid="{A8CB737B-4101-4348-89F3-FF93AF994669}"/>
    <cellStyle name="Check Cell 29 2 13 2 2" xfId="9005" xr:uid="{9E440DB0-043E-4EC4-AB77-7E81C83FC448}"/>
    <cellStyle name="Check Cell 29 2 13 3" xfId="9006" xr:uid="{0CC782BC-5BFD-45D4-ABEF-A49EBA830DBF}"/>
    <cellStyle name="Check Cell 29 2 2" xfId="9007" xr:uid="{9089BFB9-6B6A-4FD0-9E36-6F27AF1C8F3B}"/>
    <cellStyle name="Check Cell 29 2 2 2" xfId="9008" xr:uid="{703C2806-8F19-404F-8BE8-168B4CC54C6C}"/>
    <cellStyle name="Check Cell 29 2 2 2 2" xfId="9009" xr:uid="{B58660DE-84C6-4DC4-A32A-A61904E07DE1}"/>
    <cellStyle name="Check Cell 29 2 2 2 2 2" xfId="9010" xr:uid="{1712F0A4-83E8-409D-BA13-7B64731A9B2F}"/>
    <cellStyle name="Check Cell 29 2 2 2 3" xfId="9011" xr:uid="{B2A96E44-6CF6-4CFF-B878-AE62BEEB60B2}"/>
    <cellStyle name="Check Cell 29 2 2 3" xfId="9012" xr:uid="{78C40C27-AE4F-4E1A-B5EA-211C9AC1A694}"/>
    <cellStyle name="Check Cell 29 2 2 3 2" xfId="9013" xr:uid="{C055EDC4-B474-4EFF-A157-E48C6E2261D1}"/>
    <cellStyle name="Check Cell 29 2 2 3 2 2" xfId="9014" xr:uid="{99F5343B-05B5-42ED-AB70-7AC957F8F3DA}"/>
    <cellStyle name="Check Cell 29 2 2 3 3" xfId="9015" xr:uid="{4ED5E464-2A1B-4412-9BE5-FC29CDB612BC}"/>
    <cellStyle name="Check Cell 29 2 2 4" xfId="9016" xr:uid="{EADBCB72-B481-41DF-B97E-432B2FCD0A87}"/>
    <cellStyle name="Check Cell 29 2 2 4 2" xfId="9017" xr:uid="{9B2AABB2-01B9-4CA0-824F-D2B3ED69ECF7}"/>
    <cellStyle name="Check Cell 29 2 2 4 2 2" xfId="9018" xr:uid="{2891AED7-5520-48CA-8781-E21418F8E358}"/>
    <cellStyle name="Check Cell 29 2 2 4 3" xfId="9019" xr:uid="{E6B5BE46-B82C-4E3C-A8D9-012694B34185}"/>
    <cellStyle name="Check Cell 29 2 2 5" xfId="9020" xr:uid="{AB35C7C8-26B3-4620-BA7B-7509FE4D46CD}"/>
    <cellStyle name="Check Cell 29 2 2 5 2" xfId="9021" xr:uid="{927E2328-BB90-4A23-944B-9841177251F4}"/>
    <cellStyle name="Check Cell 29 2 2 5 2 2" xfId="9022" xr:uid="{887E0AA3-5D95-48F6-90B7-2D09CEA01E18}"/>
    <cellStyle name="Check Cell 29 2 2 5 3" xfId="9023" xr:uid="{ED9FF288-A338-49BD-93BE-B19A712365BC}"/>
    <cellStyle name="Check Cell 29 2 2 6" xfId="9024" xr:uid="{6CF6B3A9-856C-431E-AAD6-715AD00C1D5E}"/>
    <cellStyle name="Check Cell 29 2 2 6 2" xfId="9025" xr:uid="{6E136A65-DB19-40FC-8E4C-FD6774E043F2}"/>
    <cellStyle name="Check Cell 29 2 2 6 2 2" xfId="9026" xr:uid="{B8E58E5A-3B5D-477E-8E62-CD8F0567900F}"/>
    <cellStyle name="Check Cell 29 2 2 6 3" xfId="9027" xr:uid="{0F4E4629-3F80-4BEB-BD5D-FB4B3F63DAC5}"/>
    <cellStyle name="Check Cell 29 2 2 7" xfId="9028" xr:uid="{CBF5856E-12E6-4307-A260-6B1BD8D43B39}"/>
    <cellStyle name="Check Cell 29 2 2 7 2" xfId="9029" xr:uid="{440BEF94-B0B5-41D7-96AC-351B03261630}"/>
    <cellStyle name="Check Cell 29 2 2 7 2 2" xfId="9030" xr:uid="{700CCE47-8115-4EB3-AE86-5B06F317773D}"/>
    <cellStyle name="Check Cell 29 2 2 7 3" xfId="9031" xr:uid="{7153869F-46B7-4B19-8AEA-699ADB615BCC}"/>
    <cellStyle name="Check Cell 29 2 2 8" xfId="9032" xr:uid="{6F689F98-0360-4C03-A249-A72C34BA045B}"/>
    <cellStyle name="Check Cell 29 2 2 8 2" xfId="9033" xr:uid="{DE341052-366B-4F20-A3E4-5FB44C107777}"/>
    <cellStyle name="Check Cell 29 2 2 8 2 2" xfId="9034" xr:uid="{8A9B9670-0694-4C17-9EC5-1C9B25109794}"/>
    <cellStyle name="Check Cell 29 2 2 8 3" xfId="9035" xr:uid="{2FF3C431-7B50-4286-83DB-958C4F3EFBC9}"/>
    <cellStyle name="Check Cell 29 2 2 9" xfId="9036" xr:uid="{6F2B3AEE-CA0F-48D1-B499-C51DE386F31F}"/>
    <cellStyle name="Check Cell 29 2 2 9 2" xfId="9037" xr:uid="{3D09DCCD-B187-4417-A2F3-564161B4712C}"/>
    <cellStyle name="Check Cell 29 2 2 9 2 2" xfId="9038" xr:uid="{E105B839-1567-4B66-9F6E-B59C448D933B}"/>
    <cellStyle name="Check Cell 29 2 2 9 3" xfId="9039" xr:uid="{A60F8B4A-CEB7-4BA0-A140-8C796F08DE04}"/>
    <cellStyle name="Check Cell 29 2 3" xfId="9040" xr:uid="{2345614E-99AF-4F07-AB62-FEDACAC926BD}"/>
    <cellStyle name="Check Cell 29 2 3 2" xfId="9041" xr:uid="{EA1C5415-7EE7-4E37-8214-8CA340B7C98E}"/>
    <cellStyle name="Check Cell 29 2 3 2 2" xfId="9042" xr:uid="{647B482C-6BBC-4992-9B27-802FB2F7AA64}"/>
    <cellStyle name="Check Cell 29 2 3 2 2 2" xfId="9043" xr:uid="{684A4B20-8BF7-4AE1-B62D-2C0486F360A6}"/>
    <cellStyle name="Check Cell 29 2 3 2 3" xfId="9044" xr:uid="{137823CF-5EB9-4FBC-8692-A98E06CA0EA5}"/>
    <cellStyle name="Check Cell 29 2 3 3" xfId="9045" xr:uid="{616E5B48-3301-44B8-8872-ABBDB10A0203}"/>
    <cellStyle name="Check Cell 29 2 3 3 2" xfId="9046" xr:uid="{EA5F2065-765C-4306-B4BE-C2DC95168342}"/>
    <cellStyle name="Check Cell 29 2 3 3 2 2" xfId="9047" xr:uid="{B1667BE7-C1CA-49F5-A3B2-8CFD97FC6066}"/>
    <cellStyle name="Check Cell 29 2 3 3 3" xfId="9048" xr:uid="{BDAFD711-9BE1-4E45-8893-282F13D86DBC}"/>
    <cellStyle name="Check Cell 29 2 3 4" xfId="9049" xr:uid="{8B933119-B4D9-4DBE-A53C-052418B619C5}"/>
    <cellStyle name="Check Cell 29 2 3 4 2" xfId="9050" xr:uid="{8D6D1690-929A-4944-A4C4-19117FC48D80}"/>
    <cellStyle name="Check Cell 29 2 3 4 2 2" xfId="9051" xr:uid="{06570035-E08A-4EB7-AB1F-91FDF6831C59}"/>
    <cellStyle name="Check Cell 29 2 3 4 3" xfId="9052" xr:uid="{BFBBF342-0BF7-4D2D-BBFB-EBD505F9089A}"/>
    <cellStyle name="Check Cell 29 2 3 5" xfId="9053" xr:uid="{909E7F75-5587-4629-851D-6F3B4FAFA5B6}"/>
    <cellStyle name="Check Cell 29 2 3 5 2" xfId="9054" xr:uid="{7A20C594-639A-4B4B-8B9F-C49640A32C6B}"/>
    <cellStyle name="Check Cell 29 2 3 5 2 2" xfId="9055" xr:uid="{15C8220C-D709-4ECE-8D9E-37BF391DE46F}"/>
    <cellStyle name="Check Cell 29 2 3 5 3" xfId="9056" xr:uid="{01E714C9-401A-4403-8BE6-9971ED3F0ADC}"/>
    <cellStyle name="Check Cell 29 2 3 6" xfId="9057" xr:uid="{C4251010-D5FA-44A1-9BCD-A90D5C20C510}"/>
    <cellStyle name="Check Cell 29 2 3 6 2" xfId="9058" xr:uid="{B59F335C-6E7A-49C8-A9EC-1D350B746D03}"/>
    <cellStyle name="Check Cell 29 2 3 6 2 2" xfId="9059" xr:uid="{933B7C11-AF24-451D-82CC-7F907A304CD0}"/>
    <cellStyle name="Check Cell 29 2 3 6 3" xfId="9060" xr:uid="{14B44E63-8658-4A07-85B1-993F0A0F330B}"/>
    <cellStyle name="Check Cell 29 2 3 7" xfId="9061" xr:uid="{538001C3-D716-4872-9F00-1B82B56EA03E}"/>
    <cellStyle name="Check Cell 29 2 3 7 2" xfId="9062" xr:uid="{A9317E96-A98D-47BE-A6BA-B9B05A2A8994}"/>
    <cellStyle name="Check Cell 29 2 3 7 2 2" xfId="9063" xr:uid="{1D95F7E3-BF0F-4F85-B34C-B6C619EF6F02}"/>
    <cellStyle name="Check Cell 29 2 3 7 3" xfId="9064" xr:uid="{42C3DAEF-BA54-41AD-A225-7556BE628D01}"/>
    <cellStyle name="Check Cell 29 2 3 8" xfId="9065" xr:uid="{4BB2184F-BBC5-4BFC-8E86-69A8D91356CA}"/>
    <cellStyle name="Check Cell 29 2 3 8 2" xfId="9066" xr:uid="{F1760F13-7D37-4B69-B47B-C232B00C9B58}"/>
    <cellStyle name="Check Cell 29 2 3 8 2 2" xfId="9067" xr:uid="{834DB735-97B5-4825-841A-073A15BBA890}"/>
    <cellStyle name="Check Cell 29 2 3 8 3" xfId="9068" xr:uid="{72387996-C4A6-4832-9AC7-91C07F72E964}"/>
    <cellStyle name="Check Cell 29 2 3 9" xfId="9069" xr:uid="{A0346905-4CC4-4991-975C-AA091FCE194E}"/>
    <cellStyle name="Check Cell 29 2 3 9 2" xfId="9070" xr:uid="{D40C0CAA-4851-4599-86A6-1104B7D6F1B8}"/>
    <cellStyle name="Check Cell 29 2 3 9 2 2" xfId="9071" xr:uid="{8CB01F50-4AE1-477B-AFD6-F33C80AD5D40}"/>
    <cellStyle name="Check Cell 29 2 3 9 3" xfId="9072" xr:uid="{3826CD82-5C5B-4F2A-BB23-2E3E03ACBCE3}"/>
    <cellStyle name="Check Cell 29 2 4" xfId="9073" xr:uid="{62357357-6DC6-423D-BC2A-BD923EE5024F}"/>
    <cellStyle name="Check Cell 29 2 4 2" xfId="9074" xr:uid="{908FDE0B-5631-4159-B185-7B9E14D824C7}"/>
    <cellStyle name="Check Cell 29 2 4 2 2" xfId="9075" xr:uid="{A7A6BBAC-2FD4-46AA-84C9-C0330818A823}"/>
    <cellStyle name="Check Cell 29 2 4 2 2 2" xfId="9076" xr:uid="{9673B3CC-88AA-4647-95A9-09CE856EB575}"/>
    <cellStyle name="Check Cell 29 2 4 2 3" xfId="9077" xr:uid="{EE7C2B7A-7AF1-4AEC-A495-3C91C8A25A09}"/>
    <cellStyle name="Check Cell 29 2 4 3" xfId="9078" xr:uid="{B085C0A3-1903-463E-99B2-12542A0F9EA3}"/>
    <cellStyle name="Check Cell 29 2 4 3 2" xfId="9079" xr:uid="{464F9ABE-2CB6-42BF-B708-31325CFFDE24}"/>
    <cellStyle name="Check Cell 29 2 4 3 2 2" xfId="9080" xr:uid="{62DFC4D9-55DE-47F6-8255-E36577D709C2}"/>
    <cellStyle name="Check Cell 29 2 4 3 3" xfId="9081" xr:uid="{83B7D2FB-2C40-422A-8D73-17DEB68ABD63}"/>
    <cellStyle name="Check Cell 29 2 4 4" xfId="9082" xr:uid="{7C713A0B-32AE-4702-B372-9A11AB922ACA}"/>
    <cellStyle name="Check Cell 29 2 4 4 2" xfId="9083" xr:uid="{2A4B455D-384A-4B18-B579-6BDED6827D15}"/>
    <cellStyle name="Check Cell 29 2 4 4 2 2" xfId="9084" xr:uid="{03886FEE-4CA2-4BF7-A436-64C665FE55B0}"/>
    <cellStyle name="Check Cell 29 2 4 4 3" xfId="9085" xr:uid="{042BE405-6D1E-4C4A-B11D-B9BDFB94100F}"/>
    <cellStyle name="Check Cell 29 2 4 5" xfId="9086" xr:uid="{17340F92-F963-4C02-9E79-6E69C768F9B4}"/>
    <cellStyle name="Check Cell 29 2 4 5 2" xfId="9087" xr:uid="{BB03B69A-DD9D-4600-A62E-9DBA7E5D5D3C}"/>
    <cellStyle name="Check Cell 29 2 4 5 2 2" xfId="9088" xr:uid="{72B37111-517C-4B05-AA21-B1CCA6E98C86}"/>
    <cellStyle name="Check Cell 29 2 4 5 3" xfId="9089" xr:uid="{48BC8BB2-10E6-4061-A873-4626AF9B1A11}"/>
    <cellStyle name="Check Cell 29 2 4 6" xfId="9090" xr:uid="{13C5E487-4A9B-4132-9D77-1A4C93D3773A}"/>
    <cellStyle name="Check Cell 29 2 4 6 2" xfId="9091" xr:uid="{DF1C8AD5-FFF6-4F6F-BDFB-EC8A16C44870}"/>
    <cellStyle name="Check Cell 29 2 4 6 2 2" xfId="9092" xr:uid="{4E00E3F4-C64D-49FA-B406-E6AD21C05C4F}"/>
    <cellStyle name="Check Cell 29 2 4 6 3" xfId="9093" xr:uid="{B3618C4C-9534-4E87-8CC3-904D2DD857C0}"/>
    <cellStyle name="Check Cell 29 2 4 7" xfId="9094" xr:uid="{1FAC680E-20B0-44B8-A735-DE8A756FF4A0}"/>
    <cellStyle name="Check Cell 29 2 4 7 2" xfId="9095" xr:uid="{7D9BA9E7-517C-465A-9416-FFC1E1C131E3}"/>
    <cellStyle name="Check Cell 29 2 4 7 2 2" xfId="9096" xr:uid="{88AA1105-C1BF-40A0-A9BC-9C48F65C0354}"/>
    <cellStyle name="Check Cell 29 2 4 7 3" xfId="9097" xr:uid="{23646AE1-29AB-4998-BC07-7BCCA5BAB8EA}"/>
    <cellStyle name="Check Cell 29 2 4 8" xfId="9098" xr:uid="{920ABCB9-E660-4ABE-86B0-EE8688792C80}"/>
    <cellStyle name="Check Cell 29 2 4 8 2" xfId="9099" xr:uid="{C9FB9EDD-38BE-4212-A57C-F9AC0F8D45C3}"/>
    <cellStyle name="Check Cell 29 2 4 8 2 2" xfId="9100" xr:uid="{CB0A52C5-4835-4FA3-B93A-4F4BC42F9750}"/>
    <cellStyle name="Check Cell 29 2 4 8 3" xfId="9101" xr:uid="{EBA8B07B-ECA0-401E-ADBB-E7848C1A5A85}"/>
    <cellStyle name="Check Cell 29 2 4 9" xfId="9102" xr:uid="{3E8822CB-3CAF-4A50-9A3B-49FD5AF64FBA}"/>
    <cellStyle name="Check Cell 29 2 4 9 2" xfId="9103" xr:uid="{BF95D879-C1C3-48E2-8EAA-4BE7CBAD12B7}"/>
    <cellStyle name="Check Cell 29 2 4 9 2 2" xfId="9104" xr:uid="{C66A1238-7BC3-47B3-A2D4-80A35615B32F}"/>
    <cellStyle name="Check Cell 29 2 4 9 3" xfId="9105" xr:uid="{33A8B314-27C0-4F41-B068-BE64D7BBE2D5}"/>
    <cellStyle name="Check Cell 29 2 5" xfId="9106" xr:uid="{39554613-5C7F-498F-A640-0D4D4EA3295C}"/>
    <cellStyle name="Check Cell 29 2 5 2" xfId="9107" xr:uid="{00A0F310-4605-4CAA-8555-0374F99C2EF1}"/>
    <cellStyle name="Check Cell 29 2 5 2 2" xfId="9108" xr:uid="{233AE551-BBB4-4B37-A87C-9CCBABED78CC}"/>
    <cellStyle name="Check Cell 29 2 5 2 2 2" xfId="9109" xr:uid="{34E1BE1E-B300-44E7-9E77-C85D6B9CA78F}"/>
    <cellStyle name="Check Cell 29 2 5 2 3" xfId="9110" xr:uid="{8B1C5273-450B-4ED7-8433-8E54B714C2E3}"/>
    <cellStyle name="Check Cell 29 2 5 3" xfId="9111" xr:uid="{9DC76728-2C45-49A2-BC3B-564369E5D10F}"/>
    <cellStyle name="Check Cell 29 2 5 3 2" xfId="9112" xr:uid="{12E1DD3C-2DC9-4A44-9225-3694897F06B9}"/>
    <cellStyle name="Check Cell 29 2 5 3 2 2" xfId="9113" xr:uid="{13324E2C-BAFE-4E3E-89AA-E897CD97A8F1}"/>
    <cellStyle name="Check Cell 29 2 5 3 3" xfId="9114" xr:uid="{C17A8B30-B8B9-41C9-A973-4DEC77E2DF45}"/>
    <cellStyle name="Check Cell 29 2 5 4" xfId="9115" xr:uid="{6F9B6A4A-05AC-4FEB-898F-D43DAF560760}"/>
    <cellStyle name="Check Cell 29 2 5 4 2" xfId="9116" xr:uid="{9A0F362E-E99E-4B62-928B-526158DBD14F}"/>
    <cellStyle name="Check Cell 29 2 5 4 2 2" xfId="9117" xr:uid="{0B4BC8C6-3984-44F3-A35F-0ECC2E9E88DA}"/>
    <cellStyle name="Check Cell 29 2 5 4 3" xfId="9118" xr:uid="{2F5C3EC8-A49F-494B-A3DE-5F0378910B47}"/>
    <cellStyle name="Check Cell 29 2 5 5" xfId="9119" xr:uid="{6EC069E8-4C6E-4879-8475-C3D533E8BC22}"/>
    <cellStyle name="Check Cell 29 2 5 5 2" xfId="9120" xr:uid="{511899E2-69E2-4C66-9A53-1C39BD537975}"/>
    <cellStyle name="Check Cell 29 2 5 5 2 2" xfId="9121" xr:uid="{756EB4EE-E61A-4F07-9EB1-3E2E63F84AF7}"/>
    <cellStyle name="Check Cell 29 2 5 5 3" xfId="9122" xr:uid="{2F02A164-4CBC-4F96-B769-24759BEBEA20}"/>
    <cellStyle name="Check Cell 29 2 5 6" xfId="9123" xr:uid="{A942925A-889A-4080-85EC-669512966E0D}"/>
    <cellStyle name="Check Cell 29 2 5 6 2" xfId="9124" xr:uid="{2BC65E5F-DD0F-44CC-A63B-D0C515586881}"/>
    <cellStyle name="Check Cell 29 2 5 6 2 2" xfId="9125" xr:uid="{FFEEA2BA-1349-4BD1-B21F-50BDCF0CC7DC}"/>
    <cellStyle name="Check Cell 29 2 5 6 3" xfId="9126" xr:uid="{6096DCD9-6049-4434-AF79-860A3A58AD38}"/>
    <cellStyle name="Check Cell 29 2 5 7" xfId="9127" xr:uid="{78EFC298-7885-446D-A9CB-B15351C01E34}"/>
    <cellStyle name="Check Cell 29 2 5 7 2" xfId="9128" xr:uid="{3C77F74B-0FE9-4BEB-8947-17C39855EF8B}"/>
    <cellStyle name="Check Cell 29 2 5 7 2 2" xfId="9129" xr:uid="{BA1C2C7F-33CD-4BBA-91DD-7DE63B9BF32B}"/>
    <cellStyle name="Check Cell 29 2 5 7 3" xfId="9130" xr:uid="{75C5CF84-C286-47AE-8190-83077B6AFA7C}"/>
    <cellStyle name="Check Cell 29 2 5 8" xfId="9131" xr:uid="{63F5A176-BEF9-4987-9354-AEEE938B3FE1}"/>
    <cellStyle name="Check Cell 29 2 5 8 2" xfId="9132" xr:uid="{27756781-F02F-4B00-8047-87987DB4BFF3}"/>
    <cellStyle name="Check Cell 29 2 5 8 2 2" xfId="9133" xr:uid="{6448B453-2E85-4D06-B8CA-46E26AB9F23F}"/>
    <cellStyle name="Check Cell 29 2 5 8 3" xfId="9134" xr:uid="{01067AE9-CEE5-438F-86C3-1BC6B5DFDC81}"/>
    <cellStyle name="Check Cell 29 2 5 9" xfId="9135" xr:uid="{AE60FC4E-D387-4206-BBC1-5F5541B56F6C}"/>
    <cellStyle name="Check Cell 29 2 5 9 2" xfId="9136" xr:uid="{3DE61A0F-952A-43DB-9D52-7B8F92DBD82D}"/>
    <cellStyle name="Check Cell 29 2 5 9 2 2" xfId="9137" xr:uid="{C10E96FE-036D-4DEB-89B1-75A9A01EF095}"/>
    <cellStyle name="Check Cell 29 2 5 9 3" xfId="9138" xr:uid="{DBAAB638-61A1-4B63-BC74-0351CE35885C}"/>
    <cellStyle name="Check Cell 29 2 6" xfId="9139" xr:uid="{54BBCC80-67D7-4866-93FD-7C3D7511E863}"/>
    <cellStyle name="Check Cell 29 2 6 2" xfId="9140" xr:uid="{24A59EA1-7060-4BAD-A955-403F2C84EBDC}"/>
    <cellStyle name="Check Cell 29 2 6 2 2" xfId="9141" xr:uid="{0B9E26D8-4C94-4A0D-9C23-0EF55FCBE062}"/>
    <cellStyle name="Check Cell 29 2 6 3" xfId="9142" xr:uid="{E04FB735-FC3C-4AE1-8FBB-1A8FEE5ED596}"/>
    <cellStyle name="Check Cell 29 2 7" xfId="9143" xr:uid="{1DD7719A-C8B8-40D5-9E87-748229F6C291}"/>
    <cellStyle name="Check Cell 29 2 7 2" xfId="9144" xr:uid="{4778719D-EEE7-4FEB-9806-668ABFDFA26B}"/>
    <cellStyle name="Check Cell 29 2 7 2 2" xfId="9145" xr:uid="{A34340B6-90A1-4BC1-B0EA-C60E789625D3}"/>
    <cellStyle name="Check Cell 29 2 7 3" xfId="9146" xr:uid="{62B60F2B-47D7-4264-B329-0BB1FABD7536}"/>
    <cellStyle name="Check Cell 29 2 8" xfId="9147" xr:uid="{B0D46969-B97A-4220-BE68-AB2C76150F00}"/>
    <cellStyle name="Check Cell 29 2 8 2" xfId="9148" xr:uid="{6B6840A2-67C0-4872-9303-F437431D3162}"/>
    <cellStyle name="Check Cell 29 2 8 2 2" xfId="9149" xr:uid="{E776D58B-FE14-4447-ACEA-BB61710D90DD}"/>
    <cellStyle name="Check Cell 29 2 8 3" xfId="9150" xr:uid="{BEF8B819-F0E6-4797-844F-457300CF13D2}"/>
    <cellStyle name="Check Cell 29 2 9" xfId="9151" xr:uid="{AEC93248-BE1B-46E1-8542-033321A91960}"/>
    <cellStyle name="Check Cell 29 2 9 2" xfId="9152" xr:uid="{417B3BE9-FD55-4562-A662-3E5354171027}"/>
    <cellStyle name="Check Cell 29 2 9 2 2" xfId="9153" xr:uid="{B404A08B-01A2-4960-9FD1-92FA7CC623C8}"/>
    <cellStyle name="Check Cell 29 2 9 3" xfId="9154" xr:uid="{114A5D2A-1FB9-4837-B55A-1D40ED46F7E4}"/>
    <cellStyle name="Check Cell 29 3" xfId="9155" xr:uid="{828D68B4-190E-4CED-A77B-49703D00868A}"/>
    <cellStyle name="Check Cell 29 3 2" xfId="9156" xr:uid="{58B61BCC-EB85-4D1B-BD87-B24A32492636}"/>
    <cellStyle name="Check Cell 29 3 2 2" xfId="9157" xr:uid="{00D1F345-791A-4EC3-A0FE-A6EED12DBEAC}"/>
    <cellStyle name="Check Cell 29 3 3" xfId="9158" xr:uid="{FD22B59D-54FD-4AE9-84FF-E41CBE397DA4}"/>
    <cellStyle name="Check Cell 29 4" xfId="9159" xr:uid="{5AF9FFFD-E5AE-4558-B3F6-1E907EA02636}"/>
    <cellStyle name="Check Cell 29 4 2" xfId="9160" xr:uid="{5B0563F5-F395-4D4F-BAB1-313A3874E57B}"/>
    <cellStyle name="Check Cell 3" xfId="9161" xr:uid="{79EE0289-3981-4507-BC5C-AF8206BC3C5A}"/>
    <cellStyle name="Check Cell 3 2" xfId="9162" xr:uid="{AC44183C-38AD-4886-B0E8-63DB06AA4D4B}"/>
    <cellStyle name="Check Cell 3 2 10" xfId="9163" xr:uid="{7D577FBF-F750-44E1-AD29-935C9C5A852C}"/>
    <cellStyle name="Check Cell 3 2 10 2" xfId="9164" xr:uid="{8E7B6910-7025-4775-B5F2-1864FED03E1A}"/>
    <cellStyle name="Check Cell 3 2 10 2 2" xfId="9165" xr:uid="{BF903741-A1D1-4D7B-850A-22297661BB34}"/>
    <cellStyle name="Check Cell 3 2 10 3" xfId="9166" xr:uid="{2D2660B6-12DA-40A3-ACEF-3A5E67273776}"/>
    <cellStyle name="Check Cell 3 2 11" xfId="9167" xr:uid="{22C0A8F2-7DA0-437B-9CAD-B8CC58559608}"/>
    <cellStyle name="Check Cell 3 2 11 2" xfId="9168" xr:uid="{A13D5C3D-400F-416B-9302-98932E4C618C}"/>
    <cellStyle name="Check Cell 3 2 11 2 2" xfId="9169" xr:uid="{E6C50BBB-56E7-44EF-B9C2-7C15F05F85B8}"/>
    <cellStyle name="Check Cell 3 2 11 3" xfId="9170" xr:uid="{397DFD07-DEAA-4385-ACA3-861411AEC7B7}"/>
    <cellStyle name="Check Cell 3 2 12" xfId="9171" xr:uid="{ECEF4593-CBFD-4E35-A454-BBA33BB029D9}"/>
    <cellStyle name="Check Cell 3 2 12 2" xfId="9172" xr:uid="{A9D0FAF8-7FE0-47C6-AEB1-69F28F6DE4F2}"/>
    <cellStyle name="Check Cell 3 2 12 2 2" xfId="9173" xr:uid="{0379A8A7-7126-4A00-A5FD-96B33C355426}"/>
    <cellStyle name="Check Cell 3 2 12 3" xfId="9174" xr:uid="{58EBB34D-9E01-4F1F-86DF-81817FAB6EF0}"/>
    <cellStyle name="Check Cell 3 2 13" xfId="9175" xr:uid="{256B29E9-84DE-4BE5-9B4C-A82E90F8C8F6}"/>
    <cellStyle name="Check Cell 3 2 13 2" xfId="9176" xr:uid="{6D283FFE-AFB9-47B5-ACE6-F8E43188DA1F}"/>
    <cellStyle name="Check Cell 3 2 13 2 2" xfId="9177" xr:uid="{AA43C664-2644-483E-9925-FCC72B21AE6A}"/>
    <cellStyle name="Check Cell 3 2 13 3" xfId="9178" xr:uid="{5E48CFAF-57CE-4F65-9EBD-7BFA4E48BA97}"/>
    <cellStyle name="Check Cell 3 2 2" xfId="9179" xr:uid="{B6F69080-6FBA-4C76-BD46-8CCB5F2981E1}"/>
    <cellStyle name="Check Cell 3 2 2 2" xfId="9180" xr:uid="{D0A45702-1992-40BF-BC37-087CE38359BF}"/>
    <cellStyle name="Check Cell 3 2 2 2 2" xfId="9181" xr:uid="{9476F485-C761-45CC-A49A-7DE4D215E377}"/>
    <cellStyle name="Check Cell 3 2 2 2 2 2" xfId="9182" xr:uid="{6604B8E4-82C5-4BFC-8979-AF4008684E41}"/>
    <cellStyle name="Check Cell 3 2 2 2 3" xfId="9183" xr:uid="{0B29C2AA-9E74-4BFF-9D02-6E78A0F76148}"/>
    <cellStyle name="Check Cell 3 2 2 3" xfId="9184" xr:uid="{59F3ADCC-6F68-47D6-B105-BBE5D89BFA03}"/>
    <cellStyle name="Check Cell 3 2 2 3 2" xfId="9185" xr:uid="{666A8DC5-E025-433F-B5AE-369E6EF7E436}"/>
    <cellStyle name="Check Cell 3 2 2 3 2 2" xfId="9186" xr:uid="{7915594D-EF5B-4951-8F8D-04A57A7C059C}"/>
    <cellStyle name="Check Cell 3 2 2 3 3" xfId="9187" xr:uid="{43B754EA-BD96-43F9-B168-513A87473B06}"/>
    <cellStyle name="Check Cell 3 2 2 4" xfId="9188" xr:uid="{41BB92A2-EFE6-4711-9787-FFF0D2EE4443}"/>
    <cellStyle name="Check Cell 3 2 2 4 2" xfId="9189" xr:uid="{644B8186-F397-4A38-A2FA-E2B214449EF2}"/>
    <cellStyle name="Check Cell 3 2 2 4 2 2" xfId="9190" xr:uid="{034CADE8-096D-45CA-A144-0DB4CE1FFC30}"/>
    <cellStyle name="Check Cell 3 2 2 4 3" xfId="9191" xr:uid="{A2008D6E-B03A-470E-8BA0-44E57DCA7879}"/>
    <cellStyle name="Check Cell 3 2 2 5" xfId="9192" xr:uid="{18EE7AC7-D36D-4367-8D5B-063A4AFDBFA3}"/>
    <cellStyle name="Check Cell 3 2 2 5 2" xfId="9193" xr:uid="{8723C9D7-0365-4F27-A369-2A662B5B10D9}"/>
    <cellStyle name="Check Cell 3 2 2 5 2 2" xfId="9194" xr:uid="{468BD6BC-5060-4556-9FB3-F3CC75F04C22}"/>
    <cellStyle name="Check Cell 3 2 2 5 3" xfId="9195" xr:uid="{AA8518A6-F1ED-4C80-B81A-6D062ED87B39}"/>
    <cellStyle name="Check Cell 3 2 2 6" xfId="9196" xr:uid="{31DE0238-5BC5-4019-8471-BB7F26A11212}"/>
    <cellStyle name="Check Cell 3 2 2 6 2" xfId="9197" xr:uid="{1589C7E8-729A-4C47-A256-651D0F7F4EBB}"/>
    <cellStyle name="Check Cell 3 2 2 6 2 2" xfId="9198" xr:uid="{7EB4516E-9F20-4F72-A180-1603DAAF390C}"/>
    <cellStyle name="Check Cell 3 2 2 6 3" xfId="9199" xr:uid="{5471F8EB-40BF-46EA-93D6-132CB67F2495}"/>
    <cellStyle name="Check Cell 3 2 2 7" xfId="9200" xr:uid="{0FD5189D-4F02-4F5F-A85A-FFCA59485C74}"/>
    <cellStyle name="Check Cell 3 2 2 7 2" xfId="9201" xr:uid="{A8855653-402D-48D1-A1C8-2342CE4B3831}"/>
    <cellStyle name="Check Cell 3 2 2 7 2 2" xfId="9202" xr:uid="{E02ACCD3-1E72-4FD4-A923-42F6D23A5F6F}"/>
    <cellStyle name="Check Cell 3 2 2 7 3" xfId="9203" xr:uid="{888A5A56-93BF-4415-8937-0A48CEF28C50}"/>
    <cellStyle name="Check Cell 3 2 2 8" xfId="9204" xr:uid="{8B2CFDCC-0109-4737-A646-DADCAC1D8450}"/>
    <cellStyle name="Check Cell 3 2 2 8 2" xfId="9205" xr:uid="{15A64AEB-054B-47DD-A6A9-A672BC9CAFE6}"/>
    <cellStyle name="Check Cell 3 2 2 8 2 2" xfId="9206" xr:uid="{799B8785-E2BC-49B7-9D4C-52CDF31943E3}"/>
    <cellStyle name="Check Cell 3 2 2 8 3" xfId="9207" xr:uid="{441163C5-014D-4CF7-A7D8-C8E368B8943E}"/>
    <cellStyle name="Check Cell 3 2 2 9" xfId="9208" xr:uid="{2BE2B548-0829-40C1-B477-0A23EE9C6CCB}"/>
    <cellStyle name="Check Cell 3 2 2 9 2" xfId="9209" xr:uid="{5B922669-1604-431E-9C48-3769C4EE380E}"/>
    <cellStyle name="Check Cell 3 2 2 9 2 2" xfId="9210" xr:uid="{0FC67563-BFF9-4D5C-8378-68AAE4F89418}"/>
    <cellStyle name="Check Cell 3 2 2 9 3" xfId="9211" xr:uid="{910197E9-215D-495D-9E3E-25D90F650264}"/>
    <cellStyle name="Check Cell 3 2 3" xfId="9212" xr:uid="{94C0CDDB-2206-44A0-998D-414470BF14FD}"/>
    <cellStyle name="Check Cell 3 2 3 2" xfId="9213" xr:uid="{48946FBF-9A1D-4D26-A0DA-71381002165B}"/>
    <cellStyle name="Check Cell 3 2 3 2 2" xfId="9214" xr:uid="{74D31CCD-294B-405D-91CF-6A78F8899423}"/>
    <cellStyle name="Check Cell 3 2 3 2 2 2" xfId="9215" xr:uid="{1D1793B2-BEA9-4DB0-8A68-099220405646}"/>
    <cellStyle name="Check Cell 3 2 3 2 3" xfId="9216" xr:uid="{EA8E50E7-7E15-4FFC-85BA-7ECBE67C25F1}"/>
    <cellStyle name="Check Cell 3 2 3 3" xfId="9217" xr:uid="{09934FEE-432C-40C0-AC19-DB44EDFE2AEA}"/>
    <cellStyle name="Check Cell 3 2 3 3 2" xfId="9218" xr:uid="{B2E05CDE-52C7-45AF-B6D3-4974FE92EE65}"/>
    <cellStyle name="Check Cell 3 2 3 3 2 2" xfId="9219" xr:uid="{A9FB52C2-0969-4595-9213-49D1DE2D02B6}"/>
    <cellStyle name="Check Cell 3 2 3 3 3" xfId="9220" xr:uid="{D65D46F0-72C5-4AA1-BE0A-5ABA60304147}"/>
    <cellStyle name="Check Cell 3 2 3 4" xfId="9221" xr:uid="{24F68FB1-05EA-408E-BA75-B378A7408705}"/>
    <cellStyle name="Check Cell 3 2 3 4 2" xfId="9222" xr:uid="{877FF5E4-000C-41E1-BEB6-765E9FDBE371}"/>
    <cellStyle name="Check Cell 3 2 3 4 2 2" xfId="9223" xr:uid="{D43EC641-14DC-4F25-98D2-7994E6DC5353}"/>
    <cellStyle name="Check Cell 3 2 3 4 3" xfId="9224" xr:uid="{996A636C-B0F9-4029-BA5D-F33B7F61EC39}"/>
    <cellStyle name="Check Cell 3 2 3 5" xfId="9225" xr:uid="{EB0CBC97-D276-4E65-A8A0-17529C0A04E2}"/>
    <cellStyle name="Check Cell 3 2 3 5 2" xfId="9226" xr:uid="{046CD687-F5C9-45EC-A519-D3318CD96FB5}"/>
    <cellStyle name="Check Cell 3 2 3 5 2 2" xfId="9227" xr:uid="{37DDE11C-DA36-4010-A0D0-67D4E562DE58}"/>
    <cellStyle name="Check Cell 3 2 3 5 3" xfId="9228" xr:uid="{9B12E7CF-8FC2-4904-B934-E236028C3B00}"/>
    <cellStyle name="Check Cell 3 2 3 6" xfId="9229" xr:uid="{25974510-2596-4D3F-95E8-DD8C3BECAB18}"/>
    <cellStyle name="Check Cell 3 2 3 6 2" xfId="9230" xr:uid="{E4962546-7AB9-4F70-B365-6F02E728490C}"/>
    <cellStyle name="Check Cell 3 2 3 6 2 2" xfId="9231" xr:uid="{9DD42FA9-DFDB-4C58-A1E7-521AC42F8B36}"/>
    <cellStyle name="Check Cell 3 2 3 6 3" xfId="9232" xr:uid="{271FEBD2-37F7-4909-931E-BC65051A45F6}"/>
    <cellStyle name="Check Cell 3 2 3 7" xfId="9233" xr:uid="{8342CBCF-9517-4299-9375-26C745C7025A}"/>
    <cellStyle name="Check Cell 3 2 3 7 2" xfId="9234" xr:uid="{38ADEB82-9116-4BB3-A56E-C327E4572239}"/>
    <cellStyle name="Check Cell 3 2 3 7 2 2" xfId="9235" xr:uid="{DA6CAA90-9BA6-4706-A21D-464A4D46DD67}"/>
    <cellStyle name="Check Cell 3 2 3 7 3" xfId="9236" xr:uid="{0853965F-C2CC-471F-8B1C-432799356961}"/>
    <cellStyle name="Check Cell 3 2 3 8" xfId="9237" xr:uid="{6B361192-96E7-4ED4-9D48-96378B4FFB2F}"/>
    <cellStyle name="Check Cell 3 2 3 8 2" xfId="9238" xr:uid="{2684DF15-38C6-4D3A-8F90-428BC2952714}"/>
    <cellStyle name="Check Cell 3 2 3 8 2 2" xfId="9239" xr:uid="{E1AE9DD3-9EB4-48F4-886C-0BDAB892DAF8}"/>
    <cellStyle name="Check Cell 3 2 3 8 3" xfId="9240" xr:uid="{B1074C3B-71F9-45EB-A352-CE81810E0DCF}"/>
    <cellStyle name="Check Cell 3 2 3 9" xfId="9241" xr:uid="{43D1C3EB-5F3A-4ADA-A5FE-98ED2B678A60}"/>
    <cellStyle name="Check Cell 3 2 3 9 2" xfId="9242" xr:uid="{2BA563D0-FAB1-4968-8AF3-9BD203100A7C}"/>
    <cellStyle name="Check Cell 3 2 3 9 2 2" xfId="9243" xr:uid="{536F3997-9C9B-4257-9999-838AD886FBE1}"/>
    <cellStyle name="Check Cell 3 2 3 9 3" xfId="9244" xr:uid="{0B85FB3C-623C-4905-A8B5-AD197D03A0CE}"/>
    <cellStyle name="Check Cell 3 2 4" xfId="9245" xr:uid="{7A1A8927-4CEA-4B11-B230-624A672CFA2F}"/>
    <cellStyle name="Check Cell 3 2 4 2" xfId="9246" xr:uid="{B02EAF47-27CE-43B7-9F58-448F2BBB033F}"/>
    <cellStyle name="Check Cell 3 2 4 2 2" xfId="9247" xr:uid="{32B161A9-E9CB-4D82-A57D-8B1B14943C58}"/>
    <cellStyle name="Check Cell 3 2 4 2 2 2" xfId="9248" xr:uid="{037B31CE-90DD-4C7B-859E-E4AA0EBABDAF}"/>
    <cellStyle name="Check Cell 3 2 4 2 3" xfId="9249" xr:uid="{FE6DE8FE-E5D9-4B72-BB98-A8B59A1EFA34}"/>
    <cellStyle name="Check Cell 3 2 4 3" xfId="9250" xr:uid="{D293EED1-6E4C-4BE6-B866-184CB83FD214}"/>
    <cellStyle name="Check Cell 3 2 4 3 2" xfId="9251" xr:uid="{3136085C-B918-4BD4-82AB-E6520960AA5B}"/>
    <cellStyle name="Check Cell 3 2 4 3 2 2" xfId="9252" xr:uid="{338AA7C6-7ED0-4892-84A9-F1F8799FE363}"/>
    <cellStyle name="Check Cell 3 2 4 3 3" xfId="9253" xr:uid="{9CA1AB98-E009-49AD-870E-8E81D1E40DF6}"/>
    <cellStyle name="Check Cell 3 2 4 4" xfId="9254" xr:uid="{5BDD3C3A-CE28-4E03-A7DD-EA787033877B}"/>
    <cellStyle name="Check Cell 3 2 4 4 2" xfId="9255" xr:uid="{640FF7B0-CC77-4380-BD49-3691B2040A81}"/>
    <cellStyle name="Check Cell 3 2 4 4 2 2" xfId="9256" xr:uid="{C66E3675-765A-459E-B016-76683F7F8A3E}"/>
    <cellStyle name="Check Cell 3 2 4 4 3" xfId="9257" xr:uid="{911AA02B-8AFE-4153-B5D7-1D7379769003}"/>
    <cellStyle name="Check Cell 3 2 4 5" xfId="9258" xr:uid="{EC33FB1B-090C-45A3-A76F-86C485E25603}"/>
    <cellStyle name="Check Cell 3 2 4 5 2" xfId="9259" xr:uid="{EC07F52D-4C12-4AA5-9AF0-6C0761BDF484}"/>
    <cellStyle name="Check Cell 3 2 4 5 2 2" xfId="9260" xr:uid="{7FC538E5-4A30-4CD4-B9FE-134B0EA27EC1}"/>
    <cellStyle name="Check Cell 3 2 4 5 3" xfId="9261" xr:uid="{515330FA-496E-49B9-9CD0-5A85E7C4676D}"/>
    <cellStyle name="Check Cell 3 2 4 6" xfId="9262" xr:uid="{6981ED5E-3455-418F-8B70-95C76455A99A}"/>
    <cellStyle name="Check Cell 3 2 4 6 2" xfId="9263" xr:uid="{BF5A4E0D-24CC-4C38-A02E-DCEBC7A4CFDD}"/>
    <cellStyle name="Check Cell 3 2 4 6 2 2" xfId="9264" xr:uid="{E4F8BA1D-6D74-4423-BF3B-2E8F136FE209}"/>
    <cellStyle name="Check Cell 3 2 4 6 3" xfId="9265" xr:uid="{B7824999-70E2-4FDC-87AC-723A8E7E1A30}"/>
    <cellStyle name="Check Cell 3 2 4 7" xfId="9266" xr:uid="{8745F23A-FC09-41B6-B20B-50461458B07D}"/>
    <cellStyle name="Check Cell 3 2 4 7 2" xfId="9267" xr:uid="{933491D6-8301-44D8-AEC4-AB8A32873D8B}"/>
    <cellStyle name="Check Cell 3 2 4 7 2 2" xfId="9268" xr:uid="{1D9AD48C-350B-4236-B0FA-A293CCE59179}"/>
    <cellStyle name="Check Cell 3 2 4 7 3" xfId="9269" xr:uid="{17C3D098-B483-47DE-B7E4-B56BBBC87D0C}"/>
    <cellStyle name="Check Cell 3 2 4 8" xfId="9270" xr:uid="{88CD3FB6-83F6-47C0-96B6-32FB77A638C8}"/>
    <cellStyle name="Check Cell 3 2 4 8 2" xfId="9271" xr:uid="{38260330-652F-41EE-963D-830AA490B9DB}"/>
    <cellStyle name="Check Cell 3 2 4 8 2 2" xfId="9272" xr:uid="{4A9A1FE6-25C0-43B3-BDC1-E335DC2E753F}"/>
    <cellStyle name="Check Cell 3 2 4 8 3" xfId="9273" xr:uid="{E640F4EA-0C9F-4FC7-AC6F-A580F4DD2E67}"/>
    <cellStyle name="Check Cell 3 2 4 9" xfId="9274" xr:uid="{6D888601-7472-4616-BCBB-3315A925B9C0}"/>
    <cellStyle name="Check Cell 3 2 4 9 2" xfId="9275" xr:uid="{70126D36-DA70-4ED7-A9EF-BFFA6B7A4710}"/>
    <cellStyle name="Check Cell 3 2 4 9 2 2" xfId="9276" xr:uid="{9B1A5601-61B0-4E00-B0FB-A1712452F921}"/>
    <cellStyle name="Check Cell 3 2 4 9 3" xfId="9277" xr:uid="{B1A7EE70-D060-487D-9E2A-990FEAA00936}"/>
    <cellStyle name="Check Cell 3 2 5" xfId="9278" xr:uid="{1D6431CC-BFE4-4979-AC02-A056D91F8C6C}"/>
    <cellStyle name="Check Cell 3 2 5 2" xfId="9279" xr:uid="{C85BE298-DE02-42C9-990E-E2E640B04FA4}"/>
    <cellStyle name="Check Cell 3 2 5 2 2" xfId="9280" xr:uid="{C3F9AEA5-7E0B-450E-8FB3-9126115EEF4F}"/>
    <cellStyle name="Check Cell 3 2 5 2 2 2" xfId="9281" xr:uid="{68C32AB6-B1F9-439C-AD8B-1F4381AEBB05}"/>
    <cellStyle name="Check Cell 3 2 5 2 3" xfId="9282" xr:uid="{C050907A-34D2-4C3C-998E-6044F9613B94}"/>
    <cellStyle name="Check Cell 3 2 5 3" xfId="9283" xr:uid="{C8BE2DA8-CC2A-4476-9200-724A60192A17}"/>
    <cellStyle name="Check Cell 3 2 5 3 2" xfId="9284" xr:uid="{052A0EAA-FC9D-4D70-93CA-846D11F7F503}"/>
    <cellStyle name="Check Cell 3 2 5 3 2 2" xfId="9285" xr:uid="{0EE17751-2D7E-44CB-8B6E-0F9F59CF6202}"/>
    <cellStyle name="Check Cell 3 2 5 3 3" xfId="9286" xr:uid="{B73B74D6-852D-477D-87CA-ED04FCD42EE9}"/>
    <cellStyle name="Check Cell 3 2 5 4" xfId="9287" xr:uid="{28A7BE09-247D-4E69-AFEF-BAA9EA41A02D}"/>
    <cellStyle name="Check Cell 3 2 5 4 2" xfId="9288" xr:uid="{69E6E6C7-A69C-49E6-9FB9-E92EE01260B3}"/>
    <cellStyle name="Check Cell 3 2 5 4 2 2" xfId="9289" xr:uid="{CD22561B-F838-4BB5-8E5A-9F5E7D7CFCD0}"/>
    <cellStyle name="Check Cell 3 2 5 4 3" xfId="9290" xr:uid="{9188108A-2610-4C7E-A1DD-0777C324A69A}"/>
    <cellStyle name="Check Cell 3 2 5 5" xfId="9291" xr:uid="{2A4C6016-9390-494A-B054-6A74F22B7B35}"/>
    <cellStyle name="Check Cell 3 2 5 5 2" xfId="9292" xr:uid="{718E9D3E-611C-4AE2-A90E-BC82EF0BEE77}"/>
    <cellStyle name="Check Cell 3 2 5 5 2 2" xfId="9293" xr:uid="{E9424841-D513-4B2B-8079-34A7EAC12EA1}"/>
    <cellStyle name="Check Cell 3 2 5 5 3" xfId="9294" xr:uid="{066BC102-4895-4B8F-B9BF-B87C67C93F2B}"/>
    <cellStyle name="Check Cell 3 2 5 6" xfId="9295" xr:uid="{C265C42D-7B41-4489-94A8-9B2679EE86F9}"/>
    <cellStyle name="Check Cell 3 2 5 6 2" xfId="9296" xr:uid="{8BC25D09-21C1-4EB5-922F-8D8CADC7071E}"/>
    <cellStyle name="Check Cell 3 2 5 6 2 2" xfId="9297" xr:uid="{EC385D43-F249-4ED8-9605-0BFD124196B9}"/>
    <cellStyle name="Check Cell 3 2 5 6 3" xfId="9298" xr:uid="{D8705F82-5AA3-46DD-8D75-40F6359504FC}"/>
    <cellStyle name="Check Cell 3 2 5 7" xfId="9299" xr:uid="{F7EA6D37-56D7-4474-A237-56A864AD7225}"/>
    <cellStyle name="Check Cell 3 2 5 7 2" xfId="9300" xr:uid="{D95F9696-76E4-4E5B-92CF-36D82F09F07D}"/>
    <cellStyle name="Check Cell 3 2 5 7 2 2" xfId="9301" xr:uid="{C65216ED-776A-4B25-9C8B-7C98CBB121BC}"/>
    <cellStyle name="Check Cell 3 2 5 7 3" xfId="9302" xr:uid="{67AF5FEF-D8BC-4BE2-BF84-7F21011C75A4}"/>
    <cellStyle name="Check Cell 3 2 5 8" xfId="9303" xr:uid="{67E1BA01-2B9F-476A-A0D2-D50EF1C058E1}"/>
    <cellStyle name="Check Cell 3 2 5 8 2" xfId="9304" xr:uid="{0DEECC25-74D9-4F33-B995-CB1A2538CA84}"/>
    <cellStyle name="Check Cell 3 2 5 8 2 2" xfId="9305" xr:uid="{809AF63D-77FA-40FA-9048-336B137916D7}"/>
    <cellStyle name="Check Cell 3 2 5 8 3" xfId="9306" xr:uid="{2B0663A3-C65D-4454-ACD1-0037B3730D81}"/>
    <cellStyle name="Check Cell 3 2 5 9" xfId="9307" xr:uid="{AE5DDF20-5BAA-4E15-AAED-F23A5B666305}"/>
    <cellStyle name="Check Cell 3 2 5 9 2" xfId="9308" xr:uid="{94FF14D8-7717-415E-84A5-467DDF849D4D}"/>
    <cellStyle name="Check Cell 3 2 5 9 2 2" xfId="9309" xr:uid="{9D50B016-CE04-4F6C-90CE-E95015992B54}"/>
    <cellStyle name="Check Cell 3 2 5 9 3" xfId="9310" xr:uid="{FDB046C8-3DBF-4729-8EA7-4A4EE9315C16}"/>
    <cellStyle name="Check Cell 3 2 6" xfId="9311" xr:uid="{047535B2-A627-41C9-9871-2856D2650A23}"/>
    <cellStyle name="Check Cell 3 2 6 2" xfId="9312" xr:uid="{B98FD83B-8589-4BD5-9EFE-DC6FA715CBC2}"/>
    <cellStyle name="Check Cell 3 2 6 2 2" xfId="9313" xr:uid="{518221F3-C9EC-4889-9D19-635946118CAE}"/>
    <cellStyle name="Check Cell 3 2 6 3" xfId="9314" xr:uid="{16774CDC-6761-4160-BEBE-B81B4FE6F7D4}"/>
    <cellStyle name="Check Cell 3 2 7" xfId="9315" xr:uid="{E9350D7A-E796-4891-9997-1536577682D8}"/>
    <cellStyle name="Check Cell 3 2 7 2" xfId="9316" xr:uid="{38D88DE7-39F5-4AAA-AB02-AE5D8B561923}"/>
    <cellStyle name="Check Cell 3 2 7 2 2" xfId="9317" xr:uid="{AE9D8736-9B9E-4F6C-B325-714529599B03}"/>
    <cellStyle name="Check Cell 3 2 7 3" xfId="9318" xr:uid="{CC5D7463-DBBA-4D70-9A9D-1A852140915F}"/>
    <cellStyle name="Check Cell 3 2 8" xfId="9319" xr:uid="{F542EBF4-DDD2-4A6B-80AE-962C52B86250}"/>
    <cellStyle name="Check Cell 3 2 8 2" xfId="9320" xr:uid="{6DDCA395-5DDD-4FE4-973E-A7FAEF2CC31A}"/>
    <cellStyle name="Check Cell 3 2 8 2 2" xfId="9321" xr:uid="{93F6489B-950A-4B4C-87FD-77237C8685DE}"/>
    <cellStyle name="Check Cell 3 2 8 3" xfId="9322" xr:uid="{9879928E-A1D3-4D79-BCB2-DD5FE6C564F6}"/>
    <cellStyle name="Check Cell 3 2 9" xfId="9323" xr:uid="{F41CED4F-DA26-4ACB-AFCE-A9D8076069B4}"/>
    <cellStyle name="Check Cell 3 2 9 2" xfId="9324" xr:uid="{B694E1FD-43FF-4A4C-B770-0840F6C37BCA}"/>
    <cellStyle name="Check Cell 3 2 9 2 2" xfId="9325" xr:uid="{A30160B4-C74B-498E-911E-491B8AC7ED74}"/>
    <cellStyle name="Check Cell 3 2 9 3" xfId="9326" xr:uid="{A9B2E836-2146-419C-B5B2-A410C06212C7}"/>
    <cellStyle name="Check Cell 3 3" xfId="9327" xr:uid="{7B4E9705-E288-4542-8E99-54C456A82646}"/>
    <cellStyle name="Check Cell 3 3 2" xfId="9328" xr:uid="{1B54A25C-3EDB-49A6-9022-99055D6C7B8E}"/>
    <cellStyle name="Check Cell 3 3 2 2" xfId="9329" xr:uid="{8E950C7C-1782-40B3-B874-BED7F5A8CAB0}"/>
    <cellStyle name="Check Cell 3 3 3" xfId="9330" xr:uid="{9F01BE0A-C312-45D8-863C-6D2BFC222CCB}"/>
    <cellStyle name="Check Cell 3 4" xfId="9331" xr:uid="{9BA8A212-FBA9-46D5-9F35-F4DCC78399AB}"/>
    <cellStyle name="Check Cell 3 4 2" xfId="9332" xr:uid="{D19AC9A1-9849-4978-B844-A91620B8A07E}"/>
    <cellStyle name="Check Cell 30" xfId="9333" xr:uid="{224F5F68-72E0-40CD-AAF3-9B6BDE9B4019}"/>
    <cellStyle name="Check Cell 30 2" xfId="9334" xr:uid="{BE1AD463-33E5-4AA5-8D1B-5352A12F3B23}"/>
    <cellStyle name="Check Cell 30 2 10" xfId="9335" xr:uid="{24B5E0FE-2F19-4CCC-A453-79E5F4709486}"/>
    <cellStyle name="Check Cell 30 2 10 2" xfId="9336" xr:uid="{90B0F321-35A6-46C9-8B26-D8FD8639AD49}"/>
    <cellStyle name="Check Cell 30 2 10 2 2" xfId="9337" xr:uid="{36669C08-8A70-48AF-9C3E-6D545BBC966B}"/>
    <cellStyle name="Check Cell 30 2 10 3" xfId="9338" xr:uid="{C1327147-4B8C-45BD-A1BB-0C7DA720DCA7}"/>
    <cellStyle name="Check Cell 30 2 11" xfId="9339" xr:uid="{60BCD2E4-9F95-481A-BCA8-5B12720A7DC0}"/>
    <cellStyle name="Check Cell 30 2 11 2" xfId="9340" xr:uid="{AD61E2BC-51D3-48FC-BA66-C1BE756D69F2}"/>
    <cellStyle name="Check Cell 30 2 11 2 2" xfId="9341" xr:uid="{C07FE675-67EC-4AF7-BAE1-22063EA02E69}"/>
    <cellStyle name="Check Cell 30 2 11 3" xfId="9342" xr:uid="{594B71AA-2DC3-4435-8AB7-2E9DB334ECF9}"/>
    <cellStyle name="Check Cell 30 2 12" xfId="9343" xr:uid="{1FBD8FCD-554B-4231-86DE-53F1EA386651}"/>
    <cellStyle name="Check Cell 30 2 12 2" xfId="9344" xr:uid="{2A2B4718-6E2D-4811-A4BF-A6EBDA130ADB}"/>
    <cellStyle name="Check Cell 30 2 12 2 2" xfId="9345" xr:uid="{F3747321-6219-4E3F-85F8-0A6C7D8EF479}"/>
    <cellStyle name="Check Cell 30 2 12 3" xfId="9346" xr:uid="{A48922B1-510C-4235-85D5-2FCD853D950C}"/>
    <cellStyle name="Check Cell 30 2 13" xfId="9347" xr:uid="{0FCAC80D-17BC-4ABC-BF3F-9A6D4F98DDAA}"/>
    <cellStyle name="Check Cell 30 2 13 2" xfId="9348" xr:uid="{3142C23E-7BDA-4578-90FF-5C7BECA39367}"/>
    <cellStyle name="Check Cell 30 2 13 2 2" xfId="9349" xr:uid="{D3774E6B-F54B-4E59-8CB7-E5FADEB525E8}"/>
    <cellStyle name="Check Cell 30 2 13 3" xfId="9350" xr:uid="{D0579A93-5450-42B7-A295-22D163773F61}"/>
    <cellStyle name="Check Cell 30 2 2" xfId="9351" xr:uid="{8BC05BFE-2F3F-4640-80CC-BDA5B0238FCC}"/>
    <cellStyle name="Check Cell 30 2 2 2" xfId="9352" xr:uid="{C2309F12-D705-4BCF-B716-B5CFAB3394E0}"/>
    <cellStyle name="Check Cell 30 2 2 2 2" xfId="9353" xr:uid="{CD1D46B8-C2F5-4E79-BFF6-D92DD0DF2F1F}"/>
    <cellStyle name="Check Cell 30 2 2 2 2 2" xfId="9354" xr:uid="{208924D5-DDC2-4F24-BEE9-0C91BD6F0E56}"/>
    <cellStyle name="Check Cell 30 2 2 2 3" xfId="9355" xr:uid="{A10C0066-32D4-4FAE-9E3C-E0102D8749AB}"/>
    <cellStyle name="Check Cell 30 2 2 3" xfId="9356" xr:uid="{A1727C1F-07DF-4FC6-9379-B27E6A79A43F}"/>
    <cellStyle name="Check Cell 30 2 2 3 2" xfId="9357" xr:uid="{A19B448A-63FA-4007-8F25-19E9FB269C11}"/>
    <cellStyle name="Check Cell 30 2 2 3 2 2" xfId="9358" xr:uid="{E109F51D-66AD-4D6F-B240-3A69DB9CA057}"/>
    <cellStyle name="Check Cell 30 2 2 3 3" xfId="9359" xr:uid="{33A57082-4E21-48D6-8B7C-7E608829FCB7}"/>
    <cellStyle name="Check Cell 30 2 2 4" xfId="9360" xr:uid="{C77A5A3E-B3C1-400F-99A1-E826D41523F8}"/>
    <cellStyle name="Check Cell 30 2 2 4 2" xfId="9361" xr:uid="{3D8A22FD-1722-49F0-A647-DFBAFFBEBA8C}"/>
    <cellStyle name="Check Cell 30 2 2 4 2 2" xfId="9362" xr:uid="{D5C25527-D8D1-4656-9FB2-44440B05F95C}"/>
    <cellStyle name="Check Cell 30 2 2 4 3" xfId="9363" xr:uid="{AD733767-9D6B-42B6-8E2D-D6A8A60B5DE7}"/>
    <cellStyle name="Check Cell 30 2 2 5" xfId="9364" xr:uid="{5C50E4EF-6F71-4DFE-9FD0-D39F661D233C}"/>
    <cellStyle name="Check Cell 30 2 2 5 2" xfId="9365" xr:uid="{1F749BF0-D388-4B52-81C3-6856BD748661}"/>
    <cellStyle name="Check Cell 30 2 2 5 2 2" xfId="9366" xr:uid="{56806720-B8D1-473F-8213-39538147DCBA}"/>
    <cellStyle name="Check Cell 30 2 2 5 3" xfId="9367" xr:uid="{CAF4CFE5-E787-4812-937B-E118952DD7B3}"/>
    <cellStyle name="Check Cell 30 2 2 6" xfId="9368" xr:uid="{B6DD4843-15A0-4069-97E3-603FD6D3B349}"/>
    <cellStyle name="Check Cell 30 2 2 6 2" xfId="9369" xr:uid="{35FBA68D-253D-4FC3-8D25-55310E476B5D}"/>
    <cellStyle name="Check Cell 30 2 2 6 2 2" xfId="9370" xr:uid="{598B2143-28F2-4D93-A83C-931BE4266268}"/>
    <cellStyle name="Check Cell 30 2 2 6 3" xfId="9371" xr:uid="{26000512-883F-4F74-8D59-B6C2F91E83D8}"/>
    <cellStyle name="Check Cell 30 2 2 7" xfId="9372" xr:uid="{0A2BE4C8-9EB9-44E9-B621-6E0BBE741023}"/>
    <cellStyle name="Check Cell 30 2 2 7 2" xfId="9373" xr:uid="{7ACEB0F7-0B1C-4ADC-89ED-FE0BD4D9C2E5}"/>
    <cellStyle name="Check Cell 30 2 2 7 2 2" xfId="9374" xr:uid="{A33FAA49-C007-4FC3-9259-30DB356DBF0B}"/>
    <cellStyle name="Check Cell 30 2 2 7 3" xfId="9375" xr:uid="{4FE2C06A-E065-42CB-BAF4-8EC896137D3F}"/>
    <cellStyle name="Check Cell 30 2 2 8" xfId="9376" xr:uid="{4DB8FE05-D4BC-40DE-8851-24EC37A9EB06}"/>
    <cellStyle name="Check Cell 30 2 2 8 2" xfId="9377" xr:uid="{7B32CE47-5B0F-4AAA-8142-7516FF4E9A94}"/>
    <cellStyle name="Check Cell 30 2 2 8 2 2" xfId="9378" xr:uid="{55CB6C2B-06C6-4387-8A8D-61D8CD993C62}"/>
    <cellStyle name="Check Cell 30 2 2 8 3" xfId="9379" xr:uid="{80A7DD4C-DAC8-4927-AD00-D4D80C31C06A}"/>
    <cellStyle name="Check Cell 30 2 2 9" xfId="9380" xr:uid="{A04582CA-4F78-4FE5-A630-6DF841537C2C}"/>
    <cellStyle name="Check Cell 30 2 2 9 2" xfId="9381" xr:uid="{9F25187B-8E41-4858-85E8-094CA9B0AF89}"/>
    <cellStyle name="Check Cell 30 2 2 9 2 2" xfId="9382" xr:uid="{1831C9E6-0B8B-4546-B1B1-F10C52B145CF}"/>
    <cellStyle name="Check Cell 30 2 2 9 3" xfId="9383" xr:uid="{9B61DFEF-B942-4A8F-8671-F460DC058E9A}"/>
    <cellStyle name="Check Cell 30 2 3" xfId="9384" xr:uid="{ED45FC9B-61D8-4540-B2E4-7364EBC32EC8}"/>
    <cellStyle name="Check Cell 30 2 3 2" xfId="9385" xr:uid="{7F5C0431-5B95-4C8D-BE20-044B2E48E2FC}"/>
    <cellStyle name="Check Cell 30 2 3 2 2" xfId="9386" xr:uid="{BD0B5210-2543-488F-A305-762A4C1C4670}"/>
    <cellStyle name="Check Cell 30 2 3 2 2 2" xfId="9387" xr:uid="{B2303CC0-BDD9-4C84-897E-68FE17D67169}"/>
    <cellStyle name="Check Cell 30 2 3 2 3" xfId="9388" xr:uid="{A453218B-ED13-479E-9E22-856817DA23BE}"/>
    <cellStyle name="Check Cell 30 2 3 3" xfId="9389" xr:uid="{88BCF39C-2D55-405A-BFEC-A9E82A1121B9}"/>
    <cellStyle name="Check Cell 30 2 3 3 2" xfId="9390" xr:uid="{DAA336D6-5D90-4065-85F5-B4EA61BBA489}"/>
    <cellStyle name="Check Cell 30 2 3 3 2 2" xfId="9391" xr:uid="{65B69C2F-CD16-4A4A-B6F7-A6EF3723CF08}"/>
    <cellStyle name="Check Cell 30 2 3 3 3" xfId="9392" xr:uid="{7686AAEF-97F4-47DB-8917-F4B4B690C108}"/>
    <cellStyle name="Check Cell 30 2 3 4" xfId="9393" xr:uid="{9255EB74-C6EE-46E9-B4DC-A04B33950B25}"/>
    <cellStyle name="Check Cell 30 2 3 4 2" xfId="9394" xr:uid="{F654F81C-7B2E-47E7-812C-848EDE5B60FD}"/>
    <cellStyle name="Check Cell 30 2 3 4 2 2" xfId="9395" xr:uid="{EDCF8E3F-FCBC-456D-BF64-82A48FA487B8}"/>
    <cellStyle name="Check Cell 30 2 3 4 3" xfId="9396" xr:uid="{66A2074C-4C08-4E2A-8A69-FB7E8FBC8932}"/>
    <cellStyle name="Check Cell 30 2 3 5" xfId="9397" xr:uid="{4ADBE107-B7C9-4F1D-AC7E-3351AEA25A56}"/>
    <cellStyle name="Check Cell 30 2 3 5 2" xfId="9398" xr:uid="{4B452BAE-6A69-40E4-841F-59AEE926ECF8}"/>
    <cellStyle name="Check Cell 30 2 3 5 2 2" xfId="9399" xr:uid="{5D10F2A5-6917-4062-9EE6-79082BA703AD}"/>
    <cellStyle name="Check Cell 30 2 3 5 3" xfId="9400" xr:uid="{09B6FAE8-2A37-468B-96FB-F5DD010BC1BC}"/>
    <cellStyle name="Check Cell 30 2 3 6" xfId="9401" xr:uid="{744504F5-17C3-429B-B164-09F5D9401ECC}"/>
    <cellStyle name="Check Cell 30 2 3 6 2" xfId="9402" xr:uid="{EBF04077-9F58-4454-8ED3-BFB72FD83287}"/>
    <cellStyle name="Check Cell 30 2 3 6 2 2" xfId="9403" xr:uid="{5543606E-5B04-4291-B9E0-54A0494DB1C5}"/>
    <cellStyle name="Check Cell 30 2 3 6 3" xfId="9404" xr:uid="{FAF38E67-0950-4B47-B014-780FF053C713}"/>
    <cellStyle name="Check Cell 30 2 3 7" xfId="9405" xr:uid="{62B1C650-FCCD-46FB-9681-7E0A6513A72C}"/>
    <cellStyle name="Check Cell 30 2 3 7 2" xfId="9406" xr:uid="{C14056B5-8FCC-4006-8368-0E06716D8341}"/>
    <cellStyle name="Check Cell 30 2 3 7 2 2" xfId="9407" xr:uid="{2339DF67-1B16-4251-8FAA-8D990EE94A99}"/>
    <cellStyle name="Check Cell 30 2 3 7 3" xfId="9408" xr:uid="{CB8AA0CE-6709-4C44-8CDD-E13692CF1285}"/>
    <cellStyle name="Check Cell 30 2 3 8" xfId="9409" xr:uid="{8D9B9875-8E4C-41A0-9B28-093C2CD04DCC}"/>
    <cellStyle name="Check Cell 30 2 3 8 2" xfId="9410" xr:uid="{D5013A6E-E06D-4BE4-ADEF-1B766D1B4D2E}"/>
    <cellStyle name="Check Cell 30 2 3 8 2 2" xfId="9411" xr:uid="{90C4AC21-D666-415C-A36E-CEFF1591A54C}"/>
    <cellStyle name="Check Cell 30 2 3 8 3" xfId="9412" xr:uid="{AFE7CB3A-FDEA-4093-8685-C5A1638B9F89}"/>
    <cellStyle name="Check Cell 30 2 3 9" xfId="9413" xr:uid="{A615DA19-8734-4C65-A1A1-E8F3B8E1FCCA}"/>
    <cellStyle name="Check Cell 30 2 3 9 2" xfId="9414" xr:uid="{00D2CEC8-9D38-4E3C-912F-E1DED6CAB410}"/>
    <cellStyle name="Check Cell 30 2 3 9 2 2" xfId="9415" xr:uid="{ACB95351-961C-4369-9426-6F508797287D}"/>
    <cellStyle name="Check Cell 30 2 3 9 3" xfId="9416" xr:uid="{C1DCC399-60FB-4267-91DA-3AB209D49862}"/>
    <cellStyle name="Check Cell 30 2 4" xfId="9417" xr:uid="{7D936DD0-10D2-4CEF-82F9-B9A2CBAAF08A}"/>
    <cellStyle name="Check Cell 30 2 4 2" xfId="9418" xr:uid="{EDC8F1CC-C665-4BB3-9800-CD6993F4ADF7}"/>
    <cellStyle name="Check Cell 30 2 4 2 2" xfId="9419" xr:uid="{7AA0C946-FADF-42D1-9C5E-D755B3F9DCC4}"/>
    <cellStyle name="Check Cell 30 2 4 2 2 2" xfId="9420" xr:uid="{E3B4C78C-D7EE-4477-A7FC-791C28CF57C3}"/>
    <cellStyle name="Check Cell 30 2 4 2 3" xfId="9421" xr:uid="{B2573575-162C-478D-9D02-1A96A0B7E6C8}"/>
    <cellStyle name="Check Cell 30 2 4 3" xfId="9422" xr:uid="{8588DBC1-F280-46AD-94CA-FC07F9070AE0}"/>
    <cellStyle name="Check Cell 30 2 4 3 2" xfId="9423" xr:uid="{3A253296-E6A5-432A-B9F3-C27792DE982B}"/>
    <cellStyle name="Check Cell 30 2 4 3 2 2" xfId="9424" xr:uid="{F5BDB48D-05CE-4064-97C0-4EBA3A6F6393}"/>
    <cellStyle name="Check Cell 30 2 4 3 3" xfId="9425" xr:uid="{D4EA4FC1-E87F-4031-BD56-B878DC30179B}"/>
    <cellStyle name="Check Cell 30 2 4 4" xfId="9426" xr:uid="{55F5A0EF-A57A-44FE-9494-134AD62BC735}"/>
    <cellStyle name="Check Cell 30 2 4 4 2" xfId="9427" xr:uid="{4C23BA56-4ADA-4550-BE63-62AC2EEE7C75}"/>
    <cellStyle name="Check Cell 30 2 4 4 2 2" xfId="9428" xr:uid="{F0CAB8F2-0BB4-4504-820E-13CA2799C06D}"/>
    <cellStyle name="Check Cell 30 2 4 4 3" xfId="9429" xr:uid="{7DFA09A6-70C2-4C19-A309-E22858F385C2}"/>
    <cellStyle name="Check Cell 30 2 4 5" xfId="9430" xr:uid="{E9DCE285-0A9C-4FDA-89BC-743D11A54322}"/>
    <cellStyle name="Check Cell 30 2 4 5 2" xfId="9431" xr:uid="{5227383C-9D70-4269-8DB6-D4C2BFE71F15}"/>
    <cellStyle name="Check Cell 30 2 4 5 2 2" xfId="9432" xr:uid="{44306940-27A9-4201-AB44-995FC40342A3}"/>
    <cellStyle name="Check Cell 30 2 4 5 3" xfId="9433" xr:uid="{99B22C67-400A-439F-A81E-59AC131D44CE}"/>
    <cellStyle name="Check Cell 30 2 4 6" xfId="9434" xr:uid="{B0E7EEB7-8C21-4296-95E7-6A9F1A99F5D6}"/>
    <cellStyle name="Check Cell 30 2 4 6 2" xfId="9435" xr:uid="{65EC1F4B-4D20-44F7-8772-A499B87CA48B}"/>
    <cellStyle name="Check Cell 30 2 4 6 2 2" xfId="9436" xr:uid="{E1982761-BD9A-4972-B50A-8FE71E5BA19A}"/>
    <cellStyle name="Check Cell 30 2 4 6 3" xfId="9437" xr:uid="{544637B1-53F7-488D-8B51-E65825965F0A}"/>
    <cellStyle name="Check Cell 30 2 4 7" xfId="9438" xr:uid="{DB3B21BE-D60E-4F73-8C6C-61EA70EDBDB2}"/>
    <cellStyle name="Check Cell 30 2 4 7 2" xfId="9439" xr:uid="{DBC29A92-D452-4F6E-8618-EC60BBCFD8C0}"/>
    <cellStyle name="Check Cell 30 2 4 7 2 2" xfId="9440" xr:uid="{6ED4C39A-6DD7-4C5C-BCF8-4012E56947C0}"/>
    <cellStyle name="Check Cell 30 2 4 7 3" xfId="9441" xr:uid="{7B90E82E-01F7-48F4-B597-91CFE4961135}"/>
    <cellStyle name="Check Cell 30 2 4 8" xfId="9442" xr:uid="{6656D6C0-D811-40D3-8984-F81E4C17EAE7}"/>
    <cellStyle name="Check Cell 30 2 4 8 2" xfId="9443" xr:uid="{F54E2D40-FC8E-4BBA-A252-F0249E5DA4BE}"/>
    <cellStyle name="Check Cell 30 2 4 8 2 2" xfId="9444" xr:uid="{BD4EECF0-7229-411E-91C8-C8D8D1DE65A0}"/>
    <cellStyle name="Check Cell 30 2 4 8 3" xfId="9445" xr:uid="{E4FD95F6-2F55-4037-8DC1-32B37A2B96C7}"/>
    <cellStyle name="Check Cell 30 2 4 9" xfId="9446" xr:uid="{33EE641D-E020-4FF0-AF48-A60B373EEDE2}"/>
    <cellStyle name="Check Cell 30 2 4 9 2" xfId="9447" xr:uid="{C0C6E311-07EC-4F45-9E14-282E48E1BC90}"/>
    <cellStyle name="Check Cell 30 2 4 9 2 2" xfId="9448" xr:uid="{EDA21125-AFF0-4F75-9D38-D25BB99E130F}"/>
    <cellStyle name="Check Cell 30 2 4 9 3" xfId="9449" xr:uid="{08D89F0B-D8B1-47FC-9D8E-904DE1B06678}"/>
    <cellStyle name="Check Cell 30 2 5" xfId="9450" xr:uid="{30AD35FC-D9B9-417F-AA32-67FAB2AFE5CE}"/>
    <cellStyle name="Check Cell 30 2 5 2" xfId="9451" xr:uid="{F32DC08F-C142-46B1-97DF-4BC9ED36B2F4}"/>
    <cellStyle name="Check Cell 30 2 5 2 2" xfId="9452" xr:uid="{089CBC4A-283D-4082-8193-3602EC8D5BA0}"/>
    <cellStyle name="Check Cell 30 2 5 2 2 2" xfId="9453" xr:uid="{3A349A51-DA4C-44AB-AAE8-CC45CF5920B0}"/>
    <cellStyle name="Check Cell 30 2 5 2 3" xfId="9454" xr:uid="{0C986CD9-1FD0-4A6A-93C5-7A47CAB96634}"/>
    <cellStyle name="Check Cell 30 2 5 3" xfId="9455" xr:uid="{8C51A70C-6C37-4B7B-9637-55B901976F52}"/>
    <cellStyle name="Check Cell 30 2 5 3 2" xfId="9456" xr:uid="{0891D1F1-8380-4679-9EE4-8A0A1B5D8B74}"/>
    <cellStyle name="Check Cell 30 2 5 3 2 2" xfId="9457" xr:uid="{3F857A48-793A-44C1-A7E8-F06797C56717}"/>
    <cellStyle name="Check Cell 30 2 5 3 3" xfId="9458" xr:uid="{B6E713E9-73A6-41EC-B96C-37C9B08D6DE2}"/>
    <cellStyle name="Check Cell 30 2 5 4" xfId="9459" xr:uid="{7EC4FF8D-8A8D-477F-85ED-DB915656E8D7}"/>
    <cellStyle name="Check Cell 30 2 5 4 2" xfId="9460" xr:uid="{1020D523-0B12-490F-AFFD-373F93330F00}"/>
    <cellStyle name="Check Cell 30 2 5 4 2 2" xfId="9461" xr:uid="{AEB6637D-C13A-4749-A85F-0D97D2887288}"/>
    <cellStyle name="Check Cell 30 2 5 4 3" xfId="9462" xr:uid="{4B428562-327F-400B-A57D-162BF0C8F336}"/>
    <cellStyle name="Check Cell 30 2 5 5" xfId="9463" xr:uid="{BA60CB48-CB70-42D2-B860-9C548587FA6A}"/>
    <cellStyle name="Check Cell 30 2 5 5 2" xfId="9464" xr:uid="{9E382F2C-9D76-4ED9-887D-7149185CE492}"/>
    <cellStyle name="Check Cell 30 2 5 5 2 2" xfId="9465" xr:uid="{DD32FAE9-A0DE-46F7-AF63-9B53D3509167}"/>
    <cellStyle name="Check Cell 30 2 5 5 3" xfId="9466" xr:uid="{CADCF602-BD13-4FD4-9EA9-389CDD6AA176}"/>
    <cellStyle name="Check Cell 30 2 5 6" xfId="9467" xr:uid="{362B16C9-2F52-4A80-BAD1-A9AC58926E5B}"/>
    <cellStyle name="Check Cell 30 2 5 6 2" xfId="9468" xr:uid="{F722FD72-98B0-4E94-8089-2862F7C4A497}"/>
    <cellStyle name="Check Cell 30 2 5 6 2 2" xfId="9469" xr:uid="{EA2AA71F-3C6D-4112-BF31-FB87CE547D54}"/>
    <cellStyle name="Check Cell 30 2 5 6 3" xfId="9470" xr:uid="{7E3DC491-A3CE-4DE9-B34C-1ED159710223}"/>
    <cellStyle name="Check Cell 30 2 5 7" xfId="9471" xr:uid="{1214F816-9B49-4E48-81D8-2394335250E2}"/>
    <cellStyle name="Check Cell 30 2 5 7 2" xfId="9472" xr:uid="{6DEB5D24-FDCF-4C16-92A6-45BC4923BF0C}"/>
    <cellStyle name="Check Cell 30 2 5 7 2 2" xfId="9473" xr:uid="{076BC5D1-68A7-423F-8E09-E3A68DE23718}"/>
    <cellStyle name="Check Cell 30 2 5 7 3" xfId="9474" xr:uid="{0667B296-2453-46A0-89C6-A53A2A90675B}"/>
    <cellStyle name="Check Cell 30 2 5 8" xfId="9475" xr:uid="{A7D89D96-042A-4C18-8122-8CB048D93D22}"/>
    <cellStyle name="Check Cell 30 2 5 8 2" xfId="9476" xr:uid="{40E5C7D8-6915-4399-A0D2-B51555A2CE55}"/>
    <cellStyle name="Check Cell 30 2 5 8 2 2" xfId="9477" xr:uid="{1B125649-1ECA-44DC-AC3C-57486F9CA32F}"/>
    <cellStyle name="Check Cell 30 2 5 8 3" xfId="9478" xr:uid="{BB23AB4C-DE59-47E8-B5A5-27AF121BBCAF}"/>
    <cellStyle name="Check Cell 30 2 5 9" xfId="9479" xr:uid="{B0CE1A64-9ECA-410F-AEB3-B2F45C9D5105}"/>
    <cellStyle name="Check Cell 30 2 5 9 2" xfId="9480" xr:uid="{76D6241F-6EFB-48AC-8220-D4AE9F63FF77}"/>
    <cellStyle name="Check Cell 30 2 5 9 2 2" xfId="9481" xr:uid="{DF36398C-5636-4BEB-B4A0-93787C32778F}"/>
    <cellStyle name="Check Cell 30 2 5 9 3" xfId="9482" xr:uid="{BEBC2681-263C-4D0A-8733-D426C594059D}"/>
    <cellStyle name="Check Cell 30 2 6" xfId="9483" xr:uid="{6F57EF12-57C9-41FD-8001-6D3FE12FD3B0}"/>
    <cellStyle name="Check Cell 30 2 6 2" xfId="9484" xr:uid="{2531248C-BEC5-496B-B6E0-8C9A5B4D2AEA}"/>
    <cellStyle name="Check Cell 30 2 6 2 2" xfId="9485" xr:uid="{A93C5119-EE51-4CE6-9788-95A7A4486383}"/>
    <cellStyle name="Check Cell 30 2 6 3" xfId="9486" xr:uid="{6EA56A4C-7B1D-498E-9E03-01B0EEC96059}"/>
    <cellStyle name="Check Cell 30 2 7" xfId="9487" xr:uid="{1CF8E917-8CB6-4669-831A-C8BA250BE413}"/>
    <cellStyle name="Check Cell 30 2 7 2" xfId="9488" xr:uid="{30F2A1E9-CE84-4CE8-9E44-9CD75A064A1F}"/>
    <cellStyle name="Check Cell 30 2 7 2 2" xfId="9489" xr:uid="{80D1F202-5E78-42F0-BCA6-0E6951161292}"/>
    <cellStyle name="Check Cell 30 2 7 3" xfId="9490" xr:uid="{D935F25C-E149-4D2D-8A6C-F68C26A329B9}"/>
    <cellStyle name="Check Cell 30 2 8" xfId="9491" xr:uid="{121F3C44-B42E-41E8-8097-FAC0910D41FC}"/>
    <cellStyle name="Check Cell 30 2 8 2" xfId="9492" xr:uid="{BF47EA03-1428-4B08-AAFC-5268C9C0E52D}"/>
    <cellStyle name="Check Cell 30 2 8 2 2" xfId="9493" xr:uid="{A7FAD8C8-DF91-4635-AF9F-B4444114080E}"/>
    <cellStyle name="Check Cell 30 2 8 3" xfId="9494" xr:uid="{6AFEB8A5-404C-45F9-90D5-FDA1D8139E85}"/>
    <cellStyle name="Check Cell 30 2 9" xfId="9495" xr:uid="{63EC0F7F-EB6E-43DA-95B5-8AF02BCDDC09}"/>
    <cellStyle name="Check Cell 30 2 9 2" xfId="9496" xr:uid="{3D4F62F7-82B9-4411-99D4-B64305B29313}"/>
    <cellStyle name="Check Cell 30 2 9 2 2" xfId="9497" xr:uid="{54CFAD92-9599-41F1-AA6D-99D0C030F0B3}"/>
    <cellStyle name="Check Cell 30 2 9 3" xfId="9498" xr:uid="{C3EAACBE-2DD8-46CB-B293-BC1CEE13DF45}"/>
    <cellStyle name="Check Cell 30 3" xfId="9499" xr:uid="{569ADCF1-FDCC-477D-88DE-3F89DBB9EF39}"/>
    <cellStyle name="Check Cell 30 3 2" xfId="9500" xr:uid="{04451264-02A8-4CCA-9913-42A24A7525B1}"/>
    <cellStyle name="Check Cell 30 3 2 2" xfId="9501" xr:uid="{5B064A06-D13F-435E-88E4-E8A602FFF738}"/>
    <cellStyle name="Check Cell 30 3 3" xfId="9502" xr:uid="{FDA68B0D-1516-434C-B4C9-FC9A1064C622}"/>
    <cellStyle name="Check Cell 30 4" xfId="9503" xr:uid="{7C628763-DDED-4924-9293-30D7848C0159}"/>
    <cellStyle name="Check Cell 30 4 2" xfId="9504" xr:uid="{8001F08D-212A-4906-BFD9-6C13E1D8F81C}"/>
    <cellStyle name="Check Cell 31" xfId="9505" xr:uid="{3EA85A6C-277D-41FA-966A-AB7EDC2E0035}"/>
    <cellStyle name="Check Cell 31 2" xfId="9506" xr:uid="{F08E9CBB-B47D-4A19-966B-0D16298B4294}"/>
    <cellStyle name="Check Cell 31 2 10" xfId="9507" xr:uid="{CE38FB60-C4DB-4807-8924-71181E28FC2B}"/>
    <cellStyle name="Check Cell 31 2 10 2" xfId="9508" xr:uid="{055C0BCF-A236-446C-ADC5-C65D9A68C4CE}"/>
    <cellStyle name="Check Cell 31 2 10 2 2" xfId="9509" xr:uid="{D2CCFA89-CBFE-4594-A548-78C82A110EE3}"/>
    <cellStyle name="Check Cell 31 2 10 3" xfId="9510" xr:uid="{81DE25C8-268D-4FB1-8E2F-615BE42D5F8F}"/>
    <cellStyle name="Check Cell 31 2 11" xfId="9511" xr:uid="{1BB9C51C-4A35-433B-A707-140B23098385}"/>
    <cellStyle name="Check Cell 31 2 11 2" xfId="9512" xr:uid="{455EE354-F672-411E-A922-21CDDA8C6F99}"/>
    <cellStyle name="Check Cell 31 2 11 2 2" xfId="9513" xr:uid="{E8856A5B-1125-4BAD-AC1C-180C93E46F9D}"/>
    <cellStyle name="Check Cell 31 2 11 3" xfId="9514" xr:uid="{254F8380-813D-49D0-AE23-0119BB5E99FE}"/>
    <cellStyle name="Check Cell 31 2 12" xfId="9515" xr:uid="{7EE3C5A3-4770-421C-9E49-14510A37FD1D}"/>
    <cellStyle name="Check Cell 31 2 12 2" xfId="9516" xr:uid="{A6156110-074A-4FED-B1CC-6E007EA8FE69}"/>
    <cellStyle name="Check Cell 31 2 12 2 2" xfId="9517" xr:uid="{FA775039-8852-4624-9DCD-0F952B6B588F}"/>
    <cellStyle name="Check Cell 31 2 12 3" xfId="9518" xr:uid="{D4BCB091-D812-466B-92F8-0F6FA6EB6A06}"/>
    <cellStyle name="Check Cell 31 2 13" xfId="9519" xr:uid="{EF9E7D99-F345-44B6-A68F-9B75129B61A5}"/>
    <cellStyle name="Check Cell 31 2 13 2" xfId="9520" xr:uid="{0349CBC7-BB70-4816-8995-2145ECB16F2E}"/>
    <cellStyle name="Check Cell 31 2 13 2 2" xfId="9521" xr:uid="{2937820E-67E7-4B0B-BD18-2065FB5D6177}"/>
    <cellStyle name="Check Cell 31 2 13 3" xfId="9522" xr:uid="{4F172BD1-7182-42CD-B0F5-EB7C53688F28}"/>
    <cellStyle name="Check Cell 31 2 2" xfId="9523" xr:uid="{92A4B45B-1D1C-4FCC-A9F2-CE340E35A949}"/>
    <cellStyle name="Check Cell 31 2 2 2" xfId="9524" xr:uid="{671BB6B4-5951-474A-9DB4-4D3890976FA0}"/>
    <cellStyle name="Check Cell 31 2 2 2 2" xfId="9525" xr:uid="{E8CA1F62-8A52-4158-B525-B7C68501E644}"/>
    <cellStyle name="Check Cell 31 2 2 2 2 2" xfId="9526" xr:uid="{A8650524-6D96-4CA1-84B7-47D3BFCB88A0}"/>
    <cellStyle name="Check Cell 31 2 2 2 3" xfId="9527" xr:uid="{1CADC3EC-D015-49FF-8BC3-45BAB02F9E40}"/>
    <cellStyle name="Check Cell 31 2 2 3" xfId="9528" xr:uid="{3797B898-B4F5-4935-B6E5-F0CE20F2AB3F}"/>
    <cellStyle name="Check Cell 31 2 2 3 2" xfId="9529" xr:uid="{ADE84A36-2806-4DFF-A4C6-11768282C65A}"/>
    <cellStyle name="Check Cell 31 2 2 3 2 2" xfId="9530" xr:uid="{A911A2F5-4956-45EE-BACC-1DFE3504CD9D}"/>
    <cellStyle name="Check Cell 31 2 2 3 3" xfId="9531" xr:uid="{C510F65A-B117-4EBD-9BE7-A9D5F734C207}"/>
    <cellStyle name="Check Cell 31 2 2 4" xfId="9532" xr:uid="{9850C3B3-2940-462A-AEFD-39AB01A9EC58}"/>
    <cellStyle name="Check Cell 31 2 2 4 2" xfId="9533" xr:uid="{D6E07EBD-E5C6-44B0-9C9C-2340C1CC34C6}"/>
    <cellStyle name="Check Cell 31 2 2 4 2 2" xfId="9534" xr:uid="{501016F2-9A01-4752-9626-B8DBEB56AB05}"/>
    <cellStyle name="Check Cell 31 2 2 4 3" xfId="9535" xr:uid="{2C65760D-A1BF-4EC5-8B2D-433497F2AD61}"/>
    <cellStyle name="Check Cell 31 2 2 5" xfId="9536" xr:uid="{3D80A174-D8CE-4793-9B1C-E5351AEE142A}"/>
    <cellStyle name="Check Cell 31 2 2 5 2" xfId="9537" xr:uid="{BCB3AAF4-3519-485E-954B-FC524BF27AE2}"/>
    <cellStyle name="Check Cell 31 2 2 5 2 2" xfId="9538" xr:uid="{76858D60-C3A0-426B-A0EC-5052BBDC4802}"/>
    <cellStyle name="Check Cell 31 2 2 5 3" xfId="9539" xr:uid="{92C492A8-791F-4289-9045-CA0C85A31210}"/>
    <cellStyle name="Check Cell 31 2 2 6" xfId="9540" xr:uid="{18B09E21-93B2-476F-8EE5-619FEAFD6E37}"/>
    <cellStyle name="Check Cell 31 2 2 6 2" xfId="9541" xr:uid="{C527315F-A692-46A8-8625-D54FE749E950}"/>
    <cellStyle name="Check Cell 31 2 2 6 2 2" xfId="9542" xr:uid="{8186CCEB-FDBF-46BB-8463-408E2E4B7DA8}"/>
    <cellStyle name="Check Cell 31 2 2 6 3" xfId="9543" xr:uid="{E95AA96A-9134-4C16-A36F-6466A6E63C87}"/>
    <cellStyle name="Check Cell 31 2 2 7" xfId="9544" xr:uid="{497DE8F9-F2E5-4DBA-AFA1-90CA52A3C0CE}"/>
    <cellStyle name="Check Cell 31 2 2 7 2" xfId="9545" xr:uid="{5469E237-1B22-42BC-9A47-C6F465B67D80}"/>
    <cellStyle name="Check Cell 31 2 2 7 2 2" xfId="9546" xr:uid="{8AA52CA4-9B62-4AE4-BE69-7DAE65506A32}"/>
    <cellStyle name="Check Cell 31 2 2 7 3" xfId="9547" xr:uid="{5819B33A-6739-4ECD-B7F4-4DE2C4E2C9BE}"/>
    <cellStyle name="Check Cell 31 2 2 8" xfId="9548" xr:uid="{BFEB2C57-2B7C-4622-81A8-3E812C518F6B}"/>
    <cellStyle name="Check Cell 31 2 2 8 2" xfId="9549" xr:uid="{F7611F23-C560-4552-973C-6DC026574547}"/>
    <cellStyle name="Check Cell 31 2 2 8 2 2" xfId="9550" xr:uid="{B88952E9-E3DD-4FFB-A875-56AE81685402}"/>
    <cellStyle name="Check Cell 31 2 2 8 3" xfId="9551" xr:uid="{21FECF13-7498-4811-BA3A-CBBEAFE2708B}"/>
    <cellStyle name="Check Cell 31 2 2 9" xfId="9552" xr:uid="{6B2003F7-E0CF-4BD7-B7D4-9C91DA759AE1}"/>
    <cellStyle name="Check Cell 31 2 2 9 2" xfId="9553" xr:uid="{B9EC76FF-9E86-45C3-804B-5C04C2AACA6B}"/>
    <cellStyle name="Check Cell 31 2 2 9 2 2" xfId="9554" xr:uid="{6226A608-7F02-41DC-8936-EF493AA23093}"/>
    <cellStyle name="Check Cell 31 2 2 9 3" xfId="9555" xr:uid="{C7E29A62-8B30-43E0-AE41-B8E46A7BF76D}"/>
    <cellStyle name="Check Cell 31 2 3" xfId="9556" xr:uid="{69296CC0-CB0A-446A-B5DD-E6F45D573353}"/>
    <cellStyle name="Check Cell 31 2 3 2" xfId="9557" xr:uid="{226CC4C7-248E-4FC7-B0A3-86758CC236E0}"/>
    <cellStyle name="Check Cell 31 2 3 2 2" xfId="9558" xr:uid="{7F65D0BA-F3B6-44C5-BE50-C96547791DD7}"/>
    <cellStyle name="Check Cell 31 2 3 2 2 2" xfId="9559" xr:uid="{7DF3B262-68F6-47FF-8384-57B074C88F59}"/>
    <cellStyle name="Check Cell 31 2 3 2 3" xfId="9560" xr:uid="{2E551B77-DCB1-43BF-95A1-8E88B42AEE2C}"/>
    <cellStyle name="Check Cell 31 2 3 3" xfId="9561" xr:uid="{5C1DEC27-AF67-47E7-9C79-3DBB4239C303}"/>
    <cellStyle name="Check Cell 31 2 3 3 2" xfId="9562" xr:uid="{359281D8-4F81-4F8A-BA82-AD945E529DCF}"/>
    <cellStyle name="Check Cell 31 2 3 3 2 2" xfId="9563" xr:uid="{88C6D071-1057-4088-8C51-E06C6B8DD930}"/>
    <cellStyle name="Check Cell 31 2 3 3 3" xfId="9564" xr:uid="{83E498EF-5CBA-40A7-849C-AB49F113E22B}"/>
    <cellStyle name="Check Cell 31 2 3 4" xfId="9565" xr:uid="{E9B3D068-626C-4804-9538-804CCD2ACF12}"/>
    <cellStyle name="Check Cell 31 2 3 4 2" xfId="9566" xr:uid="{24DF9604-DC01-479D-8701-176BF7A39097}"/>
    <cellStyle name="Check Cell 31 2 3 4 2 2" xfId="9567" xr:uid="{DEB16E29-8D37-4381-9B57-A6305FF562CE}"/>
    <cellStyle name="Check Cell 31 2 3 4 3" xfId="9568" xr:uid="{9F4D7C2A-F28E-4732-91AC-81E240FE402C}"/>
    <cellStyle name="Check Cell 31 2 3 5" xfId="9569" xr:uid="{EE678A9C-FB46-4DFD-8C9F-3877A2115FA4}"/>
    <cellStyle name="Check Cell 31 2 3 5 2" xfId="9570" xr:uid="{E8B8CA15-EBBC-4EA4-A9C5-13262A5F74C8}"/>
    <cellStyle name="Check Cell 31 2 3 5 2 2" xfId="9571" xr:uid="{15D8309E-C5A9-4988-B45E-1B34E8AB6668}"/>
    <cellStyle name="Check Cell 31 2 3 5 3" xfId="9572" xr:uid="{3B20D9D6-85A7-48D4-A65F-B77D6265DA60}"/>
    <cellStyle name="Check Cell 31 2 3 6" xfId="9573" xr:uid="{800F770B-C731-4398-9474-E5F0ECE0A998}"/>
    <cellStyle name="Check Cell 31 2 3 6 2" xfId="9574" xr:uid="{3951647B-DF13-4E4B-8A37-8B0ABE4F7CD9}"/>
    <cellStyle name="Check Cell 31 2 3 6 2 2" xfId="9575" xr:uid="{02B46E00-C540-4633-8F88-F9DCCB3776CB}"/>
    <cellStyle name="Check Cell 31 2 3 6 3" xfId="9576" xr:uid="{811FF5DB-5CEF-4C85-AEAF-96A9004FD1A6}"/>
    <cellStyle name="Check Cell 31 2 3 7" xfId="9577" xr:uid="{B33C0A8F-3055-48E6-8399-D77442C8E889}"/>
    <cellStyle name="Check Cell 31 2 3 7 2" xfId="9578" xr:uid="{70703F60-DE6B-484C-BD68-1E182A4A7444}"/>
    <cellStyle name="Check Cell 31 2 3 7 2 2" xfId="9579" xr:uid="{1A57FDB4-053C-4CC3-8242-A582E622C4BC}"/>
    <cellStyle name="Check Cell 31 2 3 7 3" xfId="9580" xr:uid="{2C788EF5-718A-42B5-BBA6-3CE5B7E2E8A9}"/>
    <cellStyle name="Check Cell 31 2 3 8" xfId="9581" xr:uid="{4F9AA2C1-78CA-4FFB-9B5D-8225EC63B95F}"/>
    <cellStyle name="Check Cell 31 2 3 8 2" xfId="9582" xr:uid="{384047C7-AD9B-4C98-89DF-E204FB0DE83C}"/>
    <cellStyle name="Check Cell 31 2 3 8 2 2" xfId="9583" xr:uid="{4B789F29-3F59-4F37-A413-C54DFB234AAF}"/>
    <cellStyle name="Check Cell 31 2 3 8 3" xfId="9584" xr:uid="{FCCC1D91-B79F-4DCD-9567-D409D5339D77}"/>
    <cellStyle name="Check Cell 31 2 3 9" xfId="9585" xr:uid="{2FE2DB67-3407-42AD-BF32-A78B87AAD307}"/>
    <cellStyle name="Check Cell 31 2 3 9 2" xfId="9586" xr:uid="{FEE94D51-44ED-40FB-8F7C-85E855AB0A32}"/>
    <cellStyle name="Check Cell 31 2 3 9 2 2" xfId="9587" xr:uid="{1D2FD80A-5AAB-43CF-B181-0C3E6B8ED14A}"/>
    <cellStyle name="Check Cell 31 2 3 9 3" xfId="9588" xr:uid="{9CDDF73A-08AF-41F2-B3D4-80115257AA54}"/>
    <cellStyle name="Check Cell 31 2 4" xfId="9589" xr:uid="{818B5189-7817-4F23-953F-6B192D879AB2}"/>
    <cellStyle name="Check Cell 31 2 4 2" xfId="9590" xr:uid="{ACC834AF-F841-4907-989D-E5B769DB4C29}"/>
    <cellStyle name="Check Cell 31 2 4 2 2" xfId="9591" xr:uid="{D5DF48AF-D0DE-47E4-852E-338F421F32B9}"/>
    <cellStyle name="Check Cell 31 2 4 2 2 2" xfId="9592" xr:uid="{D1F1160F-237D-4CB4-BD12-677B5D609E1E}"/>
    <cellStyle name="Check Cell 31 2 4 2 3" xfId="9593" xr:uid="{79F3D4F9-345F-4D98-8ADC-1DA69EC33930}"/>
    <cellStyle name="Check Cell 31 2 4 3" xfId="9594" xr:uid="{C67D4007-F597-463C-A069-ED10FDCE58B8}"/>
    <cellStyle name="Check Cell 31 2 4 3 2" xfId="9595" xr:uid="{2709CC8E-CDED-429E-A23D-B1B93311E46A}"/>
    <cellStyle name="Check Cell 31 2 4 3 2 2" xfId="9596" xr:uid="{BDCA2D1A-339C-4E96-B846-9D8FBF8B7620}"/>
    <cellStyle name="Check Cell 31 2 4 3 3" xfId="9597" xr:uid="{58AE16A4-3E7B-4201-B83D-6559BE61E7AB}"/>
    <cellStyle name="Check Cell 31 2 4 4" xfId="9598" xr:uid="{14418BAC-6FE8-4429-A21C-6A6F4AA1E6D5}"/>
    <cellStyle name="Check Cell 31 2 4 4 2" xfId="9599" xr:uid="{0AD49A1F-7F94-4AAB-85CE-D31D5D0B6542}"/>
    <cellStyle name="Check Cell 31 2 4 4 2 2" xfId="9600" xr:uid="{B8685BBB-BF3F-4A8A-859A-E12DB30663A5}"/>
    <cellStyle name="Check Cell 31 2 4 4 3" xfId="9601" xr:uid="{D40216DE-83EF-422D-9A19-7204B563C384}"/>
    <cellStyle name="Check Cell 31 2 4 5" xfId="9602" xr:uid="{76A2363D-17E4-44CE-B083-C5BC28367861}"/>
    <cellStyle name="Check Cell 31 2 4 5 2" xfId="9603" xr:uid="{0F68E7F0-5F90-4ACF-811D-4EAD388D5D2A}"/>
    <cellStyle name="Check Cell 31 2 4 5 2 2" xfId="9604" xr:uid="{69013DE8-1BDA-4440-8186-1F9D8EF95BB2}"/>
    <cellStyle name="Check Cell 31 2 4 5 3" xfId="9605" xr:uid="{8D4E409B-72C9-4833-9E33-5D9DC9D15AC4}"/>
    <cellStyle name="Check Cell 31 2 4 6" xfId="9606" xr:uid="{81C9B7E4-35CE-43B4-964B-66DC8BB95C03}"/>
    <cellStyle name="Check Cell 31 2 4 6 2" xfId="9607" xr:uid="{B6F759B8-B130-43A2-AD89-A5B4E1D8CDD7}"/>
    <cellStyle name="Check Cell 31 2 4 6 2 2" xfId="9608" xr:uid="{C1A8E4D3-6DA7-4C83-9D10-29BF0B74A4DB}"/>
    <cellStyle name="Check Cell 31 2 4 6 3" xfId="9609" xr:uid="{498BD7CD-CEA5-4569-87BA-5F810921CF3A}"/>
    <cellStyle name="Check Cell 31 2 4 7" xfId="9610" xr:uid="{7C7535DF-1714-4836-907B-E8DC3ED16494}"/>
    <cellStyle name="Check Cell 31 2 4 7 2" xfId="9611" xr:uid="{BD0F36B9-BF1F-4507-B0FE-19C231FFF5B8}"/>
    <cellStyle name="Check Cell 31 2 4 7 2 2" xfId="9612" xr:uid="{E90C3563-F9E6-443C-BE66-86F52840934F}"/>
    <cellStyle name="Check Cell 31 2 4 7 3" xfId="9613" xr:uid="{DDB762CE-96AE-476F-B95A-DBD8B7CE2863}"/>
    <cellStyle name="Check Cell 31 2 4 8" xfId="9614" xr:uid="{05849819-9F7E-4DA1-8066-B75280C7E326}"/>
    <cellStyle name="Check Cell 31 2 4 8 2" xfId="9615" xr:uid="{7B1694B5-1A41-4336-9B03-068092649D6F}"/>
    <cellStyle name="Check Cell 31 2 4 8 2 2" xfId="9616" xr:uid="{1B8A3A6A-547D-4D60-A1B3-527B6AAB3D3D}"/>
    <cellStyle name="Check Cell 31 2 4 8 3" xfId="9617" xr:uid="{CA394606-E419-426D-A984-39EB0B6AA42C}"/>
    <cellStyle name="Check Cell 31 2 4 9" xfId="9618" xr:uid="{E77F496B-E930-4863-AD22-C11B41A61100}"/>
    <cellStyle name="Check Cell 31 2 4 9 2" xfId="9619" xr:uid="{F03D88DA-121E-4B5E-BB1C-D732603C61D4}"/>
    <cellStyle name="Check Cell 31 2 4 9 2 2" xfId="9620" xr:uid="{19C48F46-0F26-451A-817B-541A65557162}"/>
    <cellStyle name="Check Cell 31 2 4 9 3" xfId="9621" xr:uid="{9A8C3204-24DE-4193-AD63-E44CF3908170}"/>
    <cellStyle name="Check Cell 31 2 5" xfId="9622" xr:uid="{C0CD2C78-749B-4600-86DF-BB6A6B6FA2CD}"/>
    <cellStyle name="Check Cell 31 2 5 2" xfId="9623" xr:uid="{CE9A251A-25FE-4A57-BE5B-DC14346A72AB}"/>
    <cellStyle name="Check Cell 31 2 5 2 2" xfId="9624" xr:uid="{863A5323-CC25-4C76-B86D-19D176C60283}"/>
    <cellStyle name="Check Cell 31 2 5 2 2 2" xfId="9625" xr:uid="{45335C34-9534-4B7C-801D-B265FC82929C}"/>
    <cellStyle name="Check Cell 31 2 5 2 3" xfId="9626" xr:uid="{3EE027CC-8619-4768-ABF9-78C16B555CBE}"/>
    <cellStyle name="Check Cell 31 2 5 3" xfId="9627" xr:uid="{CCFB627F-1D17-4BDC-BC95-C43D69513A6B}"/>
    <cellStyle name="Check Cell 31 2 5 3 2" xfId="9628" xr:uid="{E578D175-D821-4487-862A-E10AC9A92412}"/>
    <cellStyle name="Check Cell 31 2 5 3 2 2" xfId="9629" xr:uid="{993F5BBB-5BDC-4013-88E8-0B7A62641736}"/>
    <cellStyle name="Check Cell 31 2 5 3 3" xfId="9630" xr:uid="{24C896CE-D96E-438B-8A4F-E0D8ABBBE365}"/>
    <cellStyle name="Check Cell 31 2 5 4" xfId="9631" xr:uid="{1CD9A35B-5557-4871-A450-9E68BA3A6360}"/>
    <cellStyle name="Check Cell 31 2 5 4 2" xfId="9632" xr:uid="{E88D897C-F650-4A36-BE33-A45A3628B53D}"/>
    <cellStyle name="Check Cell 31 2 5 4 2 2" xfId="9633" xr:uid="{918811BB-4AC6-4D50-AC7A-184C12048009}"/>
    <cellStyle name="Check Cell 31 2 5 4 3" xfId="9634" xr:uid="{CE50B612-9DA0-429B-A8A1-9F78254BAB1B}"/>
    <cellStyle name="Check Cell 31 2 5 5" xfId="9635" xr:uid="{14DFE7EF-3A01-430A-A334-23A98E95FA25}"/>
    <cellStyle name="Check Cell 31 2 5 5 2" xfId="9636" xr:uid="{90867050-32EB-43C7-8D96-C65245F0D619}"/>
    <cellStyle name="Check Cell 31 2 5 5 2 2" xfId="9637" xr:uid="{8296A23C-3032-487F-9BE5-12D8CFCEFD95}"/>
    <cellStyle name="Check Cell 31 2 5 5 3" xfId="9638" xr:uid="{3EA9B275-7019-406D-8096-4A369AB580DB}"/>
    <cellStyle name="Check Cell 31 2 5 6" xfId="9639" xr:uid="{B956C9B0-8339-43FC-81C6-BD7092F297B3}"/>
    <cellStyle name="Check Cell 31 2 5 6 2" xfId="9640" xr:uid="{4531742C-33F2-4956-AA58-7A15D706001E}"/>
    <cellStyle name="Check Cell 31 2 5 6 2 2" xfId="9641" xr:uid="{148CB870-9DF3-461F-87C3-5773EF35A593}"/>
    <cellStyle name="Check Cell 31 2 5 6 3" xfId="9642" xr:uid="{A4CF25B5-CD3B-4EF8-8AEC-3DBBF0390AE9}"/>
    <cellStyle name="Check Cell 31 2 5 7" xfId="9643" xr:uid="{187264D5-03E8-4F2B-ABD8-F7DBD10F7784}"/>
    <cellStyle name="Check Cell 31 2 5 7 2" xfId="9644" xr:uid="{CCF99A97-D4FC-48FF-B5EF-DD82397500A4}"/>
    <cellStyle name="Check Cell 31 2 5 7 2 2" xfId="9645" xr:uid="{83449C4B-39A9-4E05-A44D-70E63FF537F1}"/>
    <cellStyle name="Check Cell 31 2 5 7 3" xfId="9646" xr:uid="{10C271AF-D2C4-48B6-825A-A050459F2858}"/>
    <cellStyle name="Check Cell 31 2 5 8" xfId="9647" xr:uid="{F741A7AD-EE47-443F-95A8-B6D979EA0249}"/>
    <cellStyle name="Check Cell 31 2 5 8 2" xfId="9648" xr:uid="{44317E0E-4047-454C-B586-4E26F1E4FAEE}"/>
    <cellStyle name="Check Cell 31 2 5 8 2 2" xfId="9649" xr:uid="{4A2A41CD-7430-457E-88D8-0DC02BEDD17B}"/>
    <cellStyle name="Check Cell 31 2 5 8 3" xfId="9650" xr:uid="{1287BE88-194C-4939-B507-F5D83E4A7A9E}"/>
    <cellStyle name="Check Cell 31 2 5 9" xfId="9651" xr:uid="{A56D6336-F39A-43F0-A824-0D583B23A20E}"/>
    <cellStyle name="Check Cell 31 2 5 9 2" xfId="9652" xr:uid="{620D2B7A-95ED-4B80-ABB4-93E85FBC6D90}"/>
    <cellStyle name="Check Cell 31 2 5 9 2 2" xfId="9653" xr:uid="{38F0CBD6-2650-4079-A37E-DF67DCFCCA8D}"/>
    <cellStyle name="Check Cell 31 2 5 9 3" xfId="9654" xr:uid="{FADE139F-25C9-4B17-99D0-32445A4006A1}"/>
    <cellStyle name="Check Cell 31 2 6" xfId="9655" xr:uid="{95D2B321-2E64-4432-888A-6885B0BE8510}"/>
    <cellStyle name="Check Cell 31 2 6 2" xfId="9656" xr:uid="{30195105-6B08-49F9-B1EF-E3EFA5401007}"/>
    <cellStyle name="Check Cell 31 2 6 2 2" xfId="9657" xr:uid="{273B8837-5949-436E-92B9-33DD965BF72F}"/>
    <cellStyle name="Check Cell 31 2 6 3" xfId="9658" xr:uid="{7530CEDF-EA35-49B5-825E-0FAFB37FBA45}"/>
    <cellStyle name="Check Cell 31 2 7" xfId="9659" xr:uid="{B53CD262-43DF-4463-9E91-BD31EC3108E8}"/>
    <cellStyle name="Check Cell 31 2 7 2" xfId="9660" xr:uid="{DE84AC9F-6FC5-4322-A8AC-93D698F4AE3C}"/>
    <cellStyle name="Check Cell 31 2 7 2 2" xfId="9661" xr:uid="{688F2A67-4CF1-4847-822B-5DBD00C09F2F}"/>
    <cellStyle name="Check Cell 31 2 7 3" xfId="9662" xr:uid="{E962BE19-C3BC-41E6-8A0B-79A05816CDBA}"/>
    <cellStyle name="Check Cell 31 2 8" xfId="9663" xr:uid="{FD9CD3B6-68AA-409F-869F-3EB120EBA055}"/>
    <cellStyle name="Check Cell 31 2 8 2" xfId="9664" xr:uid="{59655F7D-5992-41B4-85B8-DAD227BD2E77}"/>
    <cellStyle name="Check Cell 31 2 8 2 2" xfId="9665" xr:uid="{B206E9BB-3111-4A87-9614-E8177FB1DBC2}"/>
    <cellStyle name="Check Cell 31 2 8 3" xfId="9666" xr:uid="{2E9D17FC-1A4B-4BC1-B0BD-97357E46CCC6}"/>
    <cellStyle name="Check Cell 31 2 9" xfId="9667" xr:uid="{2191EA65-0A12-4C76-8B41-3109DDB960E6}"/>
    <cellStyle name="Check Cell 31 2 9 2" xfId="9668" xr:uid="{21926D52-0321-4447-9EC3-8AC228F1B9CF}"/>
    <cellStyle name="Check Cell 31 2 9 2 2" xfId="9669" xr:uid="{795288C6-D7F5-4B4B-8321-F0B2E05562F4}"/>
    <cellStyle name="Check Cell 31 2 9 3" xfId="9670" xr:uid="{27F77F12-EEB7-4E03-B2FB-D86AF348DBA5}"/>
    <cellStyle name="Check Cell 31 3" xfId="9671" xr:uid="{C4E6E8F7-6AC6-409A-A9C2-CD567FE06E5F}"/>
    <cellStyle name="Check Cell 31 3 2" xfId="9672" xr:uid="{C7AE78E8-7429-4B27-A8DC-5B495CDE501E}"/>
    <cellStyle name="Check Cell 31 3 2 2" xfId="9673" xr:uid="{321D6375-7FC2-4E26-BF0F-22C4EC1B3DFB}"/>
    <cellStyle name="Check Cell 31 3 3" xfId="9674" xr:uid="{479DD2B5-B4A9-4DAD-BE52-C280A1270C41}"/>
    <cellStyle name="Check Cell 31 4" xfId="9675" xr:uid="{32B8FE24-2837-4B17-B305-7153781A79ED}"/>
    <cellStyle name="Check Cell 31 4 2" xfId="9676" xr:uid="{3F8D060E-BB0B-4956-BB36-DAABC321D44D}"/>
    <cellStyle name="Check Cell 32" xfId="9677" xr:uid="{414A6D8C-38F0-4612-B6CD-E69F98F7BDAF}"/>
    <cellStyle name="Check Cell 32 2" xfId="9678" xr:uid="{5CF1C647-2E28-4CD3-A9F2-24BEED6EB2A9}"/>
    <cellStyle name="Check Cell 32 2 10" xfId="9679" xr:uid="{086AE86B-FA46-4696-9C55-C324DB58E344}"/>
    <cellStyle name="Check Cell 32 2 10 2" xfId="9680" xr:uid="{2D911F5D-595D-4A35-AC62-82AAB06CD9F0}"/>
    <cellStyle name="Check Cell 32 2 10 2 2" xfId="9681" xr:uid="{3E2B26AB-72B4-4A8F-82A7-6F4C7E396FC6}"/>
    <cellStyle name="Check Cell 32 2 10 3" xfId="9682" xr:uid="{374EE390-3693-4E60-ADBD-0E5F1E6B5CC4}"/>
    <cellStyle name="Check Cell 32 2 11" xfId="9683" xr:uid="{35D466B4-1B96-4279-84F6-E6C02CE6670C}"/>
    <cellStyle name="Check Cell 32 2 11 2" xfId="9684" xr:uid="{2DE9DDCB-77FC-4722-A3B0-AE90A8180DAF}"/>
    <cellStyle name="Check Cell 32 2 11 2 2" xfId="9685" xr:uid="{34F0883C-6DF0-4483-B7A0-A8951017BB0B}"/>
    <cellStyle name="Check Cell 32 2 11 3" xfId="9686" xr:uid="{E1EC7768-516B-4A5E-9CEF-3123B9CB2F8A}"/>
    <cellStyle name="Check Cell 32 2 12" xfId="9687" xr:uid="{EAC5AC6E-645C-44B9-81FE-2804875E9CDC}"/>
    <cellStyle name="Check Cell 32 2 12 2" xfId="9688" xr:uid="{BBA23B4B-3A76-41D6-8802-A20C34FD9828}"/>
    <cellStyle name="Check Cell 32 2 12 2 2" xfId="9689" xr:uid="{4FDFBD23-A156-4B86-A69B-3F82163CF3FA}"/>
    <cellStyle name="Check Cell 32 2 12 3" xfId="9690" xr:uid="{6EAFB528-6A61-4ACD-85A0-DD0AF527B3F4}"/>
    <cellStyle name="Check Cell 32 2 13" xfId="9691" xr:uid="{65A3CBFE-AC1C-4939-8CBA-BACE9732F766}"/>
    <cellStyle name="Check Cell 32 2 13 2" xfId="9692" xr:uid="{8C6DFEAE-789B-44DC-B5DD-AA4207228C78}"/>
    <cellStyle name="Check Cell 32 2 13 2 2" xfId="9693" xr:uid="{6A16D725-E385-4DDA-A2A0-8F564DB02AF7}"/>
    <cellStyle name="Check Cell 32 2 13 3" xfId="9694" xr:uid="{F1B5B27E-ED3C-4DF7-91BC-FED1DBAC30A0}"/>
    <cellStyle name="Check Cell 32 2 2" xfId="9695" xr:uid="{622FE051-7077-4CEA-9410-3A51085746A3}"/>
    <cellStyle name="Check Cell 32 2 2 2" xfId="9696" xr:uid="{7A9B6E8B-5FA2-42F0-AE44-93A73F281D82}"/>
    <cellStyle name="Check Cell 32 2 2 2 2" xfId="9697" xr:uid="{F9B98BB4-56A5-41DC-99C5-83C0735D4272}"/>
    <cellStyle name="Check Cell 32 2 2 2 2 2" xfId="9698" xr:uid="{17BAC9D0-B25D-4BBD-8D29-AB99A1E865C0}"/>
    <cellStyle name="Check Cell 32 2 2 2 3" xfId="9699" xr:uid="{04A3F2AC-BC9E-42C5-9DCA-5B60E2579BB0}"/>
    <cellStyle name="Check Cell 32 2 2 3" xfId="9700" xr:uid="{EF31A447-2674-4228-B56F-D57CDEF434A5}"/>
    <cellStyle name="Check Cell 32 2 2 3 2" xfId="9701" xr:uid="{7A53DF46-6DCC-4173-87CC-53750ADEA952}"/>
    <cellStyle name="Check Cell 32 2 2 3 2 2" xfId="9702" xr:uid="{C45B7F56-11F9-4EA6-8B66-60A46D4CF903}"/>
    <cellStyle name="Check Cell 32 2 2 3 3" xfId="9703" xr:uid="{9291E596-93F5-4590-AD8A-1E89EA31F2A3}"/>
    <cellStyle name="Check Cell 32 2 2 4" xfId="9704" xr:uid="{798A1A72-8CAF-4C27-BD64-1B5352D38860}"/>
    <cellStyle name="Check Cell 32 2 2 4 2" xfId="9705" xr:uid="{A5B93243-6DDD-4999-AD71-CF8359B5D777}"/>
    <cellStyle name="Check Cell 32 2 2 4 2 2" xfId="9706" xr:uid="{86633FC7-AC5E-4424-8A38-A9FEDD885F0F}"/>
    <cellStyle name="Check Cell 32 2 2 4 3" xfId="9707" xr:uid="{52FFE4D9-4565-4794-BED0-37DD84AA2B3A}"/>
    <cellStyle name="Check Cell 32 2 2 5" xfId="9708" xr:uid="{5DFDC67E-13D7-4E6E-83C7-568D945BF8A2}"/>
    <cellStyle name="Check Cell 32 2 2 5 2" xfId="9709" xr:uid="{090705AC-060D-4B06-ADC2-DD225EC4A2CF}"/>
    <cellStyle name="Check Cell 32 2 2 5 2 2" xfId="9710" xr:uid="{769B010C-C1D8-4A5F-AF4D-A4EB6D875ADD}"/>
    <cellStyle name="Check Cell 32 2 2 5 3" xfId="9711" xr:uid="{F9A611D4-CA62-4562-B00D-5A5897C4BB14}"/>
    <cellStyle name="Check Cell 32 2 2 6" xfId="9712" xr:uid="{10EB88E0-4B2B-4E22-8A61-83187C53B653}"/>
    <cellStyle name="Check Cell 32 2 2 6 2" xfId="9713" xr:uid="{138BA712-3647-4199-B8C0-230FAA3FFB5E}"/>
    <cellStyle name="Check Cell 32 2 2 6 2 2" xfId="9714" xr:uid="{2B14C179-6EFB-47F3-9B92-2BDD02CAFE83}"/>
    <cellStyle name="Check Cell 32 2 2 6 3" xfId="9715" xr:uid="{A66D9D02-B9AF-421A-BA61-B3E1C83E1E59}"/>
    <cellStyle name="Check Cell 32 2 2 7" xfId="9716" xr:uid="{BFCD6DE8-525A-48D6-A92A-FEFF1F33350B}"/>
    <cellStyle name="Check Cell 32 2 2 7 2" xfId="9717" xr:uid="{021BF124-61E6-4934-80C8-2D41F9172257}"/>
    <cellStyle name="Check Cell 32 2 2 7 2 2" xfId="9718" xr:uid="{E00F87FE-C471-451C-BC2A-40C11E618E6A}"/>
    <cellStyle name="Check Cell 32 2 2 7 3" xfId="9719" xr:uid="{96E6B0D1-3456-40EC-968D-0B934F25C4A7}"/>
    <cellStyle name="Check Cell 32 2 2 8" xfId="9720" xr:uid="{26C67DFE-304F-4C87-9DB9-7CFED9B97A90}"/>
    <cellStyle name="Check Cell 32 2 2 8 2" xfId="9721" xr:uid="{AD218996-7C37-4DBA-9686-B0643180C95F}"/>
    <cellStyle name="Check Cell 32 2 2 8 2 2" xfId="9722" xr:uid="{D522F100-99AD-41B7-A321-749F7426285F}"/>
    <cellStyle name="Check Cell 32 2 2 8 3" xfId="9723" xr:uid="{069D8DB1-F2DE-4F37-9445-E7F0A342081F}"/>
    <cellStyle name="Check Cell 32 2 2 9" xfId="9724" xr:uid="{1647A8B0-A553-4089-AB09-8B29DD65A7C8}"/>
    <cellStyle name="Check Cell 32 2 2 9 2" xfId="9725" xr:uid="{A07996AB-124D-4946-A914-C21A4CA0E8EE}"/>
    <cellStyle name="Check Cell 32 2 2 9 2 2" xfId="9726" xr:uid="{4A1DB0CE-79F5-46D1-96EA-32288F51A5B3}"/>
    <cellStyle name="Check Cell 32 2 2 9 3" xfId="9727" xr:uid="{A0559354-4423-4FBE-9DFB-6500CC6B9991}"/>
    <cellStyle name="Check Cell 32 2 3" xfId="9728" xr:uid="{001AF390-0F6B-476F-A304-BAA88B338849}"/>
    <cellStyle name="Check Cell 32 2 3 2" xfId="9729" xr:uid="{8AACBF73-670C-49CA-BA86-1765A21B5C93}"/>
    <cellStyle name="Check Cell 32 2 3 2 2" xfId="9730" xr:uid="{ED7B7E9E-8B7D-4D67-8D26-8A1B12A760FA}"/>
    <cellStyle name="Check Cell 32 2 3 2 2 2" xfId="9731" xr:uid="{000FBCF2-C6D9-492A-A715-9D5AC05BE4DA}"/>
    <cellStyle name="Check Cell 32 2 3 2 3" xfId="9732" xr:uid="{163B332C-EC20-45D5-9B55-D36295DDB07A}"/>
    <cellStyle name="Check Cell 32 2 3 3" xfId="9733" xr:uid="{C3A870C5-BDEF-44CC-86FF-CD66C5FFF295}"/>
    <cellStyle name="Check Cell 32 2 3 3 2" xfId="9734" xr:uid="{9F147B9B-4532-4D25-A35C-640D041F4D6A}"/>
    <cellStyle name="Check Cell 32 2 3 3 2 2" xfId="9735" xr:uid="{2A7EE01F-CD03-4A8A-9234-36A7B7B29CDD}"/>
    <cellStyle name="Check Cell 32 2 3 3 3" xfId="9736" xr:uid="{877F2AF1-E36F-4733-9488-2FB5010BC055}"/>
    <cellStyle name="Check Cell 32 2 3 4" xfId="9737" xr:uid="{E938C106-580F-448D-82BB-5E922ACCE1E5}"/>
    <cellStyle name="Check Cell 32 2 3 4 2" xfId="9738" xr:uid="{D2C4714E-1CD1-447B-8B94-680DFF89E0E4}"/>
    <cellStyle name="Check Cell 32 2 3 4 2 2" xfId="9739" xr:uid="{4BB9159B-273E-417F-9944-B49D92706595}"/>
    <cellStyle name="Check Cell 32 2 3 4 3" xfId="9740" xr:uid="{59F844A2-8506-44A6-8D7C-CCA6D11FCC4B}"/>
    <cellStyle name="Check Cell 32 2 3 5" xfId="9741" xr:uid="{8D5B0D68-C270-4D69-BA90-479B990D9B5C}"/>
    <cellStyle name="Check Cell 32 2 3 5 2" xfId="9742" xr:uid="{ACED0441-05D2-4C69-B220-27876E784515}"/>
    <cellStyle name="Check Cell 32 2 3 5 2 2" xfId="9743" xr:uid="{9C07D770-712D-469F-BF10-E1AE375627B3}"/>
    <cellStyle name="Check Cell 32 2 3 5 3" xfId="9744" xr:uid="{F4B38701-06CF-46BE-BBB6-3F07B7C01824}"/>
    <cellStyle name="Check Cell 32 2 3 6" xfId="9745" xr:uid="{62963909-F37B-4C72-8FE4-975757CDF2F2}"/>
    <cellStyle name="Check Cell 32 2 3 6 2" xfId="9746" xr:uid="{5F271F34-CDE4-4105-AD9A-200123F7C38C}"/>
    <cellStyle name="Check Cell 32 2 3 6 2 2" xfId="9747" xr:uid="{48FC3BB6-58C4-4CB3-8043-272950C30218}"/>
    <cellStyle name="Check Cell 32 2 3 6 3" xfId="9748" xr:uid="{7321AF62-F948-4960-8C73-287C7CCA7326}"/>
    <cellStyle name="Check Cell 32 2 3 7" xfId="9749" xr:uid="{D5E179C2-8B1B-49EE-88D1-5580A89543E8}"/>
    <cellStyle name="Check Cell 32 2 3 7 2" xfId="9750" xr:uid="{2662F94B-D5AE-4C3F-A10F-CE8374F5A675}"/>
    <cellStyle name="Check Cell 32 2 3 7 2 2" xfId="9751" xr:uid="{BD045C12-8C57-43D1-8135-C38D43791C55}"/>
    <cellStyle name="Check Cell 32 2 3 7 3" xfId="9752" xr:uid="{850ABAA9-87CD-45A5-B536-1CBB5A238F72}"/>
    <cellStyle name="Check Cell 32 2 3 8" xfId="9753" xr:uid="{8185906D-3A9B-4231-A736-F0BAC8E37066}"/>
    <cellStyle name="Check Cell 32 2 3 8 2" xfId="9754" xr:uid="{577724BC-69C1-4ECE-8124-A36067629173}"/>
    <cellStyle name="Check Cell 32 2 3 8 2 2" xfId="9755" xr:uid="{72C22BB1-0011-4AEA-BC9E-83E5A415A65C}"/>
    <cellStyle name="Check Cell 32 2 3 8 3" xfId="9756" xr:uid="{8176DE2A-5F87-4746-8FF8-ACB727758133}"/>
    <cellStyle name="Check Cell 32 2 3 9" xfId="9757" xr:uid="{8A3C4939-1CE4-4AFF-94A5-BD9485B5F986}"/>
    <cellStyle name="Check Cell 32 2 3 9 2" xfId="9758" xr:uid="{A175ED13-B776-496C-A827-F31E395F38FE}"/>
    <cellStyle name="Check Cell 32 2 3 9 2 2" xfId="9759" xr:uid="{2C8DEB63-0BF7-4E96-8DD6-E7C25B7D8B72}"/>
    <cellStyle name="Check Cell 32 2 3 9 3" xfId="9760" xr:uid="{655994B5-EFCB-4CD7-A27D-502842776543}"/>
    <cellStyle name="Check Cell 32 2 4" xfId="9761" xr:uid="{BA7374C3-64C4-41C9-8CB2-5C2C69CA8FC6}"/>
    <cellStyle name="Check Cell 32 2 4 2" xfId="9762" xr:uid="{F27A6314-6D9F-4306-A7B1-8EA26508CF2D}"/>
    <cellStyle name="Check Cell 32 2 4 2 2" xfId="9763" xr:uid="{33E9C357-27DD-4C0A-92F3-189C7338A502}"/>
    <cellStyle name="Check Cell 32 2 4 2 2 2" xfId="9764" xr:uid="{D3EA2352-F49A-4C2D-A68A-F6F4BC933B7C}"/>
    <cellStyle name="Check Cell 32 2 4 2 3" xfId="9765" xr:uid="{DD592978-0EDD-4DB8-A6A3-EE026C0D77AA}"/>
    <cellStyle name="Check Cell 32 2 4 3" xfId="9766" xr:uid="{ACF2ACBB-D5B1-4E42-A761-3333827E0248}"/>
    <cellStyle name="Check Cell 32 2 4 3 2" xfId="9767" xr:uid="{A2E225A8-9450-4ACF-BB50-D8AD1A63DB52}"/>
    <cellStyle name="Check Cell 32 2 4 3 2 2" xfId="9768" xr:uid="{44DDD6F3-7759-4D00-805E-32D29AF5FD9F}"/>
    <cellStyle name="Check Cell 32 2 4 3 3" xfId="9769" xr:uid="{AB7DD8DF-FACE-4484-A16E-403756C53C64}"/>
    <cellStyle name="Check Cell 32 2 4 4" xfId="9770" xr:uid="{63F07E4F-0C45-4481-88BC-0C782F3E8A6B}"/>
    <cellStyle name="Check Cell 32 2 4 4 2" xfId="9771" xr:uid="{ECB8AD83-E60C-48DB-97FE-4E76BDD91F73}"/>
    <cellStyle name="Check Cell 32 2 4 4 2 2" xfId="9772" xr:uid="{7D3D0149-4915-491C-91F8-DFD29851B17D}"/>
    <cellStyle name="Check Cell 32 2 4 4 3" xfId="9773" xr:uid="{A6F436BD-C4BA-4324-859A-5984EE06EC96}"/>
    <cellStyle name="Check Cell 32 2 4 5" xfId="9774" xr:uid="{65EF1717-E7BE-4A9C-B4C6-18DDF49C0C49}"/>
    <cellStyle name="Check Cell 32 2 4 5 2" xfId="9775" xr:uid="{EDC49B7D-9AEF-4E2A-AC24-04F9B93D9EDE}"/>
    <cellStyle name="Check Cell 32 2 4 5 2 2" xfId="9776" xr:uid="{8255D16A-FF49-4E8A-B8AF-DB4C43453DC1}"/>
    <cellStyle name="Check Cell 32 2 4 5 3" xfId="9777" xr:uid="{23469922-3699-4FAF-877D-021D6150D6F5}"/>
    <cellStyle name="Check Cell 32 2 4 6" xfId="9778" xr:uid="{97035492-65E0-4A0E-9EE3-6A55083B0323}"/>
    <cellStyle name="Check Cell 32 2 4 6 2" xfId="9779" xr:uid="{5DBB0FAE-8FFD-4DCF-A021-B5D46A3DEF59}"/>
    <cellStyle name="Check Cell 32 2 4 6 2 2" xfId="9780" xr:uid="{6BD7DBC8-3E81-49B6-A012-2DDBF193859A}"/>
    <cellStyle name="Check Cell 32 2 4 6 3" xfId="9781" xr:uid="{CCE105B4-A386-459E-A5A5-C703FDBA5409}"/>
    <cellStyle name="Check Cell 32 2 4 7" xfId="9782" xr:uid="{E1E41709-CAFC-4B5B-898C-0901F4D78DE9}"/>
    <cellStyle name="Check Cell 32 2 4 7 2" xfId="9783" xr:uid="{EBE7C09C-0E70-4D9C-890D-665E6FC154E9}"/>
    <cellStyle name="Check Cell 32 2 4 7 2 2" xfId="9784" xr:uid="{A7D57703-A6F5-4683-8D49-4C9EBE9C7016}"/>
    <cellStyle name="Check Cell 32 2 4 7 3" xfId="9785" xr:uid="{E20E6B6E-0ABE-449D-B0E4-182BA7B15EAD}"/>
    <cellStyle name="Check Cell 32 2 4 8" xfId="9786" xr:uid="{B59208DD-6D3D-422F-B809-3C743D4DA191}"/>
    <cellStyle name="Check Cell 32 2 4 8 2" xfId="9787" xr:uid="{1FAF6178-2EDD-4BD0-A104-64780F0F7F8C}"/>
    <cellStyle name="Check Cell 32 2 4 8 2 2" xfId="9788" xr:uid="{AB93421C-5DD8-42AB-BE77-DFC60E8CA32A}"/>
    <cellStyle name="Check Cell 32 2 4 8 3" xfId="9789" xr:uid="{C4DC26B9-E6D0-4FC2-AFCF-9FCC6FB29EC6}"/>
    <cellStyle name="Check Cell 32 2 4 9" xfId="9790" xr:uid="{60F70CF0-E1DA-4678-8691-29992AD35379}"/>
    <cellStyle name="Check Cell 32 2 4 9 2" xfId="9791" xr:uid="{39C8F85C-C1A8-4A50-B438-47E489E276FF}"/>
    <cellStyle name="Check Cell 32 2 4 9 2 2" xfId="9792" xr:uid="{FA6B669A-5FBA-48EC-8617-C94160644CD0}"/>
    <cellStyle name="Check Cell 32 2 4 9 3" xfId="9793" xr:uid="{90FD22EB-1F40-417A-91E9-615E03EFD697}"/>
    <cellStyle name="Check Cell 32 2 5" xfId="9794" xr:uid="{08EA368C-ACAD-4BE4-855C-E0155085F27A}"/>
    <cellStyle name="Check Cell 32 2 5 2" xfId="9795" xr:uid="{AA13C568-7D38-4401-BC21-94290EFF0EB9}"/>
    <cellStyle name="Check Cell 32 2 5 2 2" xfId="9796" xr:uid="{38FBC199-02D1-47F8-B041-619751CF2A92}"/>
    <cellStyle name="Check Cell 32 2 5 2 2 2" xfId="9797" xr:uid="{E9975875-94C5-4A3D-AA31-27B4F4D30304}"/>
    <cellStyle name="Check Cell 32 2 5 2 3" xfId="9798" xr:uid="{845FD917-9FE1-460A-B973-B59F35A481B4}"/>
    <cellStyle name="Check Cell 32 2 5 3" xfId="9799" xr:uid="{FCD05FF5-75A0-4F9D-807D-668380F16CD8}"/>
    <cellStyle name="Check Cell 32 2 5 3 2" xfId="9800" xr:uid="{79628E5E-DB44-4AD7-B874-ED2FC737D0B6}"/>
    <cellStyle name="Check Cell 32 2 5 3 2 2" xfId="9801" xr:uid="{AC362B43-4E81-451C-A9AE-6FAD8A73C276}"/>
    <cellStyle name="Check Cell 32 2 5 3 3" xfId="9802" xr:uid="{844CF236-4567-4C2E-8909-0F6A3A4796C9}"/>
    <cellStyle name="Check Cell 32 2 5 4" xfId="9803" xr:uid="{7CBFB4D6-3EC9-4444-A827-089BBE52F873}"/>
    <cellStyle name="Check Cell 32 2 5 4 2" xfId="9804" xr:uid="{E46F95DC-4931-4CE1-9792-EEBFCD8369DE}"/>
    <cellStyle name="Check Cell 32 2 5 4 2 2" xfId="9805" xr:uid="{39FD7257-B6FB-48F1-8021-A74E16648746}"/>
    <cellStyle name="Check Cell 32 2 5 4 3" xfId="9806" xr:uid="{641E336D-A4B9-4771-ABEA-E32195AAD806}"/>
    <cellStyle name="Check Cell 32 2 5 5" xfId="9807" xr:uid="{43E0F2B2-94A9-47CB-B213-B3F9EDDC892B}"/>
    <cellStyle name="Check Cell 32 2 5 5 2" xfId="9808" xr:uid="{C741E7B5-DB50-40B3-9436-3A3C238CBB64}"/>
    <cellStyle name="Check Cell 32 2 5 5 2 2" xfId="9809" xr:uid="{8D398C79-8FA7-4799-90EC-96B9E9BB38BE}"/>
    <cellStyle name="Check Cell 32 2 5 5 3" xfId="9810" xr:uid="{E9A204E1-F4A1-4AC1-AD91-4263F4054223}"/>
    <cellStyle name="Check Cell 32 2 5 6" xfId="9811" xr:uid="{06500203-1971-401B-BDAD-D220931F146A}"/>
    <cellStyle name="Check Cell 32 2 5 6 2" xfId="9812" xr:uid="{073B77E2-636A-45CC-9E7E-196A62126D6D}"/>
    <cellStyle name="Check Cell 32 2 5 6 2 2" xfId="9813" xr:uid="{6D2DA9EB-BF23-48F1-BE1F-083345934010}"/>
    <cellStyle name="Check Cell 32 2 5 6 3" xfId="9814" xr:uid="{ADE94962-868B-4CBB-8F93-FA2DD9039168}"/>
    <cellStyle name="Check Cell 32 2 5 7" xfId="9815" xr:uid="{0E5AE39B-6A4B-4721-96E8-4A2FD05C07B7}"/>
    <cellStyle name="Check Cell 32 2 5 7 2" xfId="9816" xr:uid="{4DED34E2-EA32-4B2D-A12B-9ED1F9C8CF34}"/>
    <cellStyle name="Check Cell 32 2 5 7 2 2" xfId="9817" xr:uid="{E7CE9270-4E13-4001-A8F0-9A17B1FF61AE}"/>
    <cellStyle name="Check Cell 32 2 5 7 3" xfId="9818" xr:uid="{594777F8-CC62-4639-A82C-C5DCE7D6E0FA}"/>
    <cellStyle name="Check Cell 32 2 5 8" xfId="9819" xr:uid="{A1E9319B-15E2-41D2-BB14-A0D4599AB313}"/>
    <cellStyle name="Check Cell 32 2 5 8 2" xfId="9820" xr:uid="{A78D222C-0E1C-428E-B61F-80FA49369503}"/>
    <cellStyle name="Check Cell 32 2 5 8 2 2" xfId="9821" xr:uid="{C5DBD7CF-B12B-459F-B1BE-2343CDB9C5A4}"/>
    <cellStyle name="Check Cell 32 2 5 8 3" xfId="9822" xr:uid="{91083D34-4B02-4377-98BB-12078A3EED8B}"/>
    <cellStyle name="Check Cell 32 2 5 9" xfId="9823" xr:uid="{623C6A5E-1EDA-45BC-BC56-E6DFC9B71D03}"/>
    <cellStyle name="Check Cell 32 2 5 9 2" xfId="9824" xr:uid="{FECC231D-343E-4B1B-AF03-7F464C20D93F}"/>
    <cellStyle name="Check Cell 32 2 5 9 2 2" xfId="9825" xr:uid="{F2E36C07-ED89-43A3-997F-85A88DB42496}"/>
    <cellStyle name="Check Cell 32 2 5 9 3" xfId="9826" xr:uid="{F5594D97-BD12-40BB-8052-3CD80E3536B4}"/>
    <cellStyle name="Check Cell 32 2 6" xfId="9827" xr:uid="{7188E83F-1917-485C-8552-CB1543C1FB44}"/>
    <cellStyle name="Check Cell 32 2 6 2" xfId="9828" xr:uid="{C86C3F84-1F91-4B7E-855A-4EE5BA157CF9}"/>
    <cellStyle name="Check Cell 32 2 6 2 2" xfId="9829" xr:uid="{644E8E6F-8E95-406D-9C32-60143597DD98}"/>
    <cellStyle name="Check Cell 32 2 6 3" xfId="9830" xr:uid="{E50BF1B3-B988-4EB7-95F1-684D65ED8C2B}"/>
    <cellStyle name="Check Cell 32 2 7" xfId="9831" xr:uid="{9798BCB5-729D-4AD8-8273-7B5A23A1012F}"/>
    <cellStyle name="Check Cell 32 2 7 2" xfId="9832" xr:uid="{178C9FF5-F33A-4D6C-9DFD-101DCBA2B090}"/>
    <cellStyle name="Check Cell 32 2 7 2 2" xfId="9833" xr:uid="{6D27A282-1F00-493D-8EC5-9BD7E61BA6C1}"/>
    <cellStyle name="Check Cell 32 2 7 3" xfId="9834" xr:uid="{19FDFEF5-B212-41F5-A6CE-FDFEB01AC7D8}"/>
    <cellStyle name="Check Cell 32 2 8" xfId="9835" xr:uid="{38D6A856-1DA8-4FA3-B8AE-EA4D3B3D8F21}"/>
    <cellStyle name="Check Cell 32 2 8 2" xfId="9836" xr:uid="{A7A1157E-509A-4BD3-A9E6-DF3690D46368}"/>
    <cellStyle name="Check Cell 32 2 8 2 2" xfId="9837" xr:uid="{CE51F6D7-CD97-47B6-B199-48EDD296684E}"/>
    <cellStyle name="Check Cell 32 2 8 3" xfId="9838" xr:uid="{49AD15EB-20A4-4C97-97B1-49BDD1696397}"/>
    <cellStyle name="Check Cell 32 2 9" xfId="9839" xr:uid="{7385CC22-4636-422B-B331-C2291DFAB07A}"/>
    <cellStyle name="Check Cell 32 2 9 2" xfId="9840" xr:uid="{EC890103-8262-4DB9-AA7A-6542D6817DEF}"/>
    <cellStyle name="Check Cell 32 2 9 2 2" xfId="9841" xr:uid="{1B501EC2-AC7C-4AA8-AA4A-1C524D96BEF1}"/>
    <cellStyle name="Check Cell 32 2 9 3" xfId="9842" xr:uid="{08971292-BFE7-4E7D-A968-974F80CCB69C}"/>
    <cellStyle name="Check Cell 32 3" xfId="9843" xr:uid="{9389E9EF-68CB-4E61-9583-1CD1AC1098A9}"/>
    <cellStyle name="Check Cell 32 3 2" xfId="9844" xr:uid="{8CBA77F2-00AF-48B9-8EE2-D663C3215F53}"/>
    <cellStyle name="Check Cell 32 3 2 2" xfId="9845" xr:uid="{381D2361-59A3-4D1E-A90F-1D6C624CC221}"/>
    <cellStyle name="Check Cell 32 3 3" xfId="9846" xr:uid="{7DB8BB1E-140D-434F-9896-A6B40AD6C6C6}"/>
    <cellStyle name="Check Cell 32 4" xfId="9847" xr:uid="{64EB77FC-CD1D-49B9-932D-20B8DDF12E65}"/>
    <cellStyle name="Check Cell 32 4 2" xfId="9848" xr:uid="{A9E10B17-A884-4514-9FCB-EC0E1B1B9EDE}"/>
    <cellStyle name="Check Cell 33" xfId="9849" xr:uid="{03E1FDEB-4078-4022-A196-6F25760A00A4}"/>
    <cellStyle name="Check Cell 33 2" xfId="9850" xr:uid="{F402C675-1E5F-47A2-8C1F-D8A91A682210}"/>
    <cellStyle name="Check Cell 33 2 10" xfId="9851" xr:uid="{49F246C4-D4A2-4314-B6BD-83741A97D840}"/>
    <cellStyle name="Check Cell 33 2 10 2" xfId="9852" xr:uid="{E2A446C2-40D5-4E8B-BB83-C337E958FF36}"/>
    <cellStyle name="Check Cell 33 2 10 2 2" xfId="9853" xr:uid="{673DFE63-663C-4F32-922C-B59B574976EE}"/>
    <cellStyle name="Check Cell 33 2 10 3" xfId="9854" xr:uid="{C93F0FBD-B674-455D-B820-26FC03763345}"/>
    <cellStyle name="Check Cell 33 2 11" xfId="9855" xr:uid="{06C6CF85-A9D9-435B-B6EE-F4E24D087533}"/>
    <cellStyle name="Check Cell 33 2 11 2" xfId="9856" xr:uid="{250D2AE5-85FD-40AD-BD9A-8943C6D38B2C}"/>
    <cellStyle name="Check Cell 33 2 11 2 2" xfId="9857" xr:uid="{1E12685F-2017-4342-B5CD-9667BCBE5E18}"/>
    <cellStyle name="Check Cell 33 2 11 3" xfId="9858" xr:uid="{7CEA9A6D-D087-47A1-A30F-82C54A04190D}"/>
    <cellStyle name="Check Cell 33 2 12" xfId="9859" xr:uid="{1DEF1DD6-2511-47B7-9436-A35DC2653C5E}"/>
    <cellStyle name="Check Cell 33 2 12 2" xfId="9860" xr:uid="{60998649-8E3F-4F52-9B8D-FBA11E2B7BE7}"/>
    <cellStyle name="Check Cell 33 2 12 2 2" xfId="9861" xr:uid="{8B838C7E-FB1F-48B7-B4F4-29F2F14A48ED}"/>
    <cellStyle name="Check Cell 33 2 12 3" xfId="9862" xr:uid="{4255E6FF-125B-4471-B0E3-9594D99AE5EB}"/>
    <cellStyle name="Check Cell 33 2 13" xfId="9863" xr:uid="{B29ECE2D-588E-4DE6-996D-5A4C76FDCD99}"/>
    <cellStyle name="Check Cell 33 2 13 2" xfId="9864" xr:uid="{6DCE2132-7BDD-46E4-A7F4-45E2709A0C39}"/>
    <cellStyle name="Check Cell 33 2 13 2 2" xfId="9865" xr:uid="{097DDD4F-BC6D-4A60-B525-309D2B0F0D0C}"/>
    <cellStyle name="Check Cell 33 2 13 3" xfId="9866" xr:uid="{65B4674C-748E-4120-A25F-F615DBFA66E5}"/>
    <cellStyle name="Check Cell 33 2 2" xfId="9867" xr:uid="{F37F6FF0-34E2-471C-8F70-8F66958DF927}"/>
    <cellStyle name="Check Cell 33 2 2 2" xfId="9868" xr:uid="{CD083333-ACDF-43E1-9CF9-BAC9E7D69D1E}"/>
    <cellStyle name="Check Cell 33 2 2 2 2" xfId="9869" xr:uid="{7A8C3D44-8632-43D4-AD67-839B4D85738C}"/>
    <cellStyle name="Check Cell 33 2 2 2 2 2" xfId="9870" xr:uid="{15A0A8D1-2873-467F-9A9F-158A6936F8CA}"/>
    <cellStyle name="Check Cell 33 2 2 2 3" xfId="9871" xr:uid="{1D2D1215-55AF-4953-8573-EE1F43B28203}"/>
    <cellStyle name="Check Cell 33 2 2 3" xfId="9872" xr:uid="{7C56AA80-DFD5-434C-87D4-6B8AC3040A5F}"/>
    <cellStyle name="Check Cell 33 2 2 3 2" xfId="9873" xr:uid="{8C096B10-0D6F-48CC-B092-33131AE8F05D}"/>
    <cellStyle name="Check Cell 33 2 2 3 2 2" xfId="9874" xr:uid="{252A83FC-9BE0-4511-A1AA-0F1EE65024A0}"/>
    <cellStyle name="Check Cell 33 2 2 3 3" xfId="9875" xr:uid="{2A8E9CBD-F368-478A-8558-3498187B5040}"/>
    <cellStyle name="Check Cell 33 2 2 4" xfId="9876" xr:uid="{8154E739-2232-40A1-B084-76E701310CAC}"/>
    <cellStyle name="Check Cell 33 2 2 4 2" xfId="9877" xr:uid="{67115544-8A1C-46FF-9220-05A38F25988F}"/>
    <cellStyle name="Check Cell 33 2 2 4 2 2" xfId="9878" xr:uid="{5EC24A9D-3CD8-4260-B758-D9DD479CE6DD}"/>
    <cellStyle name="Check Cell 33 2 2 4 3" xfId="9879" xr:uid="{05B5F09F-DCD0-42B1-A178-D3DA3DCCBFEF}"/>
    <cellStyle name="Check Cell 33 2 2 5" xfId="9880" xr:uid="{13AA26A2-47C6-4984-AD05-78C0C566CD65}"/>
    <cellStyle name="Check Cell 33 2 2 5 2" xfId="9881" xr:uid="{0E1C10B5-E122-4EAA-962D-10BB387E49A9}"/>
    <cellStyle name="Check Cell 33 2 2 5 2 2" xfId="9882" xr:uid="{CCC5CF01-1431-43A0-84CB-5B4BE437C9DE}"/>
    <cellStyle name="Check Cell 33 2 2 5 3" xfId="9883" xr:uid="{EE78DD0F-C06D-4AED-96C4-BFC5836CE6B9}"/>
    <cellStyle name="Check Cell 33 2 2 6" xfId="9884" xr:uid="{1137A280-745E-4B4A-AC8F-F9090593416E}"/>
    <cellStyle name="Check Cell 33 2 2 6 2" xfId="9885" xr:uid="{4E3F5970-0DBE-432A-AC23-913648BDBC06}"/>
    <cellStyle name="Check Cell 33 2 2 6 2 2" xfId="9886" xr:uid="{80A3DA72-68DD-4426-BB8F-F48EE429BF92}"/>
    <cellStyle name="Check Cell 33 2 2 6 3" xfId="9887" xr:uid="{3754CBFF-B8B6-4ECF-887E-E3EF718F7B39}"/>
    <cellStyle name="Check Cell 33 2 2 7" xfId="9888" xr:uid="{6AD792DB-13DF-4722-B68E-D49784750C18}"/>
    <cellStyle name="Check Cell 33 2 2 7 2" xfId="9889" xr:uid="{3D24B160-7090-4FBB-83F5-83997A5F7CEE}"/>
    <cellStyle name="Check Cell 33 2 2 7 2 2" xfId="9890" xr:uid="{C6F4C73B-FE9A-4C14-B6DD-8487A9F1366B}"/>
    <cellStyle name="Check Cell 33 2 2 7 3" xfId="9891" xr:uid="{2849FDE9-A61D-41A7-ADB4-323BE50CE1A5}"/>
    <cellStyle name="Check Cell 33 2 2 8" xfId="9892" xr:uid="{692D4C50-BCC1-40BD-8BDE-DAC2DA023F79}"/>
    <cellStyle name="Check Cell 33 2 2 8 2" xfId="9893" xr:uid="{CDC3627E-448A-4E5E-8C0A-D96C6DC547E0}"/>
    <cellStyle name="Check Cell 33 2 2 8 2 2" xfId="9894" xr:uid="{BEA90283-22F6-4FEC-8CD6-715F90066F0A}"/>
    <cellStyle name="Check Cell 33 2 2 8 3" xfId="9895" xr:uid="{339C4863-65B3-430D-8537-AEE06D10F0FC}"/>
    <cellStyle name="Check Cell 33 2 2 9" xfId="9896" xr:uid="{215D9348-87DE-469A-9DE3-71BE94BFC9F8}"/>
    <cellStyle name="Check Cell 33 2 2 9 2" xfId="9897" xr:uid="{080FB716-5BD5-4530-B40A-6604FD3C18A6}"/>
    <cellStyle name="Check Cell 33 2 2 9 2 2" xfId="9898" xr:uid="{AF171E4D-8AB0-41F5-9604-F07D1B660DBA}"/>
    <cellStyle name="Check Cell 33 2 2 9 3" xfId="9899" xr:uid="{B0BC6734-C83C-442D-AFBF-4866572845CC}"/>
    <cellStyle name="Check Cell 33 2 3" xfId="9900" xr:uid="{66566FB2-AA7B-4D22-9BD9-EEB6918D74CD}"/>
    <cellStyle name="Check Cell 33 2 3 2" xfId="9901" xr:uid="{933C4EAD-C47A-4819-A441-19D9BD2FB0CC}"/>
    <cellStyle name="Check Cell 33 2 3 2 2" xfId="9902" xr:uid="{D17C2664-9B3B-4344-9DD1-CAB86D0F2C3A}"/>
    <cellStyle name="Check Cell 33 2 3 2 2 2" xfId="9903" xr:uid="{C9B5B551-CCE7-4B82-B10D-3A8014452EA1}"/>
    <cellStyle name="Check Cell 33 2 3 2 3" xfId="9904" xr:uid="{DA062BAC-E296-45FC-AD6E-5C0C1C11CC8C}"/>
    <cellStyle name="Check Cell 33 2 3 3" xfId="9905" xr:uid="{F5380CE3-62ED-4803-A066-D7911626F171}"/>
    <cellStyle name="Check Cell 33 2 3 3 2" xfId="9906" xr:uid="{47CD649F-DE44-48C5-8962-61A1191091FF}"/>
    <cellStyle name="Check Cell 33 2 3 3 2 2" xfId="9907" xr:uid="{CDDACD8E-7575-4E93-B595-CE3CF55A84DE}"/>
    <cellStyle name="Check Cell 33 2 3 3 3" xfId="9908" xr:uid="{5C068FE3-B1C2-4500-93B7-3386971DD053}"/>
    <cellStyle name="Check Cell 33 2 3 4" xfId="9909" xr:uid="{F07D228C-47F3-4878-8292-731B4EF2EF83}"/>
    <cellStyle name="Check Cell 33 2 3 4 2" xfId="9910" xr:uid="{7B9A968D-F3B7-4EDC-A217-7C4690D7603A}"/>
    <cellStyle name="Check Cell 33 2 3 4 2 2" xfId="9911" xr:uid="{3F8006D2-66FF-41C1-93FC-F3534101D1DF}"/>
    <cellStyle name="Check Cell 33 2 3 4 3" xfId="9912" xr:uid="{F4612F4C-10A9-4992-B77A-81B4D333CA3D}"/>
    <cellStyle name="Check Cell 33 2 3 5" xfId="9913" xr:uid="{55C62D35-3A84-4270-ABCB-114E4C48FFE9}"/>
    <cellStyle name="Check Cell 33 2 3 5 2" xfId="9914" xr:uid="{E840138D-9F36-454F-BABD-048F9D6056C3}"/>
    <cellStyle name="Check Cell 33 2 3 5 2 2" xfId="9915" xr:uid="{95C91C94-938D-4A93-8F90-1BD03E031155}"/>
    <cellStyle name="Check Cell 33 2 3 5 3" xfId="9916" xr:uid="{AB3A7485-6294-407B-B23E-E7B4AF0FF169}"/>
    <cellStyle name="Check Cell 33 2 3 6" xfId="9917" xr:uid="{4F85F12B-C753-42D9-B876-84C3C0B27E13}"/>
    <cellStyle name="Check Cell 33 2 3 6 2" xfId="9918" xr:uid="{C794DE1F-E38A-4DC7-91CC-4E3519E13BFE}"/>
    <cellStyle name="Check Cell 33 2 3 6 2 2" xfId="9919" xr:uid="{6F48E717-EF09-4611-8F4E-3E2DCB82A22A}"/>
    <cellStyle name="Check Cell 33 2 3 6 3" xfId="9920" xr:uid="{76C05A36-9B33-4F75-A914-4774D3837AB8}"/>
    <cellStyle name="Check Cell 33 2 3 7" xfId="9921" xr:uid="{1BFEC255-C22E-4228-A1EE-E1CF7D475280}"/>
    <cellStyle name="Check Cell 33 2 3 7 2" xfId="9922" xr:uid="{F48153C0-0562-4839-806D-3829747B64E2}"/>
    <cellStyle name="Check Cell 33 2 3 7 2 2" xfId="9923" xr:uid="{DD056817-FA08-4971-806D-1328490B2D0F}"/>
    <cellStyle name="Check Cell 33 2 3 7 3" xfId="9924" xr:uid="{677F0CA3-134B-44D6-BAC1-45772D0235F9}"/>
    <cellStyle name="Check Cell 33 2 3 8" xfId="9925" xr:uid="{9AA6A33C-451F-4B88-897E-E592D97324C0}"/>
    <cellStyle name="Check Cell 33 2 3 8 2" xfId="9926" xr:uid="{C9A7CD33-A66E-4EB1-9622-33770AA1FC43}"/>
    <cellStyle name="Check Cell 33 2 3 8 2 2" xfId="9927" xr:uid="{AB1C8554-2A46-433A-B6A7-9B7E9330894A}"/>
    <cellStyle name="Check Cell 33 2 3 8 3" xfId="9928" xr:uid="{798F57F8-61FA-4A55-BC1E-4D0EF99A0BD2}"/>
    <cellStyle name="Check Cell 33 2 3 9" xfId="9929" xr:uid="{C371E8BE-9BBA-4319-8C62-D9081B664A01}"/>
    <cellStyle name="Check Cell 33 2 3 9 2" xfId="9930" xr:uid="{E58A8DD7-DB1E-4489-8721-69FBDCA8156D}"/>
    <cellStyle name="Check Cell 33 2 3 9 2 2" xfId="9931" xr:uid="{A8433E4B-6AE2-4470-BA3D-32EEBD0D3D3E}"/>
    <cellStyle name="Check Cell 33 2 3 9 3" xfId="9932" xr:uid="{46E3F61D-090C-4E30-BD14-1ED8A4150E59}"/>
    <cellStyle name="Check Cell 33 2 4" xfId="9933" xr:uid="{5144052F-9220-467E-B716-BCE60AA64C33}"/>
    <cellStyle name="Check Cell 33 2 4 2" xfId="9934" xr:uid="{BD2C7738-C532-482E-9BE7-41AE855A7CC2}"/>
    <cellStyle name="Check Cell 33 2 4 2 2" xfId="9935" xr:uid="{19F8D148-B202-450A-9BEE-1B1C152F7464}"/>
    <cellStyle name="Check Cell 33 2 4 2 2 2" xfId="9936" xr:uid="{10DEB5F6-0C0B-418C-929A-DDCDD1647E93}"/>
    <cellStyle name="Check Cell 33 2 4 2 3" xfId="9937" xr:uid="{26DB9761-ACCF-4E99-A3F2-384F07283578}"/>
    <cellStyle name="Check Cell 33 2 4 3" xfId="9938" xr:uid="{F664630D-BCB5-4378-B1F0-28EF68975FFC}"/>
    <cellStyle name="Check Cell 33 2 4 3 2" xfId="9939" xr:uid="{500D6C47-EC0A-4A4A-B147-FCC2A838C7CA}"/>
    <cellStyle name="Check Cell 33 2 4 3 2 2" xfId="9940" xr:uid="{4FA9053A-EB5C-4F07-89E2-B3CFF7F69B39}"/>
    <cellStyle name="Check Cell 33 2 4 3 3" xfId="9941" xr:uid="{771C5B0C-3EBA-4033-AD7F-068B3F211B90}"/>
    <cellStyle name="Check Cell 33 2 4 4" xfId="9942" xr:uid="{89196039-2934-4009-8007-E36EF846688D}"/>
    <cellStyle name="Check Cell 33 2 4 4 2" xfId="9943" xr:uid="{0CD79664-F60A-4F46-873A-5B2330017BE0}"/>
    <cellStyle name="Check Cell 33 2 4 4 2 2" xfId="9944" xr:uid="{916A9A5F-8D2A-4ACB-AB2F-A4CC00010FB2}"/>
    <cellStyle name="Check Cell 33 2 4 4 3" xfId="9945" xr:uid="{520A2492-8268-46F6-98AD-62B85556C7FA}"/>
    <cellStyle name="Check Cell 33 2 4 5" xfId="9946" xr:uid="{4CBB6CA8-0E58-4BE7-B0B6-C4EFE96A25FC}"/>
    <cellStyle name="Check Cell 33 2 4 5 2" xfId="9947" xr:uid="{783C1A59-6B37-4677-96F6-80DD77DF4ED9}"/>
    <cellStyle name="Check Cell 33 2 4 5 2 2" xfId="9948" xr:uid="{A1065D82-4D2E-4DA9-A8A4-8F0176CE5322}"/>
    <cellStyle name="Check Cell 33 2 4 5 3" xfId="9949" xr:uid="{1E9897F4-3ABD-4AB8-86AE-9DD37C0B19E3}"/>
    <cellStyle name="Check Cell 33 2 4 6" xfId="9950" xr:uid="{C14785B4-3AFA-4A29-87FA-374D9061EAC4}"/>
    <cellStyle name="Check Cell 33 2 4 6 2" xfId="9951" xr:uid="{3CC4F422-2FAB-424E-A557-5A7C77D49E3E}"/>
    <cellStyle name="Check Cell 33 2 4 6 2 2" xfId="9952" xr:uid="{445020B4-4CE6-4FA8-A948-5A95D82BC941}"/>
    <cellStyle name="Check Cell 33 2 4 6 3" xfId="9953" xr:uid="{CB5830ED-ACD2-473B-B693-65D57D5603C2}"/>
    <cellStyle name="Check Cell 33 2 4 7" xfId="9954" xr:uid="{FE671D0B-2ECC-48A3-A8BB-382A1E7B6793}"/>
    <cellStyle name="Check Cell 33 2 4 7 2" xfId="9955" xr:uid="{25CA13D1-F204-4C1F-9844-21400C65485B}"/>
    <cellStyle name="Check Cell 33 2 4 7 2 2" xfId="9956" xr:uid="{D20FC4EB-8480-47A9-BA0F-CBA70A60C773}"/>
    <cellStyle name="Check Cell 33 2 4 7 3" xfId="9957" xr:uid="{D9E73D07-81BE-4D0B-97B9-5D2198FDA2B7}"/>
    <cellStyle name="Check Cell 33 2 4 8" xfId="9958" xr:uid="{37D50677-52F9-4F4A-93BB-10EE7F33C256}"/>
    <cellStyle name="Check Cell 33 2 4 8 2" xfId="9959" xr:uid="{851D5FC9-A324-4CCA-B022-666DBAEA73BC}"/>
    <cellStyle name="Check Cell 33 2 4 8 2 2" xfId="9960" xr:uid="{905C4E92-294F-43BC-BBC1-9246C5C6F9F2}"/>
    <cellStyle name="Check Cell 33 2 4 8 3" xfId="9961" xr:uid="{4CFE6F14-D0FB-4135-B7B4-3A1BCD3E2FFF}"/>
    <cellStyle name="Check Cell 33 2 4 9" xfId="9962" xr:uid="{FA9AA2C1-B121-4FF9-896F-DB4A4FB004E2}"/>
    <cellStyle name="Check Cell 33 2 4 9 2" xfId="9963" xr:uid="{CA466858-9975-4DCB-8F38-29CD3C4E89FC}"/>
    <cellStyle name="Check Cell 33 2 4 9 2 2" xfId="9964" xr:uid="{8E6BB10E-0640-402A-8C77-6BAFD009F07A}"/>
    <cellStyle name="Check Cell 33 2 4 9 3" xfId="9965" xr:uid="{B0D12290-8674-4270-8316-EC452D801C99}"/>
    <cellStyle name="Check Cell 33 2 5" xfId="9966" xr:uid="{A27555B3-E8DC-4668-8653-22E897492EEC}"/>
    <cellStyle name="Check Cell 33 2 5 2" xfId="9967" xr:uid="{C989E48A-E24D-443A-A2FF-4BE3F6B133BC}"/>
    <cellStyle name="Check Cell 33 2 5 2 2" xfId="9968" xr:uid="{46F35177-D692-4A34-9659-17104CB18CAC}"/>
    <cellStyle name="Check Cell 33 2 5 2 2 2" xfId="9969" xr:uid="{C0F75F73-AD76-487E-9E17-96B27165BE38}"/>
    <cellStyle name="Check Cell 33 2 5 2 3" xfId="9970" xr:uid="{BCC89ACB-35EF-4BFC-B2B6-2BBB772E046D}"/>
    <cellStyle name="Check Cell 33 2 5 3" xfId="9971" xr:uid="{CC2761E6-A1F6-4E09-94A9-8B66BE3AF1CE}"/>
    <cellStyle name="Check Cell 33 2 5 3 2" xfId="9972" xr:uid="{BCB6430B-CA35-4E76-91CF-0B0C8F4EF329}"/>
    <cellStyle name="Check Cell 33 2 5 3 2 2" xfId="9973" xr:uid="{20FFF700-26FD-477D-B5EB-715257D16EF2}"/>
    <cellStyle name="Check Cell 33 2 5 3 3" xfId="9974" xr:uid="{6C00B90F-B6AC-47D4-B323-5EEDFFB949C2}"/>
    <cellStyle name="Check Cell 33 2 5 4" xfId="9975" xr:uid="{DADF5085-003E-4E38-AE1C-A2738FBC19D6}"/>
    <cellStyle name="Check Cell 33 2 5 4 2" xfId="9976" xr:uid="{D4323CEE-E2AF-49C9-9EA7-8235D7D80472}"/>
    <cellStyle name="Check Cell 33 2 5 4 2 2" xfId="9977" xr:uid="{6B982E90-4934-4A6D-BEFC-68DE37FB3562}"/>
    <cellStyle name="Check Cell 33 2 5 4 3" xfId="9978" xr:uid="{804EF79D-2EAE-48D5-8558-29E67283D637}"/>
    <cellStyle name="Check Cell 33 2 5 5" xfId="9979" xr:uid="{44F83AE4-911E-41B3-AA0F-FD39EA480274}"/>
    <cellStyle name="Check Cell 33 2 5 5 2" xfId="9980" xr:uid="{32E660D1-4FAA-4017-B294-FABC6C5DEFD5}"/>
    <cellStyle name="Check Cell 33 2 5 5 2 2" xfId="9981" xr:uid="{985EC6EF-D69D-4440-BBBA-5E8566852D79}"/>
    <cellStyle name="Check Cell 33 2 5 5 3" xfId="9982" xr:uid="{7296CABB-282F-4EEB-8F1C-7056D31CF6B8}"/>
    <cellStyle name="Check Cell 33 2 5 6" xfId="9983" xr:uid="{FEA2ADDE-9B18-45AE-804F-6E9C344C10FA}"/>
    <cellStyle name="Check Cell 33 2 5 6 2" xfId="9984" xr:uid="{5CDA4F45-524D-45B8-B8BC-7F08ABFB36B7}"/>
    <cellStyle name="Check Cell 33 2 5 6 2 2" xfId="9985" xr:uid="{D69858BE-0963-47D6-B239-F57D720C9124}"/>
    <cellStyle name="Check Cell 33 2 5 6 3" xfId="9986" xr:uid="{AB582A8F-A31C-4AF9-B452-450AD64C4AFD}"/>
    <cellStyle name="Check Cell 33 2 5 7" xfId="9987" xr:uid="{2558A00E-F142-470F-A51E-9B8463F6834E}"/>
    <cellStyle name="Check Cell 33 2 5 7 2" xfId="9988" xr:uid="{6D3921C3-FBB4-447C-A045-034F122393ED}"/>
    <cellStyle name="Check Cell 33 2 5 7 2 2" xfId="9989" xr:uid="{6B632BAC-BF49-4A34-A1E8-35891B03E715}"/>
    <cellStyle name="Check Cell 33 2 5 7 3" xfId="9990" xr:uid="{81215D04-F56D-44D4-9D1A-769A99D04BE4}"/>
    <cellStyle name="Check Cell 33 2 5 8" xfId="9991" xr:uid="{9ECCC7C3-39D6-4672-A1C0-581D3B8D0511}"/>
    <cellStyle name="Check Cell 33 2 5 8 2" xfId="9992" xr:uid="{DE7AB329-8542-4FDE-9E23-29C662BD2E54}"/>
    <cellStyle name="Check Cell 33 2 5 8 2 2" xfId="9993" xr:uid="{40467316-0A2C-4A11-9952-17BB87D82E09}"/>
    <cellStyle name="Check Cell 33 2 5 8 3" xfId="9994" xr:uid="{15AF11E5-E23F-4615-9D92-E8A0540200EB}"/>
    <cellStyle name="Check Cell 33 2 5 9" xfId="9995" xr:uid="{42987142-9DB7-4410-A670-B50DBDF242CC}"/>
    <cellStyle name="Check Cell 33 2 5 9 2" xfId="9996" xr:uid="{C5B2B038-7BE7-40C2-900B-C0E53442B560}"/>
    <cellStyle name="Check Cell 33 2 5 9 2 2" xfId="9997" xr:uid="{6CAE5C9C-4A41-4772-B175-1DB14DBCE704}"/>
    <cellStyle name="Check Cell 33 2 5 9 3" xfId="9998" xr:uid="{A78CAA62-E9B4-44B3-BBA7-51274A2663BC}"/>
    <cellStyle name="Check Cell 33 2 6" xfId="9999" xr:uid="{2A1C3A4E-6E93-4EDF-A3AD-2E1C3C129D43}"/>
    <cellStyle name="Check Cell 33 2 6 2" xfId="10000" xr:uid="{402335A0-541B-4664-A81C-1B4D07B0B414}"/>
    <cellStyle name="Check Cell 33 2 6 2 2" xfId="10001" xr:uid="{9A0CEBB6-F8AC-455A-A784-EE43525B6E2A}"/>
    <cellStyle name="Check Cell 33 2 6 3" xfId="10002" xr:uid="{0F2DFE57-5C39-407B-BD0D-D7A2F7E748E8}"/>
    <cellStyle name="Check Cell 33 2 7" xfId="10003" xr:uid="{00CE1B8A-55D7-49D3-8B5A-8D32CB84F344}"/>
    <cellStyle name="Check Cell 33 2 7 2" xfId="10004" xr:uid="{4B553C67-B4AF-4628-BD0B-6AB0B2D48AF6}"/>
    <cellStyle name="Check Cell 33 2 7 2 2" xfId="10005" xr:uid="{28B518E8-02B8-47AD-8DC5-F7E321412A2C}"/>
    <cellStyle name="Check Cell 33 2 7 3" xfId="10006" xr:uid="{83A5E83F-2A0C-4BDB-AB0D-B1E898831025}"/>
    <cellStyle name="Check Cell 33 2 8" xfId="10007" xr:uid="{35FAF475-BDB6-40F3-BAD6-87F17CC9D8A7}"/>
    <cellStyle name="Check Cell 33 2 8 2" xfId="10008" xr:uid="{4631BF82-FEAC-4668-BF10-04793448CA81}"/>
    <cellStyle name="Check Cell 33 2 8 2 2" xfId="10009" xr:uid="{9FE7C4F7-4865-4D7A-BC09-0743118C28FE}"/>
    <cellStyle name="Check Cell 33 2 8 3" xfId="10010" xr:uid="{EF9886AE-204D-4447-9FDC-12099BDBB95F}"/>
    <cellStyle name="Check Cell 33 2 9" xfId="10011" xr:uid="{2BC775ED-6CEF-4054-87D1-ABB4B7409CFB}"/>
    <cellStyle name="Check Cell 33 2 9 2" xfId="10012" xr:uid="{4283A44F-B4D8-4223-88DD-47AA45B515D7}"/>
    <cellStyle name="Check Cell 33 2 9 2 2" xfId="10013" xr:uid="{3274A138-EA17-4E98-80AA-9BD482E1CDF3}"/>
    <cellStyle name="Check Cell 33 2 9 3" xfId="10014" xr:uid="{D00C1FF8-77AB-4205-9809-DC279F8DDD55}"/>
    <cellStyle name="Check Cell 33 3" xfId="10015" xr:uid="{6F4A72D8-335B-4438-AD62-8D1B6C4EC496}"/>
    <cellStyle name="Check Cell 33 3 2" xfId="10016" xr:uid="{9FB87ACE-CD5F-44C6-9364-46F118F29F65}"/>
    <cellStyle name="Check Cell 33 3 2 2" xfId="10017" xr:uid="{7002C690-C116-43DD-A334-F2A85585237F}"/>
    <cellStyle name="Check Cell 33 3 3" xfId="10018" xr:uid="{7908543E-5F90-4157-8440-A613ED4605F1}"/>
    <cellStyle name="Check Cell 33 4" xfId="10019" xr:uid="{E0426D9A-87D8-454F-BC24-BD07D9487484}"/>
    <cellStyle name="Check Cell 33 4 2" xfId="10020" xr:uid="{08BE8DC9-0090-4895-BC5A-A162F769F364}"/>
    <cellStyle name="Check Cell 34" xfId="10021" xr:uid="{4D8BA64F-3101-41D4-8299-585D00D3DCE8}"/>
    <cellStyle name="Check Cell 34 10" xfId="10022" xr:uid="{C7587A65-2F4C-48BB-9A69-60201D5399DF}"/>
    <cellStyle name="Check Cell 34 10 2" xfId="10023" xr:uid="{C2701F5F-C0EC-4665-B78B-1C829BE08D88}"/>
    <cellStyle name="Check Cell 34 10 2 2" xfId="10024" xr:uid="{11E07DA0-D10E-4955-A654-28361A0875FD}"/>
    <cellStyle name="Check Cell 34 10 3" xfId="10025" xr:uid="{B751A6CB-B9C8-4572-8ECB-436643031FFE}"/>
    <cellStyle name="Check Cell 34 11" xfId="10026" xr:uid="{ACDD50B7-F9E0-48E5-AEA6-819CC3E581EB}"/>
    <cellStyle name="Check Cell 34 11 2" xfId="10027" xr:uid="{5BED7EE5-DF12-4C18-9BC0-EFDD6FC0A996}"/>
    <cellStyle name="Check Cell 34 11 2 2" xfId="10028" xr:uid="{A64A2D41-CD16-4003-9713-FC636F7509A7}"/>
    <cellStyle name="Check Cell 34 11 3" xfId="10029" xr:uid="{0608309A-A753-4C19-884A-96C689149EDF}"/>
    <cellStyle name="Check Cell 34 12" xfId="10030" xr:uid="{CFFE2F91-D8EE-48A4-92B4-6E586CED6ADC}"/>
    <cellStyle name="Check Cell 34 12 2" xfId="10031" xr:uid="{CDAAF20D-62D1-4C74-B4E4-F30663B958B4}"/>
    <cellStyle name="Check Cell 34 12 2 2" xfId="10032" xr:uid="{CA61AA9C-EAAC-4058-98C3-5D5E0B21AB75}"/>
    <cellStyle name="Check Cell 34 12 3" xfId="10033" xr:uid="{1FCD699F-03F9-451A-BF05-2C2E2D24CFA3}"/>
    <cellStyle name="Check Cell 34 13" xfId="10034" xr:uid="{4465D9DB-EEAE-4872-A4E2-50C99D091C48}"/>
    <cellStyle name="Check Cell 34 13 2" xfId="10035" xr:uid="{9165132E-AD55-4D7F-B0A2-772D1D2116B3}"/>
    <cellStyle name="Check Cell 34 13 2 2" xfId="10036" xr:uid="{014E2985-2560-4499-BC82-20A8D56CA4D4}"/>
    <cellStyle name="Check Cell 34 13 3" xfId="10037" xr:uid="{DBC9C5B3-7611-4E65-9ACF-7FF3605A04AA}"/>
    <cellStyle name="Check Cell 34 2" xfId="10038" xr:uid="{244EF1CE-D097-4C34-A320-63E51EEA19CE}"/>
    <cellStyle name="Check Cell 34 2 2" xfId="10039" xr:uid="{DE460C71-C2C6-4762-BB60-18971D5B20DC}"/>
    <cellStyle name="Check Cell 34 2 2 2" xfId="10040" xr:uid="{E6DCF7C3-3DE9-4ECC-AE70-4DE4553D9D12}"/>
    <cellStyle name="Check Cell 34 2 2 2 2" xfId="10041" xr:uid="{76D282D0-027E-452D-9C54-BB1CABD3E154}"/>
    <cellStyle name="Check Cell 34 2 2 3" xfId="10042" xr:uid="{CFED2F10-F2EC-4DC9-90CC-8158D7CBA5C8}"/>
    <cellStyle name="Check Cell 34 2 3" xfId="10043" xr:uid="{E22DE66E-9B6D-4542-A680-44661207E6DB}"/>
    <cellStyle name="Check Cell 34 2 3 2" xfId="10044" xr:uid="{13DF3466-836E-4FD5-A49B-E850E83F2623}"/>
    <cellStyle name="Check Cell 34 2 3 2 2" xfId="10045" xr:uid="{7DE2B06D-387A-4ABB-A91D-1351A84D9116}"/>
    <cellStyle name="Check Cell 34 2 3 3" xfId="10046" xr:uid="{4B270FEE-E897-4A05-BFA3-EFE5994D35D2}"/>
    <cellStyle name="Check Cell 34 2 4" xfId="10047" xr:uid="{68F28582-07B7-42B7-8D05-56D8A70B741E}"/>
    <cellStyle name="Check Cell 34 2 4 2" xfId="10048" xr:uid="{0C53DB0C-8860-40D6-989D-264EB12196E6}"/>
    <cellStyle name="Check Cell 34 2 4 2 2" xfId="10049" xr:uid="{D33C4CD6-E6B9-4FD8-8098-80F05514E8F8}"/>
    <cellStyle name="Check Cell 34 2 4 3" xfId="10050" xr:uid="{C977DE85-237F-456D-8868-383541A09964}"/>
    <cellStyle name="Check Cell 34 2 5" xfId="10051" xr:uid="{70CAEFBA-22CE-4C54-9CB7-7CCF5560851D}"/>
    <cellStyle name="Check Cell 34 2 5 2" xfId="10052" xr:uid="{3FBBF2A8-641B-43AC-AE74-32F96F7E5D2E}"/>
    <cellStyle name="Check Cell 34 2 5 2 2" xfId="10053" xr:uid="{59C1B462-BC5C-4116-B655-2B62F9D2F064}"/>
    <cellStyle name="Check Cell 34 2 5 3" xfId="10054" xr:uid="{1B84C14D-EEDC-49D8-A802-1E11BA4442CE}"/>
    <cellStyle name="Check Cell 34 2 6" xfId="10055" xr:uid="{3A8E92DA-43B7-4ABE-B7C8-C9CDF3AC33C8}"/>
    <cellStyle name="Check Cell 34 2 6 2" xfId="10056" xr:uid="{3959938E-041C-4E19-A349-9D1B2B8DDEAD}"/>
    <cellStyle name="Check Cell 34 2 6 2 2" xfId="10057" xr:uid="{CB9AA894-9DA3-4E85-808D-04FB0D5FB337}"/>
    <cellStyle name="Check Cell 34 2 6 3" xfId="10058" xr:uid="{D22D06DC-45DD-4A77-AB1F-7C1A80670C79}"/>
    <cellStyle name="Check Cell 34 2 7" xfId="10059" xr:uid="{C85E1734-4185-4D01-9871-5B2FCD5191AC}"/>
    <cellStyle name="Check Cell 34 2 7 2" xfId="10060" xr:uid="{6E475F14-D222-4961-BA4F-EE43A506D006}"/>
    <cellStyle name="Check Cell 34 2 7 2 2" xfId="10061" xr:uid="{26FA62E7-676B-49E9-8144-815D6EE2ADB6}"/>
    <cellStyle name="Check Cell 34 2 7 3" xfId="10062" xr:uid="{84FBA162-D300-421E-9CE2-9B027E2CEBCF}"/>
    <cellStyle name="Check Cell 34 2 8" xfId="10063" xr:uid="{C4A90B26-B971-4B9D-BD72-D0B56E51048F}"/>
    <cellStyle name="Check Cell 34 2 8 2" xfId="10064" xr:uid="{96B0DC63-AFDA-47F1-BFE6-8859729F4B42}"/>
    <cellStyle name="Check Cell 34 2 8 2 2" xfId="10065" xr:uid="{3DE65C16-48A0-48DA-8FD2-6E4540DA5D69}"/>
    <cellStyle name="Check Cell 34 2 8 3" xfId="10066" xr:uid="{C08C1D02-12D4-44B7-99EA-A9FE4F770415}"/>
    <cellStyle name="Check Cell 34 2 9" xfId="10067" xr:uid="{5D27A47C-F1E0-432C-A8C9-0A7D85AE86EF}"/>
    <cellStyle name="Check Cell 34 2 9 2" xfId="10068" xr:uid="{857D3299-5080-431C-BDE2-EE65B7A22579}"/>
    <cellStyle name="Check Cell 34 2 9 2 2" xfId="10069" xr:uid="{6F330242-8C3E-4E11-97ED-853205A8D589}"/>
    <cellStyle name="Check Cell 34 2 9 3" xfId="10070" xr:uid="{BCB34C0D-D1A4-428C-B273-70D0CC641943}"/>
    <cellStyle name="Check Cell 34 3" xfId="10071" xr:uid="{F26BE8E9-008C-48F4-A842-61B6CDFE9828}"/>
    <cellStyle name="Check Cell 34 3 2" xfId="10072" xr:uid="{15BAD5A5-E5D0-4607-846D-630363F35F59}"/>
    <cellStyle name="Check Cell 34 3 2 2" xfId="10073" xr:uid="{BFA18A3B-3AA8-417F-833D-2D80CA560EC9}"/>
    <cellStyle name="Check Cell 34 3 2 2 2" xfId="10074" xr:uid="{07C80EB8-DEF9-4F92-92AC-95D9CE1424EA}"/>
    <cellStyle name="Check Cell 34 3 2 3" xfId="10075" xr:uid="{E03375B0-C3B5-424E-9D40-370A1B48D62F}"/>
    <cellStyle name="Check Cell 34 3 3" xfId="10076" xr:uid="{7AF32C6F-9E0F-451E-BD59-B8E0A561A246}"/>
    <cellStyle name="Check Cell 34 3 3 2" xfId="10077" xr:uid="{64FFAEF9-275F-4F59-B3B5-3501A42B14F6}"/>
    <cellStyle name="Check Cell 34 3 3 2 2" xfId="10078" xr:uid="{334E368E-9283-4277-9CE8-642CEC8CB852}"/>
    <cellStyle name="Check Cell 34 3 3 3" xfId="10079" xr:uid="{C2646BF1-4B96-41B5-86C4-52E04195196B}"/>
    <cellStyle name="Check Cell 34 3 4" xfId="10080" xr:uid="{7089F536-F7C4-471E-9098-2DE9C39A5DE1}"/>
    <cellStyle name="Check Cell 34 3 4 2" xfId="10081" xr:uid="{436BA00F-5933-4AAA-84D5-173854ED61E2}"/>
    <cellStyle name="Check Cell 34 3 4 2 2" xfId="10082" xr:uid="{EEA4F53F-0122-4FDB-A14F-6BE988C21C13}"/>
    <cellStyle name="Check Cell 34 3 4 3" xfId="10083" xr:uid="{EFC7A0A4-1687-45B6-B09B-8E9BA488DA68}"/>
    <cellStyle name="Check Cell 34 3 5" xfId="10084" xr:uid="{4AFE5011-5923-497A-8A57-1714D2D670D5}"/>
    <cellStyle name="Check Cell 34 3 5 2" xfId="10085" xr:uid="{779CD21F-5054-4563-86B0-C04036B6F21B}"/>
    <cellStyle name="Check Cell 34 3 5 2 2" xfId="10086" xr:uid="{71ED92E0-586A-40AE-839F-6037CDB02BF4}"/>
    <cellStyle name="Check Cell 34 3 5 3" xfId="10087" xr:uid="{F93B23F2-16A0-4DE6-861C-8D2063659F09}"/>
    <cellStyle name="Check Cell 34 3 6" xfId="10088" xr:uid="{E5A95CAE-8AC7-4D21-9DC8-BA6C9AA83C55}"/>
    <cellStyle name="Check Cell 34 3 6 2" xfId="10089" xr:uid="{DD8FEC05-C0A9-49C9-B7D5-F4A24619EA93}"/>
    <cellStyle name="Check Cell 34 3 6 2 2" xfId="10090" xr:uid="{796BD0DA-81FE-42AA-A6C4-24F8AA2D9357}"/>
    <cellStyle name="Check Cell 34 3 6 3" xfId="10091" xr:uid="{C6F2F2F8-EC20-40D1-913B-8F0D0D206016}"/>
    <cellStyle name="Check Cell 34 3 7" xfId="10092" xr:uid="{2C5CC014-5492-40A3-8574-2629E7372506}"/>
    <cellStyle name="Check Cell 34 3 7 2" xfId="10093" xr:uid="{298EB764-F3DF-4E89-BEA1-0EAEF7197885}"/>
    <cellStyle name="Check Cell 34 3 7 2 2" xfId="10094" xr:uid="{92FB22C7-3DA3-46D6-942E-DF510A0895DD}"/>
    <cellStyle name="Check Cell 34 3 7 3" xfId="10095" xr:uid="{BB6E7D4A-EA8C-4615-85C0-5126C2278039}"/>
    <cellStyle name="Check Cell 34 3 8" xfId="10096" xr:uid="{72A8E5C0-C5F8-42EB-90F6-13FB8073D0FA}"/>
    <cellStyle name="Check Cell 34 3 8 2" xfId="10097" xr:uid="{AF875A89-70BA-459D-ACDE-39888750DE3B}"/>
    <cellStyle name="Check Cell 34 3 8 2 2" xfId="10098" xr:uid="{EA147B07-2DC3-453A-8CEB-D75AC82B1FC6}"/>
    <cellStyle name="Check Cell 34 3 8 3" xfId="10099" xr:uid="{9D7C40DC-359F-4662-8D53-06E494A6C4F3}"/>
    <cellStyle name="Check Cell 34 3 9" xfId="10100" xr:uid="{056F352E-6EF7-4538-8262-69B6BBA574BA}"/>
    <cellStyle name="Check Cell 34 3 9 2" xfId="10101" xr:uid="{D103730F-9939-4E34-B832-2E045FC20826}"/>
    <cellStyle name="Check Cell 34 3 9 2 2" xfId="10102" xr:uid="{E93FEFD7-B447-445B-AB6D-FF9B22B86F38}"/>
    <cellStyle name="Check Cell 34 3 9 3" xfId="10103" xr:uid="{10A108CC-EAAC-4E0C-93B5-4AA12EC2997C}"/>
    <cellStyle name="Check Cell 34 4" xfId="10104" xr:uid="{00FFE47E-640C-4F1C-A88F-CF61D9D58493}"/>
    <cellStyle name="Check Cell 34 4 2" xfId="10105" xr:uid="{DD89FBD8-B77E-42FA-9FC5-3B20BF6C10AD}"/>
    <cellStyle name="Check Cell 34 4 2 2" xfId="10106" xr:uid="{5C107CA0-DD5F-4D45-B3F5-BFBE70C06F15}"/>
    <cellStyle name="Check Cell 34 4 2 2 2" xfId="10107" xr:uid="{46445258-12BE-4D26-AABB-1312ECA9334B}"/>
    <cellStyle name="Check Cell 34 4 2 3" xfId="10108" xr:uid="{035B44CA-B140-46BB-A366-2285F9C10E98}"/>
    <cellStyle name="Check Cell 34 4 3" xfId="10109" xr:uid="{39F2F862-6562-46DC-84A2-422DC84477F9}"/>
    <cellStyle name="Check Cell 34 4 3 2" xfId="10110" xr:uid="{FCC4BA60-B3BC-4CB9-B0D9-A00FED407ABE}"/>
    <cellStyle name="Check Cell 34 4 3 2 2" xfId="10111" xr:uid="{7BBB020C-64F4-4E06-B7AD-10171B0244F6}"/>
    <cellStyle name="Check Cell 34 4 3 3" xfId="10112" xr:uid="{8C17CA89-B3DD-4708-A989-45C6E15A8232}"/>
    <cellStyle name="Check Cell 34 4 4" xfId="10113" xr:uid="{B6C5A5A7-C28C-4665-9233-36B1E9E605D8}"/>
    <cellStyle name="Check Cell 34 4 4 2" xfId="10114" xr:uid="{18B070B4-41F1-4CA4-B2C4-D7DBCDD97F87}"/>
    <cellStyle name="Check Cell 34 4 4 2 2" xfId="10115" xr:uid="{137D6549-2B4B-485A-A2D9-D76DB1A650FB}"/>
    <cellStyle name="Check Cell 34 4 4 3" xfId="10116" xr:uid="{5870AB5C-BCE2-498B-B898-1798DCE9AE8A}"/>
    <cellStyle name="Check Cell 34 4 5" xfId="10117" xr:uid="{8F1244CB-FFC2-4D4C-A34F-09198AA549DB}"/>
    <cellStyle name="Check Cell 34 4 5 2" xfId="10118" xr:uid="{82543F52-2632-46BD-A8BF-D4B77C31E960}"/>
    <cellStyle name="Check Cell 34 4 5 2 2" xfId="10119" xr:uid="{ECF1A2E3-14D6-479D-ACA9-5C675F2B56C9}"/>
    <cellStyle name="Check Cell 34 4 5 3" xfId="10120" xr:uid="{C3B2F661-979E-4D5C-97A9-7DA154041AB5}"/>
    <cellStyle name="Check Cell 34 4 6" xfId="10121" xr:uid="{09A9D2EF-18EC-498A-83FA-BCECDC3FA239}"/>
    <cellStyle name="Check Cell 34 4 6 2" xfId="10122" xr:uid="{0C6C9CF3-5DA5-4C7C-9B45-236E45B2A9E5}"/>
    <cellStyle name="Check Cell 34 4 6 2 2" xfId="10123" xr:uid="{3BC2705C-0C6F-4AA5-91EA-8BA26A8E3CD7}"/>
    <cellStyle name="Check Cell 34 4 6 3" xfId="10124" xr:uid="{221D4DB8-7B4D-43A0-A3E2-55071A0E7622}"/>
    <cellStyle name="Check Cell 34 4 7" xfId="10125" xr:uid="{BB1B8D07-23C3-4AFB-84A9-5EBBB0E8822F}"/>
    <cellStyle name="Check Cell 34 4 7 2" xfId="10126" xr:uid="{68ACC305-029F-4871-9CB0-2D1659C9321C}"/>
    <cellStyle name="Check Cell 34 4 7 2 2" xfId="10127" xr:uid="{AF421185-5978-4ECC-996A-345EB4DDEB54}"/>
    <cellStyle name="Check Cell 34 4 7 3" xfId="10128" xr:uid="{F56C5C71-947A-43B2-AF20-1EEF6F6D7AF9}"/>
    <cellStyle name="Check Cell 34 4 8" xfId="10129" xr:uid="{304CE404-4DF5-40F8-A317-059A797D428D}"/>
    <cellStyle name="Check Cell 34 4 8 2" xfId="10130" xr:uid="{349EEEA9-1D4E-4BF0-A216-0F1DB15ED022}"/>
    <cellStyle name="Check Cell 34 4 8 2 2" xfId="10131" xr:uid="{EA7FF408-DA31-4BE7-8BD7-909E8CAEF0BD}"/>
    <cellStyle name="Check Cell 34 4 8 3" xfId="10132" xr:uid="{A92DBBCA-F0C6-4483-BA17-2D0E1C4CBE5B}"/>
    <cellStyle name="Check Cell 34 4 9" xfId="10133" xr:uid="{66E81BE1-A641-48B7-8F9C-CFA31C33FCD1}"/>
    <cellStyle name="Check Cell 34 4 9 2" xfId="10134" xr:uid="{85BB5A51-E778-41B9-A8AC-F1FED6DFAD58}"/>
    <cellStyle name="Check Cell 34 4 9 2 2" xfId="10135" xr:uid="{D4FDCC83-0306-44CB-8B22-940519E6D3E5}"/>
    <cellStyle name="Check Cell 34 4 9 3" xfId="10136" xr:uid="{D2E79612-B42B-435F-860F-428192990ABA}"/>
    <cellStyle name="Check Cell 34 5" xfId="10137" xr:uid="{80F904EF-F1BA-4B40-90F4-E040BE9F0C61}"/>
    <cellStyle name="Check Cell 34 5 2" xfId="10138" xr:uid="{09CB5159-70BA-459E-B7DC-1BD0567F5F8D}"/>
    <cellStyle name="Check Cell 34 5 2 2" xfId="10139" xr:uid="{AF97758E-5D7B-4C53-BE74-EE6025627C4A}"/>
    <cellStyle name="Check Cell 34 5 2 2 2" xfId="10140" xr:uid="{8B80391B-FE6C-46EE-8A61-7B42C37753A2}"/>
    <cellStyle name="Check Cell 34 5 2 3" xfId="10141" xr:uid="{9CACBC0F-B437-4150-93AD-5EEB79FDD308}"/>
    <cellStyle name="Check Cell 34 5 3" xfId="10142" xr:uid="{AB6880E2-598A-44C8-9811-534F85AEDB11}"/>
    <cellStyle name="Check Cell 34 5 3 2" xfId="10143" xr:uid="{103F8D4E-28C1-43D4-A3D0-AD6B59437C05}"/>
    <cellStyle name="Check Cell 34 5 3 2 2" xfId="10144" xr:uid="{54BEA7EE-6298-461B-A928-6C61FF903389}"/>
    <cellStyle name="Check Cell 34 5 3 3" xfId="10145" xr:uid="{D30D6414-0E1C-4856-BCCE-326FC9EB05AB}"/>
    <cellStyle name="Check Cell 34 5 4" xfId="10146" xr:uid="{A6D3B2B5-1D65-4253-A652-6FBF54A9FBE5}"/>
    <cellStyle name="Check Cell 34 5 4 2" xfId="10147" xr:uid="{D76E18C9-306F-44F5-BBA4-E912DD03E9BE}"/>
    <cellStyle name="Check Cell 34 5 4 2 2" xfId="10148" xr:uid="{8B4D5D19-39BC-4663-85D3-822E0035090F}"/>
    <cellStyle name="Check Cell 34 5 4 3" xfId="10149" xr:uid="{51784997-45BD-4E9D-9388-CAB3EE984C0D}"/>
    <cellStyle name="Check Cell 34 5 5" xfId="10150" xr:uid="{A61776E1-5150-4AD1-9EB4-CD205184714A}"/>
    <cellStyle name="Check Cell 34 5 5 2" xfId="10151" xr:uid="{46712851-7F69-4D24-9CDB-913E06CA5D8D}"/>
    <cellStyle name="Check Cell 34 5 5 2 2" xfId="10152" xr:uid="{BC38B720-9938-4470-B36B-7FC7F16D065C}"/>
    <cellStyle name="Check Cell 34 5 5 3" xfId="10153" xr:uid="{F28D9F05-F2AE-4470-AA5F-4CE15689588E}"/>
    <cellStyle name="Check Cell 34 5 6" xfId="10154" xr:uid="{FF7B7D1D-6BA1-47F4-ACE9-F7589B81AE47}"/>
    <cellStyle name="Check Cell 34 5 6 2" xfId="10155" xr:uid="{6D911A62-F52B-4BAD-A5E4-B04DB423CDF9}"/>
    <cellStyle name="Check Cell 34 5 6 2 2" xfId="10156" xr:uid="{8F9A2A28-42E3-4892-B032-738303B9325C}"/>
    <cellStyle name="Check Cell 34 5 6 3" xfId="10157" xr:uid="{6C35784C-E0A7-4E14-9542-64DE0E0D58E0}"/>
    <cellStyle name="Check Cell 34 5 7" xfId="10158" xr:uid="{91AD9AA9-2705-4FD1-9DA1-0870AE9B22D8}"/>
    <cellStyle name="Check Cell 34 5 7 2" xfId="10159" xr:uid="{6EF65099-9FC8-4F18-92B5-AA4EC4ECE08D}"/>
    <cellStyle name="Check Cell 34 5 7 2 2" xfId="10160" xr:uid="{683872B3-5DB0-4B1F-98D8-3317BCC0725C}"/>
    <cellStyle name="Check Cell 34 5 7 3" xfId="10161" xr:uid="{A9767BC4-76D0-445C-B9B6-D76229800A59}"/>
    <cellStyle name="Check Cell 34 5 8" xfId="10162" xr:uid="{1FB49FF0-C45D-4A36-8697-72F2A4B06FE4}"/>
    <cellStyle name="Check Cell 34 5 8 2" xfId="10163" xr:uid="{41B35085-0F69-499A-9241-7ECDAC73E287}"/>
    <cellStyle name="Check Cell 34 5 8 2 2" xfId="10164" xr:uid="{8DC5F40E-FA23-4C30-83ED-C73A7BB41394}"/>
    <cellStyle name="Check Cell 34 5 8 3" xfId="10165" xr:uid="{D740E718-B834-4CA6-9D68-E0A2EA13CD30}"/>
    <cellStyle name="Check Cell 34 5 9" xfId="10166" xr:uid="{9AB21E36-594F-499E-8492-20F51EDB9B63}"/>
    <cellStyle name="Check Cell 34 5 9 2" xfId="10167" xr:uid="{BE516A87-EE11-448F-9C9F-3235A2588F47}"/>
    <cellStyle name="Check Cell 34 5 9 2 2" xfId="10168" xr:uid="{3730A286-1EB0-45D3-8C14-BAF01A8C3360}"/>
    <cellStyle name="Check Cell 34 5 9 3" xfId="10169" xr:uid="{D74196D5-064C-4197-A138-F8044311DBAE}"/>
    <cellStyle name="Check Cell 34 6" xfId="10170" xr:uid="{B31A8B41-4F9D-4E40-9DB1-FA895B0CAB9C}"/>
    <cellStyle name="Check Cell 34 6 2" xfId="10171" xr:uid="{F543F4D8-0EF5-4897-8568-A5A52E53F662}"/>
    <cellStyle name="Check Cell 34 6 2 2" xfId="10172" xr:uid="{7C6D203B-4932-4BA6-A774-C76EED654211}"/>
    <cellStyle name="Check Cell 34 6 3" xfId="10173" xr:uid="{4EB44604-A274-41FF-9698-53B5BCDF981C}"/>
    <cellStyle name="Check Cell 34 7" xfId="10174" xr:uid="{97433DF4-4002-438A-B299-D7793DCF2E7C}"/>
    <cellStyle name="Check Cell 34 7 2" xfId="10175" xr:uid="{BF1DEEDC-D927-4584-BB4A-340DD001BC1D}"/>
    <cellStyle name="Check Cell 34 7 2 2" xfId="10176" xr:uid="{14A9D930-C5A8-46A5-B99F-D334BD895652}"/>
    <cellStyle name="Check Cell 34 7 3" xfId="10177" xr:uid="{F4959100-DECA-444A-9461-9BFEE43060FB}"/>
    <cellStyle name="Check Cell 34 8" xfId="10178" xr:uid="{4B3E7253-7D46-4470-A90A-72DA3D1F3CBF}"/>
    <cellStyle name="Check Cell 34 8 2" xfId="10179" xr:uid="{885DEE10-2D80-40D8-93AA-8F620D19DFDC}"/>
    <cellStyle name="Check Cell 34 8 2 2" xfId="10180" xr:uid="{BE46F20E-2C1F-41C2-A0C6-0B2917CE4530}"/>
    <cellStyle name="Check Cell 34 8 3" xfId="10181" xr:uid="{64384735-15D4-4A6B-8153-CC97FEFBBEC1}"/>
    <cellStyle name="Check Cell 34 9" xfId="10182" xr:uid="{E46B1B90-6BCE-4CC8-8224-5B0BC20C831C}"/>
    <cellStyle name="Check Cell 34 9 2" xfId="10183" xr:uid="{58846EF5-AA27-4366-B2AA-A7145254DCB1}"/>
    <cellStyle name="Check Cell 34 9 2 2" xfId="10184" xr:uid="{0C0353CF-F8E2-4595-B889-11D4DCC384BE}"/>
    <cellStyle name="Check Cell 34 9 3" xfId="10185" xr:uid="{E362F326-8326-482D-BAF4-23B21AD724B7}"/>
    <cellStyle name="Check Cell 35" xfId="10186" xr:uid="{423B5E44-790F-4F22-966E-12C77F4418B4}"/>
    <cellStyle name="Check Cell 35 2" xfId="10187" xr:uid="{65D04FEB-6DD5-47DD-A768-74CA2903C258}"/>
    <cellStyle name="Check Cell 35 2 2" xfId="10188" xr:uid="{A66FC023-2F9A-4D38-A84C-09E77093B0A3}"/>
    <cellStyle name="Check Cell 35 3" xfId="10189" xr:uid="{DAD4A8F1-1D3C-4D53-BDAE-E673365EACBD}"/>
    <cellStyle name="Check Cell 36" xfId="10190" xr:uid="{FE4B8F46-F500-43D9-BFAC-06E937FA6E85}"/>
    <cellStyle name="Check Cell 36 2" xfId="10191" xr:uid="{A7B7B6F5-F3E9-42F6-83EE-BD6B0345313C}"/>
    <cellStyle name="Check Cell 37" xfId="5548" xr:uid="{14B62C44-550C-49F3-BB2C-3117465995A7}"/>
    <cellStyle name="Check Cell 4" xfId="10192" xr:uid="{D1CAF8BE-AA4E-4D2E-A656-C0BCC149CD00}"/>
    <cellStyle name="Check Cell 4 2" xfId="10193" xr:uid="{C4CE78E6-CB58-4555-A83E-9115D7803379}"/>
    <cellStyle name="Check Cell 4 2 10" xfId="10194" xr:uid="{1F91DC4C-AB56-4A98-AA80-EF25F6F2710D}"/>
    <cellStyle name="Check Cell 4 2 10 2" xfId="10195" xr:uid="{15E97022-6270-468D-BD9A-6F44DDEF65CD}"/>
    <cellStyle name="Check Cell 4 2 10 2 2" xfId="10196" xr:uid="{2067D711-1805-4816-A32C-C757F560921D}"/>
    <cellStyle name="Check Cell 4 2 10 3" xfId="10197" xr:uid="{1701ACFE-1EF1-4AFB-883F-910F7FA0F382}"/>
    <cellStyle name="Check Cell 4 2 11" xfId="10198" xr:uid="{E48A0EC9-A276-4FA8-A0F3-9CF4A02A8A2B}"/>
    <cellStyle name="Check Cell 4 2 11 2" xfId="10199" xr:uid="{674B8C79-D535-4F9F-B78D-2A09A79272D7}"/>
    <cellStyle name="Check Cell 4 2 11 2 2" xfId="10200" xr:uid="{3CA83E0B-93AA-4CA1-BC9C-BC90882E2245}"/>
    <cellStyle name="Check Cell 4 2 11 3" xfId="10201" xr:uid="{BEE2190A-E123-4F0C-819B-0E5CF6956C4F}"/>
    <cellStyle name="Check Cell 4 2 12" xfId="10202" xr:uid="{A845516A-D49B-4158-A3D1-B588EC0CB0D7}"/>
    <cellStyle name="Check Cell 4 2 12 2" xfId="10203" xr:uid="{11B4A05A-EF8D-477D-B2A8-D5CC28FE0328}"/>
    <cellStyle name="Check Cell 4 2 12 2 2" xfId="10204" xr:uid="{C815CF2D-4D53-454B-9EBC-B10AA37C8B36}"/>
    <cellStyle name="Check Cell 4 2 12 3" xfId="10205" xr:uid="{53D4F6C7-88CC-4FCC-B539-111F1DBB85AA}"/>
    <cellStyle name="Check Cell 4 2 13" xfId="10206" xr:uid="{E6BC1E09-D94B-4B69-BA18-BC1E9CB7C992}"/>
    <cellStyle name="Check Cell 4 2 13 2" xfId="10207" xr:uid="{37AEAFBE-76B8-493A-8A3C-47491D9D404F}"/>
    <cellStyle name="Check Cell 4 2 13 2 2" xfId="10208" xr:uid="{225696FE-1319-49A0-88BE-783439223AA2}"/>
    <cellStyle name="Check Cell 4 2 13 3" xfId="10209" xr:uid="{1EC3E62A-7C5B-44F7-B0DB-35748BE3F78A}"/>
    <cellStyle name="Check Cell 4 2 2" xfId="10210" xr:uid="{8C14923A-57D4-446E-B823-D7A1D34B5901}"/>
    <cellStyle name="Check Cell 4 2 2 2" xfId="10211" xr:uid="{03B2D775-0F37-4751-B01D-4104F0EE5A2B}"/>
    <cellStyle name="Check Cell 4 2 2 2 2" xfId="10212" xr:uid="{6122E226-7E4C-434C-A94C-F15C6FD9BC1C}"/>
    <cellStyle name="Check Cell 4 2 2 2 2 2" xfId="10213" xr:uid="{3E201F18-9B91-4ABA-A6B0-2A68E8C0D42B}"/>
    <cellStyle name="Check Cell 4 2 2 2 3" xfId="10214" xr:uid="{440ECC7D-2ED7-4C2C-AB36-6224B0C409E9}"/>
    <cellStyle name="Check Cell 4 2 2 3" xfId="10215" xr:uid="{E59A17AF-91C3-444D-82F9-72095DC9DB24}"/>
    <cellStyle name="Check Cell 4 2 2 3 2" xfId="10216" xr:uid="{219247F3-56C8-4881-8439-A00F406B8323}"/>
    <cellStyle name="Check Cell 4 2 2 3 2 2" xfId="10217" xr:uid="{051B1B9A-1A0F-4A81-A4A9-68C3009FBE8A}"/>
    <cellStyle name="Check Cell 4 2 2 3 3" xfId="10218" xr:uid="{D58765AA-13CA-4B93-A3CD-54E45F6878CA}"/>
    <cellStyle name="Check Cell 4 2 2 4" xfId="10219" xr:uid="{40F81A5C-E4FC-4543-BEB7-6F327AF2D974}"/>
    <cellStyle name="Check Cell 4 2 2 4 2" xfId="10220" xr:uid="{1B157886-9FF8-42EC-99EC-1B76A20F442F}"/>
    <cellStyle name="Check Cell 4 2 2 4 2 2" xfId="10221" xr:uid="{7974977E-4561-4171-864D-C043EBF4C9AD}"/>
    <cellStyle name="Check Cell 4 2 2 4 3" xfId="10222" xr:uid="{125FA6E6-1A7D-41A5-9642-FB1556002191}"/>
    <cellStyle name="Check Cell 4 2 2 5" xfId="10223" xr:uid="{A50C7698-0647-437A-8DDA-BD380725AE27}"/>
    <cellStyle name="Check Cell 4 2 2 5 2" xfId="10224" xr:uid="{B16FFB3A-C81A-496B-BC20-D9CEDF8F9233}"/>
    <cellStyle name="Check Cell 4 2 2 5 2 2" xfId="10225" xr:uid="{D579D331-853B-4232-92CF-29EEA8F627C5}"/>
    <cellStyle name="Check Cell 4 2 2 5 3" xfId="10226" xr:uid="{14F6B272-6906-4740-86D1-499C4E889634}"/>
    <cellStyle name="Check Cell 4 2 2 6" xfId="10227" xr:uid="{2900D892-F87B-4452-9DC9-6FA8D0879E77}"/>
    <cellStyle name="Check Cell 4 2 2 6 2" xfId="10228" xr:uid="{B5C89A90-95CC-47FA-BD0C-B4AE60363E72}"/>
    <cellStyle name="Check Cell 4 2 2 6 2 2" xfId="10229" xr:uid="{8DC8B3D0-3663-4CAB-9AD5-789EC5DC9B44}"/>
    <cellStyle name="Check Cell 4 2 2 6 3" xfId="10230" xr:uid="{EAE677D8-7B71-40AF-9E1B-163BBB2FFDDB}"/>
    <cellStyle name="Check Cell 4 2 2 7" xfId="10231" xr:uid="{E0BBC929-A9AF-4B4B-96CD-7BF385D3DD0B}"/>
    <cellStyle name="Check Cell 4 2 2 7 2" xfId="10232" xr:uid="{0468F91A-D037-44D0-A69B-C6879DBEAC8F}"/>
    <cellStyle name="Check Cell 4 2 2 7 2 2" xfId="10233" xr:uid="{DE6B6F12-E725-40D1-9753-2A5CBAA5D80A}"/>
    <cellStyle name="Check Cell 4 2 2 7 3" xfId="10234" xr:uid="{4BB3F071-C067-46B3-83FA-AAD54D38F15A}"/>
    <cellStyle name="Check Cell 4 2 2 8" xfId="10235" xr:uid="{38AF1CEC-D278-4F05-A703-39359BB594A9}"/>
    <cellStyle name="Check Cell 4 2 2 8 2" xfId="10236" xr:uid="{E5BC9A7F-4828-46BA-81E0-91522639C404}"/>
    <cellStyle name="Check Cell 4 2 2 8 2 2" xfId="10237" xr:uid="{7FBE3DCB-3551-4395-AFDC-BB84DF39476C}"/>
    <cellStyle name="Check Cell 4 2 2 8 3" xfId="10238" xr:uid="{FEED7C22-4731-4EA9-ABB3-7839E0609731}"/>
    <cellStyle name="Check Cell 4 2 2 9" xfId="10239" xr:uid="{286D05A0-B3D8-4AA9-A889-0D5BB81B2469}"/>
    <cellStyle name="Check Cell 4 2 2 9 2" xfId="10240" xr:uid="{2717A773-A447-4E8C-BE12-EBF9D91AD3DA}"/>
    <cellStyle name="Check Cell 4 2 2 9 2 2" xfId="10241" xr:uid="{21C5C074-861B-42AB-B91A-39D44B092BA9}"/>
    <cellStyle name="Check Cell 4 2 2 9 3" xfId="10242" xr:uid="{0148D07E-7047-4620-BB31-C84519C5E6D4}"/>
    <cellStyle name="Check Cell 4 2 3" xfId="10243" xr:uid="{6DF15875-170B-4ECC-BEF6-D3F17FD9D44A}"/>
    <cellStyle name="Check Cell 4 2 3 2" xfId="10244" xr:uid="{4E924E50-B957-4423-8B06-A0503A4C542F}"/>
    <cellStyle name="Check Cell 4 2 3 2 2" xfId="10245" xr:uid="{A3A4BAD4-6E7E-4325-A103-8C29C1114E0A}"/>
    <cellStyle name="Check Cell 4 2 3 2 2 2" xfId="10246" xr:uid="{4D77AC5C-93AD-4FC8-93BE-0FDA73AFF2D0}"/>
    <cellStyle name="Check Cell 4 2 3 2 3" xfId="10247" xr:uid="{45FFA698-55E3-460E-B6BE-546747319E87}"/>
    <cellStyle name="Check Cell 4 2 3 3" xfId="10248" xr:uid="{BBD4783B-4EB2-4858-81FF-193038D16DE3}"/>
    <cellStyle name="Check Cell 4 2 3 3 2" xfId="10249" xr:uid="{8CBDAE2F-6774-41C3-AE30-4F3DA79E649D}"/>
    <cellStyle name="Check Cell 4 2 3 3 2 2" xfId="10250" xr:uid="{F32CE887-8245-414F-B1A9-76D0401F2659}"/>
    <cellStyle name="Check Cell 4 2 3 3 3" xfId="10251" xr:uid="{E9109CD1-3E74-4F73-9C08-0711133B3263}"/>
    <cellStyle name="Check Cell 4 2 3 4" xfId="10252" xr:uid="{089ED126-F657-4884-90CE-FFBEF099BA25}"/>
    <cellStyle name="Check Cell 4 2 3 4 2" xfId="10253" xr:uid="{6AFEEBB4-B418-4860-A2A2-89D20C4AA6CC}"/>
    <cellStyle name="Check Cell 4 2 3 4 2 2" xfId="10254" xr:uid="{0944F8DA-B3D5-4C2E-94A5-32788B331AF4}"/>
    <cellStyle name="Check Cell 4 2 3 4 3" xfId="10255" xr:uid="{05DD3B4F-3E82-484A-BCB6-ECD3140498EE}"/>
    <cellStyle name="Check Cell 4 2 3 5" xfId="10256" xr:uid="{D4EC1EF3-EF54-4F6C-8063-264155E14714}"/>
    <cellStyle name="Check Cell 4 2 3 5 2" xfId="10257" xr:uid="{5047D39A-80E2-4309-BBBF-8CDE6E84B7C3}"/>
    <cellStyle name="Check Cell 4 2 3 5 2 2" xfId="10258" xr:uid="{28EE25FA-D859-414C-98E9-06046C1CF6EA}"/>
    <cellStyle name="Check Cell 4 2 3 5 3" xfId="10259" xr:uid="{5F712FD1-1987-428B-8159-F426F561C6EC}"/>
    <cellStyle name="Check Cell 4 2 3 6" xfId="10260" xr:uid="{F38766C3-1308-4A72-A109-8EA2ABCA0004}"/>
    <cellStyle name="Check Cell 4 2 3 6 2" xfId="10261" xr:uid="{F9A0D7DD-CA8D-4ED8-8EB2-4BA85DDABCB0}"/>
    <cellStyle name="Check Cell 4 2 3 6 2 2" xfId="10262" xr:uid="{5807A053-B7BD-40C3-9950-563AA651684A}"/>
    <cellStyle name="Check Cell 4 2 3 6 3" xfId="10263" xr:uid="{4479C704-132E-4D71-8B1F-E682D49E9F28}"/>
    <cellStyle name="Check Cell 4 2 3 7" xfId="10264" xr:uid="{AFAB92B1-7CED-45CF-B8CA-761CBE2C4638}"/>
    <cellStyle name="Check Cell 4 2 3 7 2" xfId="10265" xr:uid="{FDBD275B-FF57-4634-8006-2DA6C5E043DC}"/>
    <cellStyle name="Check Cell 4 2 3 7 2 2" xfId="10266" xr:uid="{93FCD022-E5B5-4EF4-A115-B612A946057D}"/>
    <cellStyle name="Check Cell 4 2 3 7 3" xfId="10267" xr:uid="{7AD99E7D-87EF-4C94-90A7-1A962A30F3C6}"/>
    <cellStyle name="Check Cell 4 2 3 8" xfId="10268" xr:uid="{116E956A-07F6-47F4-B99A-22AF4AD542F5}"/>
    <cellStyle name="Check Cell 4 2 3 8 2" xfId="10269" xr:uid="{AEACF218-C7C1-41C4-8DA9-578823AA7E53}"/>
    <cellStyle name="Check Cell 4 2 3 8 2 2" xfId="10270" xr:uid="{176C8ACD-A681-45F0-882F-F895006CA0CE}"/>
    <cellStyle name="Check Cell 4 2 3 8 3" xfId="10271" xr:uid="{212BC0F7-7814-47F1-9C93-87AD2801E781}"/>
    <cellStyle name="Check Cell 4 2 3 9" xfId="10272" xr:uid="{E8FB6C47-EC32-4B3A-BF9A-975552591D5B}"/>
    <cellStyle name="Check Cell 4 2 3 9 2" xfId="10273" xr:uid="{D84D15A2-C9DE-4CE7-9157-B3F743F92A4D}"/>
    <cellStyle name="Check Cell 4 2 3 9 2 2" xfId="10274" xr:uid="{AAFD850C-7EA4-4585-9ED7-06F3912D1CF2}"/>
    <cellStyle name="Check Cell 4 2 3 9 3" xfId="10275" xr:uid="{FC65F2AA-0A5E-4461-A0F5-63F705CB179A}"/>
    <cellStyle name="Check Cell 4 2 4" xfId="10276" xr:uid="{3DF0F3DA-4DD1-4D65-8B4D-B3F4176FF950}"/>
    <cellStyle name="Check Cell 4 2 4 2" xfId="10277" xr:uid="{E3B29900-2E4B-4571-996E-9CF8E9A1CF98}"/>
    <cellStyle name="Check Cell 4 2 4 2 2" xfId="10278" xr:uid="{3B14445B-986C-4480-9473-A2F59B5A9ACC}"/>
    <cellStyle name="Check Cell 4 2 4 2 2 2" xfId="10279" xr:uid="{4C79C627-DD95-4571-B745-F12C3C115FE4}"/>
    <cellStyle name="Check Cell 4 2 4 2 3" xfId="10280" xr:uid="{AD54DD86-F066-4E81-B71D-29432C4170A1}"/>
    <cellStyle name="Check Cell 4 2 4 3" xfId="10281" xr:uid="{8DAC25ED-3765-4CD0-91BA-D9D026544CC7}"/>
    <cellStyle name="Check Cell 4 2 4 3 2" xfId="10282" xr:uid="{82532C05-C5FC-4EE4-B767-72E49721722D}"/>
    <cellStyle name="Check Cell 4 2 4 3 2 2" xfId="10283" xr:uid="{9C258049-4930-46EA-BC0A-8BF6DA902731}"/>
    <cellStyle name="Check Cell 4 2 4 3 3" xfId="10284" xr:uid="{649B4121-0A60-46BC-8B0E-FB4568F6C898}"/>
    <cellStyle name="Check Cell 4 2 4 4" xfId="10285" xr:uid="{08CEAA6D-EB29-41FD-8753-0A907A8462AB}"/>
    <cellStyle name="Check Cell 4 2 4 4 2" xfId="10286" xr:uid="{CE15FA5E-3F62-4C79-8EDF-BB2F7CCD303F}"/>
    <cellStyle name="Check Cell 4 2 4 4 2 2" xfId="10287" xr:uid="{0509B881-2D44-4D25-A911-8EA3247615A7}"/>
    <cellStyle name="Check Cell 4 2 4 4 3" xfId="10288" xr:uid="{C621504C-D84B-4B50-9C8B-10EDA80A82CF}"/>
    <cellStyle name="Check Cell 4 2 4 5" xfId="10289" xr:uid="{BB4CE9A7-5DF8-4950-A3DF-E57E014D1203}"/>
    <cellStyle name="Check Cell 4 2 4 5 2" xfId="10290" xr:uid="{031ABF3D-74D2-400C-A791-C098B667B7ED}"/>
    <cellStyle name="Check Cell 4 2 4 5 2 2" xfId="10291" xr:uid="{5A64B816-8860-4A16-97DD-0AB0DD8C68EF}"/>
    <cellStyle name="Check Cell 4 2 4 5 3" xfId="10292" xr:uid="{0D6129EF-B2E0-46A0-BCA5-AC4AF0F2644B}"/>
    <cellStyle name="Check Cell 4 2 4 6" xfId="10293" xr:uid="{2959C4EE-97C8-40DC-8A46-E2F2B5CB7826}"/>
    <cellStyle name="Check Cell 4 2 4 6 2" xfId="10294" xr:uid="{6A9B98C1-3A17-4CC9-8D9C-432BB1C70F96}"/>
    <cellStyle name="Check Cell 4 2 4 6 2 2" xfId="10295" xr:uid="{DA2BD9C6-95DB-4164-9777-4482E1A90B68}"/>
    <cellStyle name="Check Cell 4 2 4 6 3" xfId="10296" xr:uid="{8DD22205-811B-4A61-B61C-349AF4FA3251}"/>
    <cellStyle name="Check Cell 4 2 4 7" xfId="10297" xr:uid="{1A1E6A0E-BC4C-4A6C-AA7A-65922853AD0B}"/>
    <cellStyle name="Check Cell 4 2 4 7 2" xfId="10298" xr:uid="{AE6F0E54-D352-4B5C-A766-C9AC56701DF0}"/>
    <cellStyle name="Check Cell 4 2 4 7 2 2" xfId="10299" xr:uid="{9DFB27C8-1EF0-4617-885E-B66A61508AC6}"/>
    <cellStyle name="Check Cell 4 2 4 7 3" xfId="10300" xr:uid="{F790152D-0619-4EE9-B045-343BB232E0C9}"/>
    <cellStyle name="Check Cell 4 2 4 8" xfId="10301" xr:uid="{F9B38847-97B2-48E7-8456-797DC2CE964C}"/>
    <cellStyle name="Check Cell 4 2 4 8 2" xfId="10302" xr:uid="{6269076B-DADD-4BC1-8392-7D9BB81D0FF2}"/>
    <cellStyle name="Check Cell 4 2 4 8 2 2" xfId="10303" xr:uid="{EB21BC9C-AAF7-4F5D-A3A5-56F7AC7CA2D4}"/>
    <cellStyle name="Check Cell 4 2 4 8 3" xfId="10304" xr:uid="{60E785DC-D12D-4537-8708-B6D62FF404CD}"/>
    <cellStyle name="Check Cell 4 2 4 9" xfId="10305" xr:uid="{B4EBBFC4-B630-411B-B9FA-691E3BF4DB70}"/>
    <cellStyle name="Check Cell 4 2 4 9 2" xfId="10306" xr:uid="{384A7AB8-314A-4F1F-AD23-3874E4086E8F}"/>
    <cellStyle name="Check Cell 4 2 4 9 2 2" xfId="10307" xr:uid="{50A20438-D922-4FA5-AF52-ACFC3A2076E2}"/>
    <cellStyle name="Check Cell 4 2 4 9 3" xfId="10308" xr:uid="{5BE65BC5-2637-4F18-8F49-57DB407209A2}"/>
    <cellStyle name="Check Cell 4 2 5" xfId="10309" xr:uid="{54D779D9-CAA6-443A-ACFB-326931D4D75F}"/>
    <cellStyle name="Check Cell 4 2 5 2" xfId="10310" xr:uid="{B8B40850-3967-4968-9A1E-E9E4A6F4050E}"/>
    <cellStyle name="Check Cell 4 2 5 2 2" xfId="10311" xr:uid="{C4FE6F30-9EE5-437A-A257-E1CF4E76411E}"/>
    <cellStyle name="Check Cell 4 2 5 2 2 2" xfId="10312" xr:uid="{AAEA4C5F-046F-4F1C-BC5A-4F21D21680DE}"/>
    <cellStyle name="Check Cell 4 2 5 2 3" xfId="10313" xr:uid="{442CBBF0-3336-4339-A23A-4CFEC2A08A2C}"/>
    <cellStyle name="Check Cell 4 2 5 3" xfId="10314" xr:uid="{56337685-2D43-4821-8B69-69643D911903}"/>
    <cellStyle name="Check Cell 4 2 5 3 2" xfId="10315" xr:uid="{8CF5090B-D2DF-4052-8683-4CC0A8979799}"/>
    <cellStyle name="Check Cell 4 2 5 3 2 2" xfId="10316" xr:uid="{CC48D326-F505-4C45-8430-60B1CAA002B2}"/>
    <cellStyle name="Check Cell 4 2 5 3 3" xfId="10317" xr:uid="{8584D13F-9DA5-4B36-BFD4-2188A6CC31EF}"/>
    <cellStyle name="Check Cell 4 2 5 4" xfId="10318" xr:uid="{7D83858C-79AD-4768-B96B-11412C76D3C1}"/>
    <cellStyle name="Check Cell 4 2 5 4 2" xfId="10319" xr:uid="{F14658D2-E3DB-493C-A63B-D88921A43137}"/>
    <cellStyle name="Check Cell 4 2 5 4 2 2" xfId="10320" xr:uid="{EC3E2C57-7148-4D8B-90B5-DE54B7B21619}"/>
    <cellStyle name="Check Cell 4 2 5 4 3" xfId="10321" xr:uid="{F135F692-012F-45C0-A184-46DFC0ECB9D0}"/>
    <cellStyle name="Check Cell 4 2 5 5" xfId="10322" xr:uid="{DF562432-27CE-42B3-B9F3-64AB06A5BCB3}"/>
    <cellStyle name="Check Cell 4 2 5 5 2" xfId="10323" xr:uid="{0349CFB5-5BE6-42D1-BEF8-CDDC2AA60772}"/>
    <cellStyle name="Check Cell 4 2 5 5 2 2" xfId="10324" xr:uid="{E9B4CE9A-B5FB-4637-8131-6E42EFB52052}"/>
    <cellStyle name="Check Cell 4 2 5 5 3" xfId="10325" xr:uid="{C1F82202-AA5F-45C0-88A5-5F14F3D1D118}"/>
    <cellStyle name="Check Cell 4 2 5 6" xfId="10326" xr:uid="{D67F9E2D-6E24-4DD1-830D-D5BDCDED9358}"/>
    <cellStyle name="Check Cell 4 2 5 6 2" xfId="10327" xr:uid="{42AA958D-43EB-49E8-A975-5D8033205854}"/>
    <cellStyle name="Check Cell 4 2 5 6 2 2" xfId="10328" xr:uid="{2F1E6691-CD4D-40DB-8AF5-2301CFDFFDF8}"/>
    <cellStyle name="Check Cell 4 2 5 6 3" xfId="10329" xr:uid="{2ECAF932-F263-40EF-8EF5-E7A5030065DF}"/>
    <cellStyle name="Check Cell 4 2 5 7" xfId="10330" xr:uid="{ECEA0561-D334-43A3-9008-58CE0BE5ED79}"/>
    <cellStyle name="Check Cell 4 2 5 7 2" xfId="10331" xr:uid="{7483A589-BFB5-4FCF-93D4-70FD992D899B}"/>
    <cellStyle name="Check Cell 4 2 5 7 2 2" xfId="10332" xr:uid="{E5040D43-5C04-4E4A-A0BD-23B832382076}"/>
    <cellStyle name="Check Cell 4 2 5 7 3" xfId="10333" xr:uid="{3E20E977-4A2B-4DFA-82F1-D288B7E383E9}"/>
    <cellStyle name="Check Cell 4 2 5 8" xfId="10334" xr:uid="{368A793B-0F72-49A7-BBD3-0FC46D07877B}"/>
    <cellStyle name="Check Cell 4 2 5 8 2" xfId="10335" xr:uid="{6C79FA52-4EC8-4453-B8A4-E30CEE6C8167}"/>
    <cellStyle name="Check Cell 4 2 5 8 2 2" xfId="10336" xr:uid="{748C6077-9D35-4980-9F74-04E9BE9F7BD0}"/>
    <cellStyle name="Check Cell 4 2 5 8 3" xfId="10337" xr:uid="{31B1E10A-A65E-48E6-8207-D30C3A0EA1FE}"/>
    <cellStyle name="Check Cell 4 2 5 9" xfId="10338" xr:uid="{FD230F6E-2928-4A7C-B6C8-6433D30A6DB4}"/>
    <cellStyle name="Check Cell 4 2 5 9 2" xfId="10339" xr:uid="{03ABE80B-36C5-4FDE-AEB2-8FC8AF2A59BF}"/>
    <cellStyle name="Check Cell 4 2 5 9 2 2" xfId="10340" xr:uid="{6CE42429-4ABD-407A-A155-CC00BE9FB298}"/>
    <cellStyle name="Check Cell 4 2 5 9 3" xfId="10341" xr:uid="{22A3B4D2-5B26-4F27-BBA1-B4D6D2EC5CDA}"/>
    <cellStyle name="Check Cell 4 2 6" xfId="10342" xr:uid="{232B1966-71E9-4103-9F4A-C8AD5704DFC8}"/>
    <cellStyle name="Check Cell 4 2 6 2" xfId="10343" xr:uid="{2A9072BA-7F9B-4BE9-89CD-59E1D2B79FA4}"/>
    <cellStyle name="Check Cell 4 2 6 2 2" xfId="10344" xr:uid="{A0792DC8-54CE-4CBE-8595-67CD36F833CD}"/>
    <cellStyle name="Check Cell 4 2 6 3" xfId="10345" xr:uid="{2E6CE562-DDDC-457A-A986-6DEB86FA112C}"/>
    <cellStyle name="Check Cell 4 2 7" xfId="10346" xr:uid="{E0768A2D-22E9-49EE-AA28-EC7063E1C969}"/>
    <cellStyle name="Check Cell 4 2 7 2" xfId="10347" xr:uid="{AFEE2BA1-ABB7-424D-9BF9-CFA4F3DAB236}"/>
    <cellStyle name="Check Cell 4 2 7 2 2" xfId="10348" xr:uid="{758EAE57-B057-4AC2-B5FA-9457F24427FA}"/>
    <cellStyle name="Check Cell 4 2 7 3" xfId="10349" xr:uid="{B80F0146-7B69-44D5-A605-07C0182E94AC}"/>
    <cellStyle name="Check Cell 4 2 8" xfId="10350" xr:uid="{F805899D-6166-41B1-AA32-73FD9A354605}"/>
    <cellStyle name="Check Cell 4 2 8 2" xfId="10351" xr:uid="{B58199E0-1087-4017-9A06-D32CAB448F01}"/>
    <cellStyle name="Check Cell 4 2 8 2 2" xfId="10352" xr:uid="{305608AB-AABF-452E-9A79-9DB1BC8AE4BD}"/>
    <cellStyle name="Check Cell 4 2 8 3" xfId="10353" xr:uid="{8E578CE9-3857-4517-ABE4-0957E8F61053}"/>
    <cellStyle name="Check Cell 4 2 9" xfId="10354" xr:uid="{8002C65B-14D6-4E61-8BEB-E8791ED2BE50}"/>
    <cellStyle name="Check Cell 4 2 9 2" xfId="10355" xr:uid="{8B503078-F7F2-4D88-A01A-20140BC3B662}"/>
    <cellStyle name="Check Cell 4 2 9 2 2" xfId="10356" xr:uid="{54A48234-4A85-49EC-B32E-19930311A256}"/>
    <cellStyle name="Check Cell 4 2 9 3" xfId="10357" xr:uid="{5A0F4051-9C72-4292-98FD-448C3ACB28FE}"/>
    <cellStyle name="Check Cell 4 3" xfId="10358" xr:uid="{F8914325-CDB1-46BC-BBCA-E5BC18308743}"/>
    <cellStyle name="Check Cell 4 3 2" xfId="10359" xr:uid="{F869D58A-5692-4191-A168-1F2868FF6826}"/>
    <cellStyle name="Check Cell 4 3 2 2" xfId="10360" xr:uid="{32018BDC-6558-4580-B85F-E9255E5960BB}"/>
    <cellStyle name="Check Cell 4 3 3" xfId="10361" xr:uid="{51694576-DAEA-406C-BB78-CB0ADCB4CB03}"/>
    <cellStyle name="Check Cell 4 4" xfId="10362" xr:uid="{7D0D88C6-9385-4A88-AB98-989CB7FD35B9}"/>
    <cellStyle name="Check Cell 4 4 2" xfId="10363" xr:uid="{652B73C1-1F33-4FB1-A0FF-E2A3A5519755}"/>
    <cellStyle name="Check Cell 5" xfId="10364" xr:uid="{44D4D69D-ED2A-4F89-B6C7-F73FE8BC1D1A}"/>
    <cellStyle name="Check Cell 5 2" xfId="10365" xr:uid="{E1E53347-35D9-4F2D-A22C-D47EA8D0D92A}"/>
    <cellStyle name="Check Cell 5 2 10" xfId="10366" xr:uid="{2181C7BB-2BA8-46CA-9448-DDB4EF4EDF4D}"/>
    <cellStyle name="Check Cell 5 2 10 2" xfId="10367" xr:uid="{078DD444-5E31-480C-BC96-EAD7258B6D32}"/>
    <cellStyle name="Check Cell 5 2 10 2 2" xfId="10368" xr:uid="{AAD55016-0EB3-43E1-88B4-CEF69AF5EEFD}"/>
    <cellStyle name="Check Cell 5 2 10 3" xfId="10369" xr:uid="{9145E471-94B6-46C2-9906-A5D869CEFCE7}"/>
    <cellStyle name="Check Cell 5 2 11" xfId="10370" xr:uid="{0B329816-1E14-4A6B-B483-B00BEAE3A03D}"/>
    <cellStyle name="Check Cell 5 2 11 2" xfId="10371" xr:uid="{06CE8741-CE2F-4DAD-8B0C-504B6F303DD9}"/>
    <cellStyle name="Check Cell 5 2 11 2 2" xfId="10372" xr:uid="{E984D656-3559-4DFF-A0C7-FDA26E8F0DCB}"/>
    <cellStyle name="Check Cell 5 2 11 3" xfId="10373" xr:uid="{66A7ECF2-2214-4E5E-89D4-1383D66D2FC1}"/>
    <cellStyle name="Check Cell 5 2 12" xfId="10374" xr:uid="{3ADBD426-82CB-4172-9BE8-D724397FE595}"/>
    <cellStyle name="Check Cell 5 2 12 2" xfId="10375" xr:uid="{73FEB6BD-4628-4E1F-8075-374662E13E9D}"/>
    <cellStyle name="Check Cell 5 2 12 2 2" xfId="10376" xr:uid="{F89FBF90-8CD8-4429-B64C-E10EB00AC4A7}"/>
    <cellStyle name="Check Cell 5 2 12 3" xfId="10377" xr:uid="{AC4E158E-7E1C-41C0-8DFD-04C676B95A96}"/>
    <cellStyle name="Check Cell 5 2 13" xfId="10378" xr:uid="{4B691C90-8A11-425B-AF28-B57411B9A7B6}"/>
    <cellStyle name="Check Cell 5 2 13 2" xfId="10379" xr:uid="{17DBD447-ED0C-4A89-8222-8FCB8582739F}"/>
    <cellStyle name="Check Cell 5 2 13 2 2" xfId="10380" xr:uid="{263350B3-F8E1-46FB-B016-3DA9AF8B7452}"/>
    <cellStyle name="Check Cell 5 2 13 3" xfId="10381" xr:uid="{14E6F299-71AB-44D3-8DDA-4F1C71B0E37B}"/>
    <cellStyle name="Check Cell 5 2 2" xfId="10382" xr:uid="{831A1E2E-4B28-44CE-A516-96072242D0DA}"/>
    <cellStyle name="Check Cell 5 2 2 2" xfId="10383" xr:uid="{61F1BA34-55F7-4105-A4DE-FB1980470C81}"/>
    <cellStyle name="Check Cell 5 2 2 2 2" xfId="10384" xr:uid="{C1758367-EDFA-4C15-8AA8-FFB669330DEB}"/>
    <cellStyle name="Check Cell 5 2 2 2 2 2" xfId="10385" xr:uid="{3524D094-557D-42ED-B47B-A43975A63F97}"/>
    <cellStyle name="Check Cell 5 2 2 2 3" xfId="10386" xr:uid="{73AE015F-F73E-48C0-B2E7-7600C4CF3768}"/>
    <cellStyle name="Check Cell 5 2 2 3" xfId="10387" xr:uid="{DDA8EAEC-DB81-40B6-A7DA-BDD990C86E71}"/>
    <cellStyle name="Check Cell 5 2 2 3 2" xfId="10388" xr:uid="{DB512A38-7A9E-4B3E-9198-8D346D7F48B7}"/>
    <cellStyle name="Check Cell 5 2 2 3 2 2" xfId="10389" xr:uid="{E9B1AD59-E554-4778-8D7A-B54E44C705A9}"/>
    <cellStyle name="Check Cell 5 2 2 3 3" xfId="10390" xr:uid="{4BD464E7-0A04-4CAF-A95B-7B1E7101542F}"/>
    <cellStyle name="Check Cell 5 2 2 4" xfId="10391" xr:uid="{67BCE6C0-D52F-4BDD-9ED6-66DC26DA76A9}"/>
    <cellStyle name="Check Cell 5 2 2 4 2" xfId="10392" xr:uid="{E809FB23-1323-492D-876F-609A32CB4646}"/>
    <cellStyle name="Check Cell 5 2 2 4 2 2" xfId="10393" xr:uid="{4FAEC533-FB27-4062-A2E2-2748D65916A2}"/>
    <cellStyle name="Check Cell 5 2 2 4 3" xfId="10394" xr:uid="{5D5D688E-B4B9-424A-B8FB-2B8196F86BEE}"/>
    <cellStyle name="Check Cell 5 2 2 5" xfId="10395" xr:uid="{29B788A0-C401-4264-87CD-7C121F45E49F}"/>
    <cellStyle name="Check Cell 5 2 2 5 2" xfId="10396" xr:uid="{474C766E-2D74-4DAA-96FF-D3DFA571D1CA}"/>
    <cellStyle name="Check Cell 5 2 2 5 2 2" xfId="10397" xr:uid="{9A19B5B5-A7B2-4980-BDEE-72F12A4C50AF}"/>
    <cellStyle name="Check Cell 5 2 2 5 3" xfId="10398" xr:uid="{707F397B-B03E-46CB-B4F6-C00C90DB0C7A}"/>
    <cellStyle name="Check Cell 5 2 2 6" xfId="10399" xr:uid="{C15BA02B-D150-4C9F-AE64-EDB9E5FCCC96}"/>
    <cellStyle name="Check Cell 5 2 2 6 2" xfId="10400" xr:uid="{871D8EA6-C112-42C4-A777-4BC42386E4D2}"/>
    <cellStyle name="Check Cell 5 2 2 6 2 2" xfId="10401" xr:uid="{12F71A5F-E916-4860-AF59-7C5F87C5AFE8}"/>
    <cellStyle name="Check Cell 5 2 2 6 3" xfId="10402" xr:uid="{ADBDB028-A5EC-41B1-85C7-651B2A31EC25}"/>
    <cellStyle name="Check Cell 5 2 2 7" xfId="10403" xr:uid="{53EF384B-C646-4EA4-91F4-7E2558D093C3}"/>
    <cellStyle name="Check Cell 5 2 2 7 2" xfId="10404" xr:uid="{1DDAAC40-F27F-4741-B343-A522A7733E8E}"/>
    <cellStyle name="Check Cell 5 2 2 7 2 2" xfId="10405" xr:uid="{F0A83AB6-90F0-460E-8765-ACB700E7EF74}"/>
    <cellStyle name="Check Cell 5 2 2 7 3" xfId="10406" xr:uid="{9F64B316-011F-4B7D-905D-9304345E08F9}"/>
    <cellStyle name="Check Cell 5 2 2 8" xfId="10407" xr:uid="{4EB1EDD9-ECC9-4C62-8150-338E6AF1F299}"/>
    <cellStyle name="Check Cell 5 2 2 8 2" xfId="10408" xr:uid="{28D801F7-57CF-4480-99CD-16DAF70FCE56}"/>
    <cellStyle name="Check Cell 5 2 2 8 2 2" xfId="10409" xr:uid="{4302B7DD-8B6C-47BA-97EF-0AC19804D7AB}"/>
    <cellStyle name="Check Cell 5 2 2 8 3" xfId="10410" xr:uid="{2F8BF2FB-7883-4C95-86F6-D7240A088D56}"/>
    <cellStyle name="Check Cell 5 2 2 9" xfId="10411" xr:uid="{38F05A82-277E-492E-9079-905DE9D08D07}"/>
    <cellStyle name="Check Cell 5 2 2 9 2" xfId="10412" xr:uid="{D779F61D-7081-4EC2-BD6E-1A181BFB43E3}"/>
    <cellStyle name="Check Cell 5 2 2 9 2 2" xfId="10413" xr:uid="{F7C227D7-1FC4-4CA6-BE25-B89BA08D96C2}"/>
    <cellStyle name="Check Cell 5 2 2 9 3" xfId="10414" xr:uid="{41D751D3-3831-4C6D-B36C-CE80127940BF}"/>
    <cellStyle name="Check Cell 5 2 3" xfId="10415" xr:uid="{8E989111-88D8-46D9-B9DD-F95A266CE204}"/>
    <cellStyle name="Check Cell 5 2 3 2" xfId="10416" xr:uid="{E0E50112-DEC1-440B-86C5-6AE142D79AF1}"/>
    <cellStyle name="Check Cell 5 2 3 2 2" xfId="10417" xr:uid="{00F89565-FC89-4471-A511-1B440749001D}"/>
    <cellStyle name="Check Cell 5 2 3 2 2 2" xfId="10418" xr:uid="{6115253A-4EAD-4561-B6F8-0E69298E6622}"/>
    <cellStyle name="Check Cell 5 2 3 2 3" xfId="10419" xr:uid="{3A55FA2C-ED9E-4EF4-B274-075776C83EA6}"/>
    <cellStyle name="Check Cell 5 2 3 3" xfId="10420" xr:uid="{07115FE0-6C5E-4238-9E20-AA8BA0459AAD}"/>
    <cellStyle name="Check Cell 5 2 3 3 2" xfId="10421" xr:uid="{AD59E0C8-EE95-43C4-8CDE-634D4AD3DE38}"/>
    <cellStyle name="Check Cell 5 2 3 3 2 2" xfId="10422" xr:uid="{903204E4-AA30-4B8E-93ED-BF491ABCA128}"/>
    <cellStyle name="Check Cell 5 2 3 3 3" xfId="10423" xr:uid="{8F27455F-F842-4F58-B5CD-BD4B528832A8}"/>
    <cellStyle name="Check Cell 5 2 3 4" xfId="10424" xr:uid="{299FA4C3-3D11-40A4-AC1C-CB74D026DACD}"/>
    <cellStyle name="Check Cell 5 2 3 4 2" xfId="10425" xr:uid="{110E1CBA-A381-4253-883C-9D1BC9E3D6D3}"/>
    <cellStyle name="Check Cell 5 2 3 4 2 2" xfId="10426" xr:uid="{20298C16-550E-4577-BE88-9F59B00A54CD}"/>
    <cellStyle name="Check Cell 5 2 3 4 3" xfId="10427" xr:uid="{98237607-2FBC-4E38-8077-0630A877BFDB}"/>
    <cellStyle name="Check Cell 5 2 3 5" xfId="10428" xr:uid="{72EFDF02-4B1D-454F-9A28-27049AD78274}"/>
    <cellStyle name="Check Cell 5 2 3 5 2" xfId="10429" xr:uid="{EE3E308C-03B4-4BA7-8026-B4E241F8DC7E}"/>
    <cellStyle name="Check Cell 5 2 3 5 2 2" xfId="10430" xr:uid="{4D8E004E-0697-4BE3-B064-D923D88A2C29}"/>
    <cellStyle name="Check Cell 5 2 3 5 3" xfId="10431" xr:uid="{5683110A-7857-4FB8-AF7E-4A38FDED9A20}"/>
    <cellStyle name="Check Cell 5 2 3 6" xfId="10432" xr:uid="{3ED45ECA-FF0B-4F4C-8FFB-22C07FD31E7C}"/>
    <cellStyle name="Check Cell 5 2 3 6 2" xfId="10433" xr:uid="{8EBFFA73-4CF1-47FE-A9F0-3D3EF92FF6F4}"/>
    <cellStyle name="Check Cell 5 2 3 6 2 2" xfId="10434" xr:uid="{BD44D6C0-C323-4C93-88E1-2DCB0547D7CD}"/>
    <cellStyle name="Check Cell 5 2 3 6 3" xfId="10435" xr:uid="{CCD07154-4C86-4535-A7E1-FF592EB35B63}"/>
    <cellStyle name="Check Cell 5 2 3 7" xfId="10436" xr:uid="{E80824C0-D8DB-42DC-BD3B-6C0230CD2B79}"/>
    <cellStyle name="Check Cell 5 2 3 7 2" xfId="10437" xr:uid="{34367969-DDFF-4927-A757-7CCB2BF86F00}"/>
    <cellStyle name="Check Cell 5 2 3 7 2 2" xfId="10438" xr:uid="{97AEEDE9-9B30-4AFE-BA64-26E238919A4F}"/>
    <cellStyle name="Check Cell 5 2 3 7 3" xfId="10439" xr:uid="{3AB11867-E073-4DDF-B378-8DA1E0536511}"/>
    <cellStyle name="Check Cell 5 2 3 8" xfId="10440" xr:uid="{F6FD1469-43A2-4D25-BD17-E21749CB7467}"/>
    <cellStyle name="Check Cell 5 2 3 8 2" xfId="10441" xr:uid="{54244866-0365-4BD7-9CDE-CCFA32CEBD6F}"/>
    <cellStyle name="Check Cell 5 2 3 8 2 2" xfId="10442" xr:uid="{BE34E84E-4287-4F20-B443-DD50C4105336}"/>
    <cellStyle name="Check Cell 5 2 3 8 3" xfId="10443" xr:uid="{23522B97-91F0-40D5-9AB6-E68046820C0E}"/>
    <cellStyle name="Check Cell 5 2 3 9" xfId="10444" xr:uid="{700D64FC-3D7A-4D8C-A305-F5CA11CE60EB}"/>
    <cellStyle name="Check Cell 5 2 3 9 2" xfId="10445" xr:uid="{F075F7CC-4520-4E81-946F-FAD86C9CC2F2}"/>
    <cellStyle name="Check Cell 5 2 3 9 2 2" xfId="10446" xr:uid="{DA117608-FC8D-4ED3-82C4-B5F6EB6B5A96}"/>
    <cellStyle name="Check Cell 5 2 3 9 3" xfId="10447" xr:uid="{530380DC-0F81-4F1B-A4B0-5F0263979997}"/>
    <cellStyle name="Check Cell 5 2 4" xfId="10448" xr:uid="{2730D6E8-FB3A-4889-AD11-528DFF416463}"/>
    <cellStyle name="Check Cell 5 2 4 2" xfId="10449" xr:uid="{7BB0EB28-3B95-4FE8-AE66-01202CEBF398}"/>
    <cellStyle name="Check Cell 5 2 4 2 2" xfId="10450" xr:uid="{630099A9-CB78-47E7-A0AD-ACE60BF74E55}"/>
    <cellStyle name="Check Cell 5 2 4 2 2 2" xfId="10451" xr:uid="{11B9EFB1-685C-484B-B1AF-93A8527E7101}"/>
    <cellStyle name="Check Cell 5 2 4 2 3" xfId="10452" xr:uid="{5CDD5704-B1B4-4C97-B435-A6D780B3F7F2}"/>
    <cellStyle name="Check Cell 5 2 4 3" xfId="10453" xr:uid="{2303571D-6BAB-48D2-A25F-7DE881658AC6}"/>
    <cellStyle name="Check Cell 5 2 4 3 2" xfId="10454" xr:uid="{0D59C8B9-914E-451E-A71B-093B4DD09459}"/>
    <cellStyle name="Check Cell 5 2 4 3 2 2" xfId="10455" xr:uid="{DA00E00D-2902-4A50-BEA1-6FF9F712F8C7}"/>
    <cellStyle name="Check Cell 5 2 4 3 3" xfId="10456" xr:uid="{762A51AC-1564-4A9F-B689-F225166A69F2}"/>
    <cellStyle name="Check Cell 5 2 4 4" xfId="10457" xr:uid="{FCAC6AF6-A549-400C-AC61-C1907E4C8BD6}"/>
    <cellStyle name="Check Cell 5 2 4 4 2" xfId="10458" xr:uid="{8A16BA75-D4F1-4337-8D73-D5EE4A03BBE3}"/>
    <cellStyle name="Check Cell 5 2 4 4 2 2" xfId="10459" xr:uid="{C5B3F8F7-5082-4972-BB14-5E0F847DCADD}"/>
    <cellStyle name="Check Cell 5 2 4 4 3" xfId="10460" xr:uid="{99A1E08E-0BFD-4386-BCE3-545BA79B4FED}"/>
    <cellStyle name="Check Cell 5 2 4 5" xfId="10461" xr:uid="{8D6A3E12-A05C-40A4-A292-7D49F0BC27B2}"/>
    <cellStyle name="Check Cell 5 2 4 5 2" xfId="10462" xr:uid="{432AFDC1-D692-4AFC-9CD8-C71F858C3516}"/>
    <cellStyle name="Check Cell 5 2 4 5 2 2" xfId="10463" xr:uid="{D531C5DF-7105-435C-A0D5-E5FA43C6FC25}"/>
    <cellStyle name="Check Cell 5 2 4 5 3" xfId="10464" xr:uid="{01DCC759-F3D5-43E7-A874-AD92E4417A12}"/>
    <cellStyle name="Check Cell 5 2 4 6" xfId="10465" xr:uid="{A3F7B715-EA12-4DFE-B905-39E9B2F41BFB}"/>
    <cellStyle name="Check Cell 5 2 4 6 2" xfId="10466" xr:uid="{0D05C83C-9209-4158-9987-3428E31805AC}"/>
    <cellStyle name="Check Cell 5 2 4 6 2 2" xfId="10467" xr:uid="{CF420550-392E-4261-9495-1493E974C042}"/>
    <cellStyle name="Check Cell 5 2 4 6 3" xfId="10468" xr:uid="{94A801C8-21BD-407A-8A8B-64D293C735DF}"/>
    <cellStyle name="Check Cell 5 2 4 7" xfId="10469" xr:uid="{DF88CF14-109D-46DD-83D4-04FAAE0D8D6D}"/>
    <cellStyle name="Check Cell 5 2 4 7 2" xfId="10470" xr:uid="{72A8739A-889C-4A39-8142-D94F2A4314E2}"/>
    <cellStyle name="Check Cell 5 2 4 7 2 2" xfId="10471" xr:uid="{8338BA7F-A13E-4663-A6F1-D843BA2D02C5}"/>
    <cellStyle name="Check Cell 5 2 4 7 3" xfId="10472" xr:uid="{CC95447D-C918-4DE9-9C6E-3F3390BAAD68}"/>
    <cellStyle name="Check Cell 5 2 4 8" xfId="10473" xr:uid="{AE4AA202-B098-4F30-B94E-9EF7031BD1AD}"/>
    <cellStyle name="Check Cell 5 2 4 8 2" xfId="10474" xr:uid="{E4DCDB91-605E-41D3-9518-BEC690BB6F13}"/>
    <cellStyle name="Check Cell 5 2 4 8 2 2" xfId="10475" xr:uid="{2521CEEB-DB20-49D2-BAF2-107692D309B8}"/>
    <cellStyle name="Check Cell 5 2 4 8 3" xfId="10476" xr:uid="{BA82CB67-FF7B-43FB-ABDA-3CAD918235DA}"/>
    <cellStyle name="Check Cell 5 2 4 9" xfId="10477" xr:uid="{20D01E25-48C7-4A02-8575-3435BD80DD37}"/>
    <cellStyle name="Check Cell 5 2 4 9 2" xfId="10478" xr:uid="{F459E427-AB80-451E-BB57-E88E0E0AAC96}"/>
    <cellStyle name="Check Cell 5 2 4 9 2 2" xfId="10479" xr:uid="{EF77E77C-A7CB-4E31-90DE-59E56B339FC8}"/>
    <cellStyle name="Check Cell 5 2 4 9 3" xfId="10480" xr:uid="{EB8B6189-89DC-4D15-8C1E-2EACD87BBF4D}"/>
    <cellStyle name="Check Cell 5 2 5" xfId="10481" xr:uid="{6D1A60ED-A4D8-4A8F-8E54-B8BB199436EC}"/>
    <cellStyle name="Check Cell 5 2 5 2" xfId="10482" xr:uid="{7A67C097-9184-450E-8D30-82B706E83C8B}"/>
    <cellStyle name="Check Cell 5 2 5 2 2" xfId="10483" xr:uid="{10FB3BC7-B0C3-421B-9084-B7F5EDEC0EC0}"/>
    <cellStyle name="Check Cell 5 2 5 2 2 2" xfId="10484" xr:uid="{EDFC1157-7132-407F-8BE9-9C8F096CF631}"/>
    <cellStyle name="Check Cell 5 2 5 2 3" xfId="10485" xr:uid="{D2ADE3B3-0268-4D0E-8A6C-7B87ED0DDC51}"/>
    <cellStyle name="Check Cell 5 2 5 3" xfId="10486" xr:uid="{3E56B726-6A70-4F44-BB14-CEF832D702A6}"/>
    <cellStyle name="Check Cell 5 2 5 3 2" xfId="10487" xr:uid="{7280C409-7BE8-4CDA-A2EC-745E42FBD0CA}"/>
    <cellStyle name="Check Cell 5 2 5 3 2 2" xfId="10488" xr:uid="{33D1AAF7-0178-4326-B9AB-E53FCC3C6C9B}"/>
    <cellStyle name="Check Cell 5 2 5 3 3" xfId="10489" xr:uid="{EFB82F37-E880-4EDF-AC01-250ECF818175}"/>
    <cellStyle name="Check Cell 5 2 5 4" xfId="10490" xr:uid="{8CB3A81F-CB04-47B0-930B-BDE2184F671E}"/>
    <cellStyle name="Check Cell 5 2 5 4 2" xfId="10491" xr:uid="{F197CEEC-E795-4EE8-9100-88C30147079E}"/>
    <cellStyle name="Check Cell 5 2 5 4 2 2" xfId="10492" xr:uid="{85D065E6-AC5B-4B57-ADAD-F341140C0CF8}"/>
    <cellStyle name="Check Cell 5 2 5 4 3" xfId="10493" xr:uid="{F91A4497-1392-4198-8B7A-AF2962065780}"/>
    <cellStyle name="Check Cell 5 2 5 5" xfId="10494" xr:uid="{E99E7733-D82C-4E3A-AB69-3C3674B9FDE3}"/>
    <cellStyle name="Check Cell 5 2 5 5 2" xfId="10495" xr:uid="{64E5013F-B74C-4A18-A539-CB87CC5C79E7}"/>
    <cellStyle name="Check Cell 5 2 5 5 2 2" xfId="10496" xr:uid="{6CBF98C0-843F-4DF9-826B-9323619573A0}"/>
    <cellStyle name="Check Cell 5 2 5 5 3" xfId="10497" xr:uid="{DEB3D621-CB15-44DE-95E5-3E205FB2157B}"/>
    <cellStyle name="Check Cell 5 2 5 6" xfId="10498" xr:uid="{C3E15202-5967-418B-B39B-34114F45B9A6}"/>
    <cellStyle name="Check Cell 5 2 5 6 2" xfId="10499" xr:uid="{1D4914E3-E7FD-4A89-89B5-8B4F60BA52FD}"/>
    <cellStyle name="Check Cell 5 2 5 6 2 2" xfId="10500" xr:uid="{22A16D35-F0BB-499B-B8DA-FC5B70B02FF9}"/>
    <cellStyle name="Check Cell 5 2 5 6 3" xfId="10501" xr:uid="{BD30FF6A-7B77-4C5B-86FF-99947D2DEF3A}"/>
    <cellStyle name="Check Cell 5 2 5 7" xfId="10502" xr:uid="{70FE8237-BD15-4E17-B660-23EE6771001B}"/>
    <cellStyle name="Check Cell 5 2 5 7 2" xfId="10503" xr:uid="{77701217-3A69-4740-B195-738F7E53A7AE}"/>
    <cellStyle name="Check Cell 5 2 5 7 2 2" xfId="10504" xr:uid="{1383D486-89B9-4346-9FDD-A24AE73412F4}"/>
    <cellStyle name="Check Cell 5 2 5 7 3" xfId="10505" xr:uid="{1DD41385-9A1C-4292-B63C-5C12BCBA314D}"/>
    <cellStyle name="Check Cell 5 2 5 8" xfId="10506" xr:uid="{4E0FB936-B67A-45FD-93B9-3C83F6A36141}"/>
    <cellStyle name="Check Cell 5 2 5 8 2" xfId="10507" xr:uid="{BA2AC61A-C362-4D94-8208-419551F6265E}"/>
    <cellStyle name="Check Cell 5 2 5 8 2 2" xfId="10508" xr:uid="{63899EC6-FD68-48AF-96AD-01EAD0355134}"/>
    <cellStyle name="Check Cell 5 2 5 8 3" xfId="10509" xr:uid="{B708D3CE-3916-46C4-BA81-EAF60D34AF89}"/>
    <cellStyle name="Check Cell 5 2 5 9" xfId="10510" xr:uid="{46E229A5-EACF-47B2-882C-361EE2719DE9}"/>
    <cellStyle name="Check Cell 5 2 5 9 2" xfId="10511" xr:uid="{35B8A1C4-A5EE-4F3B-B82B-0D849385C960}"/>
    <cellStyle name="Check Cell 5 2 5 9 2 2" xfId="10512" xr:uid="{02DE6D9E-653B-43AA-84AE-E1F03619C3B6}"/>
    <cellStyle name="Check Cell 5 2 5 9 3" xfId="10513" xr:uid="{3CDB3BD1-3A43-41EC-BF3E-02CFDEFF62AF}"/>
    <cellStyle name="Check Cell 5 2 6" xfId="10514" xr:uid="{C30E7E8C-FC6E-4103-ADE5-8B959E87F6F8}"/>
    <cellStyle name="Check Cell 5 2 6 2" xfId="10515" xr:uid="{E6E99A6B-7B2E-4D82-AAC4-652B9F4D3E7B}"/>
    <cellStyle name="Check Cell 5 2 6 2 2" xfId="10516" xr:uid="{533DCFF5-152C-4018-8BAA-75D2617F8058}"/>
    <cellStyle name="Check Cell 5 2 6 3" xfId="10517" xr:uid="{213BEF44-6EF4-4E37-BB8F-C926F92CCBA9}"/>
    <cellStyle name="Check Cell 5 2 7" xfId="10518" xr:uid="{D2BECA6F-FDDE-421A-9797-316C99361671}"/>
    <cellStyle name="Check Cell 5 2 7 2" xfId="10519" xr:uid="{F7E73C43-CE35-4A77-AAF2-7114F4B66141}"/>
    <cellStyle name="Check Cell 5 2 7 2 2" xfId="10520" xr:uid="{A59E269B-D898-48C4-A875-FBDDBD78372B}"/>
    <cellStyle name="Check Cell 5 2 7 3" xfId="10521" xr:uid="{A6621E92-6CD9-4322-BFE7-5C61EE68F7B2}"/>
    <cellStyle name="Check Cell 5 2 8" xfId="10522" xr:uid="{A6BD0B1B-7580-4015-8289-84823CD6D141}"/>
    <cellStyle name="Check Cell 5 2 8 2" xfId="10523" xr:uid="{F9F9971A-5422-4D80-8F26-1F0EF5F1F738}"/>
    <cellStyle name="Check Cell 5 2 8 2 2" xfId="10524" xr:uid="{5B226053-B882-43F2-A360-E8EEE44A514D}"/>
    <cellStyle name="Check Cell 5 2 8 3" xfId="10525" xr:uid="{AE5B3233-62EE-4A9A-B96A-F57E1D7C2D69}"/>
    <cellStyle name="Check Cell 5 2 9" xfId="10526" xr:uid="{B7849099-7CF6-48B1-BF7A-83C46C33D6A4}"/>
    <cellStyle name="Check Cell 5 2 9 2" xfId="10527" xr:uid="{120398D8-9B81-4418-B84B-41EDBCC10A59}"/>
    <cellStyle name="Check Cell 5 2 9 2 2" xfId="10528" xr:uid="{C40EA37F-3C43-4E3F-8CCA-CCDBB4A81E4E}"/>
    <cellStyle name="Check Cell 5 2 9 3" xfId="10529" xr:uid="{D79FE993-5BEA-4D9F-8981-81CD0C6600E4}"/>
    <cellStyle name="Check Cell 5 3" xfId="10530" xr:uid="{13CDC813-77DD-444B-8BA3-34BE88A2B178}"/>
    <cellStyle name="Check Cell 5 3 2" xfId="10531" xr:uid="{E92FC6A0-A30C-478F-96EC-E2C5F700222A}"/>
    <cellStyle name="Check Cell 5 3 2 2" xfId="10532" xr:uid="{83ABCEA4-78D6-4D64-A96D-F8BE3F38F5F3}"/>
    <cellStyle name="Check Cell 5 3 3" xfId="10533" xr:uid="{06C7F46D-1096-4DE4-A537-A11620742EA0}"/>
    <cellStyle name="Check Cell 5 4" xfId="10534" xr:uid="{E87C179F-A921-492E-A0BA-1AB915C3B049}"/>
    <cellStyle name="Check Cell 5 4 2" xfId="10535" xr:uid="{8C724062-AAFD-4ABD-9FF2-BC4797713455}"/>
    <cellStyle name="Check Cell 6" xfId="10536" xr:uid="{105829F0-AA8F-48AC-8559-2C8375127E22}"/>
    <cellStyle name="Check Cell 6 2" xfId="10537" xr:uid="{0F456673-5E13-4467-AF82-EFD02FA09E79}"/>
    <cellStyle name="Check Cell 6 2 10" xfId="10538" xr:uid="{8C1C1075-D1CF-4B5E-83AE-BA7E128EA9E2}"/>
    <cellStyle name="Check Cell 6 2 10 2" xfId="10539" xr:uid="{78C812A3-E172-4D9B-9401-115A8EEAD581}"/>
    <cellStyle name="Check Cell 6 2 10 2 2" xfId="10540" xr:uid="{3ABE05CE-0772-4961-A5A3-C5C9FC5CFB38}"/>
    <cellStyle name="Check Cell 6 2 10 3" xfId="10541" xr:uid="{F80083BD-17B2-4ECE-8316-2B6E01BAFE0F}"/>
    <cellStyle name="Check Cell 6 2 11" xfId="10542" xr:uid="{8523AC0E-B6D9-4A42-8B0A-DF9FE4C2681A}"/>
    <cellStyle name="Check Cell 6 2 11 2" xfId="10543" xr:uid="{55E16983-BEB6-45F0-80B6-473DFE91CF87}"/>
    <cellStyle name="Check Cell 6 2 11 2 2" xfId="10544" xr:uid="{7105D867-CAEB-4E9A-954E-2216DD0A6905}"/>
    <cellStyle name="Check Cell 6 2 11 3" xfId="10545" xr:uid="{27FAA9AB-6642-4FBB-A2F4-26D28980212A}"/>
    <cellStyle name="Check Cell 6 2 12" xfId="10546" xr:uid="{F5247BC4-6305-46C2-B7CE-55F4B9ABA663}"/>
    <cellStyle name="Check Cell 6 2 12 2" xfId="10547" xr:uid="{A0C16806-301B-42AD-B76E-DFAB25E6C270}"/>
    <cellStyle name="Check Cell 6 2 12 2 2" xfId="10548" xr:uid="{303545BA-141F-4C0A-A068-A4B95AA89928}"/>
    <cellStyle name="Check Cell 6 2 12 3" xfId="10549" xr:uid="{271C600A-36D9-4F52-9181-50B0F5A8E0FC}"/>
    <cellStyle name="Check Cell 6 2 13" xfId="10550" xr:uid="{1ADC3EAA-CB61-476A-A7A1-B6A2960C73C1}"/>
    <cellStyle name="Check Cell 6 2 13 2" xfId="10551" xr:uid="{6C599EEE-B856-4422-B011-B859BE7F09AA}"/>
    <cellStyle name="Check Cell 6 2 13 2 2" xfId="10552" xr:uid="{DF87C12D-D579-4890-9FAB-779D4BDE5365}"/>
    <cellStyle name="Check Cell 6 2 13 3" xfId="10553" xr:uid="{FF47B49A-8307-4DC5-AB59-B23640C4C912}"/>
    <cellStyle name="Check Cell 6 2 2" xfId="10554" xr:uid="{0BA834C5-1AB9-4212-BA64-088D7DC78F76}"/>
    <cellStyle name="Check Cell 6 2 2 2" xfId="10555" xr:uid="{F57761CF-9CE6-4145-AB3D-3FDDCAFDC3B3}"/>
    <cellStyle name="Check Cell 6 2 2 2 2" xfId="10556" xr:uid="{68045FF0-EE70-455E-8601-985F7B0F3F08}"/>
    <cellStyle name="Check Cell 6 2 2 2 2 2" xfId="10557" xr:uid="{A0ABA662-1F0D-4F33-AB68-B218336DCC00}"/>
    <cellStyle name="Check Cell 6 2 2 2 3" xfId="10558" xr:uid="{A53004A2-E52A-4A4E-A389-35E0C7B552B9}"/>
    <cellStyle name="Check Cell 6 2 2 3" xfId="10559" xr:uid="{23D4C82B-1E60-4F3C-BC0D-3A4F26FD4C61}"/>
    <cellStyle name="Check Cell 6 2 2 3 2" xfId="10560" xr:uid="{589392D7-5CA7-48D2-9D1A-D7EDFB9A2D25}"/>
    <cellStyle name="Check Cell 6 2 2 3 2 2" xfId="10561" xr:uid="{3DD7966E-4CC2-4B93-B104-14BB59332150}"/>
    <cellStyle name="Check Cell 6 2 2 3 3" xfId="10562" xr:uid="{103DC010-A331-4665-A90E-D7D4E638E5F1}"/>
    <cellStyle name="Check Cell 6 2 2 4" xfId="10563" xr:uid="{E86F9F5D-5025-4D0F-AA4D-448E575E3DC8}"/>
    <cellStyle name="Check Cell 6 2 2 4 2" xfId="10564" xr:uid="{E3E5D5DC-CE3C-4E06-A95E-D313638F2BF0}"/>
    <cellStyle name="Check Cell 6 2 2 4 2 2" xfId="10565" xr:uid="{C6D480B5-F616-4889-B191-E9C666EB55F8}"/>
    <cellStyle name="Check Cell 6 2 2 4 3" xfId="10566" xr:uid="{4E1BD987-9D76-4B09-B9DE-4CD4D061044E}"/>
    <cellStyle name="Check Cell 6 2 2 5" xfId="10567" xr:uid="{887ACAF1-6A01-4FE7-B18B-569C42CCD430}"/>
    <cellStyle name="Check Cell 6 2 2 5 2" xfId="10568" xr:uid="{885131E6-F02A-42C0-87DA-A8DD5D69E8FE}"/>
    <cellStyle name="Check Cell 6 2 2 5 2 2" xfId="10569" xr:uid="{738D02F5-64E0-4C02-8547-416420292F24}"/>
    <cellStyle name="Check Cell 6 2 2 5 3" xfId="10570" xr:uid="{41B5FCEE-49BB-4A62-8100-2894E1B4A562}"/>
    <cellStyle name="Check Cell 6 2 2 6" xfId="10571" xr:uid="{F76440D2-8208-461C-96F5-353AF74B5160}"/>
    <cellStyle name="Check Cell 6 2 2 6 2" xfId="10572" xr:uid="{BD72CCF4-02C7-42A3-B285-D083DD6AB440}"/>
    <cellStyle name="Check Cell 6 2 2 6 2 2" xfId="10573" xr:uid="{99B55660-E65C-4E7D-A60E-2C2F85BDC63F}"/>
    <cellStyle name="Check Cell 6 2 2 6 3" xfId="10574" xr:uid="{C0A422E4-1E69-448D-AFAA-F04BE7871879}"/>
    <cellStyle name="Check Cell 6 2 2 7" xfId="10575" xr:uid="{68BAA564-BB43-421E-AAE3-14A6CF3089E1}"/>
    <cellStyle name="Check Cell 6 2 2 7 2" xfId="10576" xr:uid="{98FF0620-039E-47FF-BFEA-20B109767934}"/>
    <cellStyle name="Check Cell 6 2 2 7 2 2" xfId="10577" xr:uid="{B4C10C3D-2C31-4AD8-A800-2BD6B18EF46F}"/>
    <cellStyle name="Check Cell 6 2 2 7 3" xfId="10578" xr:uid="{882E003D-6030-4C53-8B1A-D505AFAE66D8}"/>
    <cellStyle name="Check Cell 6 2 2 8" xfId="10579" xr:uid="{036AA1FD-F138-488C-A1F2-F9ECC74AC368}"/>
    <cellStyle name="Check Cell 6 2 2 8 2" xfId="10580" xr:uid="{94952F25-4695-4C10-9EDB-28B0AC648052}"/>
    <cellStyle name="Check Cell 6 2 2 8 2 2" xfId="10581" xr:uid="{289F7EC1-E155-47BD-B121-6E36B4A40602}"/>
    <cellStyle name="Check Cell 6 2 2 8 3" xfId="10582" xr:uid="{CD80526B-FDA9-4A89-A8AF-EDE3F0E542B1}"/>
    <cellStyle name="Check Cell 6 2 2 9" xfId="10583" xr:uid="{532AC180-AA7E-46E1-BD3F-D39C2C5372A1}"/>
    <cellStyle name="Check Cell 6 2 2 9 2" xfId="10584" xr:uid="{F73026AD-0421-4EA1-AE57-3CD22EAB5719}"/>
    <cellStyle name="Check Cell 6 2 2 9 2 2" xfId="10585" xr:uid="{B3C19AF1-6AD5-436C-8BE9-B21038E2D66D}"/>
    <cellStyle name="Check Cell 6 2 2 9 3" xfId="10586" xr:uid="{F1909977-F621-4676-96F6-A0157302D75E}"/>
    <cellStyle name="Check Cell 6 2 3" xfId="10587" xr:uid="{A668B684-0CA3-49C1-AF99-A17EADDC858D}"/>
    <cellStyle name="Check Cell 6 2 3 2" xfId="10588" xr:uid="{A01A456E-A947-4AF6-9C8C-6EDFDD42B9E7}"/>
    <cellStyle name="Check Cell 6 2 3 2 2" xfId="10589" xr:uid="{7EF027FC-6B8E-4ECA-97D6-D65C5443C5CD}"/>
    <cellStyle name="Check Cell 6 2 3 2 2 2" xfId="10590" xr:uid="{29D9E4FA-7AC3-48D7-9D8E-FFB348CC7421}"/>
    <cellStyle name="Check Cell 6 2 3 2 3" xfId="10591" xr:uid="{94BBA955-1D0B-4BEE-8CA0-5855AE5ED25E}"/>
    <cellStyle name="Check Cell 6 2 3 3" xfId="10592" xr:uid="{43955172-CF11-45F9-BE3F-096C7904B64A}"/>
    <cellStyle name="Check Cell 6 2 3 3 2" xfId="10593" xr:uid="{CB082E1F-A938-4E21-97F6-1B97C88B0725}"/>
    <cellStyle name="Check Cell 6 2 3 3 2 2" xfId="10594" xr:uid="{DF5EA01D-E5AC-440F-9F4B-BD211D58C7BB}"/>
    <cellStyle name="Check Cell 6 2 3 3 3" xfId="10595" xr:uid="{B240CF62-DC0C-4C1C-AEAD-B4908C416D90}"/>
    <cellStyle name="Check Cell 6 2 3 4" xfId="10596" xr:uid="{CE1E83F3-9878-4F9A-B1A8-F4B38C3515E4}"/>
    <cellStyle name="Check Cell 6 2 3 4 2" xfId="10597" xr:uid="{2CB4FD43-0FBC-4E15-8DA5-48AB17F4E6A4}"/>
    <cellStyle name="Check Cell 6 2 3 4 2 2" xfId="10598" xr:uid="{A87CCB8E-2211-4D07-A1C4-83CBE392BD16}"/>
    <cellStyle name="Check Cell 6 2 3 4 3" xfId="10599" xr:uid="{79EDB33B-6E9A-4F00-987D-433ECD06E5EB}"/>
    <cellStyle name="Check Cell 6 2 3 5" xfId="10600" xr:uid="{9F8CC101-3045-4793-A92D-6D34C44D7832}"/>
    <cellStyle name="Check Cell 6 2 3 5 2" xfId="10601" xr:uid="{542750C8-AE14-4936-9DBC-AAD69E809A2A}"/>
    <cellStyle name="Check Cell 6 2 3 5 2 2" xfId="10602" xr:uid="{A7DD4D1A-167A-437C-96C2-57D8FCC4790A}"/>
    <cellStyle name="Check Cell 6 2 3 5 3" xfId="10603" xr:uid="{DD1693AF-F7D8-4949-B089-F909F5E67FE3}"/>
    <cellStyle name="Check Cell 6 2 3 6" xfId="10604" xr:uid="{56E13B91-164E-4267-A4CA-CAC72A8EF3D0}"/>
    <cellStyle name="Check Cell 6 2 3 6 2" xfId="10605" xr:uid="{1FC2E0CF-E698-4EDC-8D91-0A1FAAF391F7}"/>
    <cellStyle name="Check Cell 6 2 3 6 2 2" xfId="10606" xr:uid="{89939A94-3333-45D6-8B42-7C9DD01E5A5A}"/>
    <cellStyle name="Check Cell 6 2 3 6 3" xfId="10607" xr:uid="{7D91D2AA-9916-4F22-9622-8B7F4E42C2F1}"/>
    <cellStyle name="Check Cell 6 2 3 7" xfId="10608" xr:uid="{3476111E-7D49-49FC-824E-16F7B9C104CE}"/>
    <cellStyle name="Check Cell 6 2 3 7 2" xfId="10609" xr:uid="{CB42EBB8-355D-4369-A3A6-A169FF723B87}"/>
    <cellStyle name="Check Cell 6 2 3 7 2 2" xfId="10610" xr:uid="{80A1BFB6-F570-4C8B-8CC6-28B237B2DF8E}"/>
    <cellStyle name="Check Cell 6 2 3 7 3" xfId="10611" xr:uid="{312516F8-9257-46B5-8C39-C62D15F0328A}"/>
    <cellStyle name="Check Cell 6 2 3 8" xfId="10612" xr:uid="{777E9B84-5009-4C9C-B8EA-E42E4C2F70E6}"/>
    <cellStyle name="Check Cell 6 2 3 8 2" xfId="10613" xr:uid="{F644A409-7284-4134-BD8E-78CFC350E832}"/>
    <cellStyle name="Check Cell 6 2 3 8 2 2" xfId="10614" xr:uid="{B38F0E25-6BD2-4344-88AC-81EDF5946B6F}"/>
    <cellStyle name="Check Cell 6 2 3 8 3" xfId="10615" xr:uid="{432B4E15-C9BC-422A-AAF6-27658E83E746}"/>
    <cellStyle name="Check Cell 6 2 3 9" xfId="10616" xr:uid="{6AB386E1-F9D7-4838-8CDF-F8DD94F7332C}"/>
    <cellStyle name="Check Cell 6 2 3 9 2" xfId="10617" xr:uid="{15C0D9FF-F112-489A-8706-FAFAB4C05296}"/>
    <cellStyle name="Check Cell 6 2 3 9 2 2" xfId="10618" xr:uid="{9A199F13-3506-43C3-A991-ACA55BB00D2C}"/>
    <cellStyle name="Check Cell 6 2 3 9 3" xfId="10619" xr:uid="{449A3F23-3119-4D83-AFD5-CC2A777C0C40}"/>
    <cellStyle name="Check Cell 6 2 4" xfId="10620" xr:uid="{ABE2739E-5AE7-4A91-8597-E5AD635209C3}"/>
    <cellStyle name="Check Cell 6 2 4 2" xfId="10621" xr:uid="{AC10112A-CD9C-4113-828C-B9EA26B8954B}"/>
    <cellStyle name="Check Cell 6 2 4 2 2" xfId="10622" xr:uid="{02B642B6-975F-41E9-AC1F-F8397AD097EB}"/>
    <cellStyle name="Check Cell 6 2 4 2 2 2" xfId="10623" xr:uid="{5BC0531D-2D1B-49DF-8DF7-22C5F2F584B0}"/>
    <cellStyle name="Check Cell 6 2 4 2 3" xfId="10624" xr:uid="{AFA9BA7D-3770-4AAD-8EB6-10EA28CEF7AC}"/>
    <cellStyle name="Check Cell 6 2 4 3" xfId="10625" xr:uid="{50A03F5B-718C-4675-BD28-96E8CD602825}"/>
    <cellStyle name="Check Cell 6 2 4 3 2" xfId="10626" xr:uid="{9A6A5DCC-AB64-439B-88E2-2B866008DA53}"/>
    <cellStyle name="Check Cell 6 2 4 3 2 2" xfId="10627" xr:uid="{3E23FC11-BCFF-484F-A813-D1D3DB04CD4D}"/>
    <cellStyle name="Check Cell 6 2 4 3 3" xfId="10628" xr:uid="{E95C6EF1-F6D9-4C35-8679-DF55B39F0BFC}"/>
    <cellStyle name="Check Cell 6 2 4 4" xfId="10629" xr:uid="{6A10331F-19BB-471E-9EEA-AAF5C79557CE}"/>
    <cellStyle name="Check Cell 6 2 4 4 2" xfId="10630" xr:uid="{18782D0E-837C-453C-8601-AA6AAA84A49C}"/>
    <cellStyle name="Check Cell 6 2 4 4 2 2" xfId="10631" xr:uid="{A894A94A-EFB2-4ED7-8A25-B88AFE38129E}"/>
    <cellStyle name="Check Cell 6 2 4 4 3" xfId="10632" xr:uid="{21464361-00F1-42D7-959E-07434E34C50F}"/>
    <cellStyle name="Check Cell 6 2 4 5" xfId="10633" xr:uid="{4BF3F026-8337-42BB-91D8-1AF69789934D}"/>
    <cellStyle name="Check Cell 6 2 4 5 2" xfId="10634" xr:uid="{AB75866E-54F6-4837-B354-DDD26B1824E5}"/>
    <cellStyle name="Check Cell 6 2 4 5 2 2" xfId="10635" xr:uid="{6E9B9437-AA8F-4C17-B3AD-D15FB60975B7}"/>
    <cellStyle name="Check Cell 6 2 4 5 3" xfId="10636" xr:uid="{BF91719E-090C-4CC5-BF9D-36410EBFA809}"/>
    <cellStyle name="Check Cell 6 2 4 6" xfId="10637" xr:uid="{350C5D09-C4CC-49E2-B1C2-2B4D86E6DCC2}"/>
    <cellStyle name="Check Cell 6 2 4 6 2" xfId="10638" xr:uid="{512F70D9-C54F-4ED4-A7C5-62E0BF88E494}"/>
    <cellStyle name="Check Cell 6 2 4 6 2 2" xfId="10639" xr:uid="{90692408-5979-4CF2-99DB-F158B261E3FF}"/>
    <cellStyle name="Check Cell 6 2 4 6 3" xfId="10640" xr:uid="{26ACE97B-DF82-423C-ADDA-D2FFB7620310}"/>
    <cellStyle name="Check Cell 6 2 4 7" xfId="10641" xr:uid="{24CD6E3B-120A-4977-B241-7D6F7BF00928}"/>
    <cellStyle name="Check Cell 6 2 4 7 2" xfId="10642" xr:uid="{3E226DF6-1749-47C8-92B8-779A0A366FFC}"/>
    <cellStyle name="Check Cell 6 2 4 7 2 2" xfId="10643" xr:uid="{8E4F93CF-E485-42F3-B211-B58D95153347}"/>
    <cellStyle name="Check Cell 6 2 4 7 3" xfId="10644" xr:uid="{8326D5D5-6AF2-4E18-8FFE-BB87DEBA62D8}"/>
    <cellStyle name="Check Cell 6 2 4 8" xfId="10645" xr:uid="{AE094FBC-8D14-48B9-BB73-3A31323E7B17}"/>
    <cellStyle name="Check Cell 6 2 4 8 2" xfId="10646" xr:uid="{03C3EC51-0A7B-4F61-8BCE-6FAE2D69D920}"/>
    <cellStyle name="Check Cell 6 2 4 8 2 2" xfId="10647" xr:uid="{D46455EF-C3AF-4533-ADEC-732F4715436E}"/>
    <cellStyle name="Check Cell 6 2 4 8 3" xfId="10648" xr:uid="{E79005CD-F667-4514-A4D8-72D9787C988F}"/>
    <cellStyle name="Check Cell 6 2 4 9" xfId="10649" xr:uid="{C11E13D5-00A7-4757-8A7A-9B1FDEC74EB3}"/>
    <cellStyle name="Check Cell 6 2 4 9 2" xfId="10650" xr:uid="{B5BCAE33-D755-47A7-A4BE-1FF79E36E268}"/>
    <cellStyle name="Check Cell 6 2 4 9 2 2" xfId="10651" xr:uid="{B3093D21-2C64-4596-BE2C-23660FAE3FA7}"/>
    <cellStyle name="Check Cell 6 2 4 9 3" xfId="10652" xr:uid="{A25D8A5E-878F-4157-B51E-0F72DD21D3B8}"/>
    <cellStyle name="Check Cell 6 2 5" xfId="10653" xr:uid="{B0A56073-F6A0-4DEA-B9BF-8803352138AB}"/>
    <cellStyle name="Check Cell 6 2 5 2" xfId="10654" xr:uid="{D1C70407-533B-4751-9E96-55480C8091EC}"/>
    <cellStyle name="Check Cell 6 2 5 2 2" xfId="10655" xr:uid="{95CB7B88-D6DD-463C-841E-3E32E4EB6F3F}"/>
    <cellStyle name="Check Cell 6 2 5 2 2 2" xfId="10656" xr:uid="{079C1E4B-2969-4CD1-8698-4C6B8D1E604B}"/>
    <cellStyle name="Check Cell 6 2 5 2 3" xfId="10657" xr:uid="{5E2387DA-030D-4FF0-AF4A-662FD0AE1DED}"/>
    <cellStyle name="Check Cell 6 2 5 3" xfId="10658" xr:uid="{2CA843B4-EE02-4640-804B-10A88DA41C65}"/>
    <cellStyle name="Check Cell 6 2 5 3 2" xfId="10659" xr:uid="{9515B462-D7BD-44B9-B39B-B64E9ACF4F05}"/>
    <cellStyle name="Check Cell 6 2 5 3 2 2" xfId="10660" xr:uid="{B9800337-D1B9-41F0-AEF6-19AB82AEB9B1}"/>
    <cellStyle name="Check Cell 6 2 5 3 3" xfId="10661" xr:uid="{F5E4EF50-3603-40AB-9E8B-511DCC37A2D1}"/>
    <cellStyle name="Check Cell 6 2 5 4" xfId="10662" xr:uid="{067DF880-25C5-4635-B1BF-14BEE17B1529}"/>
    <cellStyle name="Check Cell 6 2 5 4 2" xfId="10663" xr:uid="{AC6D0890-9EFD-4E1D-B5FA-7DCE81477CCB}"/>
    <cellStyle name="Check Cell 6 2 5 4 2 2" xfId="10664" xr:uid="{F1B02989-9A4A-43BF-A91B-03D38531A70C}"/>
    <cellStyle name="Check Cell 6 2 5 4 3" xfId="10665" xr:uid="{E7D13404-FD70-42DB-BFB4-78DC2361B772}"/>
    <cellStyle name="Check Cell 6 2 5 5" xfId="10666" xr:uid="{68B08B33-81E8-4C85-A3DB-0604DCD0DED3}"/>
    <cellStyle name="Check Cell 6 2 5 5 2" xfId="10667" xr:uid="{4257A0E0-E796-47EF-ABF2-118BE5549055}"/>
    <cellStyle name="Check Cell 6 2 5 5 2 2" xfId="10668" xr:uid="{8F571D2E-6B2D-4FD7-9B38-CB0B204286DF}"/>
    <cellStyle name="Check Cell 6 2 5 5 3" xfId="10669" xr:uid="{90D991AB-AFE8-4F87-B1BF-69F0E2227195}"/>
    <cellStyle name="Check Cell 6 2 5 6" xfId="10670" xr:uid="{D4AFA3D7-3FD6-441C-B11F-3FCB5DF33CBC}"/>
    <cellStyle name="Check Cell 6 2 5 6 2" xfId="10671" xr:uid="{15A4A6C8-0CC5-4A53-B384-52F7C18E447B}"/>
    <cellStyle name="Check Cell 6 2 5 6 2 2" xfId="10672" xr:uid="{BA0E9C6A-CE75-4D3B-A865-1276D561C649}"/>
    <cellStyle name="Check Cell 6 2 5 6 3" xfId="10673" xr:uid="{AC590BB6-828E-4E9F-8A8E-83EBF27689BB}"/>
    <cellStyle name="Check Cell 6 2 5 7" xfId="10674" xr:uid="{01BF19FA-E7BC-4209-BD20-B1C9E0A03224}"/>
    <cellStyle name="Check Cell 6 2 5 7 2" xfId="10675" xr:uid="{00CFFAE3-334A-4762-9670-2E2C2962470D}"/>
    <cellStyle name="Check Cell 6 2 5 7 2 2" xfId="10676" xr:uid="{143E2A89-685C-4EC6-80EF-B62ECFB6D553}"/>
    <cellStyle name="Check Cell 6 2 5 7 3" xfId="10677" xr:uid="{92C84A28-BACE-49B4-9F43-AE9ED1193629}"/>
    <cellStyle name="Check Cell 6 2 5 8" xfId="10678" xr:uid="{2D70D12F-22C5-4472-BA62-8C514BF98CE9}"/>
    <cellStyle name="Check Cell 6 2 5 8 2" xfId="10679" xr:uid="{2D5436FF-C343-41E9-8A8D-3C2F1A1D2614}"/>
    <cellStyle name="Check Cell 6 2 5 8 2 2" xfId="10680" xr:uid="{F16161D5-8178-4121-8F86-928B5AFBDA6D}"/>
    <cellStyle name="Check Cell 6 2 5 8 3" xfId="10681" xr:uid="{2A863090-08C9-4F31-9340-5F39802CC8D0}"/>
    <cellStyle name="Check Cell 6 2 5 9" xfId="10682" xr:uid="{16C88A26-F420-4120-B90C-0AE96E5AA9E6}"/>
    <cellStyle name="Check Cell 6 2 5 9 2" xfId="10683" xr:uid="{08FFE11E-07B4-4AB6-A092-B904B4928F6B}"/>
    <cellStyle name="Check Cell 6 2 5 9 2 2" xfId="10684" xr:uid="{8586440B-07F7-452C-A113-1BFBF74EBC12}"/>
    <cellStyle name="Check Cell 6 2 5 9 3" xfId="10685" xr:uid="{0A529CE3-B94A-42D9-A003-13CB6AC2712D}"/>
    <cellStyle name="Check Cell 6 2 6" xfId="10686" xr:uid="{61490BC9-336F-4139-A868-AC07CA84D618}"/>
    <cellStyle name="Check Cell 6 2 6 2" xfId="10687" xr:uid="{AD890208-E07C-476F-9FAB-A6523D8E96D7}"/>
    <cellStyle name="Check Cell 6 2 6 2 2" xfId="10688" xr:uid="{474169EF-3347-4030-AB4D-D2A36F904690}"/>
    <cellStyle name="Check Cell 6 2 6 3" xfId="10689" xr:uid="{4D198BDB-3925-43DB-AB3F-C9ACB312BE0C}"/>
    <cellStyle name="Check Cell 6 2 7" xfId="10690" xr:uid="{8332B8F7-CB26-42A4-8C7D-D40B9B8AF485}"/>
    <cellStyle name="Check Cell 6 2 7 2" xfId="10691" xr:uid="{3AA9E5FA-4F4F-4962-B45C-DA6E2AB5E09F}"/>
    <cellStyle name="Check Cell 6 2 7 2 2" xfId="10692" xr:uid="{1426913D-9158-4671-9EC8-303BBE671346}"/>
    <cellStyle name="Check Cell 6 2 7 3" xfId="10693" xr:uid="{BF6CE59E-9A64-470E-9226-24A16E267C7A}"/>
    <cellStyle name="Check Cell 6 2 8" xfId="10694" xr:uid="{AC27C1C8-B808-4CA8-88A2-6CC800A06463}"/>
    <cellStyle name="Check Cell 6 2 8 2" xfId="10695" xr:uid="{D559EDE5-9A34-4E4A-B309-F23F6380ABD3}"/>
    <cellStyle name="Check Cell 6 2 8 2 2" xfId="10696" xr:uid="{52B87FF4-F36C-4D9D-B89D-35C762FA3482}"/>
    <cellStyle name="Check Cell 6 2 8 3" xfId="10697" xr:uid="{102D2B0A-9F8A-441A-AFCC-8EDA65FE8C1F}"/>
    <cellStyle name="Check Cell 6 2 9" xfId="10698" xr:uid="{5DD325E3-1DC4-4660-BDA8-4FA90F3D69EB}"/>
    <cellStyle name="Check Cell 6 2 9 2" xfId="10699" xr:uid="{FC5BCCDB-655D-4AA2-8DA3-7BF1DFB91230}"/>
    <cellStyle name="Check Cell 6 2 9 2 2" xfId="10700" xr:uid="{1C2DAB01-FAAB-4397-AA1A-83B2A86BE006}"/>
    <cellStyle name="Check Cell 6 2 9 3" xfId="10701" xr:uid="{6A704D29-5E3E-48AE-AF33-8B01165FAB4E}"/>
    <cellStyle name="Check Cell 6 3" xfId="10702" xr:uid="{A045B89F-3928-4004-9A2F-1ACBC8045402}"/>
    <cellStyle name="Check Cell 6 3 2" xfId="10703" xr:uid="{BF4A89E6-4996-4910-8AF6-FB2981D38416}"/>
    <cellStyle name="Check Cell 6 3 2 2" xfId="10704" xr:uid="{12A6B4D6-3BA0-4839-B4A0-DE0ADF413372}"/>
    <cellStyle name="Check Cell 6 3 3" xfId="10705" xr:uid="{608D5941-6712-48CE-9EFC-17E47C5D9043}"/>
    <cellStyle name="Check Cell 6 4" xfId="10706" xr:uid="{F2785F02-385F-4191-85CB-13664381EC2D}"/>
    <cellStyle name="Check Cell 6 4 2" xfId="10707" xr:uid="{807AAD62-EDB9-4A22-BBD1-57B669F15093}"/>
    <cellStyle name="Check Cell 7" xfId="10708" xr:uid="{1A888578-85FC-4D8D-9DEA-818930FF843D}"/>
    <cellStyle name="Check Cell 7 2" xfId="10709" xr:uid="{6A62C964-F743-48E4-8193-E9C261997212}"/>
    <cellStyle name="Check Cell 7 2 10" xfId="10710" xr:uid="{81443250-11BE-4E28-A393-B00DC80AC708}"/>
    <cellStyle name="Check Cell 7 2 10 2" xfId="10711" xr:uid="{0963120E-E040-4A6C-805E-6920AB57DDE8}"/>
    <cellStyle name="Check Cell 7 2 10 2 2" xfId="10712" xr:uid="{74E2F8C2-F060-4329-A7B5-6AA54A94C463}"/>
    <cellStyle name="Check Cell 7 2 10 3" xfId="10713" xr:uid="{B72929D1-5E0E-46C8-B3BC-49610A61201F}"/>
    <cellStyle name="Check Cell 7 2 11" xfId="10714" xr:uid="{07CBCE7A-3EF0-4B51-B402-B8CB734A0B7C}"/>
    <cellStyle name="Check Cell 7 2 11 2" xfId="10715" xr:uid="{E4FF4795-BEB6-496A-B834-BA77BA649AA1}"/>
    <cellStyle name="Check Cell 7 2 11 2 2" xfId="10716" xr:uid="{1D12D269-7129-4269-B03B-093A7CE66DC0}"/>
    <cellStyle name="Check Cell 7 2 11 3" xfId="10717" xr:uid="{77894091-C56A-45CE-B449-0DA8DB8AF480}"/>
    <cellStyle name="Check Cell 7 2 12" xfId="10718" xr:uid="{F83544E0-88B7-469F-9C37-905B812DC14F}"/>
    <cellStyle name="Check Cell 7 2 12 2" xfId="10719" xr:uid="{4EF8EC36-4BF8-4AA3-AD37-1ADBE9647559}"/>
    <cellStyle name="Check Cell 7 2 12 2 2" xfId="10720" xr:uid="{6B121263-6EAD-4B1C-9A00-30892880E2C0}"/>
    <cellStyle name="Check Cell 7 2 12 3" xfId="10721" xr:uid="{638C4597-2362-41B5-AE32-218864528364}"/>
    <cellStyle name="Check Cell 7 2 13" xfId="10722" xr:uid="{2F4E7CF2-FEE5-4540-8E02-65DE0F21BDFC}"/>
    <cellStyle name="Check Cell 7 2 13 2" xfId="10723" xr:uid="{1724B766-4746-43BF-B9D7-06CC331EBE59}"/>
    <cellStyle name="Check Cell 7 2 13 2 2" xfId="10724" xr:uid="{FFCAB045-1ADF-4E91-9E4C-3084E3C5DB38}"/>
    <cellStyle name="Check Cell 7 2 13 3" xfId="10725" xr:uid="{D919D821-A492-4300-912C-2C06B46D757B}"/>
    <cellStyle name="Check Cell 7 2 2" xfId="10726" xr:uid="{689525B8-07F8-469D-A4A5-14CE72B6FEA4}"/>
    <cellStyle name="Check Cell 7 2 2 2" xfId="10727" xr:uid="{733BDED2-2F40-4AC7-B9AF-8AA0A2D65223}"/>
    <cellStyle name="Check Cell 7 2 2 2 2" xfId="10728" xr:uid="{6A768A41-4424-418A-96BB-87D490B2B9DF}"/>
    <cellStyle name="Check Cell 7 2 2 2 2 2" xfId="10729" xr:uid="{0D270F93-CCE3-4ED6-A396-D8295E8EEF6A}"/>
    <cellStyle name="Check Cell 7 2 2 2 3" xfId="10730" xr:uid="{CE1C0F8C-3F19-47D2-AED6-B889670D74A7}"/>
    <cellStyle name="Check Cell 7 2 2 3" xfId="10731" xr:uid="{950849B3-F5D0-456C-A1DF-45813A389E6A}"/>
    <cellStyle name="Check Cell 7 2 2 3 2" xfId="10732" xr:uid="{3A802353-4140-4F0F-A2E3-A425594EC638}"/>
    <cellStyle name="Check Cell 7 2 2 3 2 2" xfId="10733" xr:uid="{9BA34D1E-FD6E-4C41-B348-828CA78377F7}"/>
    <cellStyle name="Check Cell 7 2 2 3 3" xfId="10734" xr:uid="{23E214D1-33B5-42B0-91E2-2725F683601F}"/>
    <cellStyle name="Check Cell 7 2 2 4" xfId="10735" xr:uid="{2513D988-33D5-4603-B413-0D8DD9056733}"/>
    <cellStyle name="Check Cell 7 2 2 4 2" xfId="10736" xr:uid="{3E9D8C8C-3C28-48B5-BA2B-35642FCF19E0}"/>
    <cellStyle name="Check Cell 7 2 2 4 2 2" xfId="10737" xr:uid="{54F05892-2A34-4C68-9460-ADED08B3427D}"/>
    <cellStyle name="Check Cell 7 2 2 4 3" xfId="10738" xr:uid="{59BE9342-DB4D-4205-AFE9-3274A21C8272}"/>
    <cellStyle name="Check Cell 7 2 2 5" xfId="10739" xr:uid="{648109AD-FD88-4BF0-81F5-27179BA1D937}"/>
    <cellStyle name="Check Cell 7 2 2 5 2" xfId="10740" xr:uid="{52E9BD7A-D6BE-40F2-B4F3-0D09C63C79B9}"/>
    <cellStyle name="Check Cell 7 2 2 5 2 2" xfId="10741" xr:uid="{254BAB01-7FBF-4956-A80D-470E2FA36FA3}"/>
    <cellStyle name="Check Cell 7 2 2 5 3" xfId="10742" xr:uid="{DAFFAB97-9761-49FE-A11D-B9831C31741D}"/>
    <cellStyle name="Check Cell 7 2 2 6" xfId="10743" xr:uid="{F83935E7-E167-4ABF-B78D-B31EB1CB8C93}"/>
    <cellStyle name="Check Cell 7 2 2 6 2" xfId="10744" xr:uid="{C2C1F7B0-8825-47D8-9070-12CF764810CE}"/>
    <cellStyle name="Check Cell 7 2 2 6 2 2" xfId="10745" xr:uid="{34367F53-F0D7-4C58-831D-A6DB82575020}"/>
    <cellStyle name="Check Cell 7 2 2 6 3" xfId="10746" xr:uid="{903B1095-8839-46AC-82BC-4A31CAEDB8D2}"/>
    <cellStyle name="Check Cell 7 2 2 7" xfId="10747" xr:uid="{DBA3800C-52FF-40AC-B8CF-B4832EE7C8FA}"/>
    <cellStyle name="Check Cell 7 2 2 7 2" xfId="10748" xr:uid="{BFDCB455-F5B3-4527-8896-1D80A79C7B66}"/>
    <cellStyle name="Check Cell 7 2 2 7 2 2" xfId="10749" xr:uid="{692213AD-A3D7-4C25-B47E-5AB0D8EF1B45}"/>
    <cellStyle name="Check Cell 7 2 2 7 3" xfId="10750" xr:uid="{F2EF877A-70EB-4084-A78F-88B3010CEEB2}"/>
    <cellStyle name="Check Cell 7 2 2 8" xfId="10751" xr:uid="{47D34E43-91C9-4E29-8B59-F5871E198F1B}"/>
    <cellStyle name="Check Cell 7 2 2 8 2" xfId="10752" xr:uid="{70860D07-524D-45F4-BFA3-48DC29EDA1F9}"/>
    <cellStyle name="Check Cell 7 2 2 8 2 2" xfId="10753" xr:uid="{43548892-5275-4CA9-AD7B-2DDD5A880753}"/>
    <cellStyle name="Check Cell 7 2 2 8 3" xfId="10754" xr:uid="{40B51598-9E0F-48AC-A909-E23F9A43500E}"/>
    <cellStyle name="Check Cell 7 2 2 9" xfId="10755" xr:uid="{5D46EBC3-2F44-400F-9DDD-49BA08817FA1}"/>
    <cellStyle name="Check Cell 7 2 2 9 2" xfId="10756" xr:uid="{5295854D-0F86-4530-B1DF-F00A85782F93}"/>
    <cellStyle name="Check Cell 7 2 2 9 2 2" xfId="10757" xr:uid="{75443735-7522-443C-804F-46B0252D958D}"/>
    <cellStyle name="Check Cell 7 2 2 9 3" xfId="10758" xr:uid="{3F5B9B4C-B37E-41CD-88A1-BA2ECDC7AF1C}"/>
    <cellStyle name="Check Cell 7 2 3" xfId="10759" xr:uid="{C28D778D-2EAB-40AE-A5AF-7CCB66EE795A}"/>
    <cellStyle name="Check Cell 7 2 3 2" xfId="10760" xr:uid="{FCF852E5-990E-4610-94FC-82F1954245EA}"/>
    <cellStyle name="Check Cell 7 2 3 2 2" xfId="10761" xr:uid="{FDA33212-88BE-4F79-8D50-EE3137BE4A64}"/>
    <cellStyle name="Check Cell 7 2 3 2 2 2" xfId="10762" xr:uid="{46A962B7-B468-4FFE-9964-BA9F017B8843}"/>
    <cellStyle name="Check Cell 7 2 3 2 3" xfId="10763" xr:uid="{924DFFA4-D794-4BFA-AE24-9CB2FBE9AA90}"/>
    <cellStyle name="Check Cell 7 2 3 3" xfId="10764" xr:uid="{53C1C4B4-1205-4D47-9100-4B7A1AAC3696}"/>
    <cellStyle name="Check Cell 7 2 3 3 2" xfId="10765" xr:uid="{49B337D1-A3DF-40DE-BCE8-14A5D5D1E0E8}"/>
    <cellStyle name="Check Cell 7 2 3 3 2 2" xfId="10766" xr:uid="{04979D80-D41B-45A1-B9B1-47D5576DABDE}"/>
    <cellStyle name="Check Cell 7 2 3 3 3" xfId="10767" xr:uid="{AD9A00F9-61B8-4203-88CC-DA50C4065D65}"/>
    <cellStyle name="Check Cell 7 2 3 4" xfId="10768" xr:uid="{59652768-7B60-4897-B13B-2192CF053C20}"/>
    <cellStyle name="Check Cell 7 2 3 4 2" xfId="10769" xr:uid="{CDB9AB4A-0325-46C9-926E-354C56C308F3}"/>
    <cellStyle name="Check Cell 7 2 3 4 2 2" xfId="10770" xr:uid="{4E1B99F0-08C5-4DBB-832C-AC35A456D031}"/>
    <cellStyle name="Check Cell 7 2 3 4 3" xfId="10771" xr:uid="{11097484-B60B-44DA-AAD7-79C6896A860A}"/>
    <cellStyle name="Check Cell 7 2 3 5" xfId="10772" xr:uid="{C5478C3A-8121-4B65-8B0D-CF4217A93D5C}"/>
    <cellStyle name="Check Cell 7 2 3 5 2" xfId="10773" xr:uid="{6C508E8E-1D62-4CA1-9012-0EB88CFBABAA}"/>
    <cellStyle name="Check Cell 7 2 3 5 2 2" xfId="10774" xr:uid="{B180DF71-43FE-46C9-9E72-8808BB4EB019}"/>
    <cellStyle name="Check Cell 7 2 3 5 3" xfId="10775" xr:uid="{B397CA06-8A5C-4698-8293-20C6B50AC198}"/>
    <cellStyle name="Check Cell 7 2 3 6" xfId="10776" xr:uid="{633CDF31-E482-4B87-BD2C-879CF75BEEEF}"/>
    <cellStyle name="Check Cell 7 2 3 6 2" xfId="10777" xr:uid="{E9611E01-E6E3-476A-BD43-CFD19D04FAC4}"/>
    <cellStyle name="Check Cell 7 2 3 6 2 2" xfId="10778" xr:uid="{4566DCDE-8EAE-4976-8F90-204BD0CC7AEA}"/>
    <cellStyle name="Check Cell 7 2 3 6 3" xfId="10779" xr:uid="{5DBD1900-D491-4DE3-B240-90863F41DE73}"/>
    <cellStyle name="Check Cell 7 2 3 7" xfId="10780" xr:uid="{61D64BEC-3F7A-46E1-8912-C9AC6003CE3C}"/>
    <cellStyle name="Check Cell 7 2 3 7 2" xfId="10781" xr:uid="{1E8AD444-0B49-4546-83B0-E98D9BC0E3EB}"/>
    <cellStyle name="Check Cell 7 2 3 7 2 2" xfId="10782" xr:uid="{1C0A93F2-BA28-4E76-949F-A6C81C61CAC2}"/>
    <cellStyle name="Check Cell 7 2 3 7 3" xfId="10783" xr:uid="{8E543F47-39A6-49E2-A2E0-7DA6D4FABA6F}"/>
    <cellStyle name="Check Cell 7 2 3 8" xfId="10784" xr:uid="{145CCC74-539B-4767-A706-A876444637EA}"/>
    <cellStyle name="Check Cell 7 2 3 8 2" xfId="10785" xr:uid="{9CD0535E-5F0C-429A-874B-3DF8895F709C}"/>
    <cellStyle name="Check Cell 7 2 3 8 2 2" xfId="10786" xr:uid="{07A3DF6C-DC66-4590-81C5-508C0A6AF67F}"/>
    <cellStyle name="Check Cell 7 2 3 8 3" xfId="10787" xr:uid="{FFC70D65-874C-4C83-ADA5-903F7760C685}"/>
    <cellStyle name="Check Cell 7 2 3 9" xfId="10788" xr:uid="{6B0274AF-46F9-470A-8122-D6AA14535DC6}"/>
    <cellStyle name="Check Cell 7 2 3 9 2" xfId="10789" xr:uid="{15BDBB09-1FC5-4833-8137-2FF5387C2B5F}"/>
    <cellStyle name="Check Cell 7 2 3 9 2 2" xfId="10790" xr:uid="{417E44A7-A790-42A7-80EC-7F1F03605D2C}"/>
    <cellStyle name="Check Cell 7 2 3 9 3" xfId="10791" xr:uid="{44A449B5-1880-4B38-B09B-C01618C3073E}"/>
    <cellStyle name="Check Cell 7 2 4" xfId="10792" xr:uid="{88A4D5E1-0838-42B7-9D5E-A32A7FA1E599}"/>
    <cellStyle name="Check Cell 7 2 4 2" xfId="10793" xr:uid="{4E7DE732-39CA-4268-B930-3B83F195DF0A}"/>
    <cellStyle name="Check Cell 7 2 4 2 2" xfId="10794" xr:uid="{8DEE67C2-7640-446F-B996-84DEF6460E7D}"/>
    <cellStyle name="Check Cell 7 2 4 2 2 2" xfId="10795" xr:uid="{311F8E72-CB3D-4CB3-9CEB-4580E9E3FFB6}"/>
    <cellStyle name="Check Cell 7 2 4 2 3" xfId="10796" xr:uid="{928EDA46-D957-4CC7-83A5-BE4C00E92DC0}"/>
    <cellStyle name="Check Cell 7 2 4 3" xfId="10797" xr:uid="{DF13B720-2CF2-4494-A4B9-328437311B21}"/>
    <cellStyle name="Check Cell 7 2 4 3 2" xfId="10798" xr:uid="{B6E5FBF4-AC08-4FEB-A4D6-9EBB478728D2}"/>
    <cellStyle name="Check Cell 7 2 4 3 2 2" xfId="10799" xr:uid="{F6FF0FC6-94E7-45AA-9435-0D8440AE9B55}"/>
    <cellStyle name="Check Cell 7 2 4 3 3" xfId="10800" xr:uid="{F817D6CB-DC1C-4DE6-BD2F-1555C8D70F7E}"/>
    <cellStyle name="Check Cell 7 2 4 4" xfId="10801" xr:uid="{0C5021FD-C76B-4D4C-B04F-EF0A61C8DDF5}"/>
    <cellStyle name="Check Cell 7 2 4 4 2" xfId="10802" xr:uid="{080A6073-4850-4481-9EEA-047CA4940CCA}"/>
    <cellStyle name="Check Cell 7 2 4 4 2 2" xfId="10803" xr:uid="{9CF06F3C-A5F8-43FA-BF85-E813CB70D514}"/>
    <cellStyle name="Check Cell 7 2 4 4 3" xfId="10804" xr:uid="{9CF727CB-F521-42B0-B4C8-32424507B090}"/>
    <cellStyle name="Check Cell 7 2 4 5" xfId="10805" xr:uid="{10F6306F-BF62-48BC-9CE8-489D340F710B}"/>
    <cellStyle name="Check Cell 7 2 4 5 2" xfId="10806" xr:uid="{2D88A82B-8710-4F8A-8EFB-7EF365BA953C}"/>
    <cellStyle name="Check Cell 7 2 4 5 2 2" xfId="10807" xr:uid="{DB11C1B8-AAE5-4129-8221-2FA817DDDB4B}"/>
    <cellStyle name="Check Cell 7 2 4 5 3" xfId="10808" xr:uid="{517CDE9A-31F3-4557-8057-23E337884379}"/>
    <cellStyle name="Check Cell 7 2 4 6" xfId="10809" xr:uid="{06024BAC-6DB5-4CE3-86D0-BCEA3E106AE9}"/>
    <cellStyle name="Check Cell 7 2 4 6 2" xfId="10810" xr:uid="{0712CB9B-4B21-438A-BD54-EE0ED8E84282}"/>
    <cellStyle name="Check Cell 7 2 4 6 2 2" xfId="10811" xr:uid="{893598CD-400E-45C2-8D0A-9CD04FD0DF9A}"/>
    <cellStyle name="Check Cell 7 2 4 6 3" xfId="10812" xr:uid="{4E680A85-FA16-438D-985C-5A93EB34791B}"/>
    <cellStyle name="Check Cell 7 2 4 7" xfId="10813" xr:uid="{EA80D869-1C71-498A-B948-4B14C825DB85}"/>
    <cellStyle name="Check Cell 7 2 4 7 2" xfId="10814" xr:uid="{C97D8986-5DAB-433B-BC36-D044FE0FBBF9}"/>
    <cellStyle name="Check Cell 7 2 4 7 2 2" xfId="10815" xr:uid="{82891A84-C392-40D5-A1D8-E2C4442DDB05}"/>
    <cellStyle name="Check Cell 7 2 4 7 3" xfId="10816" xr:uid="{E702FB29-B683-4D70-BBFF-3DB3F7116F75}"/>
    <cellStyle name="Check Cell 7 2 4 8" xfId="10817" xr:uid="{4EC32BC9-A082-4042-90B1-ADEF33198946}"/>
    <cellStyle name="Check Cell 7 2 4 8 2" xfId="10818" xr:uid="{66DE2476-7925-4C5E-B8CA-94DC14730984}"/>
    <cellStyle name="Check Cell 7 2 4 8 2 2" xfId="10819" xr:uid="{8002F8A5-E0F7-4434-B0F7-9E7E5EFEAB25}"/>
    <cellStyle name="Check Cell 7 2 4 8 3" xfId="10820" xr:uid="{EEA5F539-15F4-4380-B915-C8F1CEE732FD}"/>
    <cellStyle name="Check Cell 7 2 4 9" xfId="10821" xr:uid="{5E66D04E-824F-4DB8-B8D2-6FFD05A276E6}"/>
    <cellStyle name="Check Cell 7 2 4 9 2" xfId="10822" xr:uid="{510F2FF4-ED78-44F6-AE71-5E5911A23373}"/>
    <cellStyle name="Check Cell 7 2 4 9 2 2" xfId="10823" xr:uid="{28D64ED6-AFD5-46EB-884C-6EA306FEEE76}"/>
    <cellStyle name="Check Cell 7 2 4 9 3" xfId="10824" xr:uid="{EF6D743A-5336-4823-91E0-5FF6FAF2BD4D}"/>
    <cellStyle name="Check Cell 7 2 5" xfId="10825" xr:uid="{142425C5-A8AF-47A2-9764-2F260789849C}"/>
    <cellStyle name="Check Cell 7 2 5 2" xfId="10826" xr:uid="{295019ED-EDFB-4B31-8255-A891A032F272}"/>
    <cellStyle name="Check Cell 7 2 5 2 2" xfId="10827" xr:uid="{3B9DA488-1197-466C-BB08-0A93F96F874C}"/>
    <cellStyle name="Check Cell 7 2 5 2 2 2" xfId="10828" xr:uid="{CC52B79B-6B4E-4926-B07D-9E6A75831B05}"/>
    <cellStyle name="Check Cell 7 2 5 2 3" xfId="10829" xr:uid="{734F92F3-E3A5-43E8-8409-ADED73C676A0}"/>
    <cellStyle name="Check Cell 7 2 5 3" xfId="10830" xr:uid="{CC401CE6-C5E5-4CD0-B267-27ECCC6714FF}"/>
    <cellStyle name="Check Cell 7 2 5 3 2" xfId="10831" xr:uid="{36524E70-F88B-4C1E-9184-7858680731D2}"/>
    <cellStyle name="Check Cell 7 2 5 3 2 2" xfId="10832" xr:uid="{783DF245-6384-4248-B730-1BA848593B56}"/>
    <cellStyle name="Check Cell 7 2 5 3 3" xfId="10833" xr:uid="{634D91FF-0CA2-4767-A495-5CD959CCC3F7}"/>
    <cellStyle name="Check Cell 7 2 5 4" xfId="10834" xr:uid="{B466D372-F5E9-4612-945F-F99A7D86DB01}"/>
    <cellStyle name="Check Cell 7 2 5 4 2" xfId="10835" xr:uid="{364A0F5E-9F64-4D23-8216-6DB8595AEE04}"/>
    <cellStyle name="Check Cell 7 2 5 4 2 2" xfId="10836" xr:uid="{1329594C-F7D4-4A07-A420-0B19D284B668}"/>
    <cellStyle name="Check Cell 7 2 5 4 3" xfId="10837" xr:uid="{688827A4-9BC8-49F6-886B-AFCCCE3DC0D5}"/>
    <cellStyle name="Check Cell 7 2 5 5" xfId="10838" xr:uid="{0DB42FC1-76D0-4012-8D23-4A31A653C24B}"/>
    <cellStyle name="Check Cell 7 2 5 5 2" xfId="10839" xr:uid="{C07826CD-222B-4031-A443-8C4855EBA413}"/>
    <cellStyle name="Check Cell 7 2 5 5 2 2" xfId="10840" xr:uid="{F2BF2878-EA89-4A04-BC2C-D5B835AF5542}"/>
    <cellStyle name="Check Cell 7 2 5 5 3" xfId="10841" xr:uid="{EB13E133-4BE7-4B12-9B5A-6810B734E73F}"/>
    <cellStyle name="Check Cell 7 2 5 6" xfId="10842" xr:uid="{DB919B77-6315-4DC0-AEF8-FE342EB973D3}"/>
    <cellStyle name="Check Cell 7 2 5 6 2" xfId="10843" xr:uid="{CC22291F-FC72-40DF-8F5B-52D1CE638A0E}"/>
    <cellStyle name="Check Cell 7 2 5 6 2 2" xfId="10844" xr:uid="{11FA493D-81C0-4088-8368-65092D977CA4}"/>
    <cellStyle name="Check Cell 7 2 5 6 3" xfId="10845" xr:uid="{6C455A70-7A35-411B-94DC-619C24D854EE}"/>
    <cellStyle name="Check Cell 7 2 5 7" xfId="10846" xr:uid="{9010866C-D42C-4E68-9E13-AA798A32EBC4}"/>
    <cellStyle name="Check Cell 7 2 5 7 2" xfId="10847" xr:uid="{837B0AB2-CD10-4BEE-B649-4EE934A23A48}"/>
    <cellStyle name="Check Cell 7 2 5 7 2 2" xfId="10848" xr:uid="{FD22DCC8-E2E5-49C5-A020-582E0C12665B}"/>
    <cellStyle name="Check Cell 7 2 5 7 3" xfId="10849" xr:uid="{DCDB8513-8060-431B-B4D3-F8B6A15CCA20}"/>
    <cellStyle name="Check Cell 7 2 5 8" xfId="10850" xr:uid="{EAD7F2CD-B1F6-45BE-8534-A11ABC557135}"/>
    <cellStyle name="Check Cell 7 2 5 8 2" xfId="10851" xr:uid="{D88C0DF7-D0C6-4520-B30F-7A6DE6545252}"/>
    <cellStyle name="Check Cell 7 2 5 8 2 2" xfId="10852" xr:uid="{AB823CA4-321A-42A7-998C-1676C6B93FB9}"/>
    <cellStyle name="Check Cell 7 2 5 8 3" xfId="10853" xr:uid="{B2BDE760-A5C7-4D95-832A-D6E9EB44A8D5}"/>
    <cellStyle name="Check Cell 7 2 5 9" xfId="10854" xr:uid="{AA2629A7-205A-403F-84B8-DB706277C553}"/>
    <cellStyle name="Check Cell 7 2 5 9 2" xfId="10855" xr:uid="{059BD0F5-310F-42C8-933A-492F4B154780}"/>
    <cellStyle name="Check Cell 7 2 5 9 2 2" xfId="10856" xr:uid="{BCAA8A5C-C7E8-4F8F-B0C5-FD27FE4FA32A}"/>
    <cellStyle name="Check Cell 7 2 5 9 3" xfId="10857" xr:uid="{D482BE8C-9218-454A-A917-F076C1522D61}"/>
    <cellStyle name="Check Cell 7 2 6" xfId="10858" xr:uid="{63BCF031-5E61-4289-A696-D53E3A486299}"/>
    <cellStyle name="Check Cell 7 2 6 2" xfId="10859" xr:uid="{6A9D683A-D010-45DA-B6A4-1D619F78B0B5}"/>
    <cellStyle name="Check Cell 7 2 6 2 2" xfId="10860" xr:uid="{F1AF2E2F-1E89-4B5C-A540-1237E030ED9A}"/>
    <cellStyle name="Check Cell 7 2 6 3" xfId="10861" xr:uid="{374970B0-060E-46B2-A7B1-2579FD03EA08}"/>
    <cellStyle name="Check Cell 7 2 7" xfId="10862" xr:uid="{CEA9D94A-589D-4602-97AD-DEDF7A58F7D2}"/>
    <cellStyle name="Check Cell 7 2 7 2" xfId="10863" xr:uid="{BB79673C-EB73-4E47-B0C2-C47CC770AE11}"/>
    <cellStyle name="Check Cell 7 2 7 2 2" xfId="10864" xr:uid="{9628D42C-27BA-48FC-82DB-AF2C28841705}"/>
    <cellStyle name="Check Cell 7 2 7 3" xfId="10865" xr:uid="{79A6BDAB-362C-4276-B733-622F19ED8D42}"/>
    <cellStyle name="Check Cell 7 2 8" xfId="10866" xr:uid="{A722EF6E-E943-4E85-B325-4E6BCBC57771}"/>
    <cellStyle name="Check Cell 7 2 8 2" xfId="10867" xr:uid="{D433F165-CC37-42E3-89D3-42433D13FA67}"/>
    <cellStyle name="Check Cell 7 2 8 2 2" xfId="10868" xr:uid="{3666676E-3899-4306-8997-8488F3508ABD}"/>
    <cellStyle name="Check Cell 7 2 8 3" xfId="10869" xr:uid="{84F91301-20D4-4EC2-A071-E3C18F67A12A}"/>
    <cellStyle name="Check Cell 7 2 9" xfId="10870" xr:uid="{466581D9-AA90-4ADA-90B4-426F4C675660}"/>
    <cellStyle name="Check Cell 7 2 9 2" xfId="10871" xr:uid="{512EC0FD-C98A-4B10-90DD-020B6091C5A3}"/>
    <cellStyle name="Check Cell 7 2 9 2 2" xfId="10872" xr:uid="{7AD72CE6-791F-45A9-9B63-3F389F020F49}"/>
    <cellStyle name="Check Cell 7 2 9 3" xfId="10873" xr:uid="{4AE08F06-8554-42D4-9D3A-B9AEC51CEFF3}"/>
    <cellStyle name="Check Cell 7 3" xfId="10874" xr:uid="{CD953663-6291-4B50-BB00-7E5F5B08AA01}"/>
    <cellStyle name="Check Cell 7 3 2" xfId="10875" xr:uid="{A22F9131-CED5-4BE3-B51A-F0997D56806D}"/>
    <cellStyle name="Check Cell 7 3 2 2" xfId="10876" xr:uid="{4CFADC80-B47F-4CCE-9211-30379C6CF700}"/>
    <cellStyle name="Check Cell 7 3 3" xfId="10877" xr:uid="{C6E05712-F5D9-4C56-81D4-271B5E52AFC1}"/>
    <cellStyle name="Check Cell 7 4" xfId="10878" xr:uid="{ECDC609E-81E9-4C76-AEDC-13056A63ABC0}"/>
    <cellStyle name="Check Cell 7 4 2" xfId="10879" xr:uid="{C025A88F-8790-4F90-9CA9-85D101DAD0F3}"/>
    <cellStyle name="Check Cell 8" xfId="10880" xr:uid="{466A3A1A-EB0A-4609-8D45-74771411C041}"/>
    <cellStyle name="Check Cell 8 2" xfId="10881" xr:uid="{1E71B567-764C-45E1-ADF6-4F60ADBB6BEF}"/>
    <cellStyle name="Check Cell 8 2 10" xfId="10882" xr:uid="{2208FDE0-8AD8-4165-A526-C8891814607B}"/>
    <cellStyle name="Check Cell 8 2 10 2" xfId="10883" xr:uid="{FA7577B2-8CC8-4366-97D3-7494FF8BA48F}"/>
    <cellStyle name="Check Cell 8 2 10 2 2" xfId="10884" xr:uid="{9FA18EE5-863D-4BE1-A09B-671697D82D77}"/>
    <cellStyle name="Check Cell 8 2 10 3" xfId="10885" xr:uid="{BD676547-AD11-48A1-8CF6-96F4A9E1B935}"/>
    <cellStyle name="Check Cell 8 2 11" xfId="10886" xr:uid="{4FEC05EC-EF3E-4B34-B176-5AE795EE80A7}"/>
    <cellStyle name="Check Cell 8 2 11 2" xfId="10887" xr:uid="{A65015AF-C12B-4DA9-9E26-3136A4AFFD9C}"/>
    <cellStyle name="Check Cell 8 2 11 2 2" xfId="10888" xr:uid="{430675B0-A5F5-4B82-95C7-A625C8FA8D26}"/>
    <cellStyle name="Check Cell 8 2 11 3" xfId="10889" xr:uid="{8C1750D9-A6F4-46B5-A364-DD3C6D8D239F}"/>
    <cellStyle name="Check Cell 8 2 12" xfId="10890" xr:uid="{A2665620-4F46-4517-9673-E3183B35136D}"/>
    <cellStyle name="Check Cell 8 2 12 2" xfId="10891" xr:uid="{B0DADAC4-8AE1-4D41-BC98-9C0FABC378B5}"/>
    <cellStyle name="Check Cell 8 2 12 2 2" xfId="10892" xr:uid="{FEEEC59D-7B7A-4344-B9FF-ECC2D5C4A1DB}"/>
    <cellStyle name="Check Cell 8 2 12 3" xfId="10893" xr:uid="{48DB6986-7396-400E-A35A-BEDB946F3F5C}"/>
    <cellStyle name="Check Cell 8 2 13" xfId="10894" xr:uid="{054532DA-AEB4-4E4E-9D71-0BA9D6610A1A}"/>
    <cellStyle name="Check Cell 8 2 13 2" xfId="10895" xr:uid="{D0553B92-E9AC-4618-AE10-EE7251301AEF}"/>
    <cellStyle name="Check Cell 8 2 13 2 2" xfId="10896" xr:uid="{BA172B16-5918-4610-9C48-1D594C280E24}"/>
    <cellStyle name="Check Cell 8 2 13 3" xfId="10897" xr:uid="{99EDE7E1-0A6A-486C-94C9-02CADB8EA69C}"/>
    <cellStyle name="Check Cell 8 2 2" xfId="10898" xr:uid="{D9713690-2CD3-48AE-B3B7-A4A496692AD2}"/>
    <cellStyle name="Check Cell 8 2 2 2" xfId="10899" xr:uid="{92631A5D-5A49-4675-97E4-9A91A597E854}"/>
    <cellStyle name="Check Cell 8 2 2 2 2" xfId="10900" xr:uid="{414D69AE-7424-416B-9A40-942852B05DB4}"/>
    <cellStyle name="Check Cell 8 2 2 2 2 2" xfId="10901" xr:uid="{0C36A48E-A8A6-4D06-959D-30C4D5068D90}"/>
    <cellStyle name="Check Cell 8 2 2 2 3" xfId="10902" xr:uid="{912AA9E3-0BF3-4F01-A9B6-C78CE8CE1F66}"/>
    <cellStyle name="Check Cell 8 2 2 3" xfId="10903" xr:uid="{189C87A9-C4A1-4D9E-9081-24BA1A51E026}"/>
    <cellStyle name="Check Cell 8 2 2 3 2" xfId="10904" xr:uid="{92B26F95-A6E5-495B-AD10-F0B2AA44AC74}"/>
    <cellStyle name="Check Cell 8 2 2 3 2 2" xfId="10905" xr:uid="{11DF1AE2-2CB6-4F8A-9F00-BCB37E28A5B7}"/>
    <cellStyle name="Check Cell 8 2 2 3 3" xfId="10906" xr:uid="{DF2E15C4-88BE-44FE-BA2E-1B32877D860E}"/>
    <cellStyle name="Check Cell 8 2 2 4" xfId="10907" xr:uid="{CBEEEA2E-B857-4A66-9D55-9FB973446AC8}"/>
    <cellStyle name="Check Cell 8 2 2 4 2" xfId="10908" xr:uid="{84D1A3E3-D7CD-4BF1-AB31-0F44218AE431}"/>
    <cellStyle name="Check Cell 8 2 2 4 2 2" xfId="10909" xr:uid="{290CB69B-2A6A-4B96-A405-62A199C40769}"/>
    <cellStyle name="Check Cell 8 2 2 4 3" xfId="10910" xr:uid="{3C9B4DC5-EDBB-4587-B13B-4DE6EAEB8C08}"/>
    <cellStyle name="Check Cell 8 2 2 5" xfId="10911" xr:uid="{B18C1A98-0299-4170-84DC-94B3AF60563B}"/>
    <cellStyle name="Check Cell 8 2 2 5 2" xfId="10912" xr:uid="{74271B19-91D0-4890-9104-98F323C20762}"/>
    <cellStyle name="Check Cell 8 2 2 5 2 2" xfId="10913" xr:uid="{3E84B6F8-8D93-4C98-A4A9-7E96DCD54AE5}"/>
    <cellStyle name="Check Cell 8 2 2 5 3" xfId="10914" xr:uid="{509E8013-9C52-43B6-A9B1-7D0A18AC1779}"/>
    <cellStyle name="Check Cell 8 2 2 6" xfId="10915" xr:uid="{1F0F47B3-2ED7-4A9C-9F6E-6455B7EBEFDD}"/>
    <cellStyle name="Check Cell 8 2 2 6 2" xfId="10916" xr:uid="{195E59F5-EE58-4FC0-BA25-CB75E7280E0B}"/>
    <cellStyle name="Check Cell 8 2 2 6 2 2" xfId="10917" xr:uid="{25208EC2-551D-4C66-9486-E622F660EF5F}"/>
    <cellStyle name="Check Cell 8 2 2 6 3" xfId="10918" xr:uid="{285BD370-C471-4738-B21D-5503CAA76FE9}"/>
    <cellStyle name="Check Cell 8 2 2 7" xfId="10919" xr:uid="{A0C13301-6DF0-4D99-A7AD-F5ACC36995DE}"/>
    <cellStyle name="Check Cell 8 2 2 7 2" xfId="10920" xr:uid="{DA8AEBF4-81C5-44C4-804E-B02066707DFB}"/>
    <cellStyle name="Check Cell 8 2 2 7 2 2" xfId="10921" xr:uid="{CDC6E5F3-4CAB-413B-98E9-9835DC64E71C}"/>
    <cellStyle name="Check Cell 8 2 2 7 3" xfId="10922" xr:uid="{BA06B31B-8124-432C-85EC-D61C90429894}"/>
    <cellStyle name="Check Cell 8 2 2 8" xfId="10923" xr:uid="{F9FED173-1219-459E-AD04-82D99D6C1EE3}"/>
    <cellStyle name="Check Cell 8 2 2 8 2" xfId="10924" xr:uid="{9FCB74F4-511D-4B91-9098-8C054F3CC5DC}"/>
    <cellStyle name="Check Cell 8 2 2 8 2 2" xfId="10925" xr:uid="{241C8741-0EBE-4186-8A84-76F5D442113E}"/>
    <cellStyle name="Check Cell 8 2 2 8 3" xfId="10926" xr:uid="{56DB034E-784F-41E2-ABDC-9B39E124B42B}"/>
    <cellStyle name="Check Cell 8 2 2 9" xfId="10927" xr:uid="{B17C742C-C72C-4DEB-8C36-79DCC5C50B65}"/>
    <cellStyle name="Check Cell 8 2 2 9 2" xfId="10928" xr:uid="{A436D191-7AE1-4E1C-8631-87F87E1503F2}"/>
    <cellStyle name="Check Cell 8 2 2 9 2 2" xfId="10929" xr:uid="{5DCAF2D7-B13D-4EA7-9855-928735F326DD}"/>
    <cellStyle name="Check Cell 8 2 2 9 3" xfId="10930" xr:uid="{57A1C868-3E6C-4137-A2D2-F50D680E04BF}"/>
    <cellStyle name="Check Cell 8 2 3" xfId="10931" xr:uid="{A0E0B499-C841-42BE-AD42-01410C3BE3DC}"/>
    <cellStyle name="Check Cell 8 2 3 2" xfId="10932" xr:uid="{08B0D9DD-1C9C-4391-B849-AE32A5F1929C}"/>
    <cellStyle name="Check Cell 8 2 3 2 2" xfId="10933" xr:uid="{924C1C7B-ADE6-465B-AA25-FB016AAC2644}"/>
    <cellStyle name="Check Cell 8 2 3 2 2 2" xfId="10934" xr:uid="{FC663677-FF33-40D2-8323-8E971608495C}"/>
    <cellStyle name="Check Cell 8 2 3 2 3" xfId="10935" xr:uid="{48392A8C-5CF5-4BEF-9019-42DE3C0166C6}"/>
    <cellStyle name="Check Cell 8 2 3 3" xfId="10936" xr:uid="{8D42181E-250E-45C5-834D-E76001530126}"/>
    <cellStyle name="Check Cell 8 2 3 3 2" xfId="10937" xr:uid="{AB884311-C33B-4D95-BFF4-14475D4905A1}"/>
    <cellStyle name="Check Cell 8 2 3 3 2 2" xfId="10938" xr:uid="{DA3E7CF2-D040-44C7-B7B6-224E97E86555}"/>
    <cellStyle name="Check Cell 8 2 3 3 3" xfId="10939" xr:uid="{0BF64F1C-FA1F-4D4D-A865-F5881D04B1D0}"/>
    <cellStyle name="Check Cell 8 2 3 4" xfId="10940" xr:uid="{26DC6D99-630F-4B94-BC63-0B1CB68E0D28}"/>
    <cellStyle name="Check Cell 8 2 3 4 2" xfId="10941" xr:uid="{DFF703E2-B5E2-4A65-AA7F-41C08C25CE89}"/>
    <cellStyle name="Check Cell 8 2 3 4 2 2" xfId="10942" xr:uid="{C03B1DFA-2FF8-4D23-867F-5497586A8427}"/>
    <cellStyle name="Check Cell 8 2 3 4 3" xfId="10943" xr:uid="{D6F41502-DC28-4E75-BE5C-264F0F03F790}"/>
    <cellStyle name="Check Cell 8 2 3 5" xfId="10944" xr:uid="{2AC8F5AF-B393-48F9-A2EC-ADAE738AF527}"/>
    <cellStyle name="Check Cell 8 2 3 5 2" xfId="10945" xr:uid="{8D30DC5C-A384-438F-A244-2A4B97F23886}"/>
    <cellStyle name="Check Cell 8 2 3 5 2 2" xfId="10946" xr:uid="{C6FC32CB-A49C-4274-ADA3-2C6BD689B65E}"/>
    <cellStyle name="Check Cell 8 2 3 5 3" xfId="10947" xr:uid="{AC361BFB-0440-4E47-9705-ABD59E4D9320}"/>
    <cellStyle name="Check Cell 8 2 3 6" xfId="10948" xr:uid="{85EDD8B2-DC95-4F98-B1F3-F3412C29EFB4}"/>
    <cellStyle name="Check Cell 8 2 3 6 2" xfId="10949" xr:uid="{0AF0C661-CCF7-440A-930D-B0C9664920EC}"/>
    <cellStyle name="Check Cell 8 2 3 6 2 2" xfId="10950" xr:uid="{DF7306FD-4427-4173-8EB1-C06EB0A9611D}"/>
    <cellStyle name="Check Cell 8 2 3 6 3" xfId="10951" xr:uid="{439D69A9-42DD-4275-8272-1109A5E51D24}"/>
    <cellStyle name="Check Cell 8 2 3 7" xfId="10952" xr:uid="{9C35F53A-DDB0-494A-97C7-F27EB68CC3D0}"/>
    <cellStyle name="Check Cell 8 2 3 7 2" xfId="10953" xr:uid="{31A1357D-9969-49F8-A6D0-5B73FE9F30C5}"/>
    <cellStyle name="Check Cell 8 2 3 7 2 2" xfId="10954" xr:uid="{989374B5-C434-4626-B3C4-85A072967C59}"/>
    <cellStyle name="Check Cell 8 2 3 7 3" xfId="10955" xr:uid="{16D8F519-16DC-440C-9532-3117B5063FC7}"/>
    <cellStyle name="Check Cell 8 2 3 8" xfId="10956" xr:uid="{D0D230F8-B99A-4846-8AB2-C817333B937E}"/>
    <cellStyle name="Check Cell 8 2 3 8 2" xfId="10957" xr:uid="{40C8199F-2E9F-4FE4-AC44-D4A02BC89BF2}"/>
    <cellStyle name="Check Cell 8 2 3 8 2 2" xfId="10958" xr:uid="{49999141-EBD4-4DB5-89D7-C24E98CC21A1}"/>
    <cellStyle name="Check Cell 8 2 3 8 3" xfId="10959" xr:uid="{8ED1DDCE-6E29-48CC-8895-800298559116}"/>
    <cellStyle name="Check Cell 8 2 3 9" xfId="10960" xr:uid="{3B17AA26-009C-4EBB-9012-31D2615712EC}"/>
    <cellStyle name="Check Cell 8 2 3 9 2" xfId="10961" xr:uid="{A5CD9905-0F34-4280-BE3F-F555A0E83900}"/>
    <cellStyle name="Check Cell 8 2 3 9 2 2" xfId="10962" xr:uid="{13C3E0D2-80D2-43C0-8DCD-75EC19C58A5A}"/>
    <cellStyle name="Check Cell 8 2 3 9 3" xfId="10963" xr:uid="{679B32EA-AE82-4B09-89FB-AF5308383895}"/>
    <cellStyle name="Check Cell 8 2 4" xfId="10964" xr:uid="{EF14BBCE-6CA9-45A5-8394-D2FE91800DC2}"/>
    <cellStyle name="Check Cell 8 2 4 2" xfId="10965" xr:uid="{1943CADE-345F-44F9-8825-200FBCF46C1A}"/>
    <cellStyle name="Check Cell 8 2 4 2 2" xfId="10966" xr:uid="{9A7EE2EF-6170-401D-B44A-04C07A59E9A7}"/>
    <cellStyle name="Check Cell 8 2 4 2 2 2" xfId="10967" xr:uid="{FD1B5672-AD26-4213-8C26-39EBD87F1E56}"/>
    <cellStyle name="Check Cell 8 2 4 2 3" xfId="10968" xr:uid="{09918FFE-1A2A-4839-B40A-0C58F70EEBAB}"/>
    <cellStyle name="Check Cell 8 2 4 3" xfId="10969" xr:uid="{6EC89EE7-89B5-4DCE-861F-9CEAD426EE08}"/>
    <cellStyle name="Check Cell 8 2 4 3 2" xfId="10970" xr:uid="{02F4D454-E6C2-4C83-AE50-11D7D314B4DB}"/>
    <cellStyle name="Check Cell 8 2 4 3 2 2" xfId="10971" xr:uid="{D534599A-0137-46EA-B554-0417BA8AC079}"/>
    <cellStyle name="Check Cell 8 2 4 3 3" xfId="10972" xr:uid="{710BD581-9635-4773-8261-AF67DA71854D}"/>
    <cellStyle name="Check Cell 8 2 4 4" xfId="10973" xr:uid="{83483B35-8F92-4061-A29B-999EB47547FC}"/>
    <cellStyle name="Check Cell 8 2 4 4 2" xfId="10974" xr:uid="{3E06E488-D06E-418B-B27A-4AE0A504B4C3}"/>
    <cellStyle name="Check Cell 8 2 4 4 2 2" xfId="10975" xr:uid="{50BBFFA4-8E9D-4C90-9DAD-A754869675E7}"/>
    <cellStyle name="Check Cell 8 2 4 4 3" xfId="10976" xr:uid="{4A36C298-E79D-48AA-800F-E38D03FFD983}"/>
    <cellStyle name="Check Cell 8 2 4 5" xfId="10977" xr:uid="{B00C642D-0218-4DB4-98F0-5182E19161B7}"/>
    <cellStyle name="Check Cell 8 2 4 5 2" xfId="10978" xr:uid="{E2007EC8-4D8A-4CD8-ACD6-6BBB235DA8A6}"/>
    <cellStyle name="Check Cell 8 2 4 5 2 2" xfId="10979" xr:uid="{110E8748-3EB0-470B-8FB4-6344E5B01D10}"/>
    <cellStyle name="Check Cell 8 2 4 5 3" xfId="10980" xr:uid="{6F40E0A0-A4F9-45C5-A4C0-53F86ABF192A}"/>
    <cellStyle name="Check Cell 8 2 4 6" xfId="10981" xr:uid="{B148B80A-01C8-4905-AC5E-29C62034B034}"/>
    <cellStyle name="Check Cell 8 2 4 6 2" xfId="10982" xr:uid="{13F9E718-0F83-4311-A8DD-8DA7549DE643}"/>
    <cellStyle name="Check Cell 8 2 4 6 2 2" xfId="10983" xr:uid="{714D9D40-4E22-4A9C-A7F0-4A0786199EE6}"/>
    <cellStyle name="Check Cell 8 2 4 6 3" xfId="10984" xr:uid="{5069076F-194A-447A-A226-EEE29CD03A80}"/>
    <cellStyle name="Check Cell 8 2 4 7" xfId="10985" xr:uid="{D90E24A7-22E0-4C15-BF3B-A9EEE8075CC3}"/>
    <cellStyle name="Check Cell 8 2 4 7 2" xfId="10986" xr:uid="{204EA232-E24C-48CA-BCD7-AA34FE4B76CA}"/>
    <cellStyle name="Check Cell 8 2 4 7 2 2" xfId="10987" xr:uid="{1CAF9390-3C77-4DC2-B869-928B297044B6}"/>
    <cellStyle name="Check Cell 8 2 4 7 3" xfId="10988" xr:uid="{9061EA62-4208-4335-909C-C4EB88A8501F}"/>
    <cellStyle name="Check Cell 8 2 4 8" xfId="10989" xr:uid="{45BD597A-90CD-4DE3-8D77-4BB52029A85B}"/>
    <cellStyle name="Check Cell 8 2 4 8 2" xfId="10990" xr:uid="{2F4F9748-4275-41A4-AE9E-349864830AB5}"/>
    <cellStyle name="Check Cell 8 2 4 8 2 2" xfId="10991" xr:uid="{7A14BA86-7233-45A2-AD59-9E2A075CDD82}"/>
    <cellStyle name="Check Cell 8 2 4 8 3" xfId="10992" xr:uid="{14AAEBC4-CF75-4940-A21F-12096EF81342}"/>
    <cellStyle name="Check Cell 8 2 4 9" xfId="10993" xr:uid="{129B07A1-473D-49B5-91D9-DF40E227C938}"/>
    <cellStyle name="Check Cell 8 2 4 9 2" xfId="10994" xr:uid="{FBF139FD-AA87-420F-B3A1-41D82F5AD35B}"/>
    <cellStyle name="Check Cell 8 2 4 9 2 2" xfId="10995" xr:uid="{B92E00FA-BFDB-4FAC-830C-3B3A932E4457}"/>
    <cellStyle name="Check Cell 8 2 4 9 3" xfId="10996" xr:uid="{20159F57-B453-446C-98DB-9610F87F869A}"/>
    <cellStyle name="Check Cell 8 2 5" xfId="10997" xr:uid="{40785B50-527C-448E-A7D2-0220FD48FF60}"/>
    <cellStyle name="Check Cell 8 2 5 2" xfId="10998" xr:uid="{027434DF-A4C7-4D58-9E7E-69D4D81A908B}"/>
    <cellStyle name="Check Cell 8 2 5 2 2" xfId="10999" xr:uid="{8DBA611C-BDF3-48B3-B4B2-7C5030690224}"/>
    <cellStyle name="Check Cell 8 2 5 2 2 2" xfId="11000" xr:uid="{0C65CE3F-F187-4448-8DEB-CB7C12477498}"/>
    <cellStyle name="Check Cell 8 2 5 2 3" xfId="11001" xr:uid="{B952C49F-D757-42AA-B59C-D7277D3C0F5C}"/>
    <cellStyle name="Check Cell 8 2 5 3" xfId="11002" xr:uid="{B7A0691A-A001-476E-BAAC-2443F5D854BE}"/>
    <cellStyle name="Check Cell 8 2 5 3 2" xfId="11003" xr:uid="{F2358B6D-C77D-4C92-96E7-4621C23E752E}"/>
    <cellStyle name="Check Cell 8 2 5 3 2 2" xfId="11004" xr:uid="{8486A882-1204-442D-9564-9683D7A5BB7B}"/>
    <cellStyle name="Check Cell 8 2 5 3 3" xfId="11005" xr:uid="{9C92B17B-9A03-4862-B5C3-6B6F34BE3628}"/>
    <cellStyle name="Check Cell 8 2 5 4" xfId="11006" xr:uid="{CCE5F2A3-1E8F-47F8-ADB9-C64E21C96089}"/>
    <cellStyle name="Check Cell 8 2 5 4 2" xfId="11007" xr:uid="{91911769-2F6E-43B7-A0AE-09522CF7AA6A}"/>
    <cellStyle name="Check Cell 8 2 5 4 2 2" xfId="11008" xr:uid="{ACDD5B8C-698E-4030-B1E0-B1EE6D958F00}"/>
    <cellStyle name="Check Cell 8 2 5 4 3" xfId="11009" xr:uid="{B13C2302-8276-4722-88CF-6ABD929A2993}"/>
    <cellStyle name="Check Cell 8 2 5 5" xfId="11010" xr:uid="{F4F31705-9BA6-4DDC-B393-8310FAD64070}"/>
    <cellStyle name="Check Cell 8 2 5 5 2" xfId="11011" xr:uid="{7B2808A7-552A-48B0-8AF7-6332278363CC}"/>
    <cellStyle name="Check Cell 8 2 5 5 2 2" xfId="11012" xr:uid="{6F0C1D4D-A313-4673-986D-09A3036D0821}"/>
    <cellStyle name="Check Cell 8 2 5 5 3" xfId="11013" xr:uid="{B864FDFA-E420-4561-BE8B-FB2FAA766CD0}"/>
    <cellStyle name="Check Cell 8 2 5 6" xfId="11014" xr:uid="{18CD9352-C487-43F0-877D-045E8D91C4CB}"/>
    <cellStyle name="Check Cell 8 2 5 6 2" xfId="11015" xr:uid="{34F0934B-8260-486A-A007-E10CC748F7E0}"/>
    <cellStyle name="Check Cell 8 2 5 6 2 2" xfId="11016" xr:uid="{93A75521-626A-414B-9B14-27E6B0062E2F}"/>
    <cellStyle name="Check Cell 8 2 5 6 3" xfId="11017" xr:uid="{987F5DB5-182F-4208-8260-B7EC9E87AB5F}"/>
    <cellStyle name="Check Cell 8 2 5 7" xfId="11018" xr:uid="{DEA6B365-2BFB-4516-9C61-9B412283F47E}"/>
    <cellStyle name="Check Cell 8 2 5 7 2" xfId="11019" xr:uid="{8065724B-D467-4D29-8344-41CD918D9DAC}"/>
    <cellStyle name="Check Cell 8 2 5 7 2 2" xfId="11020" xr:uid="{147817DC-CC8B-448F-B3F6-F86899A60FF8}"/>
    <cellStyle name="Check Cell 8 2 5 7 3" xfId="11021" xr:uid="{D2D989D0-7FFD-4070-B811-5EA6FD61AF56}"/>
    <cellStyle name="Check Cell 8 2 5 8" xfId="11022" xr:uid="{444DF3E3-89E0-4DBA-964A-BF34103F27B6}"/>
    <cellStyle name="Check Cell 8 2 5 8 2" xfId="11023" xr:uid="{01F9F460-678F-4108-A723-9910B25B3E6D}"/>
    <cellStyle name="Check Cell 8 2 5 8 2 2" xfId="11024" xr:uid="{50093DDF-E4B8-4380-B39D-320A4FE3774C}"/>
    <cellStyle name="Check Cell 8 2 5 8 3" xfId="11025" xr:uid="{80E2F611-5CD8-49D0-8053-710CB2B7CADB}"/>
    <cellStyle name="Check Cell 8 2 5 9" xfId="11026" xr:uid="{7999CBE1-20F4-42B1-8B1C-17026B6D6F96}"/>
    <cellStyle name="Check Cell 8 2 5 9 2" xfId="11027" xr:uid="{56992BAE-AE8F-4138-BE0E-DE7613900398}"/>
    <cellStyle name="Check Cell 8 2 5 9 2 2" xfId="11028" xr:uid="{9B550F75-F6E3-4C53-AD3B-4837E405C33E}"/>
    <cellStyle name="Check Cell 8 2 5 9 3" xfId="11029" xr:uid="{6EB52274-C067-4236-94F6-BD8C1A49F46A}"/>
    <cellStyle name="Check Cell 8 2 6" xfId="11030" xr:uid="{19F5CC49-74B0-4CDC-AA4F-6FFB3ADEEA07}"/>
    <cellStyle name="Check Cell 8 2 6 2" xfId="11031" xr:uid="{BEDADE58-68D7-442D-BE55-19438CA27ACA}"/>
    <cellStyle name="Check Cell 8 2 6 2 2" xfId="11032" xr:uid="{F46C8973-E350-441F-ADE1-A070B69DA236}"/>
    <cellStyle name="Check Cell 8 2 6 3" xfId="11033" xr:uid="{FFC45C1D-6072-4619-99A9-F8E519A30A63}"/>
    <cellStyle name="Check Cell 8 2 7" xfId="11034" xr:uid="{87AC819B-109C-434E-B587-13CF9F1E3A36}"/>
    <cellStyle name="Check Cell 8 2 7 2" xfId="11035" xr:uid="{5F13BA2B-7F48-4DFB-8431-8BF1B76E202A}"/>
    <cellStyle name="Check Cell 8 2 7 2 2" xfId="11036" xr:uid="{5E00D2A2-CF75-4D8A-BFEE-7B4BF8958067}"/>
    <cellStyle name="Check Cell 8 2 7 3" xfId="11037" xr:uid="{0A607405-6FF3-4EBD-A556-2817B8B4A15B}"/>
    <cellStyle name="Check Cell 8 2 8" xfId="11038" xr:uid="{46B07A41-6F8D-40A0-A39A-A36EDE13351E}"/>
    <cellStyle name="Check Cell 8 2 8 2" xfId="11039" xr:uid="{0E4E6E5F-7C70-4371-9B48-B8C772928965}"/>
    <cellStyle name="Check Cell 8 2 8 2 2" xfId="11040" xr:uid="{B05716A9-7A74-4E49-8B55-B9020E47E521}"/>
    <cellStyle name="Check Cell 8 2 8 3" xfId="11041" xr:uid="{C86C3886-7F70-49A6-874A-11552150FB20}"/>
    <cellStyle name="Check Cell 8 2 9" xfId="11042" xr:uid="{FF3EC048-2F66-4D18-8EA6-75BE6E2004D7}"/>
    <cellStyle name="Check Cell 8 2 9 2" xfId="11043" xr:uid="{C4E94787-E036-4091-B53F-150AB43E1F44}"/>
    <cellStyle name="Check Cell 8 2 9 2 2" xfId="11044" xr:uid="{DBA89131-3F2A-4B90-B0F5-A6CD2836E58E}"/>
    <cellStyle name="Check Cell 8 2 9 3" xfId="11045" xr:uid="{930C7E6F-39B0-43A5-93CA-DAB66841B20D}"/>
    <cellStyle name="Check Cell 8 3" xfId="11046" xr:uid="{F610504E-65A8-4626-83AB-89F046D4F518}"/>
    <cellStyle name="Check Cell 8 3 2" xfId="11047" xr:uid="{E22E30E2-B9A6-4779-9409-FEC7AE30F37B}"/>
    <cellStyle name="Check Cell 8 3 2 2" xfId="11048" xr:uid="{83A53BF1-6784-43FD-A131-B51444F7CB92}"/>
    <cellStyle name="Check Cell 8 3 3" xfId="11049" xr:uid="{A95D6938-D0D7-47B8-A267-1BB040F50C0B}"/>
    <cellStyle name="Check Cell 8 4" xfId="11050" xr:uid="{2561CB52-A8FF-425D-A535-0555F0DC32E7}"/>
    <cellStyle name="Check Cell 8 4 2" xfId="11051" xr:uid="{0BBAA9FE-F00B-46A9-9ADC-93B5902413A5}"/>
    <cellStyle name="Check Cell 9" xfId="11052" xr:uid="{C2E1526F-3D20-4C84-B639-B3502DD1350E}"/>
    <cellStyle name="Check Cell 9 2" xfId="11053" xr:uid="{641DE8BA-A64F-48C2-B58D-E800904347FA}"/>
    <cellStyle name="Check Cell 9 2 10" xfId="11054" xr:uid="{4E92A23C-31E3-46B4-8997-A5027E348787}"/>
    <cellStyle name="Check Cell 9 2 10 2" xfId="11055" xr:uid="{92B4C8AF-7E4D-4458-8903-DAE7DDCC6E4A}"/>
    <cellStyle name="Check Cell 9 2 10 2 2" xfId="11056" xr:uid="{A6A9DA36-6FD2-43B8-A1A1-D299E6C0C443}"/>
    <cellStyle name="Check Cell 9 2 10 3" xfId="11057" xr:uid="{AC0615FB-6741-4BDF-8F63-70D00B87CC48}"/>
    <cellStyle name="Check Cell 9 2 11" xfId="11058" xr:uid="{9F064D43-46AE-4032-8CB5-BB6D8D777CBA}"/>
    <cellStyle name="Check Cell 9 2 11 2" xfId="11059" xr:uid="{84BD1C76-CBD5-4E3B-9A02-F92A9A45B8F8}"/>
    <cellStyle name="Check Cell 9 2 11 2 2" xfId="11060" xr:uid="{6B1118AB-FFDC-494A-9F8A-43DFD8F67303}"/>
    <cellStyle name="Check Cell 9 2 11 3" xfId="11061" xr:uid="{681638D4-E46E-4307-A0D1-306089C8FEB8}"/>
    <cellStyle name="Check Cell 9 2 12" xfId="11062" xr:uid="{8538FFC4-FDF5-4595-8C09-56A65F6FAD95}"/>
    <cellStyle name="Check Cell 9 2 12 2" xfId="11063" xr:uid="{EEB60D6E-953E-474F-A5BE-D41A2642DF91}"/>
    <cellStyle name="Check Cell 9 2 12 2 2" xfId="11064" xr:uid="{AB8FEA19-F1D7-4C85-A3A8-F03D97358ACB}"/>
    <cellStyle name="Check Cell 9 2 12 3" xfId="11065" xr:uid="{0FAB9EE9-07EE-410B-8095-CF166B89ED77}"/>
    <cellStyle name="Check Cell 9 2 13" xfId="11066" xr:uid="{DB458164-E8E2-4D96-BE9F-A8D938FFE57F}"/>
    <cellStyle name="Check Cell 9 2 13 2" xfId="11067" xr:uid="{C0918459-F983-4810-AEF9-5E453F325CFC}"/>
    <cellStyle name="Check Cell 9 2 13 2 2" xfId="11068" xr:uid="{6C0C8A06-A378-42DE-9AF9-08D4197399E8}"/>
    <cellStyle name="Check Cell 9 2 13 3" xfId="11069" xr:uid="{7DB92299-C161-428D-96BF-7C0E2C92055F}"/>
    <cellStyle name="Check Cell 9 2 2" xfId="11070" xr:uid="{4A3E0D64-E103-4CC8-BDBA-9C7E6363226A}"/>
    <cellStyle name="Check Cell 9 2 2 2" xfId="11071" xr:uid="{9BFB3B80-C8A2-45AC-9626-1D4F06FA69C9}"/>
    <cellStyle name="Check Cell 9 2 2 2 2" xfId="11072" xr:uid="{DB73D9CA-3766-4D19-BF01-DC8EAA4B323E}"/>
    <cellStyle name="Check Cell 9 2 2 2 2 2" xfId="11073" xr:uid="{B3C91BAE-7777-48EE-A006-9EF6C54AD04E}"/>
    <cellStyle name="Check Cell 9 2 2 2 3" xfId="11074" xr:uid="{32FF189D-90A2-4A41-A857-E45A177BBBFE}"/>
    <cellStyle name="Check Cell 9 2 2 3" xfId="11075" xr:uid="{D0EF63BD-2CF0-494E-AA80-0F912641C774}"/>
    <cellStyle name="Check Cell 9 2 2 3 2" xfId="11076" xr:uid="{F12799D8-294B-4BB3-8F76-041B3AD4C5ED}"/>
    <cellStyle name="Check Cell 9 2 2 3 2 2" xfId="11077" xr:uid="{A97CA5DD-BCE8-4A9F-BE78-E9808AE7CF0C}"/>
    <cellStyle name="Check Cell 9 2 2 3 3" xfId="11078" xr:uid="{1D7B41EE-2E96-4C1F-92EC-10F9CF4BE1E4}"/>
    <cellStyle name="Check Cell 9 2 2 4" xfId="11079" xr:uid="{4438DF28-CBF7-4179-B434-35FC9DD055DE}"/>
    <cellStyle name="Check Cell 9 2 2 4 2" xfId="11080" xr:uid="{F54639F5-CA60-48F9-944D-8558309454BE}"/>
    <cellStyle name="Check Cell 9 2 2 4 2 2" xfId="11081" xr:uid="{B9A6A31B-A53B-4EEA-81B7-F546D330A27D}"/>
    <cellStyle name="Check Cell 9 2 2 4 3" xfId="11082" xr:uid="{6A9BB11F-0357-444F-A247-B864806402CD}"/>
    <cellStyle name="Check Cell 9 2 2 5" xfId="11083" xr:uid="{74BB80B7-4646-4543-8DA8-DA666696905A}"/>
    <cellStyle name="Check Cell 9 2 2 5 2" xfId="11084" xr:uid="{DA146653-6AB8-4468-8490-61D74F613294}"/>
    <cellStyle name="Check Cell 9 2 2 5 2 2" xfId="11085" xr:uid="{D3873963-0191-41A7-BE07-51368A19C84D}"/>
    <cellStyle name="Check Cell 9 2 2 5 3" xfId="11086" xr:uid="{AE0829F8-FD4E-498B-851C-3EB4D6C373F1}"/>
    <cellStyle name="Check Cell 9 2 2 6" xfId="11087" xr:uid="{B3D84C8E-4305-44B9-AB5F-D1176755C2FB}"/>
    <cellStyle name="Check Cell 9 2 2 6 2" xfId="11088" xr:uid="{88F27F40-500B-4DD2-8D2B-47127D862365}"/>
    <cellStyle name="Check Cell 9 2 2 6 2 2" xfId="11089" xr:uid="{247BD7DC-1D7F-40AE-9A73-0C410F83F97C}"/>
    <cellStyle name="Check Cell 9 2 2 6 3" xfId="11090" xr:uid="{E81271D4-B065-4D3B-8739-4A2E47497A18}"/>
    <cellStyle name="Check Cell 9 2 2 7" xfId="11091" xr:uid="{AC1750C4-4503-4043-B7E1-B936231EC060}"/>
    <cellStyle name="Check Cell 9 2 2 7 2" xfId="11092" xr:uid="{2FDD53A5-7B09-4182-A2BA-CABA62F1F003}"/>
    <cellStyle name="Check Cell 9 2 2 7 2 2" xfId="11093" xr:uid="{8A62E344-0B9F-4C2C-B66F-5F7AF27AE969}"/>
    <cellStyle name="Check Cell 9 2 2 7 3" xfId="11094" xr:uid="{85202D78-11BA-4157-9FAE-35B7E8A39DF5}"/>
    <cellStyle name="Check Cell 9 2 2 8" xfId="11095" xr:uid="{190347D6-4AFD-4378-8162-2D1FFAF7BE22}"/>
    <cellStyle name="Check Cell 9 2 2 8 2" xfId="11096" xr:uid="{A72C90CC-9ED1-48CA-AAC2-3CB41877CE26}"/>
    <cellStyle name="Check Cell 9 2 2 8 2 2" xfId="11097" xr:uid="{1508D3FB-066F-4C93-9590-E9CE5733BCF7}"/>
    <cellStyle name="Check Cell 9 2 2 8 3" xfId="11098" xr:uid="{8F4DE015-9177-4E97-9FB3-01C4C76870D7}"/>
    <cellStyle name="Check Cell 9 2 2 9" xfId="11099" xr:uid="{2CD09EB6-8232-4A8D-852B-CEAD4C4D826F}"/>
    <cellStyle name="Check Cell 9 2 2 9 2" xfId="11100" xr:uid="{CE52EBDD-9DC1-4B69-9816-DEB47DA76E72}"/>
    <cellStyle name="Check Cell 9 2 2 9 2 2" xfId="11101" xr:uid="{F73C94DE-9CC8-41DB-A21C-883D995D1E4A}"/>
    <cellStyle name="Check Cell 9 2 2 9 3" xfId="11102" xr:uid="{C3D2CDBE-2024-46C1-8B93-4D0126B7BF4F}"/>
    <cellStyle name="Check Cell 9 2 3" xfId="11103" xr:uid="{9138BE22-E93C-4614-8ACA-5255A936DDC1}"/>
    <cellStyle name="Check Cell 9 2 3 2" xfId="11104" xr:uid="{46566F33-CC2A-47ED-A0E9-5561989D1705}"/>
    <cellStyle name="Check Cell 9 2 3 2 2" xfId="11105" xr:uid="{9E9D4D9F-E76D-4986-B58E-0E98B4B2BFA5}"/>
    <cellStyle name="Check Cell 9 2 3 2 2 2" xfId="11106" xr:uid="{56234045-7847-4ED5-AD14-35596B270E95}"/>
    <cellStyle name="Check Cell 9 2 3 2 3" xfId="11107" xr:uid="{91D12B9E-72CF-4B76-85DF-DCC1D5884D82}"/>
    <cellStyle name="Check Cell 9 2 3 3" xfId="11108" xr:uid="{A371EB88-DBDF-4CCF-B30C-42C10DD26712}"/>
    <cellStyle name="Check Cell 9 2 3 3 2" xfId="11109" xr:uid="{3B9CE84A-9049-4649-9783-551860EF2BD8}"/>
    <cellStyle name="Check Cell 9 2 3 3 2 2" xfId="11110" xr:uid="{8AA4B7DC-9358-486C-9E4F-5BF017008C5C}"/>
    <cellStyle name="Check Cell 9 2 3 3 3" xfId="11111" xr:uid="{D6123FFC-CFDF-45BF-869C-8FC021BBA20A}"/>
    <cellStyle name="Check Cell 9 2 3 4" xfId="11112" xr:uid="{205B8397-AEDC-4E5B-AAF7-B039A4D5D6DD}"/>
    <cellStyle name="Check Cell 9 2 3 4 2" xfId="11113" xr:uid="{E11F4453-13D8-4C13-BC50-6A24657A013B}"/>
    <cellStyle name="Check Cell 9 2 3 4 2 2" xfId="11114" xr:uid="{CB9B2140-E588-47E3-B753-733D8C218A9F}"/>
    <cellStyle name="Check Cell 9 2 3 4 3" xfId="11115" xr:uid="{92C60A62-1298-4E83-A7A8-900C86226BB0}"/>
    <cellStyle name="Check Cell 9 2 3 5" xfId="11116" xr:uid="{22DFC32C-DA87-4614-8697-15A1C9E98512}"/>
    <cellStyle name="Check Cell 9 2 3 5 2" xfId="11117" xr:uid="{05DCA038-B36A-43F8-9F91-C8B8595B1ACE}"/>
    <cellStyle name="Check Cell 9 2 3 5 2 2" xfId="11118" xr:uid="{45BD5963-6986-4F24-B26C-CE17F060BB93}"/>
    <cellStyle name="Check Cell 9 2 3 5 3" xfId="11119" xr:uid="{E1EB9AF2-F697-4BFC-8972-DF7EE3588833}"/>
    <cellStyle name="Check Cell 9 2 3 6" xfId="11120" xr:uid="{6F691919-04EF-4B85-9A76-CA1120264971}"/>
    <cellStyle name="Check Cell 9 2 3 6 2" xfId="11121" xr:uid="{8CC66F8D-EA49-45C7-B5BC-EE6705B3FB94}"/>
    <cellStyle name="Check Cell 9 2 3 6 2 2" xfId="11122" xr:uid="{5D37FE85-337B-44FE-83BD-EA6107AFA0CB}"/>
    <cellStyle name="Check Cell 9 2 3 6 3" xfId="11123" xr:uid="{C967EBE6-0DC6-41EB-AD09-93804D0AA014}"/>
    <cellStyle name="Check Cell 9 2 3 7" xfId="11124" xr:uid="{0C76505A-BAB8-4FF1-BB21-F1207F1C9DC2}"/>
    <cellStyle name="Check Cell 9 2 3 7 2" xfId="11125" xr:uid="{A60A3921-787A-4756-B3BE-1A9A98AB36CB}"/>
    <cellStyle name="Check Cell 9 2 3 7 2 2" xfId="11126" xr:uid="{ACA32E80-FD45-4AFC-8BE1-510E59307527}"/>
    <cellStyle name="Check Cell 9 2 3 7 3" xfId="11127" xr:uid="{6CFFB17F-6874-4B99-BD80-83352B7BE8F2}"/>
    <cellStyle name="Check Cell 9 2 3 8" xfId="11128" xr:uid="{E57B5DAE-4F2B-4CA5-9567-8CEA2BAA1F71}"/>
    <cellStyle name="Check Cell 9 2 3 8 2" xfId="11129" xr:uid="{36E8E48F-0212-45ED-B442-F0EA380BB843}"/>
    <cellStyle name="Check Cell 9 2 3 8 2 2" xfId="11130" xr:uid="{C0C76F7E-E5EA-4108-B2D7-18FB688196CE}"/>
    <cellStyle name="Check Cell 9 2 3 8 3" xfId="11131" xr:uid="{EC07C6E9-7339-42DD-AD9E-73DD2BD6D32C}"/>
    <cellStyle name="Check Cell 9 2 3 9" xfId="11132" xr:uid="{2DAA200D-1AF3-4449-BA99-F5E9F60A6E53}"/>
    <cellStyle name="Check Cell 9 2 3 9 2" xfId="11133" xr:uid="{8FBA250B-4894-4D37-98EC-A0DC0ECBDF10}"/>
    <cellStyle name="Check Cell 9 2 3 9 2 2" xfId="11134" xr:uid="{E893BBB7-AF70-4CDE-8595-C1458BF03683}"/>
    <cellStyle name="Check Cell 9 2 3 9 3" xfId="11135" xr:uid="{7BFB7F16-1CDE-40CD-8B6A-F98E81C9FFD3}"/>
    <cellStyle name="Check Cell 9 2 4" xfId="11136" xr:uid="{BDF0059C-E97B-4E86-A2DE-D995DE9D300C}"/>
    <cellStyle name="Check Cell 9 2 4 2" xfId="11137" xr:uid="{77332DBC-0FE4-4058-BD79-2B4B59D7C793}"/>
    <cellStyle name="Check Cell 9 2 4 2 2" xfId="11138" xr:uid="{B52840C0-9ADA-4950-A926-B8FC08A688A9}"/>
    <cellStyle name="Check Cell 9 2 4 2 2 2" xfId="11139" xr:uid="{651DD739-ADF6-4C4C-8C1E-CA6C4804284C}"/>
    <cellStyle name="Check Cell 9 2 4 2 3" xfId="11140" xr:uid="{CA5B76C2-18F2-40ED-972C-6F1D4F7FDFF3}"/>
    <cellStyle name="Check Cell 9 2 4 3" xfId="11141" xr:uid="{25884826-7B8D-40B3-8148-388EAF855C37}"/>
    <cellStyle name="Check Cell 9 2 4 3 2" xfId="11142" xr:uid="{03D454F2-3A9D-403D-B56B-C086596BC028}"/>
    <cellStyle name="Check Cell 9 2 4 3 2 2" xfId="11143" xr:uid="{33266A3D-615F-4A80-AE58-E0AE7019EE4E}"/>
    <cellStyle name="Check Cell 9 2 4 3 3" xfId="11144" xr:uid="{45DA048C-35A0-426C-BF94-C790D06F13A1}"/>
    <cellStyle name="Check Cell 9 2 4 4" xfId="11145" xr:uid="{8DFBF8A4-DB5F-45D4-BD69-7A762ED9390F}"/>
    <cellStyle name="Check Cell 9 2 4 4 2" xfId="11146" xr:uid="{43E5EBA6-F187-4B49-9F7F-49471BE63231}"/>
    <cellStyle name="Check Cell 9 2 4 4 2 2" xfId="11147" xr:uid="{DB758F5C-1DFC-4C5A-BD8C-DB34A1312B85}"/>
    <cellStyle name="Check Cell 9 2 4 4 3" xfId="11148" xr:uid="{462AFC11-299D-4190-A3F1-B7455717F76E}"/>
    <cellStyle name="Check Cell 9 2 4 5" xfId="11149" xr:uid="{8938839A-62BB-4585-B207-4C6920D6B1BF}"/>
    <cellStyle name="Check Cell 9 2 4 5 2" xfId="11150" xr:uid="{110C20A4-B2CF-42A6-955B-67D7D4C2F93D}"/>
    <cellStyle name="Check Cell 9 2 4 5 2 2" xfId="11151" xr:uid="{93539215-CA74-446C-8900-2676CC0C936A}"/>
    <cellStyle name="Check Cell 9 2 4 5 3" xfId="11152" xr:uid="{A56DF83E-76F9-4785-95E7-A187F2BB960E}"/>
    <cellStyle name="Check Cell 9 2 4 6" xfId="11153" xr:uid="{3A2F1DDD-E457-4496-8AF5-3C3634E5E90D}"/>
    <cellStyle name="Check Cell 9 2 4 6 2" xfId="11154" xr:uid="{F28BF48D-FBEE-4B23-8A46-88A2900162FB}"/>
    <cellStyle name="Check Cell 9 2 4 6 2 2" xfId="11155" xr:uid="{EC7366D2-C35E-410C-AE5A-02DE0BF9FB09}"/>
    <cellStyle name="Check Cell 9 2 4 6 3" xfId="11156" xr:uid="{F5D0A974-F910-45C6-9245-D920B96FF31C}"/>
    <cellStyle name="Check Cell 9 2 4 7" xfId="11157" xr:uid="{596986C5-7226-461C-8A57-8D8D0DB9D120}"/>
    <cellStyle name="Check Cell 9 2 4 7 2" xfId="11158" xr:uid="{6E767113-5E90-42F8-B8FC-5C5490D2320E}"/>
    <cellStyle name="Check Cell 9 2 4 7 2 2" xfId="11159" xr:uid="{CD3D1C5B-D988-453A-A7BD-69E18975C8AC}"/>
    <cellStyle name="Check Cell 9 2 4 7 3" xfId="11160" xr:uid="{4CB24F63-B7CB-4BC6-BC7D-53C7A84924BD}"/>
    <cellStyle name="Check Cell 9 2 4 8" xfId="11161" xr:uid="{FAE27D19-384B-46DD-B699-762282129905}"/>
    <cellStyle name="Check Cell 9 2 4 8 2" xfId="11162" xr:uid="{6B5AAD1D-FB82-4A0F-AF37-553CA06EE661}"/>
    <cellStyle name="Check Cell 9 2 4 8 2 2" xfId="11163" xr:uid="{C7FFC232-525C-444F-9AEA-CF7EBEAC7B94}"/>
    <cellStyle name="Check Cell 9 2 4 8 3" xfId="11164" xr:uid="{4B75D0BD-5406-40A4-B544-498B71B7A090}"/>
    <cellStyle name="Check Cell 9 2 4 9" xfId="11165" xr:uid="{FA9547DC-581A-45D0-8676-ABD45AC45935}"/>
    <cellStyle name="Check Cell 9 2 4 9 2" xfId="11166" xr:uid="{4F63496F-9A52-4E9F-B6CB-864E1D3916EC}"/>
    <cellStyle name="Check Cell 9 2 4 9 2 2" xfId="11167" xr:uid="{647CE4C4-BF9E-4CEB-8757-C74578BC5693}"/>
    <cellStyle name="Check Cell 9 2 4 9 3" xfId="11168" xr:uid="{60C47B2B-74C7-486E-A6E6-59342A6CADF1}"/>
    <cellStyle name="Check Cell 9 2 5" xfId="11169" xr:uid="{2DBB0936-D4F9-4F09-B377-78CE855DEAB4}"/>
    <cellStyle name="Check Cell 9 2 5 2" xfId="11170" xr:uid="{375107ED-F0EE-4C73-8AA1-46B8EE51D653}"/>
    <cellStyle name="Check Cell 9 2 5 2 2" xfId="11171" xr:uid="{9908E2BD-55CD-4D5A-A837-1930B744B9B4}"/>
    <cellStyle name="Check Cell 9 2 5 2 2 2" xfId="11172" xr:uid="{4AE282B8-8D98-487C-924D-1EA55626BCEF}"/>
    <cellStyle name="Check Cell 9 2 5 2 3" xfId="11173" xr:uid="{230C2357-269C-415D-8107-4B0CAA241E1C}"/>
    <cellStyle name="Check Cell 9 2 5 3" xfId="11174" xr:uid="{855E273C-C76A-4F91-85FC-FE1C0AB68117}"/>
    <cellStyle name="Check Cell 9 2 5 3 2" xfId="11175" xr:uid="{C59D1DAE-D44A-4A89-AC78-023D88B75758}"/>
    <cellStyle name="Check Cell 9 2 5 3 2 2" xfId="11176" xr:uid="{EFEF8D88-226C-49B9-8A50-B3CF84F8C7A1}"/>
    <cellStyle name="Check Cell 9 2 5 3 3" xfId="11177" xr:uid="{3261902E-B5FA-48FB-887F-EDCE6BDE2F0B}"/>
    <cellStyle name="Check Cell 9 2 5 4" xfId="11178" xr:uid="{E5B6BAF9-7FF6-4FE3-BBC3-D74A7227BC40}"/>
    <cellStyle name="Check Cell 9 2 5 4 2" xfId="11179" xr:uid="{EAA8A75F-2DCD-4C0D-A685-915DE3E985D0}"/>
    <cellStyle name="Check Cell 9 2 5 4 2 2" xfId="11180" xr:uid="{2EF2255A-CBE7-4951-86E6-5398D2D2D386}"/>
    <cellStyle name="Check Cell 9 2 5 4 3" xfId="11181" xr:uid="{2429A901-4C7A-4F48-B620-F24C4A61C014}"/>
    <cellStyle name="Check Cell 9 2 5 5" xfId="11182" xr:uid="{C3A29A2E-EF5B-4A40-870B-F64A37212A1A}"/>
    <cellStyle name="Check Cell 9 2 5 5 2" xfId="11183" xr:uid="{CAD582BF-C34E-4974-A6AC-7E5B5AA0E80B}"/>
    <cellStyle name="Check Cell 9 2 5 5 2 2" xfId="11184" xr:uid="{4B860FDA-50EC-4EF3-B439-9321B4AE42C4}"/>
    <cellStyle name="Check Cell 9 2 5 5 3" xfId="11185" xr:uid="{E615EB36-031E-428D-932F-9DA078521DB8}"/>
    <cellStyle name="Check Cell 9 2 5 6" xfId="11186" xr:uid="{4DBDEC79-DFE7-48A1-BFCF-00925A95F99A}"/>
    <cellStyle name="Check Cell 9 2 5 6 2" xfId="11187" xr:uid="{C79371B8-8C4F-4EFA-8469-3391C74078B0}"/>
    <cellStyle name="Check Cell 9 2 5 6 2 2" xfId="11188" xr:uid="{FF52B86E-E0AA-40CF-B7BA-71A29BA67E44}"/>
    <cellStyle name="Check Cell 9 2 5 6 3" xfId="11189" xr:uid="{10C59A89-D6C8-4E47-A5A2-C405FA6FC7C3}"/>
    <cellStyle name="Check Cell 9 2 5 7" xfId="11190" xr:uid="{4CBF4AC0-BB78-4499-8EC7-A21EC7138AC4}"/>
    <cellStyle name="Check Cell 9 2 5 7 2" xfId="11191" xr:uid="{41838203-2AA6-4EA3-B5AF-83710023340F}"/>
    <cellStyle name="Check Cell 9 2 5 7 2 2" xfId="11192" xr:uid="{1D4DFED8-FE7C-4D31-A5D0-484A3611C4D0}"/>
    <cellStyle name="Check Cell 9 2 5 7 3" xfId="11193" xr:uid="{B3B2E0C6-A844-4C05-856A-1BD944B66623}"/>
    <cellStyle name="Check Cell 9 2 5 8" xfId="11194" xr:uid="{8CF1731B-3813-4000-A81B-E017B64C5BA9}"/>
    <cellStyle name="Check Cell 9 2 5 8 2" xfId="11195" xr:uid="{4E6FD59B-7253-4A7A-A804-EF0CA078CB8C}"/>
    <cellStyle name="Check Cell 9 2 5 8 2 2" xfId="11196" xr:uid="{216A1E7F-432E-4B02-8A65-6608A2657EF9}"/>
    <cellStyle name="Check Cell 9 2 5 8 3" xfId="11197" xr:uid="{4A869E35-DC26-4CB8-8AB2-931A2B5C02CF}"/>
    <cellStyle name="Check Cell 9 2 5 9" xfId="11198" xr:uid="{2D99AD32-7742-4145-B115-E95C0219D858}"/>
    <cellStyle name="Check Cell 9 2 5 9 2" xfId="11199" xr:uid="{1C433A06-1EAF-4AC1-BF50-BF31BABEEF8A}"/>
    <cellStyle name="Check Cell 9 2 5 9 2 2" xfId="11200" xr:uid="{3B784AF0-1C88-40AF-9D14-64E59D3B67DE}"/>
    <cellStyle name="Check Cell 9 2 5 9 3" xfId="11201" xr:uid="{E9C67267-146A-4BF6-8B97-E31DE03832E9}"/>
    <cellStyle name="Check Cell 9 2 6" xfId="11202" xr:uid="{3BCCFA2B-16E6-441A-A8E0-FCF4C20C37E0}"/>
    <cellStyle name="Check Cell 9 2 6 2" xfId="11203" xr:uid="{19C9ADDC-1029-4184-A6E7-DF0191D4CB1C}"/>
    <cellStyle name="Check Cell 9 2 6 2 2" xfId="11204" xr:uid="{1B970B73-BC67-459C-95C3-9F542944FB1F}"/>
    <cellStyle name="Check Cell 9 2 6 3" xfId="11205" xr:uid="{0627125B-65E1-4701-8BE1-C24ED8409871}"/>
    <cellStyle name="Check Cell 9 2 7" xfId="11206" xr:uid="{18492ACE-1F13-462E-908B-5A8052FA5B23}"/>
    <cellStyle name="Check Cell 9 2 7 2" xfId="11207" xr:uid="{8E823123-D4A1-4794-9BC3-4FC0E1AEE3CD}"/>
    <cellStyle name="Check Cell 9 2 7 2 2" xfId="11208" xr:uid="{08B7E5D5-033F-4661-AA22-5C0EB52C21D4}"/>
    <cellStyle name="Check Cell 9 2 7 3" xfId="11209" xr:uid="{6719CEE1-1AFA-4498-BF32-6795A5794B7B}"/>
    <cellStyle name="Check Cell 9 2 8" xfId="11210" xr:uid="{0D545F45-ACDC-4BA4-8659-0E0B261FDCD2}"/>
    <cellStyle name="Check Cell 9 2 8 2" xfId="11211" xr:uid="{C9DD074B-4676-4244-99D0-33DD3C4E005C}"/>
    <cellStyle name="Check Cell 9 2 8 2 2" xfId="11212" xr:uid="{C7E5CA55-6EAF-4857-965B-761E7B0DA6D3}"/>
    <cellStyle name="Check Cell 9 2 8 3" xfId="11213" xr:uid="{C6ED7161-ED58-42AD-BD5C-ED20CECD7973}"/>
    <cellStyle name="Check Cell 9 2 9" xfId="11214" xr:uid="{9217C06C-126A-407F-ADDB-A486B78307C5}"/>
    <cellStyle name="Check Cell 9 2 9 2" xfId="11215" xr:uid="{BF887A40-8228-4712-844C-89D7D1AC161E}"/>
    <cellStyle name="Check Cell 9 2 9 2 2" xfId="11216" xr:uid="{D83C9CDA-7D9F-4E2E-80FC-ECA4C3016B8E}"/>
    <cellStyle name="Check Cell 9 2 9 3" xfId="11217" xr:uid="{2826B9D7-2CCC-40A3-9AC0-80A6883A3163}"/>
    <cellStyle name="Check Cell 9 3" xfId="11218" xr:uid="{B3DC5246-F3B5-40F7-BD09-EEF94955D1CB}"/>
    <cellStyle name="Check Cell 9 3 2" xfId="11219" xr:uid="{332F1B56-F623-4250-B198-216ADAB06E65}"/>
    <cellStyle name="Check Cell 9 3 2 2" xfId="11220" xr:uid="{572AFBB6-F551-4C25-93F9-71E04E5C0F38}"/>
    <cellStyle name="Check Cell 9 3 3" xfId="11221" xr:uid="{B3D83439-B5F9-4E8D-9689-B307810A5124}"/>
    <cellStyle name="Check Cell 9 4" xfId="11222" xr:uid="{2C0EC542-C86C-4BFA-A1A8-3FB4CFACA644}"/>
    <cellStyle name="Check Cell 9 4 2" xfId="11223" xr:uid="{C2A918C9-35FC-4659-B852-657F78E85F59}"/>
    <cellStyle name="checkExposure" xfId="11224" xr:uid="{BCFEBD36-2F96-49BB-926F-94C05D5F5D04}"/>
    <cellStyle name="Colore 1" xfId="11225" xr:uid="{DE03F7E7-18A8-4FE1-B1FE-18C806ECCD11}"/>
    <cellStyle name="Colore 2" xfId="11226" xr:uid="{82715A14-0FD1-4589-9AB6-B715F2255468}"/>
    <cellStyle name="Colore 3" xfId="11227" xr:uid="{5DC782B3-C948-4744-A9BB-B8BAC0F50F45}"/>
    <cellStyle name="Colore 4" xfId="11228" xr:uid="{886471AA-17B4-4E3D-9C81-FB192C1827F2}"/>
    <cellStyle name="Colore 5" xfId="11229" xr:uid="{262BC372-9A3A-43CF-8694-0516C807763A}"/>
    <cellStyle name="Colore 6" xfId="11230" xr:uid="{25EC5656-4C7D-4E2B-859E-12B05B1BD0AF}"/>
    <cellStyle name="Comma  - Style1" xfId="11231" xr:uid="{3F735DFB-B1C6-4C4E-A37A-B8206F60D81F}"/>
    <cellStyle name="Comma  - Style1 2" xfId="11232" xr:uid="{E105DDBA-B2B6-484E-BFF0-78247CBE772F}"/>
    <cellStyle name="Comma  - Style2" xfId="11233" xr:uid="{2F95080E-2ED6-4638-9624-5EE70DCE053C}"/>
    <cellStyle name="Comma  - Style3" xfId="11234" xr:uid="{49D40F71-4D94-40CA-8ECC-121B05979F10}"/>
    <cellStyle name="Comma  - Style4" xfId="11235" xr:uid="{605C28DF-1976-4CFD-97A6-9287779E5D43}"/>
    <cellStyle name="Comma  - Style5" xfId="11236" xr:uid="{2A6EC241-3F17-4ECE-851B-99E3136853CE}"/>
    <cellStyle name="Comma  - Style6" xfId="11237" xr:uid="{E487CB38-9752-4465-9C9A-77BB5143D7E3}"/>
    <cellStyle name="Comma  - Style7" xfId="11238" xr:uid="{9F087713-2F52-4DF1-B3CD-1F299646AA47}"/>
    <cellStyle name="Comma  - Style8" xfId="11239" xr:uid="{3B9F71C3-9773-404B-8488-0A376A4D97FF}"/>
    <cellStyle name="Comma [00]" xfId="11240" xr:uid="{6E936AF6-6A31-4BBD-BBB6-053BB03A2D6C}"/>
    <cellStyle name="Comma 2" xfId="96" xr:uid="{00000000-0005-0000-0000-000004000000}"/>
    <cellStyle name="Comma 2 2" xfId="11241" xr:uid="{0F74C12F-8E33-450C-AC20-ABD3D7104498}"/>
    <cellStyle name="Comma 2 2 2" xfId="11242" xr:uid="{193D6E93-90E9-40A1-8FA2-A6B891BC67E5}"/>
    <cellStyle name="Comma 2 2 3" xfId="11243" xr:uid="{FD120B64-B959-4195-A2A9-7A32512A57FF}"/>
    <cellStyle name="Comma 2 2 4" xfId="11244" xr:uid="{B9B4AB4B-C774-42B2-BBDC-39C0D4064309}"/>
    <cellStyle name="Comma 2 3" xfId="11245" xr:uid="{22B1E90C-176F-4688-A1D1-E0EEE325BA28}"/>
    <cellStyle name="Comma 2 3 2" xfId="11246" xr:uid="{A9A835DD-ACF1-4F51-BC15-F84229C87BBB}"/>
    <cellStyle name="Comma 2 4" xfId="11247" xr:uid="{517B5EDF-3D93-4134-A1FD-2CCCE7FA5BD3}"/>
    <cellStyle name="Comma 2 5" xfId="11248" xr:uid="{A1D1177B-7DC6-4449-91DA-38C369056CEC}"/>
    <cellStyle name="Comma 2 6" xfId="11249" xr:uid="{DE43F17F-17E5-4D45-8D5F-E0C8EEA603AD}"/>
    <cellStyle name="Comma 2 7" xfId="11250" xr:uid="{976DA1B4-146E-4B1B-9978-82F08F7567D4}"/>
    <cellStyle name="Comma 2 8" xfId="11251" xr:uid="{4454A256-A44D-4792-87EC-AFF650EC47B4}"/>
    <cellStyle name="Comma 3" xfId="98" xr:uid="{00000000-0005-0000-0000-000005000000}"/>
    <cellStyle name="Comma 3 2" xfId="221" xr:uid="{8ED990B3-C04B-4985-81C5-04A9279D36D3}"/>
    <cellStyle name="Comma 3 2 2" xfId="11253" xr:uid="{65B48EA9-7CD6-4F33-A46C-3D923698FD04}"/>
    <cellStyle name="Comma 3 3" xfId="233" xr:uid="{0457E26E-EFDE-4209-88CD-1CEF5BB1FC2F}"/>
    <cellStyle name="Comma 3 4" xfId="11252" xr:uid="{56CDBD72-F6C9-4140-B1E0-88474380E953}"/>
    <cellStyle name="Comma 4" xfId="11254" xr:uid="{1C66FA06-2B76-4BFC-9552-68FC79BCF06D}"/>
    <cellStyle name="Comma 4 2" xfId="11255" xr:uid="{151288E4-A2D8-4158-8803-BEA97ADCBE13}"/>
    <cellStyle name="Comma 4 3" xfId="11256" xr:uid="{9945FA97-B176-4409-968B-77265C2AAA29}"/>
    <cellStyle name="Comma 5" xfId="11257" xr:uid="{DC1A4308-FD66-4664-9D7A-04284C66CA1E}"/>
    <cellStyle name="Comma 5 2" xfId="11258" xr:uid="{9C4B93CA-2577-4136-9D7F-7B31A847A774}"/>
    <cellStyle name="Comma 6" xfId="46160" xr:uid="{A615F552-8096-476C-9CB7-5317FF5FF84F}"/>
    <cellStyle name="Comma0" xfId="11259" xr:uid="{0F056D2D-228B-4682-BBB6-9B290FC29606}"/>
    <cellStyle name="Comma0 2" xfId="11260" xr:uid="{10BE1F9C-509F-4AD3-9943-9CF6D14FD3C5}"/>
    <cellStyle name="Comma0 2 2" xfId="11261" xr:uid="{B92AB8AE-4066-4194-B662-4A4820B8B914}"/>
    <cellStyle name="Commentaire 2" xfId="11262" xr:uid="{68B718F1-16C7-46AB-93C5-4EA9DE712489}"/>
    <cellStyle name="Commentaire 2 2" xfId="11263" xr:uid="{810DED86-501B-4F98-BC06-CB21BF54111C}"/>
    <cellStyle name="Commentaire 2 2 2" xfId="11264" xr:uid="{670E2E00-7C88-4E40-8D41-5562AA4ED0B5}"/>
    <cellStyle name="Commentaire 2 3" xfId="11265" xr:uid="{5F775E14-FAB8-445A-AEBA-4123FF6D4CFF}"/>
    <cellStyle name="Commentaire 3" xfId="11266" xr:uid="{02DDE8AB-1975-446D-89CD-525F9BFEDD3E}"/>
    <cellStyle name="Commentaire 3 2" xfId="11267" xr:uid="{FA01E2B8-F8FB-4074-845C-E719761FBAF5}"/>
    <cellStyle name="Copied" xfId="11268" xr:uid="{8C2E5338-4264-4B9B-B352-2630E65518E1}"/>
    <cellStyle name="Currency" xfId="107" builtinId="4"/>
    <cellStyle name="Currency [00]" xfId="11269" xr:uid="{9C5194B3-5620-435E-900E-63343ACB99E6}"/>
    <cellStyle name="Currency 2" xfId="100" xr:uid="{00000000-0005-0000-0000-000007000000}"/>
    <cellStyle name="Currency 2 2" xfId="11271" xr:uid="{5330D6C5-4B2E-4288-8EAA-F320AE5B8710}"/>
    <cellStyle name="Currency 2 3" xfId="11272" xr:uid="{842B6BF0-D2D3-446C-9D71-16B3A90A9739}"/>
    <cellStyle name="Currency 2 4" xfId="11273" xr:uid="{8F94AC43-042A-4D1D-BCBE-743CFBC6716D}"/>
    <cellStyle name="Currency 2 5" xfId="11274" xr:uid="{C8E0292B-5525-40A7-B27F-09F845133C27}"/>
    <cellStyle name="Currency 2 6" xfId="11275" xr:uid="{A7481D60-28C3-4603-93D9-71A26FEA6A69}"/>
    <cellStyle name="Currency 2 7" xfId="11276" xr:uid="{CF86E940-0FEE-4240-991E-8D4FD8A0C53E}"/>
    <cellStyle name="Currency 2 8" xfId="11270" xr:uid="{BB8F0CC4-7C2C-4B2A-AD66-BF26CCCE725A}"/>
    <cellStyle name="Currency 3" xfId="205" xr:uid="{23339D0A-F10F-4537-8CCA-B47EFB39A6F6}"/>
    <cellStyle name="Currency 3 2" xfId="11277" xr:uid="{2C3269D2-230B-480A-9331-2C357D4BD988}"/>
    <cellStyle name="Currency 3 3" xfId="11278" xr:uid="{742EBDBF-A892-4583-8CC3-5037DD271847}"/>
    <cellStyle name="Currency 3 4" xfId="11279" xr:uid="{71BC7282-8735-4EA8-94AE-66EF3837E983}"/>
    <cellStyle name="Currency 3 5" xfId="11280" xr:uid="{32124FBF-0A7B-47D6-8190-01D62520DA95}"/>
    <cellStyle name="Currency 3 6" xfId="11281" xr:uid="{E94EB77C-AE95-4873-83B0-B5DC77BF8987}"/>
    <cellStyle name="Currency 3 7" xfId="11282" xr:uid="{F5F8F04F-3320-4A70-ADF6-02527F305C33}"/>
    <cellStyle name="Currency 8" xfId="11283" xr:uid="{803C9CF6-CF89-4914-ADE2-6EAAD7A34C48}"/>
    <cellStyle name="Currency 8 2" xfId="11284" xr:uid="{4AC98EEC-1FE7-4EE2-9959-E327CD3C87DA}"/>
    <cellStyle name="Currency 8 3" xfId="11285" xr:uid="{507B4AC0-F234-48A9-A024-A7B7298488B7}"/>
    <cellStyle name="Currency 8 4" xfId="11286" xr:uid="{B8DF1686-EC53-4015-B76C-997DA16EFAFB}"/>
    <cellStyle name="Currency 8 5" xfId="11287" xr:uid="{A3D592B5-5EAC-4A38-B0D4-CC0EC06AA33E}"/>
    <cellStyle name="Currency 8 6" xfId="11288" xr:uid="{F2E39995-4ACC-4A31-A15E-FFD93FD9DAFC}"/>
    <cellStyle name="Currency 8 7" xfId="11289" xr:uid="{E98D2B0C-C0A8-4229-A2CB-4A23B438E72F}"/>
    <cellStyle name="Currency 9" xfId="11290" xr:uid="{F45B439D-9273-49BD-A875-2CB539702ACA}"/>
    <cellStyle name="Currency 9 2" xfId="11291" xr:uid="{9E86F901-39B1-413B-A449-8800737C9A82}"/>
    <cellStyle name="Currency 9 3" xfId="11292" xr:uid="{0FEAA16C-8756-4FCC-8AE3-D41DEEB3E1F0}"/>
    <cellStyle name="Currency 9 4" xfId="11293" xr:uid="{A289316D-0D38-452F-B645-CB3CDC270DB4}"/>
    <cellStyle name="Currency 9 5" xfId="11294" xr:uid="{82EF8DF7-54B9-480D-A539-3F74E5E682FB}"/>
    <cellStyle name="Currency 9 6" xfId="11295" xr:uid="{9C021B9D-BEBF-4AB1-BFDB-E34A5412FC4B}"/>
    <cellStyle name="Currency 9 7" xfId="11296" xr:uid="{83644FB8-53ED-4CDF-B52C-3ED4FDD60BDD}"/>
    <cellStyle name="Dash" xfId="11297" xr:uid="{102EA212-45CC-472C-997D-249327210D7D}"/>
    <cellStyle name="DataCells" xfId="11298" xr:uid="{2B38E73D-DD9C-4435-8D71-0CB10DC8818F}"/>
    <cellStyle name="Date" xfId="11299" xr:uid="{92BF4096-A9D9-4AAB-8AF3-255BC8D0D051}"/>
    <cellStyle name="Date 10" xfId="11300" xr:uid="{5B2CBDE9-C5FF-42F5-A295-13EC41429B2A}"/>
    <cellStyle name="Date 11" xfId="11301" xr:uid="{958DD5FF-3D7C-44FB-B88B-77C9B8CBCDE2}"/>
    <cellStyle name="Date 12" xfId="11302" xr:uid="{B675FC43-88A1-4331-B503-B027281F37D1}"/>
    <cellStyle name="Date 2" xfId="11303" xr:uid="{0150B1D6-94C6-43A1-B9E6-B43D55D2552E}"/>
    <cellStyle name="Date 3" xfId="11304" xr:uid="{6F8966A5-5458-492D-A0B1-0703F1AF6E58}"/>
    <cellStyle name="Date 4" xfId="11305" xr:uid="{B99AFD6C-66B2-4C7C-8DA7-145EF7E060CF}"/>
    <cellStyle name="Date 5" xfId="11306" xr:uid="{E617D7F0-E98C-4172-A8CE-3B7C831379B3}"/>
    <cellStyle name="Date 6" xfId="11307" xr:uid="{1D07E30F-EE6F-471A-9AAB-E03CD64BC748}"/>
    <cellStyle name="Date 7" xfId="11308" xr:uid="{38F7E060-7AA5-43EA-B3D6-BE62741745CD}"/>
    <cellStyle name="Date 8" xfId="11309" xr:uid="{05E7876A-9350-4F79-9379-C3D22BF3FC93}"/>
    <cellStyle name="Date 9" xfId="11310" xr:uid="{03534C4E-8ABA-4418-A7AD-F18B5EFE13FF}"/>
    <cellStyle name="Date DD" xfId="11311" xr:uid="{F3516436-0298-42E4-A8BE-2847684FB2E7}"/>
    <cellStyle name="Date MMM" xfId="11312" xr:uid="{48A08CA4-BA83-4CFF-8976-DC723A3B638D}"/>
    <cellStyle name="Date Short" xfId="11313" xr:uid="{AFB220BE-1F5F-498C-B7C4-D850FAA5FC66}"/>
    <cellStyle name="DateShort" xfId="11314" xr:uid="{E4990555-CEF7-41A2-AF5E-2D2A6063462A}"/>
    <cellStyle name="Dezimal [0]_Aktuell - Vertragsverlängerungen etc" xfId="11315" xr:uid="{76632587-4991-4026-B964-8056DBFB8F1B}"/>
    <cellStyle name="Dezimal_Aktuell - Vertragsverlängerungen etc" xfId="11316" xr:uid="{25CCF106-B855-4557-BC93-1617F2E80FD3}"/>
    <cellStyle name="Eingabe" xfId="11317" xr:uid="{716BE976-D5C2-4C2F-B896-0A6047997EDA}"/>
    <cellStyle name="Eingabe 2" xfId="11318" xr:uid="{D1494EA3-E12A-4478-B794-4F3E21E06784}"/>
    <cellStyle name="Encabezado 4" xfId="11319" xr:uid="{F7FF0E0C-B8D6-4D7C-8D92-2280EC7A7B57}"/>
    <cellStyle name="Énfasis1" xfId="11320" xr:uid="{E90778D2-706B-44CB-895C-C9083F5ADCF9}"/>
    <cellStyle name="Énfasis2" xfId="11321" xr:uid="{771C7DAB-AF37-43EE-8A31-61BC942D9F69}"/>
    <cellStyle name="Énfasis3" xfId="11322" xr:uid="{81F53394-F01A-49EE-ADA8-A1B886DF4DD7}"/>
    <cellStyle name="Énfasis4" xfId="11323" xr:uid="{600B6469-7BCB-4C0D-98CB-B0D23B593D28}"/>
    <cellStyle name="Énfasis5" xfId="11324" xr:uid="{253B99A4-002D-47D8-A46E-9D7D87E6DD51}"/>
    <cellStyle name="Énfasis6" xfId="11325" xr:uid="{828E8A42-11A8-4503-B7E1-754AE284FE96}"/>
    <cellStyle name="Entered" xfId="11326" xr:uid="{D669FC21-D4A7-4DAA-BED2-E45928C2191D}"/>
    <cellStyle name="Entrada" xfId="11327" xr:uid="{FDF59E59-2840-4B2B-8703-BC8CF9B1E79D}"/>
    <cellStyle name="Entrada 2" xfId="11328" xr:uid="{953458DA-E579-4758-941C-ADD91ECBBF42}"/>
    <cellStyle name="Entrée 2" xfId="11329" xr:uid="{CA305E01-ADCC-4EA6-8391-B9190B6198BF}"/>
    <cellStyle name="Entrée 2 2" xfId="11330" xr:uid="{C9964DA8-B14D-453F-805C-91CE1AF9DBEC}"/>
    <cellStyle name="Ergebnis" xfId="11331" xr:uid="{095AB544-1544-4472-B585-14DB49FDBE87}"/>
    <cellStyle name="Ergebnis 2" xfId="11332" xr:uid="{771F6B01-CEB3-4AB5-A7C3-D50F9D9631A2}"/>
    <cellStyle name="Erklärender Text" xfId="11333" xr:uid="{FE9935FC-B8DA-45E9-8BD9-BE028FF37242}"/>
    <cellStyle name="Euro" xfId="2" xr:uid="{00000000-0005-0000-0000-000008000000}"/>
    <cellStyle name="Euro 10" xfId="11335" xr:uid="{CB23B2B3-AF3D-4293-9871-755E85F17B87}"/>
    <cellStyle name="Euro 10 2" xfId="11336" xr:uid="{1CEE6D0A-4FF5-44BC-993E-AB6C175AFE27}"/>
    <cellStyle name="Euro 10 2 2" xfId="11337" xr:uid="{F9DE31BA-95CA-4E3C-AAFF-7764EE3C34D4}"/>
    <cellStyle name="Euro 10 3" xfId="11338" xr:uid="{BFEE0890-5D60-4E14-8FA3-DD028A604C2C}"/>
    <cellStyle name="Euro 10 3 2" xfId="11339" xr:uid="{C1C4AC8D-78BF-4BD0-8AE8-B4ABFE526729}"/>
    <cellStyle name="Euro 10 4" xfId="11340" xr:uid="{4D678F03-F7D2-4807-94F5-2F409E9A58AC}"/>
    <cellStyle name="Euro 11" xfId="11341" xr:uid="{76FDD136-3915-486F-BF9C-4D7149C1A421}"/>
    <cellStyle name="Euro 11 2" xfId="11342" xr:uid="{C8E4A087-A38D-4FD8-9769-257FE448F535}"/>
    <cellStyle name="Euro 11 2 2" xfId="11343" xr:uid="{4B403B14-550E-4B42-B0CB-5CB153B3DCE9}"/>
    <cellStyle name="Euro 11 3" xfId="11344" xr:uid="{8F667CE1-0163-4DFF-87F5-AE9BB62AE81A}"/>
    <cellStyle name="Euro 11 3 2" xfId="11345" xr:uid="{FC51B2B7-70D8-4A6A-A1A9-4D7ECFE05151}"/>
    <cellStyle name="Euro 11 4" xfId="11346" xr:uid="{44407691-E7E7-4A61-A73C-F8B5952C2013}"/>
    <cellStyle name="Euro 12" xfId="11347" xr:uid="{109DF89C-FACC-4547-92E3-A6F23E3A298B}"/>
    <cellStyle name="Euro 12 2" xfId="11348" xr:uid="{16BE0A95-47DB-4E11-94B7-A11CF408C328}"/>
    <cellStyle name="Euro 12 2 2" xfId="11349" xr:uid="{8E06E3BF-8A44-418B-B980-223701738A61}"/>
    <cellStyle name="Euro 12 3" xfId="11350" xr:uid="{F0EF186C-DD16-4EEF-B3E0-624206484E73}"/>
    <cellStyle name="Euro 12 3 2" xfId="11351" xr:uid="{04C029A4-DD47-45A5-998A-8A4C9064C6C2}"/>
    <cellStyle name="Euro 12 4" xfId="11352" xr:uid="{69A4CC78-5B08-4717-B1A4-9BD3FCA3345D}"/>
    <cellStyle name="Euro 13" xfId="11353" xr:uid="{D50261DC-36EA-43D3-BEB0-AA4CBCDD1A10}"/>
    <cellStyle name="Euro 13 2" xfId="11354" xr:uid="{7E9DE199-50F6-4819-9FB6-89EBD6E4F842}"/>
    <cellStyle name="Euro 13 2 2" xfId="11355" xr:uid="{44681C41-36FB-4172-A6CD-410FAAEE0060}"/>
    <cellStyle name="Euro 13 3" xfId="11356" xr:uid="{4FDAE289-8B12-4A9A-BE5F-FA3C5D245D52}"/>
    <cellStyle name="Euro 13 3 2" xfId="11357" xr:uid="{43AD7B03-8963-44C2-8468-FF4C2AF5D1C2}"/>
    <cellStyle name="Euro 13 4" xfId="11358" xr:uid="{9E9A9DA7-6350-4DCE-85A3-512555C6D8A5}"/>
    <cellStyle name="Euro 14" xfId="11359" xr:uid="{B9733AB7-110E-4EDF-8E87-46FA76B7AD19}"/>
    <cellStyle name="Euro 14 2" xfId="11360" xr:uid="{CBCA8953-B97E-43CD-BA03-7EDCCC68EF48}"/>
    <cellStyle name="Euro 14 2 2" xfId="11361" xr:uid="{CB08CEE4-AB98-4FFA-AE18-49C463C08966}"/>
    <cellStyle name="Euro 14 3" xfId="11362" xr:uid="{D2A620B1-B147-486D-BF42-0BEC4F6EDD3B}"/>
    <cellStyle name="Euro 14 3 2" xfId="11363" xr:uid="{57FEE9FF-DF8A-498E-B687-89968795BD7D}"/>
    <cellStyle name="Euro 14 4" xfId="11364" xr:uid="{38E45694-90B9-4DF9-AD29-A03B896CE767}"/>
    <cellStyle name="Euro 15" xfId="11365" xr:uid="{B2A48B50-06D9-462A-940D-2828120F021E}"/>
    <cellStyle name="Euro 15 2" xfId="11366" xr:uid="{5571B20B-1394-4740-8CD9-D3BC5315770C}"/>
    <cellStyle name="Euro 15 2 2" xfId="11367" xr:uid="{9331CF34-3E78-49B3-892F-DF53F7127FB2}"/>
    <cellStyle name="Euro 15 3" xfId="11368" xr:uid="{A89753F7-D2C3-4777-B238-B166C9D2D776}"/>
    <cellStyle name="Euro 15 3 2" xfId="11369" xr:uid="{7959A8F9-80DB-4A08-A1B7-06D4382A837A}"/>
    <cellStyle name="Euro 15 4" xfId="11370" xr:uid="{76574D16-A024-43F4-9A16-1F756F651AE8}"/>
    <cellStyle name="Euro 16" xfId="11371" xr:uid="{ED1D3344-9400-4CAE-990C-C61DEF9852CB}"/>
    <cellStyle name="Euro 16 2" xfId="11372" xr:uid="{D4B46DB5-25BF-4BD2-8B47-6044494FFF18}"/>
    <cellStyle name="Euro 16 2 2" xfId="11373" xr:uid="{D6803590-AED3-4378-8504-866CA8AFC322}"/>
    <cellStyle name="Euro 16 3" xfId="11374" xr:uid="{BA0A6C69-98DB-4A1F-B6C0-219CF66B5EA9}"/>
    <cellStyle name="Euro 16 3 2" xfId="11375" xr:uid="{4DEA922B-CFB6-44E1-A7AC-BFDADF6505D9}"/>
    <cellStyle name="Euro 16 4" xfId="11376" xr:uid="{FD3FA15F-93CE-4527-8EFB-146061E90827}"/>
    <cellStyle name="Euro 17" xfId="11377" xr:uid="{B506E639-F608-451A-B0CB-766AFD775B04}"/>
    <cellStyle name="Euro 17 2" xfId="11378" xr:uid="{0404EA92-EE77-4C5D-85A6-55979F93B173}"/>
    <cellStyle name="Euro 17 2 2" xfId="11379" xr:uid="{DB8C86F4-74EF-46CB-B544-A6013438995B}"/>
    <cellStyle name="Euro 17 3" xfId="11380" xr:uid="{E031D71B-58A3-429E-9E70-1F765CCF790D}"/>
    <cellStyle name="Euro 17 3 2" xfId="11381" xr:uid="{CFFA8F18-B27B-49F9-B6F8-BD8100FEC9DB}"/>
    <cellStyle name="Euro 17 4" xfId="11382" xr:uid="{B4FF82E4-008B-43E5-820C-7B16AC3732B0}"/>
    <cellStyle name="Euro 18" xfId="11383" xr:uid="{361A276B-319D-4BB1-88EA-9F7AF31C7C14}"/>
    <cellStyle name="Euro 18 2" xfId="11384" xr:uid="{852E302B-616B-460E-9BBC-E01F410DAC96}"/>
    <cellStyle name="Euro 18 2 2" xfId="11385" xr:uid="{99C57686-FEC9-4858-A0F0-3C461B0F71E3}"/>
    <cellStyle name="Euro 18 3" xfId="11386" xr:uid="{6B3D1582-8128-4DBE-8E12-BE3BCA0FA5B0}"/>
    <cellStyle name="Euro 18 3 2" xfId="11387" xr:uid="{D3E76E3F-6B2C-42AD-87BE-3648CCF76823}"/>
    <cellStyle name="Euro 18 4" xfId="11388" xr:uid="{71F4DC64-1981-46A0-94F9-36108B054612}"/>
    <cellStyle name="Euro 19" xfId="11389" xr:uid="{30D597A7-D48D-41B3-8F75-A8CBFE928266}"/>
    <cellStyle name="Euro 19 2" xfId="11390" xr:uid="{BE058B52-2940-44C3-B6F5-F2CA9C02DB5C}"/>
    <cellStyle name="Euro 19 2 2" xfId="11391" xr:uid="{CF596F56-B4E0-497C-BA71-5815255C3B9D}"/>
    <cellStyle name="Euro 19 3" xfId="11392" xr:uid="{695FF7D0-07A4-4E70-B98B-66245F9C99D3}"/>
    <cellStyle name="Euro 2" xfId="31" xr:uid="{00000000-0005-0000-0000-000009000000}"/>
    <cellStyle name="Euro 2 2" xfId="78" xr:uid="{00000000-0005-0000-0000-00000A000000}"/>
    <cellStyle name="Euro 2 2 2" xfId="11395" xr:uid="{3803E8BA-1698-40EC-9051-04FE60C3EA4D}"/>
    <cellStyle name="Euro 2 2 3" xfId="11396" xr:uid="{90CC0B77-0EFB-4CC1-85B4-0AAD14F2EE1F}"/>
    <cellStyle name="Euro 2 2 4" xfId="11394" xr:uid="{24CDFB98-823D-4FB8-B3F6-5253EE53006B}"/>
    <cellStyle name="Euro 2 3" xfId="110" xr:uid="{263EB873-2085-4670-9128-AB43855B0E43}"/>
    <cellStyle name="Euro 2 3 2" xfId="11398" xr:uid="{F9F8F303-03EE-4698-8C11-3FC7E1BEDBAE}"/>
    <cellStyle name="Euro 2 3 3" xfId="11397" xr:uid="{CFF8585A-D093-4004-8B83-D1367B5B08CC}"/>
    <cellStyle name="Euro 2 4" xfId="153" xr:uid="{3A1409D7-8E5D-4795-84E5-54EC5A8E47B5}"/>
    <cellStyle name="Euro 2 4 2" xfId="11399" xr:uid="{E6590A45-4FFF-4849-A317-930B087AFF9D}"/>
    <cellStyle name="Euro 2 5" xfId="158" xr:uid="{8EDD287E-A130-41D8-8592-085FB7754245}"/>
    <cellStyle name="Euro 2 5 2" xfId="11400" xr:uid="{53C0D07A-961A-44EB-A44D-9664CBA625DB}"/>
    <cellStyle name="Euro 2 6" xfId="183" xr:uid="{116101E3-75B1-4BD0-9F76-FF0342CA2F70}"/>
    <cellStyle name="Euro 2 7" xfId="11401" xr:uid="{F7A9EDDE-376F-46A6-B9B6-EE85FB5A7D3B}"/>
    <cellStyle name="Euro 2 8" xfId="11402" xr:uid="{AD28FBE5-BF01-45D6-B487-76B2693CE629}"/>
    <cellStyle name="Euro 2 9" xfId="11393" xr:uid="{3BBFC454-183E-447B-84E6-2A2DA3AC8C65}"/>
    <cellStyle name="Euro 20" xfId="11403" xr:uid="{8CF17B49-0BAB-4BD4-B954-09B1DB00F4AE}"/>
    <cellStyle name="Euro 20 2" xfId="11404" xr:uid="{72262FE5-BA53-4EE3-AE83-1CED6EDE7E4A}"/>
    <cellStyle name="Euro 20 2 2" xfId="11405" xr:uid="{00E79CB8-67D7-4526-9026-59E85F404CF9}"/>
    <cellStyle name="Euro 20 3" xfId="11406" xr:uid="{8A708A38-BD4B-4C41-9E5A-0FDC19E43728}"/>
    <cellStyle name="Euro 21" xfId="11407" xr:uid="{99CB85CC-796C-440E-BA07-AEB03593C211}"/>
    <cellStyle name="Euro 21 2" xfId="11408" xr:uid="{013FCE27-FAC5-47F8-8011-883930C7F431}"/>
    <cellStyle name="Euro 21 2 2" xfId="11409" xr:uid="{3AA848AD-112C-4652-84BE-5E8AAB873385}"/>
    <cellStyle name="Euro 21 3" xfId="11410" xr:uid="{8677308A-C545-4984-B217-A2FA013305A0}"/>
    <cellStyle name="Euro 22" xfId="11411" xr:uid="{30BDA01C-B417-47A2-B354-B15EB4C8B1C1}"/>
    <cellStyle name="Euro 22 2" xfId="11412" xr:uid="{609A1B3C-EA5F-431F-BF35-25807CA137CA}"/>
    <cellStyle name="Euro 22 2 2" xfId="11413" xr:uid="{FBE5C210-D32F-4448-935F-138145021771}"/>
    <cellStyle name="Euro 22 3" xfId="11414" xr:uid="{A58B7F64-D7E6-460B-B66B-3FAC6095D931}"/>
    <cellStyle name="Euro 23" xfId="11415" xr:uid="{4639E5EC-3D71-463D-B1BA-3C69BB3AE82C}"/>
    <cellStyle name="Euro 23 2" xfId="11416" xr:uid="{29558BEE-E276-4CC6-AB17-C2C1B33F97A5}"/>
    <cellStyle name="Euro 23 2 2" xfId="11417" xr:uid="{4D5EA481-FCAD-4D22-B5CE-BB3F43C56977}"/>
    <cellStyle name="Euro 23 3" xfId="11418" xr:uid="{B918C00D-9307-4117-90CC-8191AC373ADB}"/>
    <cellStyle name="Euro 24" xfId="11419" xr:uid="{140312B5-3198-43A6-916D-D7BCD1041FA4}"/>
    <cellStyle name="Euro 24 2" xfId="11420" xr:uid="{5B84131F-276D-4411-B916-13DC81F2000A}"/>
    <cellStyle name="Euro 24 2 2" xfId="11421" xr:uid="{3BFD10B6-177C-47E1-83A4-94C8840A19E7}"/>
    <cellStyle name="Euro 24 3" xfId="11422" xr:uid="{FF595908-7D4C-494B-BB97-6C5075FE65C6}"/>
    <cellStyle name="Euro 25" xfId="11423" xr:uid="{E68422C5-8E35-44E0-8D0E-1CFEFDEA4B7C}"/>
    <cellStyle name="Euro 25 2" xfId="11424" xr:uid="{7B06F046-8C93-484B-9F18-A55CD2C64CB4}"/>
    <cellStyle name="Euro 25 2 2" xfId="11425" xr:uid="{5B86400C-9341-4654-9326-3E44C56B7F6B}"/>
    <cellStyle name="Euro 25 3" xfId="11426" xr:uid="{884A181A-C871-4552-9FEA-1986D7A088CA}"/>
    <cellStyle name="Euro 26" xfId="11427" xr:uid="{01DA2762-0CC2-42EB-9D28-BF345923422F}"/>
    <cellStyle name="Euro 26 2" xfId="11428" xr:uid="{12B7E5AC-07D7-43F0-BFB7-03644EF9334D}"/>
    <cellStyle name="Euro 26 2 2" xfId="11429" xr:uid="{E990F333-2E8A-41A5-B9FE-B6E7D7FE6DFB}"/>
    <cellStyle name="Euro 26 3" xfId="11430" xr:uid="{D76499BF-ED1E-4366-ABF0-F392C7776D34}"/>
    <cellStyle name="Euro 27" xfId="11431" xr:uid="{D2FC192E-5716-41A3-BF64-6DF66E9DBCAE}"/>
    <cellStyle name="Euro 27 2" xfId="11432" xr:uid="{5F4CC4D6-E705-4A50-89F9-8B069F097400}"/>
    <cellStyle name="Euro 27 2 2" xfId="11433" xr:uid="{15A7F45B-3A61-4B60-AB9D-9CE9F2C3A4D6}"/>
    <cellStyle name="Euro 27 3" xfId="11434" xr:uid="{70B55102-1856-404E-BC9D-2F49E11A807E}"/>
    <cellStyle name="Euro 28" xfId="11435" xr:uid="{CC6A51E6-9BB2-41FE-A9B6-B186B30F2459}"/>
    <cellStyle name="Euro 28 2" xfId="11436" xr:uid="{4E1A33C1-776C-4F42-B2AA-33A2CD157E48}"/>
    <cellStyle name="Euro 28 2 2" xfId="11437" xr:uid="{A29E7D90-EFD4-4402-B5EC-7F498695E18C}"/>
    <cellStyle name="Euro 28 3" xfId="11438" xr:uid="{9BBA683B-2864-4218-9138-3A54DCE60A51}"/>
    <cellStyle name="Euro 29" xfId="11439" xr:uid="{D03F4500-F4DC-454E-95A8-5B58738FC3A3}"/>
    <cellStyle name="Euro 29 2" xfId="11440" xr:uid="{00C05AE2-BAC2-4F03-A7E6-08A95D5788A4}"/>
    <cellStyle name="Euro 29 2 2" xfId="11441" xr:uid="{3C85C2B2-1E4C-4DA4-AB39-DFB350DCE629}"/>
    <cellStyle name="Euro 29 3" xfId="11442" xr:uid="{8DC06660-6B4C-43D3-B821-647E791F18F6}"/>
    <cellStyle name="Euro 3" xfId="51" xr:uid="{00000000-0005-0000-0000-00000B000000}"/>
    <cellStyle name="Euro 3 2" xfId="11444" xr:uid="{F8D590BE-61FD-4B5F-A04A-D973F0A6B0BE}"/>
    <cellStyle name="Euro 3 2 2" xfId="11445" xr:uid="{F71CEC93-6592-4465-8A12-EE8D41039B1C}"/>
    <cellStyle name="Euro 3 3" xfId="11446" xr:uid="{842EAA3B-BE36-4D54-9448-BF4A1B705C3A}"/>
    <cellStyle name="Euro 3 3 2" xfId="11447" xr:uid="{B419D03D-E295-4B84-A87B-BFD7262F63D0}"/>
    <cellStyle name="Euro 3 4" xfId="11448" xr:uid="{59E0D981-F74D-4B2A-8B6C-E308E432C2AE}"/>
    <cellStyle name="Euro 3 5" xfId="11449" xr:uid="{BEEC1FCC-A5B9-4443-A51E-69E39DE1FBB8}"/>
    <cellStyle name="Euro 3 6" xfId="11450" xr:uid="{C6D8EBE8-209B-4714-ABEE-FD79395E9B8D}"/>
    <cellStyle name="Euro 3 7" xfId="11451" xr:uid="{D26A9443-1DD4-4A0D-9824-876F823DB4DF}"/>
    <cellStyle name="Euro 3 8" xfId="11452" xr:uid="{B243948A-C701-41CA-9343-3ED91C6B639D}"/>
    <cellStyle name="Euro 3 9" xfId="11443" xr:uid="{A85B1EDA-3975-4545-AE62-51C1CF4006AA}"/>
    <cellStyle name="Euro 30" xfId="11453" xr:uid="{15227D85-8495-4922-BFAE-CA04AD0DAD7D}"/>
    <cellStyle name="Euro 30 2" xfId="11454" xr:uid="{964780A6-0DF3-4C24-B90B-8D2049444E66}"/>
    <cellStyle name="Euro 30 2 2" xfId="11455" xr:uid="{4F751A9E-E563-4264-9FB0-50F4ECBF3062}"/>
    <cellStyle name="Euro 30 3" xfId="11456" xr:uid="{77C4FFD4-FDB5-48B6-A007-FEE466E12650}"/>
    <cellStyle name="Euro 31" xfId="11457" xr:uid="{47FD0C37-0FEC-484C-B04C-335676D9433E}"/>
    <cellStyle name="Euro 31 2" xfId="11458" xr:uid="{910EE367-A965-4B33-A554-AC1869E9F81F}"/>
    <cellStyle name="Euro 31 2 2" xfId="11459" xr:uid="{7CEDBA06-5560-43EB-B520-87542475EBB9}"/>
    <cellStyle name="Euro 31 3" xfId="11460" xr:uid="{E3D88EBA-9AB7-4DE0-B7F5-1AA805FBA31F}"/>
    <cellStyle name="Euro 32" xfId="11461" xr:uid="{7391E2B9-E1A4-49D9-9408-B42272C61580}"/>
    <cellStyle name="Euro 32 2" xfId="11462" xr:uid="{3024098F-E4AC-45FB-930E-0168B42CAB17}"/>
    <cellStyle name="Euro 32 2 2" xfId="11463" xr:uid="{26E50220-D0C6-4B46-AC18-9DFFCE1D2514}"/>
    <cellStyle name="Euro 32 3" xfId="11464" xr:uid="{B5BF7C75-E8ED-4246-8C3B-419C3AC2F956}"/>
    <cellStyle name="Euro 33" xfId="11465" xr:uid="{E9E9D4E6-E63A-4743-B1E3-3AE6D5BB3F71}"/>
    <cellStyle name="Euro 33 2" xfId="11466" xr:uid="{F5B0305B-9841-4B32-99ED-B3CA1F8AD31B}"/>
    <cellStyle name="Euro 33 2 2" xfId="11467" xr:uid="{FEE05664-C783-4D9C-B893-5DF34E298208}"/>
    <cellStyle name="Euro 33 3" xfId="11468" xr:uid="{20542B75-B7EA-4FFC-9E16-045504D4C4B1}"/>
    <cellStyle name="Euro 34" xfId="11469" xr:uid="{30BD9A2E-5D4B-4BC3-809A-43ED4AD3CB1D}"/>
    <cellStyle name="Euro 34 2" xfId="11470" xr:uid="{D1FC4478-ADD1-4501-AEBF-3A73A489ED2E}"/>
    <cellStyle name="Euro 34 2 2" xfId="11471" xr:uid="{5DA4EEFE-EB70-4F3C-AF9C-BC25E9B452A7}"/>
    <cellStyle name="Euro 34 3" xfId="11472" xr:uid="{815D5F77-4EEC-4B15-A3F6-7B7F4838EB02}"/>
    <cellStyle name="Euro 35" xfId="11473" xr:uid="{D133731D-F462-4637-AE5B-FB352B7D2C7C}"/>
    <cellStyle name="Euro 35 2" xfId="11474" xr:uid="{D2E90A41-ED76-43CD-98FF-B421185A7F92}"/>
    <cellStyle name="Euro 35 2 2" xfId="11475" xr:uid="{A386A88D-6692-4343-863D-A4FE89BFB2B9}"/>
    <cellStyle name="Euro 35 3" xfId="11476" xr:uid="{38F6F2B3-914F-45AE-BE78-E93DEDB25AAC}"/>
    <cellStyle name="Euro 36" xfId="11477" xr:uid="{EEB0AF8D-42D3-40A4-96A9-631F1E9D3BFA}"/>
    <cellStyle name="Euro 36 2" xfId="11478" xr:uid="{73C52A59-6499-4337-8F23-6F4B6BF2A4A1}"/>
    <cellStyle name="Euro 36 2 2" xfId="11479" xr:uid="{87BC9137-ED17-4B0F-932E-93046E240EDE}"/>
    <cellStyle name="Euro 36 3" xfId="11480" xr:uid="{A00312AA-FC15-4E3E-B101-36344A5F69FE}"/>
    <cellStyle name="Euro 37" xfId="11481" xr:uid="{81A46398-7865-4040-81DE-21FF085FEAE2}"/>
    <cellStyle name="Euro 37 2" xfId="11482" xr:uid="{37349A25-E325-4B38-BFD5-41EDDA855C26}"/>
    <cellStyle name="Euro 38" xfId="11483" xr:uid="{DEA18FC6-11F1-4F83-B70D-59054EE8CAC0}"/>
    <cellStyle name="Euro 38 2" xfId="11484" xr:uid="{299D3A87-47F4-4A86-8574-AC3166F43454}"/>
    <cellStyle name="Euro 39" xfId="11485" xr:uid="{2CA5B059-76EE-4D64-BAE3-94234BA68DE4}"/>
    <cellStyle name="Euro 39 2" xfId="11486" xr:uid="{A0C862A4-655B-4B27-9F46-7FE444B44003}"/>
    <cellStyle name="Euro 4" xfId="109" xr:uid="{C3DFFFFA-AE9F-465C-8781-BFBC72AF9DC0}"/>
    <cellStyle name="Euro 4 2" xfId="11488" xr:uid="{3A50D05D-1F8F-4A4E-B8F4-6DCCCCE0409B}"/>
    <cellStyle name="Euro 4 2 2" xfId="11489" xr:uid="{B29D55C7-E7A1-4D86-B978-5415CD99B4A3}"/>
    <cellStyle name="Euro 4 3" xfId="11490" xr:uid="{63C3732A-A7B3-4E2E-86F0-33A49CAF054F}"/>
    <cellStyle name="Euro 4 3 2" xfId="11491" xr:uid="{E268FB44-7E66-4CBB-8161-90C9BEE8E61F}"/>
    <cellStyle name="Euro 4 4" xfId="11492" xr:uid="{AE185495-D228-43AA-9AF1-86DD526B594E}"/>
    <cellStyle name="Euro 4 5" xfId="11493" xr:uid="{46F4A347-E318-400D-9792-14F612B01625}"/>
    <cellStyle name="Euro 4 6" xfId="11494" xr:uid="{6D492167-94BD-482D-9024-F142D91035FD}"/>
    <cellStyle name="Euro 4 7" xfId="11495" xr:uid="{1E52F14E-F089-4373-A230-60F31849F56A}"/>
    <cellStyle name="Euro 4 8" xfId="11496" xr:uid="{AB98B3DE-18F3-46E4-91B9-042AA3FE3BB7}"/>
    <cellStyle name="Euro 4 9" xfId="11487" xr:uid="{30FBDB1A-E71F-4A75-B07C-B2471006971A}"/>
    <cellStyle name="Euro 40" xfId="11497" xr:uid="{A77B4285-0057-430E-8795-51BD7755D677}"/>
    <cellStyle name="Euro 40 2" xfId="11498" xr:uid="{EEFD612E-FCF4-4B76-9EA9-CD4DE52CAB60}"/>
    <cellStyle name="Euro 41" xfId="11499" xr:uid="{717BAF2C-3A62-42AD-B1E5-1B186C328BFF}"/>
    <cellStyle name="Euro 41 2" xfId="11500" xr:uid="{8423403F-4FAE-417B-8D52-9847A649B1EE}"/>
    <cellStyle name="Euro 42" xfId="11501" xr:uid="{46E6BF11-3ECA-4E18-9184-033ECEB9D148}"/>
    <cellStyle name="Euro 42 2" xfId="11502" xr:uid="{76445402-2F8B-40DF-B711-0A40D36AE05B}"/>
    <cellStyle name="Euro 43" xfId="11503" xr:uid="{73CB446A-85EB-456F-9484-2C4C4BC0E2EB}"/>
    <cellStyle name="Euro 43 2" xfId="11504" xr:uid="{12126854-67E5-47F4-B3BB-CC7EDBEE83E6}"/>
    <cellStyle name="Euro 44" xfId="11505" xr:uid="{BD33A54E-8AC1-4DF5-B2E1-BEFF8D8246DD}"/>
    <cellStyle name="Euro 44 2" xfId="11506" xr:uid="{B3D9E1A9-015F-4950-B9F9-E96B0AA098A1}"/>
    <cellStyle name="Euro 45" xfId="11507" xr:uid="{88A77A09-BEAC-46A3-9B06-0E3BA9E25B62}"/>
    <cellStyle name="Euro 45 2" xfId="11508" xr:uid="{8564BA9F-DAE5-44F9-8C3F-BA662AFF1B2F}"/>
    <cellStyle name="Euro 46" xfId="11509" xr:uid="{95DF1928-058D-4BF8-96A8-08797B0DB1B9}"/>
    <cellStyle name="Euro 46 2" xfId="11510" xr:uid="{42AD0DEB-EAA5-48F9-A707-FAE5AFA86EFE}"/>
    <cellStyle name="Euro 47" xfId="11511" xr:uid="{F98E769E-76B9-450E-96A6-569F94D4535B}"/>
    <cellStyle name="Euro 47 2" xfId="11512" xr:uid="{E79D966D-7E52-4EE5-97EB-09C1145CD35B}"/>
    <cellStyle name="Euro 48" xfId="11513" xr:uid="{8E18AEDF-2EF5-49A8-9394-F9C8F612135A}"/>
    <cellStyle name="Euro 48 2" xfId="11514" xr:uid="{90063606-70B1-48FA-B25E-7C91E1259950}"/>
    <cellStyle name="Euro 49" xfId="11515" xr:uid="{779E246D-1EAB-4F8F-925E-3AC86075D915}"/>
    <cellStyle name="Euro 49 2" xfId="11516" xr:uid="{A048B827-CBB7-4161-B79B-C3BE91C030E1}"/>
    <cellStyle name="Euro 5" xfId="152" xr:uid="{4474DD4E-26ED-4B23-9224-9F3E0434B585}"/>
    <cellStyle name="Euro 5 2" xfId="11518" xr:uid="{CB44D07F-767C-4468-8BFE-A6FE4355023A}"/>
    <cellStyle name="Euro 5 2 2" xfId="11519" xr:uid="{1D7ECC65-1BD2-407A-B917-F7DE503688C8}"/>
    <cellStyle name="Euro 5 3" xfId="11520" xr:uid="{DB72513F-CAB1-43D6-B74A-D909E5A01159}"/>
    <cellStyle name="Euro 5 3 2" xfId="11521" xr:uid="{11D5FBDD-64E3-4E13-B212-E91013D41E0C}"/>
    <cellStyle name="Euro 5 4" xfId="11522" xr:uid="{B6017B80-5849-4F57-88F7-9D7C35E13EC7}"/>
    <cellStyle name="Euro 5 5" xfId="11523" xr:uid="{2E26BEEE-2564-4A0D-BFF2-CEC55F8A0E5F}"/>
    <cellStyle name="Euro 5 6" xfId="11524" xr:uid="{372B5E30-7315-4D22-A456-711E3F31247E}"/>
    <cellStyle name="Euro 5 7" xfId="11525" xr:uid="{C2231627-439F-4A7C-A6F9-94244EC12AE3}"/>
    <cellStyle name="Euro 5 8" xfId="11517" xr:uid="{C15B0C77-E14A-487A-B047-089103149ABB}"/>
    <cellStyle name="Euro 50" xfId="11526" xr:uid="{5F532943-DC81-49F6-869B-329ED1783CAD}"/>
    <cellStyle name="Euro 50 2" xfId="11527" xr:uid="{B48D5B0E-F07C-4B03-9E95-A5791E560CD1}"/>
    <cellStyle name="Euro 51" xfId="11528" xr:uid="{2AE3FC16-7F9E-4242-A816-E169811569D1}"/>
    <cellStyle name="Euro 51 2" xfId="11529" xr:uid="{A9451000-8287-42D2-A9A6-55E985CE2BD9}"/>
    <cellStyle name="Euro 52" xfId="11530" xr:uid="{9CF898DE-0D45-4CFB-86F9-60692C4B1735}"/>
    <cellStyle name="Euro 52 2" xfId="11531" xr:uid="{C7845CA4-45F6-406F-8668-813FBCDDBE04}"/>
    <cellStyle name="Euro 53" xfId="11532" xr:uid="{2343A66A-177B-4420-B987-D8F2F773FEAD}"/>
    <cellStyle name="Euro 53 2" xfId="11533" xr:uid="{4EF65F2C-C3BA-48D2-B687-689F25D39282}"/>
    <cellStyle name="Euro 54" xfId="11534" xr:uid="{6AFD7E0D-8B8A-4838-8A8D-70BE892B8583}"/>
    <cellStyle name="Euro 54 2" xfId="11535" xr:uid="{57B1079F-5A60-47FB-8031-6DC7A063630C}"/>
    <cellStyle name="Euro 55" xfId="11536" xr:uid="{5EC6145C-0A2A-4BE0-9434-ADBAD150348F}"/>
    <cellStyle name="Euro 55 2" xfId="11537" xr:uid="{9D73B3AE-0F01-479C-A309-3461EFC5EA14}"/>
    <cellStyle name="Euro 55 2 2" xfId="11538" xr:uid="{39DD9A78-21BB-4D8F-BF94-2C63191F3DD2}"/>
    <cellStyle name="Euro 55 3" xfId="11539" xr:uid="{9F877E1A-706E-49EB-89DD-AFF883BA8341}"/>
    <cellStyle name="Euro 55 3 2" xfId="11540" xr:uid="{8071996F-D56D-44BA-9498-D27D45D2175D}"/>
    <cellStyle name="Euro 55 4" xfId="11541" xr:uid="{ABF85EB9-197A-4D89-A706-061ED5186FD2}"/>
    <cellStyle name="Euro 56" xfId="11542" xr:uid="{795D54E5-454D-4C86-A4BE-E87F5F9B5E3C}"/>
    <cellStyle name="Euro 56 2" xfId="11543" xr:uid="{A931E1D7-3418-49F4-B915-D74135E80B77}"/>
    <cellStyle name="Euro 56 3" xfId="11544" xr:uid="{1036DAAE-2D7C-4B11-AB4F-67B09DB45428}"/>
    <cellStyle name="Euro 57" xfId="11545" xr:uid="{53FFC08D-A3FD-4A3B-A3E3-E8BF065F088C}"/>
    <cellStyle name="Euro 57 2" xfId="11546" xr:uid="{4EE8D6A4-71D7-4F56-AF35-E23162B54E81}"/>
    <cellStyle name="Euro 57 3" xfId="11547" xr:uid="{E2D69DB2-6AA9-4EAB-ADDD-AAD4B91726D5}"/>
    <cellStyle name="Euro 58" xfId="11548" xr:uid="{71F7F50C-52C3-421C-8E15-D3DD1B141A7B}"/>
    <cellStyle name="Euro 58 2" xfId="11549" xr:uid="{4051DBF3-206E-40CA-BCD3-9F70F9B53924}"/>
    <cellStyle name="Euro 59" xfId="11550" xr:uid="{40F6C914-A80C-48FD-A719-C9E5F1C93972}"/>
    <cellStyle name="Euro 59 2" xfId="11551" xr:uid="{FDB97310-0912-4148-B4EC-8D3744E277C7}"/>
    <cellStyle name="Euro 6" xfId="157" xr:uid="{AE2843A9-634F-4B76-921F-57CDCE6C862C}"/>
    <cellStyle name="Euro 6 2" xfId="11553" xr:uid="{08D9A700-3ACC-4A42-9F85-689909F43468}"/>
    <cellStyle name="Euro 6 2 2" xfId="11554" xr:uid="{A37A1BD3-1F76-44FC-8B5B-3BB80CCE3691}"/>
    <cellStyle name="Euro 6 3" xfId="11555" xr:uid="{1B36EB1C-BA1E-420B-BFFF-1291204D92BF}"/>
    <cellStyle name="Euro 6 3 2" xfId="11556" xr:uid="{631E6BA0-25FA-4707-BA26-D89E9BF7D3CE}"/>
    <cellStyle name="Euro 6 4" xfId="11557" xr:uid="{E2D5C246-5926-4081-A8A3-CDC7D22401CC}"/>
    <cellStyle name="Euro 6 5" xfId="11558" xr:uid="{EE9056F1-82CF-4BC5-BECA-2A94E2C2EE22}"/>
    <cellStyle name="Euro 6 6" xfId="11559" xr:uid="{6CF10514-32BB-4784-A3FC-C90BDC57D945}"/>
    <cellStyle name="Euro 6 7" xfId="11560" xr:uid="{8F966587-4B7D-46AD-9E02-93CFE434D5C8}"/>
    <cellStyle name="Euro 6 8" xfId="11552" xr:uid="{A9C65F17-6D12-472A-875D-374EB13697E0}"/>
    <cellStyle name="Euro 60" xfId="11334" xr:uid="{6127D914-2714-462C-8867-3328CC51B4BA}"/>
    <cellStyle name="Euro 7" xfId="182" xr:uid="{A3B7B93F-D062-44DD-866D-9CDFE560FF5B}"/>
    <cellStyle name="Euro 7 2" xfId="11562" xr:uid="{82448BF3-6086-4202-A2F9-44A1D569908D}"/>
    <cellStyle name="Euro 7 2 2" xfId="11563" xr:uid="{588A95CC-67D3-4280-BE39-DB383B5E5661}"/>
    <cellStyle name="Euro 7 3" xfId="11564" xr:uid="{D29E1862-B319-481C-A073-D15BC1C453F2}"/>
    <cellStyle name="Euro 7 3 2" xfId="11565" xr:uid="{D1AE3940-66EF-4F8E-8F1E-DFFF7364D094}"/>
    <cellStyle name="Euro 7 4" xfId="11566" xr:uid="{91826E3E-27F7-4227-A5C8-AFDA36F67C53}"/>
    <cellStyle name="Euro 7 5" xfId="11561" xr:uid="{41F88456-044A-4772-8A5A-9DDAFA59FA9F}"/>
    <cellStyle name="Euro 8" xfId="11567" xr:uid="{19B1EB04-5F7E-4EB9-8A0F-873FB7CD0632}"/>
    <cellStyle name="Euro 8 2" xfId="11568" xr:uid="{23E55034-1874-410F-BC33-227B0BED0868}"/>
    <cellStyle name="Euro 8 2 2" xfId="11569" xr:uid="{13335DAC-6221-41DE-9224-597387590372}"/>
    <cellStyle name="Euro 8 3" xfId="11570" xr:uid="{28C9A29A-6497-41AA-AC4E-AD2756FC3B80}"/>
    <cellStyle name="Euro 8 3 2" xfId="11571" xr:uid="{4013F326-9E76-4703-AFC7-B00C64A7E2FB}"/>
    <cellStyle name="Euro 8 4" xfId="11572" xr:uid="{F6FAAFF6-7954-4C73-BE5F-57BE1D193E7E}"/>
    <cellStyle name="Euro 9" xfId="11573" xr:uid="{6FC53E9C-B806-4812-95A9-F15833E78BB2}"/>
    <cellStyle name="Euro 9 2" xfId="11574" xr:uid="{42C34DD0-AAD4-4436-AB05-53FB17721D06}"/>
    <cellStyle name="Euro 9 2 2" xfId="11575" xr:uid="{107AE6BE-BD75-4EA5-914D-2E7828126515}"/>
    <cellStyle name="Euro 9 3" xfId="11576" xr:uid="{8798454F-B71D-404D-B4D1-95BFC53BE430}"/>
    <cellStyle name="Euro 9 3 2" xfId="11577" xr:uid="{4C3CDAB7-1ADE-4FF3-9A6B-2042030A8120}"/>
    <cellStyle name="Euro 9 4" xfId="11578" xr:uid="{A91855BC-C220-4289-BB1D-EFF064D5DEB7}"/>
    <cellStyle name="Euro_Classeur1" xfId="11579" xr:uid="{27EF2555-DA9D-4068-81A9-B02BD7251C9A}"/>
    <cellStyle name="Explanatory Text" xfId="126" builtinId="53" customBuiltin="1"/>
    <cellStyle name="Explanatory Text 10" xfId="11581" xr:uid="{3C1ACAF8-0FB1-4FA5-AD73-94A458D26721}"/>
    <cellStyle name="Explanatory Text 11" xfId="11582" xr:uid="{C5F40BCE-E5EC-4323-9121-81CAB64AE6F6}"/>
    <cellStyle name="Explanatory Text 12" xfId="11583" xr:uid="{C8433851-579A-40F0-84E1-F02EEB10E7CF}"/>
    <cellStyle name="Explanatory Text 13" xfId="11584" xr:uid="{0B9795B9-F983-45A4-A2A4-EF4534346EB1}"/>
    <cellStyle name="Explanatory Text 14" xfId="11585" xr:uid="{52905BDA-A3D6-48A8-BA70-6512AAEF801E}"/>
    <cellStyle name="Explanatory Text 15" xfId="11586" xr:uid="{642B1273-7AA9-4547-840E-9F15F6ED5DB7}"/>
    <cellStyle name="Explanatory Text 16" xfId="11587" xr:uid="{80509B02-4792-4B18-B534-275A98C2E867}"/>
    <cellStyle name="Explanatory Text 17" xfId="11588" xr:uid="{4C8112B6-CF7C-47C9-A69E-4CB997810714}"/>
    <cellStyle name="Explanatory Text 18" xfId="11589" xr:uid="{F327B21D-4F7E-47B1-AD4A-561EAAF9E7CF}"/>
    <cellStyle name="Explanatory Text 19" xfId="11590" xr:uid="{680566CC-3B36-4ED7-BF0F-E09822F05BDF}"/>
    <cellStyle name="Explanatory Text 2" xfId="11591" xr:uid="{61BAED61-48EF-4A91-915D-B68788523F31}"/>
    <cellStyle name="Explanatory Text 20" xfId="11592" xr:uid="{824886D3-DA02-4E2C-AD01-6489540481B4}"/>
    <cellStyle name="Explanatory Text 21" xfId="11593" xr:uid="{5A11F1E5-0288-4564-BD93-2B5E57FC8B6B}"/>
    <cellStyle name="Explanatory Text 22" xfId="11594" xr:uid="{937E2F9A-8E83-48A2-AD4A-5AFA146A9221}"/>
    <cellStyle name="Explanatory Text 23" xfId="11595" xr:uid="{CA59EDFA-165A-4FFA-9D16-36CC56EC7DE3}"/>
    <cellStyle name="Explanatory Text 24" xfId="11596" xr:uid="{4E3AA9C5-A837-43DF-8904-8401A820CE43}"/>
    <cellStyle name="Explanatory Text 25" xfId="11597" xr:uid="{7F3791BD-B6CC-4350-998C-C2A2A9CFB76C}"/>
    <cellStyle name="Explanatory Text 26" xfId="11598" xr:uid="{3CD7BC24-041A-4514-8C69-6058C39B152B}"/>
    <cellStyle name="Explanatory Text 27" xfId="11599" xr:uid="{CC8B691D-A809-4FAF-977C-2CC01CEF4BD7}"/>
    <cellStyle name="Explanatory Text 28" xfId="11600" xr:uid="{A1628EF2-F330-4F7D-A53E-1232BC0900E1}"/>
    <cellStyle name="Explanatory Text 29" xfId="11601" xr:uid="{43DB1BE4-B15D-4C1B-B752-186B309FB57C}"/>
    <cellStyle name="Explanatory Text 3" xfId="11602" xr:uid="{4955DD11-3EB3-4A24-BBDE-9726330849F5}"/>
    <cellStyle name="Explanatory Text 30" xfId="11603" xr:uid="{5E0CB892-6AA3-4312-9296-1C1EB4668B64}"/>
    <cellStyle name="Explanatory Text 31" xfId="11604" xr:uid="{AFB93072-98DC-4648-B9E8-2DF6DB554621}"/>
    <cellStyle name="Explanatory Text 32" xfId="11605" xr:uid="{AE1B5ADB-CDC4-42D2-8398-7F01267311C5}"/>
    <cellStyle name="Explanatory Text 33" xfId="11606" xr:uid="{6DADE1AC-3C2E-4037-85A5-E3390401CE61}"/>
    <cellStyle name="Explanatory Text 34" xfId="11580" xr:uid="{AD4C26FE-3301-40AA-ABFF-2414655261F4}"/>
    <cellStyle name="Explanatory Text 4" xfId="11607" xr:uid="{B00F4287-BF4E-4189-970D-8EEFBE5A448D}"/>
    <cellStyle name="Explanatory Text 5" xfId="11608" xr:uid="{63C4CEDF-A04F-41A0-AF13-BBF6035FDCB1}"/>
    <cellStyle name="Explanatory Text 6" xfId="11609" xr:uid="{62BD2DC1-5916-4E97-8E6F-C85977774356}"/>
    <cellStyle name="Explanatory Text 7" xfId="11610" xr:uid="{0245F806-7FF4-47EF-8866-139CEA5D252C}"/>
    <cellStyle name="Explanatory Text 8" xfId="11611" xr:uid="{4F3C9FFD-19A1-4AC3-A32D-4C2ED00EEDCE}"/>
    <cellStyle name="Explanatory Text 9" xfId="11612" xr:uid="{7A644598-B79C-4E1C-8A16-EC13D0E89BDF}"/>
    <cellStyle name="Footnote" xfId="11613" xr:uid="{4B898C58-9B2E-4D9C-8EA0-EFBBD79619B6}"/>
    <cellStyle name="Forecast" xfId="11614" xr:uid="{B880A6BB-F846-4646-9D24-30C8E8C12B04}"/>
    <cellStyle name="ForecastData" xfId="11615" xr:uid="{36016CD0-FA7F-42D4-94A0-812FBFEB5D42}"/>
    <cellStyle name="General" xfId="11616" xr:uid="{C526FC84-46AE-4A8B-956B-EBCDC8AB4CAA}"/>
    <cellStyle name="Good" xfId="117" builtinId="26" customBuiltin="1"/>
    <cellStyle name="Good 10" xfId="11618" xr:uid="{72A9C4F2-4820-425E-84CA-F9870FBEF256}"/>
    <cellStyle name="Good 11" xfId="11619" xr:uid="{F8E282F7-61D7-4269-A748-73E56501C414}"/>
    <cellStyle name="Good 12" xfId="11620" xr:uid="{798B1494-F8D9-4142-83CC-0A4A74469AC2}"/>
    <cellStyle name="Good 13" xfId="11621" xr:uid="{85DB11A7-CFF2-45A0-BA44-72C742445F61}"/>
    <cellStyle name="Good 14" xfId="11622" xr:uid="{5160BB4D-A179-4903-A742-6017E08437A4}"/>
    <cellStyle name="Good 15" xfId="11623" xr:uid="{E05452C9-88DB-4575-8A6D-01F512ACB6F6}"/>
    <cellStyle name="Good 16" xfId="11624" xr:uid="{13D11B6C-008F-41C4-9F18-DA631FCB0FD0}"/>
    <cellStyle name="Good 17" xfId="11625" xr:uid="{89BD4B70-CE83-4DE2-9609-517676955988}"/>
    <cellStyle name="Good 18" xfId="11626" xr:uid="{F5B1BCF2-4E0A-4107-B01E-AF9CBF42790F}"/>
    <cellStyle name="Good 19" xfId="11627" xr:uid="{8EFACD74-E6FB-4A0A-BFCF-A648C352E128}"/>
    <cellStyle name="Good 2" xfId="11628" xr:uid="{CDC64A07-C65A-4725-A3E7-30D98999BE96}"/>
    <cellStyle name="Good 20" xfId="11629" xr:uid="{1AB5A1DC-E3E2-42F8-B78A-CCF8C4A499D4}"/>
    <cellStyle name="Good 21" xfId="11630" xr:uid="{8FD1495B-F581-4148-8DD4-63F1D99D703A}"/>
    <cellStyle name="Good 22" xfId="11631" xr:uid="{A651A687-B331-4D11-94D9-948D16207B4F}"/>
    <cellStyle name="Good 23" xfId="11632" xr:uid="{04B4874B-4069-4CFE-94DA-76D9C930465B}"/>
    <cellStyle name="Good 24" xfId="11633" xr:uid="{B710CB88-5535-4F53-AAB5-4925964B484E}"/>
    <cellStyle name="Good 25" xfId="11634" xr:uid="{ABB195BD-64BF-4D3F-98E9-46100278FC59}"/>
    <cellStyle name="Good 26" xfId="11635" xr:uid="{F4F4A774-EBD6-49FA-A5FD-E903F37DAC28}"/>
    <cellStyle name="Good 27" xfId="11636" xr:uid="{24D24F68-5FEC-438A-A656-B3CF29C2502F}"/>
    <cellStyle name="Good 28" xfId="11637" xr:uid="{868B4099-7EC1-4729-B28A-D70F213E5010}"/>
    <cellStyle name="Good 29" xfId="11638" xr:uid="{00093ADD-793D-4BC2-92CC-D8240F9663EC}"/>
    <cellStyle name="Good 3" xfId="11639" xr:uid="{F1EF22F7-6602-4964-B2E1-3FD834ECCE7E}"/>
    <cellStyle name="Good 30" xfId="11640" xr:uid="{6E6F61B4-5961-4B05-9C11-922873462521}"/>
    <cellStyle name="Good 31" xfId="11641" xr:uid="{A37E3910-F10E-45DC-8C52-141E30959056}"/>
    <cellStyle name="Good 32" xfId="11642" xr:uid="{DF1F8CFA-22A3-4DCD-9B21-8C53BD6F9660}"/>
    <cellStyle name="Good 33" xfId="11643" xr:uid="{5AA1F03E-9368-4896-8288-CEDBDC064296}"/>
    <cellStyle name="Good 34" xfId="11644" xr:uid="{D47011C3-F57E-42F3-90DA-A88507227DEB}"/>
    <cellStyle name="Good 35" xfId="11617" xr:uid="{B1C229E0-27BA-4546-A43C-FF346FB0D2A4}"/>
    <cellStyle name="Good 4" xfId="11645" xr:uid="{339A81E7-61B0-46C7-BE95-73778AEF1570}"/>
    <cellStyle name="Good 5" xfId="11646" xr:uid="{89E59B2F-112B-45AD-AF76-F9A0E572FFE2}"/>
    <cellStyle name="Good 6" xfId="11647" xr:uid="{8AFAEC98-9FDE-4079-9A3E-7124D0D3054F}"/>
    <cellStyle name="Good 7" xfId="11648" xr:uid="{67CF94AF-D243-4A72-B80D-4C0D441EC926}"/>
    <cellStyle name="Good 8" xfId="11649" xr:uid="{458BCD64-C469-4895-8014-1625589BE799}"/>
    <cellStyle name="Good 9" xfId="11650" xr:uid="{B6457138-83B1-4D28-AF74-5B3AA3C887C5}"/>
    <cellStyle name="Grey" xfId="11651" xr:uid="{7AC7A3F9-72E6-4E4F-996E-9E9548940A61}"/>
    <cellStyle name="greyed" xfId="11652" xr:uid="{C7CE9E53-150B-4A16-AEBC-352F7B031825}"/>
    <cellStyle name="Gut" xfId="11653" xr:uid="{21F75052-7441-4A03-8E90-70D17FB32B7F}"/>
    <cellStyle name="Header1" xfId="11654" xr:uid="{B114C4D7-F96B-47E5-9F64-FB6562AD9391}"/>
    <cellStyle name="Header2" xfId="11655" xr:uid="{579FF791-F797-4EB3-BC0D-E71A67BEBCCB}"/>
    <cellStyle name="Heading" xfId="11656" xr:uid="{CCACFC9B-E8EA-44E8-9414-A30A127C7A0C}"/>
    <cellStyle name="Heading 1" xfId="113" builtinId="16" customBuiltin="1"/>
    <cellStyle name="Heading 1 2" xfId="11658" xr:uid="{02AB894C-4631-4B8D-8913-BDE2175078A3}"/>
    <cellStyle name="Heading 1 3" xfId="11659" xr:uid="{E77BA23D-04F9-4025-A17B-1236458D9266}"/>
    <cellStyle name="Heading 1 3 2" xfId="11660" xr:uid="{D05C582E-C9C8-4C89-B909-DDC6BFD75A49}"/>
    <cellStyle name="Heading 1 4" xfId="11661" xr:uid="{617FCBEA-D5EC-42AB-841A-7C12757D9EDF}"/>
    <cellStyle name="Heading 1 5" xfId="11662" xr:uid="{BAD41BCB-2A14-4A66-91DE-3FE043571B9B}"/>
    <cellStyle name="Heading 1 6" xfId="11657" xr:uid="{B55F6A9C-5260-4CFE-8E38-DA27197FD88E}"/>
    <cellStyle name="Heading 2" xfId="114" builtinId="17" customBuiltin="1"/>
    <cellStyle name="Heading 2 2" xfId="11664" xr:uid="{21FC7E21-CF7A-4F51-A2DA-4E2AE020D8AC}"/>
    <cellStyle name="Heading 2 2 2" xfId="11665" xr:uid="{AEEF7CBE-1851-4823-919A-0F526888B8B3}"/>
    <cellStyle name="Heading 2 3" xfId="11666" xr:uid="{F6201180-8C1C-4321-AAA8-64D724BE7DDF}"/>
    <cellStyle name="Heading 2 4" xfId="11667" xr:uid="{C95D089F-83F1-4032-A1C2-39E55CC7F289}"/>
    <cellStyle name="Heading 2 5" xfId="11668" xr:uid="{A626BC4F-6919-4C59-94CF-6E4572ED9172}"/>
    <cellStyle name="Heading 2 6" xfId="11663" xr:uid="{05A26F3C-F552-4774-AA94-6985A03B61EF}"/>
    <cellStyle name="Heading 3" xfId="115" builtinId="18" customBuiltin="1"/>
    <cellStyle name="Heading 3 2" xfId="11670" xr:uid="{99981696-05DD-4283-A659-2D6757399287}"/>
    <cellStyle name="Heading 3 3" xfId="11671" xr:uid="{8C624177-70F3-49AE-925E-A3F69F1FB7C1}"/>
    <cellStyle name="Heading 3 3 2" xfId="11672" xr:uid="{CEEFD138-6B33-4D5D-AE68-2B8E2BBFD41B}"/>
    <cellStyle name="Heading 3 4" xfId="11673" xr:uid="{AA59CFE8-2C7B-46A3-8741-4EB368C47651}"/>
    <cellStyle name="Heading 3 5" xfId="11674" xr:uid="{F63B6BFD-6337-4690-9D20-AEFC82B36950}"/>
    <cellStyle name="Heading 3 6" xfId="11669" xr:uid="{BF5366A8-3ED6-49B5-960F-2993735A05B7}"/>
    <cellStyle name="Heading 4" xfId="116" builtinId="19" customBuiltin="1"/>
    <cellStyle name="Heading 4 2" xfId="11676" xr:uid="{1A6A34BA-7281-4A68-89F8-5A93D94AFEA5}"/>
    <cellStyle name="Heading 4 3" xfId="11677" xr:uid="{8C063822-8DDF-4F5C-91BB-1F691E92A06E}"/>
    <cellStyle name="Heading 4 3 2" xfId="11678" xr:uid="{1AECDC28-EE88-4CDC-9346-3D56A9AE8F30}"/>
    <cellStyle name="Heading 4 4" xfId="11679" xr:uid="{23BE5762-1072-42C2-84AD-D7963BCEA0B8}"/>
    <cellStyle name="Heading 4 5" xfId="11680" xr:uid="{C1667A09-EFCD-49AF-8B61-E39172F2B33E}"/>
    <cellStyle name="Heading 4 6" xfId="11675" xr:uid="{72BBB35B-59BB-4798-9FF2-83674ED9B905}"/>
    <cellStyle name="Heading Sub" xfId="11681" xr:uid="{7F599564-392D-42B9-A93A-193203FCB66B}"/>
    <cellStyle name="HEADINGS" xfId="11682" xr:uid="{26F572D4-B943-47CA-892C-2C9BE5EE7895}"/>
    <cellStyle name="HEADINGSTOP" xfId="11683" xr:uid="{9CD860D0-B03E-4760-8ADD-1762E6F0FD19}"/>
    <cellStyle name="highlightExposure" xfId="11684" xr:uid="{83A877F0-D93D-4D7B-8FFD-6884FDBEF7F4}"/>
    <cellStyle name="highlightPD" xfId="11685" xr:uid="{0DACCA2C-9F01-4F9C-83DC-B8623CA2B1C5}"/>
    <cellStyle name="highlightPercentage" xfId="11686" xr:uid="{1785ED9D-A330-43EB-BAF6-2D4C5F7EA4CB}"/>
    <cellStyle name="highlightText" xfId="11687" xr:uid="{620A8594-EEB1-44F3-8E06-4726C89136E6}"/>
    <cellStyle name="HistoricData" xfId="11688" xr:uid="{5B6AEE7A-AD3B-4731-9A34-3B4B281A185B}"/>
    <cellStyle name="Hyperlink" xfId="180" builtinId="8"/>
    <cellStyle name="Hyperlink 2" xfId="238" xr:uid="{72859E7F-E7AA-42E4-88E8-10E6E9B89200}"/>
    <cellStyle name="Hyperlink 2 2" xfId="11689" xr:uid="{07523F75-FD15-4E3A-BD4E-7F15F69C9DDB}"/>
    <cellStyle name="Incorrecto" xfId="11690" xr:uid="{0643CEAD-FE79-4432-AFF6-8C329C948113}"/>
    <cellStyle name="Input" xfId="120" builtinId="20" customBuiltin="1"/>
    <cellStyle name="Input (£m)" xfId="11692" xr:uid="{B1186223-AD98-40D0-86A7-8A5F5B8D45FD}"/>
    <cellStyle name="Input [yellow]" xfId="11693" xr:uid="{BAC4AD81-F7BA-4C0F-BA04-7F39DF71FA5E}"/>
    <cellStyle name="Input 10" xfId="11694" xr:uid="{0A0489CD-2994-472D-9013-2C268484605F}"/>
    <cellStyle name="Input 10 2" xfId="11695" xr:uid="{528221F7-E705-4616-9192-C0AA71F92B83}"/>
    <cellStyle name="Input 11" xfId="11696" xr:uid="{7E0EFEDA-9B71-4416-93EF-973678897983}"/>
    <cellStyle name="Input 11 2" xfId="11697" xr:uid="{0E8C24B7-6A98-4EFA-8AF5-3BE0E42BFDCA}"/>
    <cellStyle name="Input 12" xfId="11698" xr:uid="{D7E4050D-6E77-48EE-BA30-E1B32D27E83D}"/>
    <cellStyle name="Input 12 2" xfId="11699" xr:uid="{A96B92F1-69E2-423C-8CD4-AE80220BC5C0}"/>
    <cellStyle name="Input 13" xfId="11700" xr:uid="{400AA889-9964-4CC7-A781-E902BCEAE93A}"/>
    <cellStyle name="Input 13 2" xfId="11701" xr:uid="{F7F9A578-D888-478F-9641-A9E73BEACEE5}"/>
    <cellStyle name="Input 14" xfId="11702" xr:uid="{46745529-6403-4401-94CB-E065ECE81FEC}"/>
    <cellStyle name="Input 14 2" xfId="11703" xr:uid="{9E7793DB-8455-40B7-9172-AE811E8E3CC1}"/>
    <cellStyle name="Input 15" xfId="11704" xr:uid="{D11ACDCD-FA97-4C7C-85ED-3D0406DFD850}"/>
    <cellStyle name="Input 15 2" xfId="11705" xr:uid="{1E0069BC-AC26-4879-8D38-846DB0CC467D}"/>
    <cellStyle name="Input 16" xfId="11706" xr:uid="{8FDC27AD-426F-408B-9429-8726BF001487}"/>
    <cellStyle name="Input 16 2" xfId="11707" xr:uid="{4622D77E-14FC-468D-8F20-A5592AC56A4A}"/>
    <cellStyle name="Input 17" xfId="11708" xr:uid="{E38E8547-ADBB-4545-8AD3-2B2162CF9D41}"/>
    <cellStyle name="Input 17 2" xfId="11709" xr:uid="{C0407F32-1BF4-44E9-94D6-0544BD4CCDD4}"/>
    <cellStyle name="Input 18" xfId="11710" xr:uid="{60E1829A-6240-456D-9DA4-BA08EF994928}"/>
    <cellStyle name="Input 18 2" xfId="11711" xr:uid="{7218C80D-2AA5-4A35-BEBA-F072C413FCB7}"/>
    <cellStyle name="Input 19" xfId="11712" xr:uid="{BD950E95-C8AA-4253-9A21-2A022EAF3C65}"/>
    <cellStyle name="Input 19 2" xfId="11713" xr:uid="{826CA74D-6C1A-4B0E-A9FE-D1C8EB65E696}"/>
    <cellStyle name="Input 2" xfId="11714" xr:uid="{3ECE7504-A0B0-4097-B220-0CA17D3066A1}"/>
    <cellStyle name="Input 2 2" xfId="11715" xr:uid="{B0AF4B5C-46CF-4F3C-B4BA-1D0C2F08DF56}"/>
    <cellStyle name="Input 20" xfId="11716" xr:uid="{E8A2B4C2-453D-4834-A0F2-886A7F6A5929}"/>
    <cellStyle name="Input 20 2" xfId="11717" xr:uid="{509D3A5E-F4DC-44B0-9EA9-E96A93AEC7FE}"/>
    <cellStyle name="Input 21" xfId="11718" xr:uid="{89CB4334-21E0-4C04-8C98-6BB644655FFF}"/>
    <cellStyle name="Input 21 2" xfId="11719" xr:uid="{3346B008-83D9-4BF7-8CEE-70F464A93881}"/>
    <cellStyle name="Input 22" xfId="11720" xr:uid="{8C1C2F41-A665-4AD9-A881-F528A1A7CBD8}"/>
    <cellStyle name="Input 22 2" xfId="11721" xr:uid="{9D1F6A27-181C-4224-864A-9D9469C8D83F}"/>
    <cellStyle name="Input 23" xfId="11722" xr:uid="{5D590E34-822A-40FE-BE72-C3EB3950F418}"/>
    <cellStyle name="Input 23 2" xfId="11723" xr:uid="{D8C0A186-71F8-43FB-B14C-E2BD4ED92774}"/>
    <cellStyle name="Input 24" xfId="11724" xr:uid="{6DB60B2A-DAD0-419E-8A8E-A3A7572A876D}"/>
    <cellStyle name="Input 24 2" xfId="11725" xr:uid="{3E40F2FC-BF34-40C5-9B2E-06A59A4312FB}"/>
    <cellStyle name="Input 25" xfId="11726" xr:uid="{0D1B7CA6-957C-46CA-8452-C2795411ABEE}"/>
    <cellStyle name="Input 25 2" xfId="11727" xr:uid="{DB38CD9E-F08A-4B41-81C7-06A4AC9E0743}"/>
    <cellStyle name="Input 26" xfId="11728" xr:uid="{060C95B0-CE4B-4FDF-A644-D8F934E1F50A}"/>
    <cellStyle name="Input 26 2" xfId="11729" xr:uid="{8F069481-419F-45AA-93A6-29360ECF8410}"/>
    <cellStyle name="Input 27" xfId="11730" xr:uid="{4E2B94D3-5B64-4D58-BAE0-264636D23F1C}"/>
    <cellStyle name="Input 27 2" xfId="11731" xr:uid="{3476A305-0C22-4813-94BA-D9E13571518E}"/>
    <cellStyle name="Input 28" xfId="11732" xr:uid="{36CF2C7D-A2CD-496F-A6D7-A8FD2D378C58}"/>
    <cellStyle name="Input 28 2" xfId="11733" xr:uid="{6AED61CB-3729-4E79-BBB0-4B56BBB8C040}"/>
    <cellStyle name="Input 29" xfId="11734" xr:uid="{BA519765-4A5E-4F0A-8DCB-B1191BCD614C}"/>
    <cellStyle name="Input 29 2" xfId="11735" xr:uid="{3956F185-1F62-4878-80BA-95CE45D62913}"/>
    <cellStyle name="Input 3" xfId="11736" xr:uid="{19C884EA-5B7B-42AF-9BDF-DDF1894F7FB0}"/>
    <cellStyle name="Input 3 2" xfId="11737" xr:uid="{7B7E61F9-8CB9-4A40-8201-6E465155BF53}"/>
    <cellStyle name="Input 30" xfId="11738" xr:uid="{C130286C-95BC-4B5F-8920-8061A224497A}"/>
    <cellStyle name="Input 30 2" xfId="11739" xr:uid="{B2ACC6D5-2E65-4D4F-9AAC-A060DA392FD9}"/>
    <cellStyle name="Input 31" xfId="11740" xr:uid="{7E4E8A10-154B-4087-8163-C740AC8587D8}"/>
    <cellStyle name="Input 31 2" xfId="11741" xr:uid="{1045397F-A178-4280-B92F-D500926BC604}"/>
    <cellStyle name="Input 32" xfId="11742" xr:uid="{613BD40F-5854-452F-95F5-F7A728631FD3}"/>
    <cellStyle name="Input 32 2" xfId="11743" xr:uid="{20DE7E90-A386-4AA4-B53F-82C30D0C3D34}"/>
    <cellStyle name="Input 33" xfId="11744" xr:uid="{342C04A2-2658-43B3-915C-170BC60E5C67}"/>
    <cellStyle name="Input 33 2" xfId="11745" xr:uid="{C2B34325-E108-4750-BE2C-FAAAFAFA077C}"/>
    <cellStyle name="Input 34" xfId="11746" xr:uid="{E741C984-193B-4511-870A-456BCAC87099}"/>
    <cellStyle name="Input 35" xfId="11691" xr:uid="{E2C6828B-EC39-4272-A168-F69AE281E6C2}"/>
    <cellStyle name="Input 4" xfId="11747" xr:uid="{C211BBB8-C993-491F-9109-A9637AE85ECE}"/>
    <cellStyle name="Input 4 2" xfId="11748" xr:uid="{9CF6B66C-14C1-438A-A0E2-D692FE42950C}"/>
    <cellStyle name="Input 5" xfId="11749" xr:uid="{EC523AC2-5792-4176-BEC5-1B092704F69B}"/>
    <cellStyle name="Input 5 2" xfId="11750" xr:uid="{82196A13-E465-41FC-A91D-56364530D12D}"/>
    <cellStyle name="Input 6" xfId="11751" xr:uid="{421EE410-3529-4FE8-858C-BF02981F23DF}"/>
    <cellStyle name="Input 6 2" xfId="11752" xr:uid="{169736E0-67F4-4D0E-912C-B28BE19D9652}"/>
    <cellStyle name="Input 7" xfId="11753" xr:uid="{FF91E07D-BB6B-42E7-BEB4-656D30427B5F}"/>
    <cellStyle name="Input 7 2" xfId="11754" xr:uid="{4A71750E-79C9-42BC-A5D3-7604AA37127E}"/>
    <cellStyle name="Input 8" xfId="11755" xr:uid="{32CA5D4D-1B56-4AEC-8B8F-2FC9F09412AE}"/>
    <cellStyle name="Input 8 2" xfId="11756" xr:uid="{A43784EB-79D8-4154-80B3-6D10E8BF1413}"/>
    <cellStyle name="Input 9" xfId="11757" xr:uid="{3801BB46-E403-490B-8DF5-0BE2C50075CF}"/>
    <cellStyle name="Input 9 2" xfId="11758" xr:uid="{10E5150E-DCED-4AA3-9F80-E7EC16861824}"/>
    <cellStyle name="InputBlueFont" xfId="11759" xr:uid="{1AB2FF91-4934-4B00-833F-73CA024B191D}"/>
    <cellStyle name="inputDate" xfId="11760" xr:uid="{7998E38D-7AB3-4AAC-AB6B-1941F37CA4D6}"/>
    <cellStyle name="inputExposure" xfId="11761" xr:uid="{59F580F9-AB90-459C-B183-073A7DAB3805}"/>
    <cellStyle name="inputMaturity" xfId="11762" xr:uid="{DD7156DF-CEBD-49AB-9990-8B3F2695431A}"/>
    <cellStyle name="inputPD" xfId="11763" xr:uid="{95B7A85E-BD44-484D-B755-B39C42A8700B}"/>
    <cellStyle name="inputPercentage" xfId="11764" xr:uid="{100929C1-4840-44BF-BB50-A3079431E528}"/>
    <cellStyle name="inputSelection" xfId="11765" xr:uid="{623E5F71-4031-44FC-8DD0-DC65D6F3CDF1}"/>
    <cellStyle name="inputText" xfId="11766" xr:uid="{42613B09-B99C-4E1E-863F-82BC51DB740E}"/>
    <cellStyle name="Insatisfaisant 2" xfId="11767" xr:uid="{FB91F55A-9E96-4779-B04D-E6276F1C3A76}"/>
    <cellStyle name="Lien hypertexte 2" xfId="11768" xr:uid="{21129FE7-137E-4587-9675-111913D7852D}"/>
    <cellStyle name="Lines" xfId="11769" xr:uid="{282BBC8E-3339-4240-BE84-5F08A190C2C6}"/>
    <cellStyle name="Linked Cell" xfId="123" builtinId="24" customBuiltin="1"/>
    <cellStyle name="Linked Cell 10" xfId="11771" xr:uid="{7B6C33E5-9D7E-4B16-B0AE-C3AEE525A627}"/>
    <cellStyle name="Linked Cell 10 2" xfId="11772" xr:uid="{47421580-5613-4231-8F21-58CA31460029}"/>
    <cellStyle name="Linked Cell 10 2 10" xfId="11773" xr:uid="{A4647392-C713-4CC5-BE23-2C805988D092}"/>
    <cellStyle name="Linked Cell 10 2 10 2" xfId="11774" xr:uid="{E014E67C-0BEB-458F-A46F-019D06F38AB4}"/>
    <cellStyle name="Linked Cell 10 2 10 2 2" xfId="11775" xr:uid="{5447CDFC-120D-4996-8AB6-209FB311C782}"/>
    <cellStyle name="Linked Cell 10 2 10 3" xfId="11776" xr:uid="{AD2FE108-BD56-4DC6-B321-AA715A86519C}"/>
    <cellStyle name="Linked Cell 10 2 11" xfId="11777" xr:uid="{1600AA5C-416A-46D9-8639-9CD662204CE6}"/>
    <cellStyle name="Linked Cell 10 2 11 2" xfId="11778" xr:uid="{0AE31BA8-AEE7-4A6C-BFA7-FB3A757D1ADC}"/>
    <cellStyle name="Linked Cell 10 2 11 2 2" xfId="11779" xr:uid="{618C0F87-244C-4216-A28A-044AE225BB97}"/>
    <cellStyle name="Linked Cell 10 2 11 3" xfId="11780" xr:uid="{3379B561-A1DF-40AC-9CE7-4571706D7CA2}"/>
    <cellStyle name="Linked Cell 10 2 12" xfId="11781" xr:uid="{91CCAAB1-4681-441A-9947-3A2570BA178E}"/>
    <cellStyle name="Linked Cell 10 2 12 2" xfId="11782" xr:uid="{FEEE9161-091F-4EC6-B03B-A95691ACE188}"/>
    <cellStyle name="Linked Cell 10 2 12 2 2" xfId="11783" xr:uid="{722A66A9-85AE-4F68-8582-2E328223FCC2}"/>
    <cellStyle name="Linked Cell 10 2 12 3" xfId="11784" xr:uid="{FCC7111C-6C2B-4BBE-9D02-B606851A9F7B}"/>
    <cellStyle name="Linked Cell 10 2 13" xfId="11785" xr:uid="{6F8215E4-D6B7-4E88-83D7-71F6D900B1E1}"/>
    <cellStyle name="Linked Cell 10 2 13 2" xfId="11786" xr:uid="{3F35549B-F467-4E0B-A41D-4B2CF2CF9B1B}"/>
    <cellStyle name="Linked Cell 10 2 13 2 2" xfId="11787" xr:uid="{F56B0FF3-C3F7-4D05-81CA-DCD5467AE115}"/>
    <cellStyle name="Linked Cell 10 2 13 3" xfId="11788" xr:uid="{55AB010A-12E4-40C2-9C9D-840B2771FDA6}"/>
    <cellStyle name="Linked Cell 10 2 14" xfId="11789" xr:uid="{9EE4A039-7097-4512-8783-4B4AB899FA0C}"/>
    <cellStyle name="Linked Cell 10 2 14 2" xfId="11790" xr:uid="{2F32DAFB-9096-4D18-9D08-8569AFEABA62}"/>
    <cellStyle name="Linked Cell 10 2 15" xfId="11791" xr:uid="{7AAAEE75-BDA1-42AF-9796-C7A4526B3F96}"/>
    <cellStyle name="Linked Cell 10 2 2" xfId="11792" xr:uid="{4B9E6141-1DC2-4AF7-8F00-4EA83FE8F88A}"/>
    <cellStyle name="Linked Cell 10 2 2 10" xfId="11793" xr:uid="{0D096391-1763-4536-9718-E04EE409B9EE}"/>
    <cellStyle name="Linked Cell 10 2 2 10 2" xfId="11794" xr:uid="{5B98A46D-9754-40A7-A14C-5FEC9BC76FF4}"/>
    <cellStyle name="Linked Cell 10 2 2 10 2 2" xfId="11795" xr:uid="{F1D4053C-42DB-4459-807B-AE9A1A5573AE}"/>
    <cellStyle name="Linked Cell 10 2 2 10 3" xfId="11796" xr:uid="{F9B0BEA5-8181-4870-ADF6-F7675F571B33}"/>
    <cellStyle name="Linked Cell 10 2 2 11" xfId="11797" xr:uid="{FF6FA7DC-356C-4386-991B-0C5DBBE9320F}"/>
    <cellStyle name="Linked Cell 10 2 2 11 2" xfId="11798" xr:uid="{A1DF51D2-768C-4CC4-9AA9-031FE1614C71}"/>
    <cellStyle name="Linked Cell 10 2 2 11 2 2" xfId="11799" xr:uid="{FB61888D-C8A7-4480-882D-B02C57692E3C}"/>
    <cellStyle name="Linked Cell 10 2 2 11 3" xfId="11800" xr:uid="{00C32505-436E-4073-AAF5-2CA65AC137EB}"/>
    <cellStyle name="Linked Cell 10 2 2 12" xfId="11801" xr:uid="{4FE6E70F-6DBC-4EBF-A53A-DDBA86641DC3}"/>
    <cellStyle name="Linked Cell 10 2 2 12 2" xfId="11802" xr:uid="{DB3B9340-7F65-4AC2-9FCD-E6FC4C1C2A8D}"/>
    <cellStyle name="Linked Cell 10 2 2 12 2 2" xfId="11803" xr:uid="{FE50FF40-30D2-4388-8BC5-F0B9BD429FD7}"/>
    <cellStyle name="Linked Cell 10 2 2 12 3" xfId="11804" xr:uid="{E5A3A5A2-9B70-47FB-9C7E-12B75EBAC9AD}"/>
    <cellStyle name="Linked Cell 10 2 2 13" xfId="11805" xr:uid="{4390C50E-1CF1-466F-9F35-A8270CBE2A9A}"/>
    <cellStyle name="Linked Cell 10 2 2 13 2" xfId="11806" xr:uid="{057A26F9-65CF-4D45-9EC7-E2BEDE540C18}"/>
    <cellStyle name="Linked Cell 10 2 2 14" xfId="11807" xr:uid="{C41FBCD2-9E29-4FFA-B1A5-2FB66D931E8B}"/>
    <cellStyle name="Linked Cell 10 2 2 2" xfId="11808" xr:uid="{BDE6DC5F-A2E1-4D96-8E0D-95595D15DB06}"/>
    <cellStyle name="Linked Cell 10 2 2 2 10" xfId="11809" xr:uid="{2DB655F6-A8FD-4571-BC79-DD48A8671841}"/>
    <cellStyle name="Linked Cell 10 2 2 2 10 2" xfId="11810" xr:uid="{AC1E0186-92A7-4D03-BB32-74E09FF35F54}"/>
    <cellStyle name="Linked Cell 10 2 2 2 10 2 2" xfId="11811" xr:uid="{1F9842EE-5E06-45BF-9A37-96F9DA4DDCCF}"/>
    <cellStyle name="Linked Cell 10 2 2 2 10 3" xfId="11812" xr:uid="{41BD71F3-B917-419B-97D2-88B2A4145683}"/>
    <cellStyle name="Linked Cell 10 2 2 2 11" xfId="11813" xr:uid="{AC24FA8A-88CA-4B1B-BA1A-C9C4C87F63BE}"/>
    <cellStyle name="Linked Cell 10 2 2 2 11 2" xfId="11814" xr:uid="{564D78C4-1DD2-4E46-B768-F9F686143EA1}"/>
    <cellStyle name="Linked Cell 10 2 2 2 11 2 2" xfId="11815" xr:uid="{FD3181DF-C8CC-4F32-959A-92D24B57DFBA}"/>
    <cellStyle name="Linked Cell 10 2 2 2 11 3" xfId="11816" xr:uid="{DF8CF77B-7A4A-4106-B1FC-53C901EF2E9B}"/>
    <cellStyle name="Linked Cell 10 2 2 2 12" xfId="11817" xr:uid="{E696EF17-9E0B-4897-A532-B14C39E1E63B}"/>
    <cellStyle name="Linked Cell 10 2 2 2 12 2" xfId="11818" xr:uid="{2BA31537-5CEC-4125-926A-DEA1C27C4A79}"/>
    <cellStyle name="Linked Cell 10 2 2 2 13" xfId="11819" xr:uid="{EF02581F-B2C0-40C5-8863-37DA810937E8}"/>
    <cellStyle name="Linked Cell 10 2 2 2 2" xfId="11820" xr:uid="{2407526F-351B-4AB7-8FF4-F49FBD3F8548}"/>
    <cellStyle name="Linked Cell 10 2 2 2 2 10" xfId="11821" xr:uid="{414F89DE-AD5F-4779-91F5-AB06A36AA3FB}"/>
    <cellStyle name="Linked Cell 10 2 2 2 2 10 2" xfId="11822" xr:uid="{39501EA5-AB72-452B-99DE-04A5D3008A2C}"/>
    <cellStyle name="Linked Cell 10 2 2 2 2 10 2 2" xfId="11823" xr:uid="{35BF7B49-EBC3-45B4-A321-03E7F39EBEA9}"/>
    <cellStyle name="Linked Cell 10 2 2 2 2 10 3" xfId="11824" xr:uid="{FF6242A6-8E09-498C-A34A-EA653E4E3C5E}"/>
    <cellStyle name="Linked Cell 10 2 2 2 2 11" xfId="11825" xr:uid="{1E76977C-93C2-47B4-9B5A-B266482D207C}"/>
    <cellStyle name="Linked Cell 10 2 2 2 2 11 2" xfId="11826" xr:uid="{3CC95CD5-A46B-4D84-B2C3-3C301F599CB2}"/>
    <cellStyle name="Linked Cell 10 2 2 2 2 12" xfId="11827" xr:uid="{4C60B734-70AF-4A09-A865-F5A604A1651E}"/>
    <cellStyle name="Linked Cell 10 2 2 2 2 2" xfId="11828" xr:uid="{2F305EF6-4E88-41C6-8BD6-5729494BD999}"/>
    <cellStyle name="Linked Cell 10 2 2 2 2 2 2" xfId="11829" xr:uid="{EC4556D6-DAEC-4989-83CF-A54DB18E15EB}"/>
    <cellStyle name="Linked Cell 10 2 2 2 2 2 2 2" xfId="11830" xr:uid="{B007182A-0A06-4661-BFEA-2424DF419FC0}"/>
    <cellStyle name="Linked Cell 10 2 2 2 2 2 3" xfId="11831" xr:uid="{8FF8D24D-3567-4FFF-876D-1B105F90D054}"/>
    <cellStyle name="Linked Cell 10 2 2 2 2 3" xfId="11832" xr:uid="{043018BC-CE69-4739-8C23-E7B34E85583E}"/>
    <cellStyle name="Linked Cell 10 2 2 2 2 3 2" xfId="11833" xr:uid="{36A3E51B-7623-423F-8B8B-3A069C7718B3}"/>
    <cellStyle name="Linked Cell 10 2 2 2 2 3 2 2" xfId="11834" xr:uid="{417FC4DB-AFC7-4210-98A1-6CB450B35B8D}"/>
    <cellStyle name="Linked Cell 10 2 2 2 2 3 3" xfId="11835" xr:uid="{0CEF52B5-5C92-41B4-B4F9-62A8B7B62C29}"/>
    <cellStyle name="Linked Cell 10 2 2 2 2 4" xfId="11836" xr:uid="{22FDB40A-627D-4C7C-9572-B20E7052540B}"/>
    <cellStyle name="Linked Cell 10 2 2 2 2 4 2" xfId="11837" xr:uid="{2F97DFAD-E73A-4982-A564-EAD3F804F793}"/>
    <cellStyle name="Linked Cell 10 2 2 2 2 4 2 2" xfId="11838" xr:uid="{2725A52C-4B5A-45F2-A85D-55CFC810A895}"/>
    <cellStyle name="Linked Cell 10 2 2 2 2 4 3" xfId="11839" xr:uid="{1B2215D7-CD15-443E-812B-B58BB8AFCB08}"/>
    <cellStyle name="Linked Cell 10 2 2 2 2 5" xfId="11840" xr:uid="{EF7302AC-090D-40C8-A21F-F71B143AE802}"/>
    <cellStyle name="Linked Cell 10 2 2 2 2 5 2" xfId="11841" xr:uid="{C1A9C507-97E8-4CB3-968C-2E3657187F99}"/>
    <cellStyle name="Linked Cell 10 2 2 2 2 5 2 2" xfId="11842" xr:uid="{9A071F19-AEB4-45CD-92B2-C5680B5AF1D3}"/>
    <cellStyle name="Linked Cell 10 2 2 2 2 5 3" xfId="11843" xr:uid="{DF3DA917-4FA1-4A5F-86EB-E5CF696F113D}"/>
    <cellStyle name="Linked Cell 10 2 2 2 2 6" xfId="11844" xr:uid="{1D31BCD7-E6AE-4815-885C-00CA79480DB0}"/>
    <cellStyle name="Linked Cell 10 2 2 2 2 6 2" xfId="11845" xr:uid="{77B79FE7-8E7B-4796-A7E8-8A7FCDA8B9E7}"/>
    <cellStyle name="Linked Cell 10 2 2 2 2 6 2 2" xfId="11846" xr:uid="{6C119594-5C6D-4170-B1E2-1C71737E1A6D}"/>
    <cellStyle name="Linked Cell 10 2 2 2 2 6 3" xfId="11847" xr:uid="{CA956F21-D5C8-41C2-B6C0-9DDC4458F9E7}"/>
    <cellStyle name="Linked Cell 10 2 2 2 2 7" xfId="11848" xr:uid="{5B0B72DE-AC8F-4FD2-B264-E5C4044C7649}"/>
    <cellStyle name="Linked Cell 10 2 2 2 2 7 2" xfId="11849" xr:uid="{AC1CFC6A-C4F8-4FA9-9BCB-94D8A0A4C2FE}"/>
    <cellStyle name="Linked Cell 10 2 2 2 2 7 2 2" xfId="11850" xr:uid="{9BBAE034-0628-489D-B5EE-5756EDAB7BAF}"/>
    <cellStyle name="Linked Cell 10 2 2 2 2 7 3" xfId="11851" xr:uid="{043CF6B0-BFC2-4CEA-9D2E-3B316986A137}"/>
    <cellStyle name="Linked Cell 10 2 2 2 2 8" xfId="11852" xr:uid="{1B04B0CB-5EA5-427A-8876-BAB26BEC2ABB}"/>
    <cellStyle name="Linked Cell 10 2 2 2 2 8 2" xfId="11853" xr:uid="{9C34DFBB-29D2-4D5C-8E35-600CF042F8DD}"/>
    <cellStyle name="Linked Cell 10 2 2 2 2 8 2 2" xfId="11854" xr:uid="{98FC1C06-EF54-45CE-A6AB-C3B8CC3E8CF9}"/>
    <cellStyle name="Linked Cell 10 2 2 2 2 8 3" xfId="11855" xr:uid="{4DD1E1EA-CF9D-499D-944E-02D209F08DD0}"/>
    <cellStyle name="Linked Cell 10 2 2 2 2 9" xfId="11856" xr:uid="{5E64691A-1AB9-4D17-A03C-33457F2E203B}"/>
    <cellStyle name="Linked Cell 10 2 2 2 2 9 2" xfId="11857" xr:uid="{87D910AD-C6B3-4E8D-B88E-B919F526A877}"/>
    <cellStyle name="Linked Cell 10 2 2 2 2 9 2 2" xfId="11858" xr:uid="{01A04665-2BC0-439B-A063-0975342EB93C}"/>
    <cellStyle name="Linked Cell 10 2 2 2 2 9 3" xfId="11859" xr:uid="{615ED6E8-1F20-4B02-A1A7-B2A80D9AAF6A}"/>
    <cellStyle name="Linked Cell 10 2 2 2 3" xfId="11860" xr:uid="{6D301932-DD06-43B9-8B2B-B272EB5AA0EB}"/>
    <cellStyle name="Linked Cell 10 2 2 2 3 10" xfId="11861" xr:uid="{A7E1930E-7028-4657-A9B9-3DBF1BE02AF8}"/>
    <cellStyle name="Linked Cell 10 2 2 2 3 10 2" xfId="11862" xr:uid="{43D58ECC-81A4-493D-A20A-F2F2F15DB3FC}"/>
    <cellStyle name="Linked Cell 10 2 2 2 3 11" xfId="11863" xr:uid="{A745FCFB-C800-461C-AEC1-CA3B27E0C278}"/>
    <cellStyle name="Linked Cell 10 2 2 2 3 2" xfId="11864" xr:uid="{CC0647A3-BA3A-4ADD-BE46-76C86E03FFAB}"/>
    <cellStyle name="Linked Cell 10 2 2 2 3 2 2" xfId="11865" xr:uid="{08D880AA-8A39-4A02-9BE5-6381459EF204}"/>
    <cellStyle name="Linked Cell 10 2 2 2 3 2 2 2" xfId="11866" xr:uid="{03E7B282-D331-4843-8D6F-F971252960F6}"/>
    <cellStyle name="Linked Cell 10 2 2 2 3 2 3" xfId="11867" xr:uid="{A701DCF6-E43F-41B1-B0F3-514484661E8D}"/>
    <cellStyle name="Linked Cell 10 2 2 2 3 3" xfId="11868" xr:uid="{DA54C153-4776-43AF-8063-1A3F554AF95A}"/>
    <cellStyle name="Linked Cell 10 2 2 2 3 3 2" xfId="11869" xr:uid="{47EC86B8-A345-4344-BB4C-7148AED8263C}"/>
    <cellStyle name="Linked Cell 10 2 2 2 3 3 2 2" xfId="11870" xr:uid="{661A6BDC-CF2D-4BB6-83E5-C8D2FAFC20CA}"/>
    <cellStyle name="Linked Cell 10 2 2 2 3 3 3" xfId="11871" xr:uid="{87497FEE-1091-4F45-AC43-61C760F81EE8}"/>
    <cellStyle name="Linked Cell 10 2 2 2 3 4" xfId="11872" xr:uid="{C59D7B2C-2C90-4808-95A6-CDE4C953A41D}"/>
    <cellStyle name="Linked Cell 10 2 2 2 3 4 2" xfId="11873" xr:uid="{924268F0-C3BC-4C01-B595-43C7B6EED314}"/>
    <cellStyle name="Linked Cell 10 2 2 2 3 4 2 2" xfId="11874" xr:uid="{303E070C-67B9-4058-B250-92BF49C87D59}"/>
    <cellStyle name="Linked Cell 10 2 2 2 3 4 3" xfId="11875" xr:uid="{B9FEBD31-AAE7-4F33-8539-455B124239D5}"/>
    <cellStyle name="Linked Cell 10 2 2 2 3 5" xfId="11876" xr:uid="{3068336F-1BC8-400A-9FA1-1B327213F664}"/>
    <cellStyle name="Linked Cell 10 2 2 2 3 5 2" xfId="11877" xr:uid="{066749A4-0755-40DB-B650-54C8A79AA7E1}"/>
    <cellStyle name="Linked Cell 10 2 2 2 3 5 2 2" xfId="11878" xr:uid="{8F52F6D9-9E89-4531-880B-29FF9CC81AE3}"/>
    <cellStyle name="Linked Cell 10 2 2 2 3 5 3" xfId="11879" xr:uid="{5A823C05-A0CD-4E7E-B2C0-5D3893B041BD}"/>
    <cellStyle name="Linked Cell 10 2 2 2 3 6" xfId="11880" xr:uid="{2CD7E2B5-C1D7-431A-BC95-A33A17F71E36}"/>
    <cellStyle name="Linked Cell 10 2 2 2 3 6 2" xfId="11881" xr:uid="{D73F1458-F658-44A8-A33B-51DCA175204D}"/>
    <cellStyle name="Linked Cell 10 2 2 2 3 6 2 2" xfId="11882" xr:uid="{0DC8D6A3-773A-4DF9-986A-C2E1D4F5035F}"/>
    <cellStyle name="Linked Cell 10 2 2 2 3 6 3" xfId="11883" xr:uid="{6630D7DE-442C-4755-8094-E2D9FA672170}"/>
    <cellStyle name="Linked Cell 10 2 2 2 3 7" xfId="11884" xr:uid="{5CDB0B99-FB82-4F6D-AC7C-DBAE105FDE85}"/>
    <cellStyle name="Linked Cell 10 2 2 2 3 7 2" xfId="11885" xr:uid="{75141903-8557-4B5F-9ED8-0C37F484C63D}"/>
    <cellStyle name="Linked Cell 10 2 2 2 3 7 2 2" xfId="11886" xr:uid="{CF70A38D-2AF6-44C0-825A-0F9FEACC74BA}"/>
    <cellStyle name="Linked Cell 10 2 2 2 3 7 3" xfId="11887" xr:uid="{525B13E4-B300-42A6-B8BE-1A8764FD32E1}"/>
    <cellStyle name="Linked Cell 10 2 2 2 3 8" xfId="11888" xr:uid="{CA36BF9F-44E7-4948-BA3F-4366EC5199BF}"/>
    <cellStyle name="Linked Cell 10 2 2 2 3 8 2" xfId="11889" xr:uid="{55F17E09-63CB-4CD0-8551-F5BAB3D7F450}"/>
    <cellStyle name="Linked Cell 10 2 2 2 3 8 2 2" xfId="11890" xr:uid="{8656E364-1873-4FD4-8F0E-CFA5BD74BEFF}"/>
    <cellStyle name="Linked Cell 10 2 2 2 3 8 3" xfId="11891" xr:uid="{437B85EE-8340-49FA-B8BC-58367421C21F}"/>
    <cellStyle name="Linked Cell 10 2 2 2 3 9" xfId="11892" xr:uid="{ACACBDF2-E7DD-4248-8ADC-F78E4619061F}"/>
    <cellStyle name="Linked Cell 10 2 2 2 3 9 2" xfId="11893" xr:uid="{085169FE-D7D8-4E67-BF3E-AAA731730957}"/>
    <cellStyle name="Linked Cell 10 2 2 2 3 9 2 2" xfId="11894" xr:uid="{C75CD21E-3C2A-4204-BEE8-44B127AE35F5}"/>
    <cellStyle name="Linked Cell 10 2 2 2 3 9 3" xfId="11895" xr:uid="{02435540-7192-4BAA-AC12-62DB597B96BE}"/>
    <cellStyle name="Linked Cell 10 2 2 2 4" xfId="11896" xr:uid="{163B187D-2B02-409B-B2EC-9710F9C8B7CA}"/>
    <cellStyle name="Linked Cell 10 2 2 2 4 2" xfId="11897" xr:uid="{B7045AD1-2533-45EF-9655-C44665B385E5}"/>
    <cellStyle name="Linked Cell 10 2 2 2 4 2 2" xfId="11898" xr:uid="{62FB7D9F-11E7-4E1C-9C0E-2687AE682591}"/>
    <cellStyle name="Linked Cell 10 2 2 2 4 3" xfId="11899" xr:uid="{A42CBCF6-69B7-4D05-9E64-5F2F2766D6A0}"/>
    <cellStyle name="Linked Cell 10 2 2 2 5" xfId="11900" xr:uid="{241C2132-CEBD-4886-B6C4-0025A764D1E7}"/>
    <cellStyle name="Linked Cell 10 2 2 2 5 2" xfId="11901" xr:uid="{0AC56F7E-7DFC-451E-8D80-DCC33DA43926}"/>
    <cellStyle name="Linked Cell 10 2 2 2 5 2 2" xfId="11902" xr:uid="{7B9A6499-3337-4ED6-94D0-EABA640A4082}"/>
    <cellStyle name="Linked Cell 10 2 2 2 5 3" xfId="11903" xr:uid="{D9256E97-F09D-4CA1-BD2F-2118EBE9228C}"/>
    <cellStyle name="Linked Cell 10 2 2 2 6" xfId="11904" xr:uid="{CB2CAA23-A743-4520-AF88-B73ACA921150}"/>
    <cellStyle name="Linked Cell 10 2 2 2 6 2" xfId="11905" xr:uid="{F5C20DCC-5B3B-4D81-B0F8-D3AD3D6B486D}"/>
    <cellStyle name="Linked Cell 10 2 2 2 6 2 2" xfId="11906" xr:uid="{EAB2CD1B-8D02-4DA9-A5FF-6FD69014108D}"/>
    <cellStyle name="Linked Cell 10 2 2 2 6 3" xfId="11907" xr:uid="{609193F8-7CE1-4CB3-8BE2-F0463C3E01D6}"/>
    <cellStyle name="Linked Cell 10 2 2 2 7" xfId="11908" xr:uid="{9A18AD0B-AE1D-4709-A2D7-9F6EBA73E6C2}"/>
    <cellStyle name="Linked Cell 10 2 2 2 7 2" xfId="11909" xr:uid="{C26FF7C7-1371-4C40-9E88-601AF5BD4653}"/>
    <cellStyle name="Linked Cell 10 2 2 2 7 2 2" xfId="11910" xr:uid="{2615A0CC-FAD0-4B06-89ED-00171C61D8E7}"/>
    <cellStyle name="Linked Cell 10 2 2 2 7 3" xfId="11911" xr:uid="{1F0022DC-A040-4B34-A727-9B87E14CE4E2}"/>
    <cellStyle name="Linked Cell 10 2 2 2 8" xfId="11912" xr:uid="{2677B433-8A52-4A33-AC6C-156C27A7C7EC}"/>
    <cellStyle name="Linked Cell 10 2 2 2 8 2" xfId="11913" xr:uid="{FC03E14F-FA9D-4EF8-A583-46D8B5ADDAD9}"/>
    <cellStyle name="Linked Cell 10 2 2 2 8 2 2" xfId="11914" xr:uid="{71A50363-2BBF-49CB-A7D7-5FCF9DB973CC}"/>
    <cellStyle name="Linked Cell 10 2 2 2 8 3" xfId="11915" xr:uid="{3769B5D7-EEC3-4FF2-AA5B-68986F2A9C2A}"/>
    <cellStyle name="Linked Cell 10 2 2 2 9" xfId="11916" xr:uid="{975E7ED1-6255-4868-A181-FCB43B5A570C}"/>
    <cellStyle name="Linked Cell 10 2 2 2 9 2" xfId="11917" xr:uid="{F053A9D0-2A33-4CCB-A0C8-5B17A9BBFCD7}"/>
    <cellStyle name="Linked Cell 10 2 2 2 9 2 2" xfId="11918" xr:uid="{1BE75E18-D139-49D8-9D23-AE2858E009C8}"/>
    <cellStyle name="Linked Cell 10 2 2 2 9 3" xfId="11919" xr:uid="{4E866FCA-8029-43F3-BBE3-FD0901886FF6}"/>
    <cellStyle name="Linked Cell 10 2 2 3" xfId="11920" xr:uid="{F8D8CED5-4EF6-4B57-965C-271D9212293D}"/>
    <cellStyle name="Linked Cell 10 2 2 3 10" xfId="11921" xr:uid="{E2C4259D-8FBD-480F-8107-FC712B933A6E}"/>
    <cellStyle name="Linked Cell 10 2 2 3 10 2" xfId="11922" xr:uid="{85B11F45-610E-4FA5-890C-DB32E0647D7E}"/>
    <cellStyle name="Linked Cell 10 2 2 3 10 2 2" xfId="11923" xr:uid="{D130C50B-5283-4522-B73B-7C80931C14C9}"/>
    <cellStyle name="Linked Cell 10 2 2 3 10 3" xfId="11924" xr:uid="{8D70E53D-B5DA-4F62-AD80-560B1C3ACC7E}"/>
    <cellStyle name="Linked Cell 10 2 2 3 11" xfId="11925" xr:uid="{58ACB2BA-4129-495F-A680-AD113775BBC7}"/>
    <cellStyle name="Linked Cell 10 2 2 3 11 2" xfId="11926" xr:uid="{CB53B0AD-28A9-43CA-B1FF-54BC93B8EBCF}"/>
    <cellStyle name="Linked Cell 10 2 2 3 12" xfId="11927" xr:uid="{FE0844E7-526F-44E3-A1E3-50F2F5FC68DD}"/>
    <cellStyle name="Linked Cell 10 2 2 3 2" xfId="11928" xr:uid="{08C0AB93-3D80-4752-9AF0-37E791261788}"/>
    <cellStyle name="Linked Cell 10 2 2 3 2 10" xfId="11929" xr:uid="{BE2F7BDF-A72C-483A-AA40-E9BAF616BE55}"/>
    <cellStyle name="Linked Cell 10 2 2 3 2 10 2" xfId="11930" xr:uid="{9E5C6875-1E3D-4C3E-A927-A6285048C6B2}"/>
    <cellStyle name="Linked Cell 10 2 2 3 2 11" xfId="11931" xr:uid="{56C0DEC7-CC07-44BC-80D7-3675755680FB}"/>
    <cellStyle name="Linked Cell 10 2 2 3 2 2" xfId="11932" xr:uid="{0A5CA06C-A3A7-49AA-BC7D-A0F7B38B052D}"/>
    <cellStyle name="Linked Cell 10 2 2 3 2 2 2" xfId="11933" xr:uid="{88B89E7B-E0F0-4625-8880-57B1B04C4945}"/>
    <cellStyle name="Linked Cell 10 2 2 3 2 2 2 2" xfId="11934" xr:uid="{A368CA13-82F3-450A-95DB-A22F4732A70F}"/>
    <cellStyle name="Linked Cell 10 2 2 3 2 2 3" xfId="11935" xr:uid="{B1E3E1ED-9B44-482D-A9AE-FBE18F2E14CF}"/>
    <cellStyle name="Linked Cell 10 2 2 3 2 3" xfId="11936" xr:uid="{C5E0B0AA-0A78-4E03-959A-A2F8ED30C117}"/>
    <cellStyle name="Linked Cell 10 2 2 3 2 3 2" xfId="11937" xr:uid="{EACA1C44-FB28-4436-A311-F5C2EE3FEE20}"/>
    <cellStyle name="Linked Cell 10 2 2 3 2 3 2 2" xfId="11938" xr:uid="{01755402-2411-4FCE-9FCC-53FE4ABBF09F}"/>
    <cellStyle name="Linked Cell 10 2 2 3 2 3 3" xfId="11939" xr:uid="{F3F921E0-F0B0-4DC0-AAA8-091E8FC73181}"/>
    <cellStyle name="Linked Cell 10 2 2 3 2 4" xfId="11940" xr:uid="{E0B125C9-4920-4D75-B918-AFC4FD866225}"/>
    <cellStyle name="Linked Cell 10 2 2 3 2 4 2" xfId="11941" xr:uid="{75BBDBD4-7CFD-43BB-B43B-8EFD85543845}"/>
    <cellStyle name="Linked Cell 10 2 2 3 2 4 2 2" xfId="11942" xr:uid="{8379E136-1D41-4483-B45E-9F3663DA07FC}"/>
    <cellStyle name="Linked Cell 10 2 2 3 2 4 3" xfId="11943" xr:uid="{7173B4F5-6360-459B-AEA6-0C4189363218}"/>
    <cellStyle name="Linked Cell 10 2 2 3 2 5" xfId="11944" xr:uid="{7DA1B993-3C62-4548-880F-0A08295DCB8B}"/>
    <cellStyle name="Linked Cell 10 2 2 3 2 5 2" xfId="11945" xr:uid="{C03A34F8-394E-42DE-9849-F50BD03FD5CA}"/>
    <cellStyle name="Linked Cell 10 2 2 3 2 5 2 2" xfId="11946" xr:uid="{7E5593EF-E930-4BDC-B87E-2AF4541B71B3}"/>
    <cellStyle name="Linked Cell 10 2 2 3 2 5 3" xfId="11947" xr:uid="{468B23D0-1028-4398-8333-830D44325703}"/>
    <cellStyle name="Linked Cell 10 2 2 3 2 6" xfId="11948" xr:uid="{B07C6858-C110-4BBE-BC3F-66132953D53A}"/>
    <cellStyle name="Linked Cell 10 2 2 3 2 6 2" xfId="11949" xr:uid="{D753EDA4-2CCC-47D7-9550-55FEFE4067CF}"/>
    <cellStyle name="Linked Cell 10 2 2 3 2 6 2 2" xfId="11950" xr:uid="{7492FA69-8C9A-41AE-980D-E19EE29D4E4E}"/>
    <cellStyle name="Linked Cell 10 2 2 3 2 6 3" xfId="11951" xr:uid="{E16FA2B9-597D-4DAB-BF4A-0E9B23E654EA}"/>
    <cellStyle name="Linked Cell 10 2 2 3 2 7" xfId="11952" xr:uid="{FD38E3EB-B369-4784-A14A-3FB2A1838CEA}"/>
    <cellStyle name="Linked Cell 10 2 2 3 2 7 2" xfId="11953" xr:uid="{E943CE23-3E06-4FAD-A3B2-3AD4213899F6}"/>
    <cellStyle name="Linked Cell 10 2 2 3 2 7 2 2" xfId="11954" xr:uid="{76566075-0926-4671-BEBE-F1F5D35DFF58}"/>
    <cellStyle name="Linked Cell 10 2 2 3 2 7 3" xfId="11955" xr:uid="{14E471C6-1907-4DDB-8552-01402E29293D}"/>
    <cellStyle name="Linked Cell 10 2 2 3 2 8" xfId="11956" xr:uid="{80DD0C65-79AE-4577-BB7E-8FC13512224A}"/>
    <cellStyle name="Linked Cell 10 2 2 3 2 8 2" xfId="11957" xr:uid="{FC563933-5D84-4A7F-B433-974A9D10AC93}"/>
    <cellStyle name="Linked Cell 10 2 2 3 2 8 2 2" xfId="11958" xr:uid="{D85B2958-FE55-4B7F-BEC2-8E9FD536A335}"/>
    <cellStyle name="Linked Cell 10 2 2 3 2 8 3" xfId="11959" xr:uid="{978377A2-6881-48B0-973C-AABFF8149737}"/>
    <cellStyle name="Linked Cell 10 2 2 3 2 9" xfId="11960" xr:uid="{BDC154D6-03CD-4E14-A3CF-BBD38ECBC037}"/>
    <cellStyle name="Linked Cell 10 2 2 3 2 9 2" xfId="11961" xr:uid="{D5624CC9-0362-4823-B1EB-D11212B9037C}"/>
    <cellStyle name="Linked Cell 10 2 2 3 2 9 2 2" xfId="11962" xr:uid="{84A98889-FA37-4136-AF16-D908CE025B52}"/>
    <cellStyle name="Linked Cell 10 2 2 3 2 9 3" xfId="11963" xr:uid="{80649339-6744-4A06-A030-19423AB2E888}"/>
    <cellStyle name="Linked Cell 10 2 2 3 3" xfId="11964" xr:uid="{8A657DF1-5298-4F35-A8E4-A1730AA619AB}"/>
    <cellStyle name="Linked Cell 10 2 2 3 3 2" xfId="11965" xr:uid="{B7A33C08-E514-48A6-BEBC-7509EC39C87D}"/>
    <cellStyle name="Linked Cell 10 2 2 3 3 2 2" xfId="11966" xr:uid="{2DCC5EB7-DC67-43E2-9D3E-28792272102F}"/>
    <cellStyle name="Linked Cell 10 2 2 3 3 3" xfId="11967" xr:uid="{C1E176F4-4410-432B-82E9-4FC2B11402EF}"/>
    <cellStyle name="Linked Cell 10 2 2 3 4" xfId="11968" xr:uid="{17573D0E-E42F-4F01-A0A9-FA8882922B15}"/>
    <cellStyle name="Linked Cell 10 2 2 3 4 2" xfId="11969" xr:uid="{7DC20A76-DC17-4B1C-A93D-783AE832DF1A}"/>
    <cellStyle name="Linked Cell 10 2 2 3 4 2 2" xfId="11970" xr:uid="{4E6C63FA-52BC-4C83-8527-A943BA699FE4}"/>
    <cellStyle name="Linked Cell 10 2 2 3 4 3" xfId="11971" xr:uid="{E27C0027-5F03-4A38-9EDF-96788171D464}"/>
    <cellStyle name="Linked Cell 10 2 2 3 5" xfId="11972" xr:uid="{4F45EAF5-242A-437A-8848-9975FB1E5E92}"/>
    <cellStyle name="Linked Cell 10 2 2 3 5 2" xfId="11973" xr:uid="{75EFCDE0-7371-4609-9961-B75844579BB5}"/>
    <cellStyle name="Linked Cell 10 2 2 3 5 2 2" xfId="11974" xr:uid="{1233CE83-006C-476D-A621-15B2EA945FF9}"/>
    <cellStyle name="Linked Cell 10 2 2 3 5 3" xfId="11975" xr:uid="{AC553764-20EC-4325-866A-79A10DBDA0B8}"/>
    <cellStyle name="Linked Cell 10 2 2 3 6" xfId="11976" xr:uid="{494B9A80-1304-43EF-86D9-164B4BF990BB}"/>
    <cellStyle name="Linked Cell 10 2 2 3 6 2" xfId="11977" xr:uid="{2DA94488-627E-4511-9DAA-0197266DC122}"/>
    <cellStyle name="Linked Cell 10 2 2 3 6 2 2" xfId="11978" xr:uid="{08E69E85-5662-4AC5-8732-EFA50FF862CC}"/>
    <cellStyle name="Linked Cell 10 2 2 3 6 3" xfId="11979" xr:uid="{7CDC74FF-5D6E-41F4-B2C5-117C380CF6E2}"/>
    <cellStyle name="Linked Cell 10 2 2 3 7" xfId="11980" xr:uid="{5DCA410B-274A-4DC0-832E-A152727154B3}"/>
    <cellStyle name="Linked Cell 10 2 2 3 7 2" xfId="11981" xr:uid="{F4272EF9-CB0B-4E9A-88ED-FDEE1E99B85A}"/>
    <cellStyle name="Linked Cell 10 2 2 3 7 2 2" xfId="11982" xr:uid="{D4F30263-59DD-4CCE-A1E6-195B6179F3A7}"/>
    <cellStyle name="Linked Cell 10 2 2 3 7 3" xfId="11983" xr:uid="{0B3B1893-0C99-4E4E-98B7-0C9095EAC62A}"/>
    <cellStyle name="Linked Cell 10 2 2 3 8" xfId="11984" xr:uid="{0161C937-EF9F-43CF-9747-84B12E3B8424}"/>
    <cellStyle name="Linked Cell 10 2 2 3 8 2" xfId="11985" xr:uid="{E5160AB9-4ED6-4A59-9C5E-AB5C8B0F6020}"/>
    <cellStyle name="Linked Cell 10 2 2 3 8 2 2" xfId="11986" xr:uid="{9D5D6DC9-5F21-4245-8D64-A6E252B1F64F}"/>
    <cellStyle name="Linked Cell 10 2 2 3 8 3" xfId="11987" xr:uid="{50E9425B-C045-480A-B076-CA2C571B5343}"/>
    <cellStyle name="Linked Cell 10 2 2 3 9" xfId="11988" xr:uid="{1E80F884-9AA1-4781-A610-21FF78E20C42}"/>
    <cellStyle name="Linked Cell 10 2 2 3 9 2" xfId="11989" xr:uid="{2B9B375D-9520-4F36-BD4C-032057C87E9C}"/>
    <cellStyle name="Linked Cell 10 2 2 3 9 2 2" xfId="11990" xr:uid="{40FD9662-1F2C-4B2D-94A0-414F697B1CEA}"/>
    <cellStyle name="Linked Cell 10 2 2 3 9 3" xfId="11991" xr:uid="{3F3790D0-EDC3-4FD2-BA2E-8F7F5EAA766D}"/>
    <cellStyle name="Linked Cell 10 2 2 4" xfId="11992" xr:uid="{22A2CD8A-2FBF-4389-8271-2A96F6766BB6}"/>
    <cellStyle name="Linked Cell 10 2 2 4 10" xfId="11993" xr:uid="{9A634671-B108-4D7E-9840-6A23F1C39044}"/>
    <cellStyle name="Linked Cell 10 2 2 4 10 2" xfId="11994" xr:uid="{134DACA5-E5F8-456E-ABDC-A14378CCA5CB}"/>
    <cellStyle name="Linked Cell 10 2 2 4 11" xfId="11995" xr:uid="{545B6BEA-0FE6-4DAE-88C6-E632927EA514}"/>
    <cellStyle name="Linked Cell 10 2 2 4 2" xfId="11996" xr:uid="{54EAE950-DC7E-4DA6-8B19-05E352DB04D0}"/>
    <cellStyle name="Linked Cell 10 2 2 4 2 2" xfId="11997" xr:uid="{D2D03648-F0CD-4597-BD56-34F3E5757A17}"/>
    <cellStyle name="Linked Cell 10 2 2 4 2 2 2" xfId="11998" xr:uid="{079588E8-AE9C-4AAB-89F1-410720AEB18E}"/>
    <cellStyle name="Linked Cell 10 2 2 4 2 3" xfId="11999" xr:uid="{2171F3C3-32C8-4019-9F93-8E4F2D988070}"/>
    <cellStyle name="Linked Cell 10 2 2 4 3" xfId="12000" xr:uid="{AD5DA25E-7EBB-4783-B266-B0CB4590C1B0}"/>
    <cellStyle name="Linked Cell 10 2 2 4 3 2" xfId="12001" xr:uid="{95D363C0-BF34-4B3B-A9DA-B073DE1B8011}"/>
    <cellStyle name="Linked Cell 10 2 2 4 3 2 2" xfId="12002" xr:uid="{9173516F-B354-4FE4-AEA8-CCF2C5F1A798}"/>
    <cellStyle name="Linked Cell 10 2 2 4 3 3" xfId="12003" xr:uid="{6523926C-D740-4AE7-A81E-1C78D4A9B80D}"/>
    <cellStyle name="Linked Cell 10 2 2 4 4" xfId="12004" xr:uid="{29DDB8B4-E816-44D1-A5FD-A0EF107024B1}"/>
    <cellStyle name="Linked Cell 10 2 2 4 4 2" xfId="12005" xr:uid="{BBD40096-8070-4EDF-BE02-9A5EA271001E}"/>
    <cellStyle name="Linked Cell 10 2 2 4 4 2 2" xfId="12006" xr:uid="{BADF4D78-D9AF-4928-9781-24B158C452AC}"/>
    <cellStyle name="Linked Cell 10 2 2 4 4 3" xfId="12007" xr:uid="{2857ED9D-07DB-4329-BC3C-87F5E430E323}"/>
    <cellStyle name="Linked Cell 10 2 2 4 5" xfId="12008" xr:uid="{8CD642E3-65F8-4294-B440-65913FF9457B}"/>
    <cellStyle name="Linked Cell 10 2 2 4 5 2" xfId="12009" xr:uid="{6AC1CF2C-3BF7-4057-9520-1968C10FE2CF}"/>
    <cellStyle name="Linked Cell 10 2 2 4 5 2 2" xfId="12010" xr:uid="{8CD1248A-DDE7-4998-B42C-F9AFECDF24A5}"/>
    <cellStyle name="Linked Cell 10 2 2 4 5 3" xfId="12011" xr:uid="{7374909A-B303-486E-A81B-DA60EA20FF01}"/>
    <cellStyle name="Linked Cell 10 2 2 4 6" xfId="12012" xr:uid="{F1FD0A9A-E32B-45E1-8D94-9126AC14F995}"/>
    <cellStyle name="Linked Cell 10 2 2 4 6 2" xfId="12013" xr:uid="{C9DE4FF6-0AEC-44F9-BFB5-29FEE3024FC6}"/>
    <cellStyle name="Linked Cell 10 2 2 4 6 2 2" xfId="12014" xr:uid="{C9016B95-2FC0-42D1-95B2-F4FFB5A2889B}"/>
    <cellStyle name="Linked Cell 10 2 2 4 6 3" xfId="12015" xr:uid="{7476FA30-68B9-46FA-8452-09F2E7556FA9}"/>
    <cellStyle name="Linked Cell 10 2 2 4 7" xfId="12016" xr:uid="{A2800FF8-AD29-4107-9D26-5B81A5311CD0}"/>
    <cellStyle name="Linked Cell 10 2 2 4 7 2" xfId="12017" xr:uid="{C0C0413B-1F39-461C-80ED-A6C1F581A4B5}"/>
    <cellStyle name="Linked Cell 10 2 2 4 7 2 2" xfId="12018" xr:uid="{3DCFA08F-7419-4672-98F0-1192D9FFDE88}"/>
    <cellStyle name="Linked Cell 10 2 2 4 7 3" xfId="12019" xr:uid="{807E1F45-F2DF-4E20-B7F5-8E60D8CCBE3B}"/>
    <cellStyle name="Linked Cell 10 2 2 4 8" xfId="12020" xr:uid="{305E6AFC-C1CE-4029-8AF3-F18675A534C1}"/>
    <cellStyle name="Linked Cell 10 2 2 4 8 2" xfId="12021" xr:uid="{172A8F48-EC99-4873-87EA-80AB208BB9EA}"/>
    <cellStyle name="Linked Cell 10 2 2 4 8 2 2" xfId="12022" xr:uid="{DE19B837-5BD5-4830-9BDA-1D000D8C861B}"/>
    <cellStyle name="Linked Cell 10 2 2 4 8 3" xfId="12023" xr:uid="{81E47A38-95E9-46DA-AA1F-12CE3BD193EA}"/>
    <cellStyle name="Linked Cell 10 2 2 4 9" xfId="12024" xr:uid="{9F934ACE-115A-4708-AB95-3DAB0886E0CA}"/>
    <cellStyle name="Linked Cell 10 2 2 4 9 2" xfId="12025" xr:uid="{C6704651-6E69-4819-82B2-0436C307A3C4}"/>
    <cellStyle name="Linked Cell 10 2 2 4 9 2 2" xfId="12026" xr:uid="{9561A989-8C90-43F8-9231-DA876F454445}"/>
    <cellStyle name="Linked Cell 10 2 2 4 9 3" xfId="12027" xr:uid="{1F999F09-999F-4929-A2ED-10C57A01DD93}"/>
    <cellStyle name="Linked Cell 10 2 2 5" xfId="12028" xr:uid="{6610325C-DB47-4D33-B855-A6342068DF05}"/>
    <cellStyle name="Linked Cell 10 2 2 5 2" xfId="12029" xr:uid="{7ADB21FC-8334-45FE-AE79-0697EB3EB774}"/>
    <cellStyle name="Linked Cell 10 2 2 5 2 2" xfId="12030" xr:uid="{44E94EE9-5E38-4D34-83CB-4D8EA635D20E}"/>
    <cellStyle name="Linked Cell 10 2 2 5 3" xfId="12031" xr:uid="{5A2A43DA-0359-4938-8052-CA6058E5D6D8}"/>
    <cellStyle name="Linked Cell 10 2 2 6" xfId="12032" xr:uid="{D5C979B7-9885-4FE6-BCD7-85FD7A80AFE6}"/>
    <cellStyle name="Linked Cell 10 2 2 6 2" xfId="12033" xr:uid="{BD41F6D5-2141-407C-9181-2FCA9563E53E}"/>
    <cellStyle name="Linked Cell 10 2 2 6 2 2" xfId="12034" xr:uid="{49685FCF-7916-40F6-83C2-E5643E46BD28}"/>
    <cellStyle name="Linked Cell 10 2 2 6 3" xfId="12035" xr:uid="{91F9DE85-43AE-4102-8EC6-71469033CC74}"/>
    <cellStyle name="Linked Cell 10 2 2 7" xfId="12036" xr:uid="{7759108C-1572-472F-8DBC-B6A713E1CF55}"/>
    <cellStyle name="Linked Cell 10 2 2 7 2" xfId="12037" xr:uid="{4125286C-F3BC-41E0-AC60-385E96D3D86B}"/>
    <cellStyle name="Linked Cell 10 2 2 7 2 2" xfId="12038" xr:uid="{763EF5EB-F837-410C-80F7-46C696DA09AA}"/>
    <cellStyle name="Linked Cell 10 2 2 7 3" xfId="12039" xr:uid="{E27521B0-9D84-42DB-8852-B45DBE4D39D0}"/>
    <cellStyle name="Linked Cell 10 2 2 8" xfId="12040" xr:uid="{4353031C-CFD3-4015-95EF-288740EACEF3}"/>
    <cellStyle name="Linked Cell 10 2 2 8 2" xfId="12041" xr:uid="{15C52162-FFB6-4C1E-998E-33BADE35D185}"/>
    <cellStyle name="Linked Cell 10 2 2 8 2 2" xfId="12042" xr:uid="{A3D9B6DC-3714-4E56-8577-8BCF878C21B8}"/>
    <cellStyle name="Linked Cell 10 2 2 8 3" xfId="12043" xr:uid="{1653F809-11BD-4751-9010-4A6F5546C8B5}"/>
    <cellStyle name="Linked Cell 10 2 2 9" xfId="12044" xr:uid="{007ED638-28B3-4E8A-BD21-CA6F2857C25D}"/>
    <cellStyle name="Linked Cell 10 2 2 9 2" xfId="12045" xr:uid="{92DFA272-F173-4738-B985-B6A61D310DBB}"/>
    <cellStyle name="Linked Cell 10 2 2 9 2 2" xfId="12046" xr:uid="{B367C9A8-C97E-49E8-87F3-ED7C1B428975}"/>
    <cellStyle name="Linked Cell 10 2 2 9 3" xfId="12047" xr:uid="{E9629DAA-EEEC-4917-9CEA-C0AC26300A05}"/>
    <cellStyle name="Linked Cell 10 2 3" xfId="12048" xr:uid="{B8027D06-E9EF-43A7-B21C-9D03A5703D43}"/>
    <cellStyle name="Linked Cell 10 2 3 10" xfId="12049" xr:uid="{26E5ECF8-1E9F-4E8B-AE01-2F1C0D240C0B}"/>
    <cellStyle name="Linked Cell 10 2 3 10 2" xfId="12050" xr:uid="{0EE437CD-0CBB-43D2-8C3C-B4E77DB8A69E}"/>
    <cellStyle name="Linked Cell 10 2 3 10 2 2" xfId="12051" xr:uid="{0267C999-BC16-4D03-A407-EB18B7DF0887}"/>
    <cellStyle name="Linked Cell 10 2 3 10 3" xfId="12052" xr:uid="{0B93DF8E-E45E-4256-A790-164AE7429D66}"/>
    <cellStyle name="Linked Cell 10 2 3 11" xfId="12053" xr:uid="{11EFC2C1-BF0A-45D3-983C-77E9AB8EBF4B}"/>
    <cellStyle name="Linked Cell 10 2 3 11 2" xfId="12054" xr:uid="{D261DD86-3124-4500-89A6-9572E1A8F599}"/>
    <cellStyle name="Linked Cell 10 2 3 11 2 2" xfId="12055" xr:uid="{AFD57822-3A04-46D0-B57A-4AD4B6C5D06F}"/>
    <cellStyle name="Linked Cell 10 2 3 11 3" xfId="12056" xr:uid="{2A4D1B7D-3CC9-4184-A3B2-BC136711B9A4}"/>
    <cellStyle name="Linked Cell 10 2 3 12" xfId="12057" xr:uid="{52243854-CD2B-4A6C-949C-85F450949BFD}"/>
    <cellStyle name="Linked Cell 10 2 3 12 2" xfId="12058" xr:uid="{2F1C8B08-05AA-42D3-ACDF-6F3254F2B05C}"/>
    <cellStyle name="Linked Cell 10 2 3 13" xfId="12059" xr:uid="{47739A9B-1F9F-45A0-ADEF-0C348A2A1F56}"/>
    <cellStyle name="Linked Cell 10 2 3 2" xfId="12060" xr:uid="{8EE75531-CA95-47E1-93AB-E27160EA7601}"/>
    <cellStyle name="Linked Cell 10 2 3 2 10" xfId="12061" xr:uid="{1A3FFF4B-158F-467A-81FC-EDE0C09D89A6}"/>
    <cellStyle name="Linked Cell 10 2 3 2 10 2" xfId="12062" xr:uid="{2678EEB4-C681-454D-97DC-F97199890923}"/>
    <cellStyle name="Linked Cell 10 2 3 2 10 2 2" xfId="12063" xr:uid="{038A96FF-6230-404F-B6F6-27BC123652FC}"/>
    <cellStyle name="Linked Cell 10 2 3 2 10 3" xfId="12064" xr:uid="{0200ED20-49FC-4509-BDEB-5AF34284E6B5}"/>
    <cellStyle name="Linked Cell 10 2 3 2 11" xfId="12065" xr:uid="{19AAEB97-DBC5-463E-9233-48C317217037}"/>
    <cellStyle name="Linked Cell 10 2 3 2 11 2" xfId="12066" xr:uid="{8B09AC74-46CB-408D-B264-E932AC915C21}"/>
    <cellStyle name="Linked Cell 10 2 3 2 12" xfId="12067" xr:uid="{A858D069-11BD-4D3C-BF2E-0F6610BCE23E}"/>
    <cellStyle name="Linked Cell 10 2 3 2 2" xfId="12068" xr:uid="{46887A0D-D9D3-4F55-9E7D-E762125070BF}"/>
    <cellStyle name="Linked Cell 10 2 3 2 2 2" xfId="12069" xr:uid="{F8371ACF-9DAA-4290-A885-C6669EE3834A}"/>
    <cellStyle name="Linked Cell 10 2 3 2 2 2 2" xfId="12070" xr:uid="{AF70ED36-30A9-4D39-BCE2-17872C14ABD2}"/>
    <cellStyle name="Linked Cell 10 2 3 2 2 3" xfId="12071" xr:uid="{6E55ECF8-025D-419C-ADBC-9F2773ED7B19}"/>
    <cellStyle name="Linked Cell 10 2 3 2 3" xfId="12072" xr:uid="{5EAD3AC0-0A36-4051-9786-E6D8B0C80D00}"/>
    <cellStyle name="Linked Cell 10 2 3 2 3 2" xfId="12073" xr:uid="{6698BBFE-F166-4FE1-81AD-234A0EA54704}"/>
    <cellStyle name="Linked Cell 10 2 3 2 3 2 2" xfId="12074" xr:uid="{6AA7157D-F872-4D8D-B6BF-282C8DEC2CD0}"/>
    <cellStyle name="Linked Cell 10 2 3 2 3 3" xfId="12075" xr:uid="{D4A9467D-A50A-45EC-A85B-D78349AB096C}"/>
    <cellStyle name="Linked Cell 10 2 3 2 4" xfId="12076" xr:uid="{55275BE6-5B2D-4641-8E78-AB9B06B2AC24}"/>
    <cellStyle name="Linked Cell 10 2 3 2 4 2" xfId="12077" xr:uid="{3F796C34-D69F-4C2E-A928-32F6D54C6088}"/>
    <cellStyle name="Linked Cell 10 2 3 2 4 2 2" xfId="12078" xr:uid="{3B3ABD8C-982F-4106-8E97-3C42222BE9D0}"/>
    <cellStyle name="Linked Cell 10 2 3 2 4 3" xfId="12079" xr:uid="{FA9878BE-B69C-431C-9DFB-F1089C916DCD}"/>
    <cellStyle name="Linked Cell 10 2 3 2 5" xfId="12080" xr:uid="{FC6EACD6-7842-4D18-A86C-74F2748DB5AC}"/>
    <cellStyle name="Linked Cell 10 2 3 2 5 2" xfId="12081" xr:uid="{2B12BCFD-654E-42D8-81A2-6E14C3101423}"/>
    <cellStyle name="Linked Cell 10 2 3 2 5 2 2" xfId="12082" xr:uid="{8850C7F3-6824-4DCC-B9A0-139353635D53}"/>
    <cellStyle name="Linked Cell 10 2 3 2 5 3" xfId="12083" xr:uid="{6297C219-87C6-499F-A8F9-14B2E7F9E908}"/>
    <cellStyle name="Linked Cell 10 2 3 2 6" xfId="12084" xr:uid="{FFD57BAB-3DEB-4FDB-920C-C36D35FE6BEF}"/>
    <cellStyle name="Linked Cell 10 2 3 2 6 2" xfId="12085" xr:uid="{F8235030-49B8-4660-B624-734E3E34412F}"/>
    <cellStyle name="Linked Cell 10 2 3 2 6 2 2" xfId="12086" xr:uid="{84F293B4-FA83-4A08-B54E-DF677E6B0E3A}"/>
    <cellStyle name="Linked Cell 10 2 3 2 6 3" xfId="12087" xr:uid="{8BC1FB6C-2F26-47DE-8FEE-6CBD028B7A53}"/>
    <cellStyle name="Linked Cell 10 2 3 2 7" xfId="12088" xr:uid="{23E05942-364F-4EAD-98A4-A468A43A4DDB}"/>
    <cellStyle name="Linked Cell 10 2 3 2 7 2" xfId="12089" xr:uid="{11F4E687-E64D-440C-A51B-0964CA120DA1}"/>
    <cellStyle name="Linked Cell 10 2 3 2 7 2 2" xfId="12090" xr:uid="{BC2BAFB9-C8EF-4928-B0F3-F0FF44A36566}"/>
    <cellStyle name="Linked Cell 10 2 3 2 7 3" xfId="12091" xr:uid="{81C39E50-7689-46AB-8DC8-6C2D3693EB9C}"/>
    <cellStyle name="Linked Cell 10 2 3 2 8" xfId="12092" xr:uid="{966376BD-A2DC-4DCC-A6B1-11F2D6B20568}"/>
    <cellStyle name="Linked Cell 10 2 3 2 8 2" xfId="12093" xr:uid="{2414160B-84F9-4B7B-907A-A826F5C550B6}"/>
    <cellStyle name="Linked Cell 10 2 3 2 8 2 2" xfId="12094" xr:uid="{6920B6E0-9F7C-4E91-B70D-AE685AF28402}"/>
    <cellStyle name="Linked Cell 10 2 3 2 8 3" xfId="12095" xr:uid="{A5B439F5-02E2-42D6-B8F8-D5EEAC251F5F}"/>
    <cellStyle name="Linked Cell 10 2 3 2 9" xfId="12096" xr:uid="{5D471B8B-5976-4897-AC2C-1DE16CDB9FD6}"/>
    <cellStyle name="Linked Cell 10 2 3 2 9 2" xfId="12097" xr:uid="{C85836CB-1B93-4E1E-903D-EA1967EB37A9}"/>
    <cellStyle name="Linked Cell 10 2 3 2 9 2 2" xfId="12098" xr:uid="{9038A7E4-A4AB-40B0-A499-0B91ADC0E900}"/>
    <cellStyle name="Linked Cell 10 2 3 2 9 3" xfId="12099" xr:uid="{A7764E39-2EC9-49B2-94FE-F7D715872C59}"/>
    <cellStyle name="Linked Cell 10 2 3 3" xfId="12100" xr:uid="{608E509C-9B0B-4640-BF0C-F8EA08154F5A}"/>
    <cellStyle name="Linked Cell 10 2 3 3 10" xfId="12101" xr:uid="{25FD5D7C-643A-46EC-8685-5D6BF020610D}"/>
    <cellStyle name="Linked Cell 10 2 3 3 10 2" xfId="12102" xr:uid="{7D9D1D4C-8D7F-420B-B602-5F6417105ABD}"/>
    <cellStyle name="Linked Cell 10 2 3 3 11" xfId="12103" xr:uid="{91D80C0E-804C-4AD9-8ED9-15E76A6B8973}"/>
    <cellStyle name="Linked Cell 10 2 3 3 2" xfId="12104" xr:uid="{34729805-C593-4DF5-AE0E-46496EF9F89F}"/>
    <cellStyle name="Linked Cell 10 2 3 3 2 2" xfId="12105" xr:uid="{4B82DC9D-CC48-46FE-992C-B17E65C61A6A}"/>
    <cellStyle name="Linked Cell 10 2 3 3 2 2 2" xfId="12106" xr:uid="{27386385-326E-40CB-8D4B-AE290C8DE66A}"/>
    <cellStyle name="Linked Cell 10 2 3 3 2 3" xfId="12107" xr:uid="{25B581E3-76EB-47F4-8BF8-9B7548084B30}"/>
    <cellStyle name="Linked Cell 10 2 3 3 3" xfId="12108" xr:uid="{16D7EF09-EA4C-4E0F-B99B-4DDD4CD2E17A}"/>
    <cellStyle name="Linked Cell 10 2 3 3 3 2" xfId="12109" xr:uid="{5E2E3A85-C917-4196-ADA8-59635611790E}"/>
    <cellStyle name="Linked Cell 10 2 3 3 3 2 2" xfId="12110" xr:uid="{CFCC9979-F416-467E-9CF8-85523EE979B1}"/>
    <cellStyle name="Linked Cell 10 2 3 3 3 3" xfId="12111" xr:uid="{B2DC02B8-5900-436E-9D2D-385BA69CDB42}"/>
    <cellStyle name="Linked Cell 10 2 3 3 4" xfId="12112" xr:uid="{0BA9CBF6-E450-4731-A2DA-185DAF11215F}"/>
    <cellStyle name="Linked Cell 10 2 3 3 4 2" xfId="12113" xr:uid="{23D36790-4F76-478E-9AD1-3A6232E04A94}"/>
    <cellStyle name="Linked Cell 10 2 3 3 4 2 2" xfId="12114" xr:uid="{E7034389-61A7-4347-AB6B-AFAACE87DF53}"/>
    <cellStyle name="Linked Cell 10 2 3 3 4 3" xfId="12115" xr:uid="{CD4F5F3D-741B-4061-A144-FFF52924334A}"/>
    <cellStyle name="Linked Cell 10 2 3 3 5" xfId="12116" xr:uid="{7D267FE6-92A6-464A-AF2F-A5AFF1A933EA}"/>
    <cellStyle name="Linked Cell 10 2 3 3 5 2" xfId="12117" xr:uid="{7FDF9931-2EA6-4A31-8EAB-3FB7CBDE0FE4}"/>
    <cellStyle name="Linked Cell 10 2 3 3 5 2 2" xfId="12118" xr:uid="{B15F09BD-5A58-4C34-8FC5-C283B9622ED4}"/>
    <cellStyle name="Linked Cell 10 2 3 3 5 3" xfId="12119" xr:uid="{12929D18-F63C-4C0B-BDA7-EB3513A9ED49}"/>
    <cellStyle name="Linked Cell 10 2 3 3 6" xfId="12120" xr:uid="{F0FBACA1-9297-4B02-8FDD-8C453C08517D}"/>
    <cellStyle name="Linked Cell 10 2 3 3 6 2" xfId="12121" xr:uid="{9F323F6A-F921-4C7A-A4C6-4A01A9E0E570}"/>
    <cellStyle name="Linked Cell 10 2 3 3 6 2 2" xfId="12122" xr:uid="{5198298D-EDDF-4EA7-9304-CF085867FD37}"/>
    <cellStyle name="Linked Cell 10 2 3 3 6 3" xfId="12123" xr:uid="{3B4AF0B2-D654-472F-9ECE-DDF86935AA4B}"/>
    <cellStyle name="Linked Cell 10 2 3 3 7" xfId="12124" xr:uid="{E14E7DFF-A523-4199-B227-BD08944AEC5A}"/>
    <cellStyle name="Linked Cell 10 2 3 3 7 2" xfId="12125" xr:uid="{C1404E4B-E285-4602-9E22-B5DB297363E0}"/>
    <cellStyle name="Linked Cell 10 2 3 3 7 2 2" xfId="12126" xr:uid="{6CF55DFC-3B94-4A03-ACD2-C83C2AF2F3EE}"/>
    <cellStyle name="Linked Cell 10 2 3 3 7 3" xfId="12127" xr:uid="{8312AF20-D464-4D9B-A7BE-EEA1B8F70D55}"/>
    <cellStyle name="Linked Cell 10 2 3 3 8" xfId="12128" xr:uid="{B2436C5A-DDD6-40B2-9413-DE14BA1B4850}"/>
    <cellStyle name="Linked Cell 10 2 3 3 8 2" xfId="12129" xr:uid="{986C5B3B-3ADC-41AA-84EA-D25DAC8F299C}"/>
    <cellStyle name="Linked Cell 10 2 3 3 8 2 2" xfId="12130" xr:uid="{3D085E15-1DE1-4BD7-AB69-2D4CAEDA5B43}"/>
    <cellStyle name="Linked Cell 10 2 3 3 8 3" xfId="12131" xr:uid="{8DDCECF4-6CEB-4A6D-ABE9-CA09B5FC1D75}"/>
    <cellStyle name="Linked Cell 10 2 3 3 9" xfId="12132" xr:uid="{F7DA70B7-50AE-47EA-9BE9-D8F326B3F3E3}"/>
    <cellStyle name="Linked Cell 10 2 3 3 9 2" xfId="12133" xr:uid="{489C3167-82A0-4DED-B833-4D474749755D}"/>
    <cellStyle name="Linked Cell 10 2 3 3 9 2 2" xfId="12134" xr:uid="{54D7BB8D-48A9-4A5F-87D2-652FCC9DD0DE}"/>
    <cellStyle name="Linked Cell 10 2 3 3 9 3" xfId="12135" xr:uid="{0691251D-61F6-4C0C-9FD3-5E979AEE58FD}"/>
    <cellStyle name="Linked Cell 10 2 3 4" xfId="12136" xr:uid="{826BB1D1-0A82-4738-8264-BC50573ED02D}"/>
    <cellStyle name="Linked Cell 10 2 3 4 2" xfId="12137" xr:uid="{F0A41142-5C83-42D2-8096-17E1C2DC5462}"/>
    <cellStyle name="Linked Cell 10 2 3 4 2 2" xfId="12138" xr:uid="{AE3761CD-A963-4FAD-B4DC-FC13945D9083}"/>
    <cellStyle name="Linked Cell 10 2 3 4 3" xfId="12139" xr:uid="{5D03059C-37A5-4CB4-A639-164EF6C2FCD3}"/>
    <cellStyle name="Linked Cell 10 2 3 5" xfId="12140" xr:uid="{8049B2CD-4757-4E2C-A78B-035815B37BEA}"/>
    <cellStyle name="Linked Cell 10 2 3 5 2" xfId="12141" xr:uid="{A2C8F215-133D-4823-A37A-CE5087020A2E}"/>
    <cellStyle name="Linked Cell 10 2 3 5 2 2" xfId="12142" xr:uid="{939C1FD0-49F8-4A06-8E9D-6A9B4D7E4C0E}"/>
    <cellStyle name="Linked Cell 10 2 3 5 3" xfId="12143" xr:uid="{0526F10C-0B2F-4750-9BB4-A7498A49C259}"/>
    <cellStyle name="Linked Cell 10 2 3 6" xfId="12144" xr:uid="{ABDF2D31-5905-4CBA-9FDB-CD34E8BA9651}"/>
    <cellStyle name="Linked Cell 10 2 3 6 2" xfId="12145" xr:uid="{9654EBC7-94F0-4027-8B3F-682479E4B003}"/>
    <cellStyle name="Linked Cell 10 2 3 6 2 2" xfId="12146" xr:uid="{D31783DE-8A2A-4C61-ADE5-1465D3D9644A}"/>
    <cellStyle name="Linked Cell 10 2 3 6 3" xfId="12147" xr:uid="{DEC2ED3C-52AE-4758-9555-E6163745133D}"/>
    <cellStyle name="Linked Cell 10 2 3 7" xfId="12148" xr:uid="{8FEF19CC-2C60-4830-B542-712887D25384}"/>
    <cellStyle name="Linked Cell 10 2 3 7 2" xfId="12149" xr:uid="{104B1637-D440-49C2-88B6-1D6A68517214}"/>
    <cellStyle name="Linked Cell 10 2 3 7 2 2" xfId="12150" xr:uid="{C6C38EBA-E463-4872-9E63-193250F70545}"/>
    <cellStyle name="Linked Cell 10 2 3 7 3" xfId="12151" xr:uid="{2EF14A64-B31A-456C-AD38-327D7CB356D0}"/>
    <cellStyle name="Linked Cell 10 2 3 8" xfId="12152" xr:uid="{919AF60F-3319-4EDA-A1F6-0782F46A0508}"/>
    <cellStyle name="Linked Cell 10 2 3 8 2" xfId="12153" xr:uid="{E07008A0-ED2B-4AE3-A60B-C8D6F65984C0}"/>
    <cellStyle name="Linked Cell 10 2 3 8 2 2" xfId="12154" xr:uid="{AB45A512-37E0-4939-9B2C-B3A1593FD965}"/>
    <cellStyle name="Linked Cell 10 2 3 8 3" xfId="12155" xr:uid="{CA3E2C62-A4EA-47DB-A275-20F26BC1894C}"/>
    <cellStyle name="Linked Cell 10 2 3 9" xfId="12156" xr:uid="{3F4324F9-CA92-40D0-AF3A-5E7996DFF320}"/>
    <cellStyle name="Linked Cell 10 2 3 9 2" xfId="12157" xr:uid="{9C2DF075-7B2E-4DD8-9F89-D6664370EEDD}"/>
    <cellStyle name="Linked Cell 10 2 3 9 2 2" xfId="12158" xr:uid="{FC373B1F-387E-4811-ABD7-3757BC8D27B9}"/>
    <cellStyle name="Linked Cell 10 2 3 9 3" xfId="12159" xr:uid="{03A3C19D-33E8-4A0E-8506-1486673CCD8C}"/>
    <cellStyle name="Linked Cell 10 2 4" xfId="12160" xr:uid="{A212AA9B-8A8E-4EEE-892E-074A4640D3C1}"/>
    <cellStyle name="Linked Cell 10 2 4 10" xfId="12161" xr:uid="{FBBCCCB7-52A3-465F-92B9-767EE38E4DC0}"/>
    <cellStyle name="Linked Cell 10 2 4 10 2" xfId="12162" xr:uid="{7BB23D11-D6D0-4CD5-BA4B-B17E30FC3CB5}"/>
    <cellStyle name="Linked Cell 10 2 4 10 2 2" xfId="12163" xr:uid="{C54B642A-00A5-4F85-A451-BBD6ACD3075B}"/>
    <cellStyle name="Linked Cell 10 2 4 10 3" xfId="12164" xr:uid="{81542898-154D-487B-8671-B9DF3392C122}"/>
    <cellStyle name="Linked Cell 10 2 4 11" xfId="12165" xr:uid="{BCC24E93-5AEA-43E4-8E7F-F46B25563AA1}"/>
    <cellStyle name="Linked Cell 10 2 4 11 2" xfId="12166" xr:uid="{4CBC2FA5-8ECC-48F6-A14C-8FC722285812}"/>
    <cellStyle name="Linked Cell 10 2 4 12" xfId="12167" xr:uid="{C566724D-7758-4CBD-976C-2AB4E5CADAFD}"/>
    <cellStyle name="Linked Cell 10 2 4 2" xfId="12168" xr:uid="{CEE93318-9D6E-496C-8B5B-3A8A796196D8}"/>
    <cellStyle name="Linked Cell 10 2 4 2 10" xfId="12169" xr:uid="{3F9AF166-A264-47DB-B2BD-746C57301055}"/>
    <cellStyle name="Linked Cell 10 2 4 2 10 2" xfId="12170" xr:uid="{A5320FA7-36E7-4814-98BE-A92810855EB5}"/>
    <cellStyle name="Linked Cell 10 2 4 2 11" xfId="12171" xr:uid="{07A7A22A-8ED8-4A8F-A789-A9A224665306}"/>
    <cellStyle name="Linked Cell 10 2 4 2 2" xfId="12172" xr:uid="{99BF6FCD-D704-40B0-BDF4-270747FA03EF}"/>
    <cellStyle name="Linked Cell 10 2 4 2 2 2" xfId="12173" xr:uid="{62201A99-F097-4ECB-844D-E6703CEAAAB3}"/>
    <cellStyle name="Linked Cell 10 2 4 2 2 2 2" xfId="12174" xr:uid="{A109B7FF-1AD9-470D-A04D-495EED720FA5}"/>
    <cellStyle name="Linked Cell 10 2 4 2 2 3" xfId="12175" xr:uid="{83BA6871-286C-44BD-802A-56AD6EF2C6F3}"/>
    <cellStyle name="Linked Cell 10 2 4 2 3" xfId="12176" xr:uid="{3A371589-E2B0-43FB-84A1-8CB8CC3411A7}"/>
    <cellStyle name="Linked Cell 10 2 4 2 3 2" xfId="12177" xr:uid="{FD36C939-C746-4070-AC65-D82FDC7C23CE}"/>
    <cellStyle name="Linked Cell 10 2 4 2 3 2 2" xfId="12178" xr:uid="{1554558F-0DBC-4807-9476-ACC7FAED451B}"/>
    <cellStyle name="Linked Cell 10 2 4 2 3 3" xfId="12179" xr:uid="{442F50C1-A629-46EE-A7C9-CD87C16C71F3}"/>
    <cellStyle name="Linked Cell 10 2 4 2 4" xfId="12180" xr:uid="{0FD49854-86E2-4436-B535-795533ABAC3C}"/>
    <cellStyle name="Linked Cell 10 2 4 2 4 2" xfId="12181" xr:uid="{41018026-D132-43E1-9236-F57274BFBD5C}"/>
    <cellStyle name="Linked Cell 10 2 4 2 4 2 2" xfId="12182" xr:uid="{83060F78-59D6-450B-A9A8-CFE03DFE6C57}"/>
    <cellStyle name="Linked Cell 10 2 4 2 4 3" xfId="12183" xr:uid="{01F54C66-B376-41EE-AF89-3E7DC9A1FC57}"/>
    <cellStyle name="Linked Cell 10 2 4 2 5" xfId="12184" xr:uid="{201552D6-9007-43F6-8C88-47E5F6307EA8}"/>
    <cellStyle name="Linked Cell 10 2 4 2 5 2" xfId="12185" xr:uid="{3F445753-615D-47EC-98AD-195526250211}"/>
    <cellStyle name="Linked Cell 10 2 4 2 5 2 2" xfId="12186" xr:uid="{E2667343-BC99-45A0-8591-8DA2A5738621}"/>
    <cellStyle name="Linked Cell 10 2 4 2 5 3" xfId="12187" xr:uid="{DCB5DEDE-06D6-4ECF-A2A7-C4E4B5EDC736}"/>
    <cellStyle name="Linked Cell 10 2 4 2 6" xfId="12188" xr:uid="{33C0113F-7F6E-4F47-86F8-E259A7977DAB}"/>
    <cellStyle name="Linked Cell 10 2 4 2 6 2" xfId="12189" xr:uid="{9F6211E5-3B89-4B0F-9C96-C5AB17D4FF9E}"/>
    <cellStyle name="Linked Cell 10 2 4 2 6 2 2" xfId="12190" xr:uid="{007740E4-F9B6-4884-9608-B7B0F6811A6B}"/>
    <cellStyle name="Linked Cell 10 2 4 2 6 3" xfId="12191" xr:uid="{A63AA60E-56C6-4A01-8EC3-F0C435982793}"/>
    <cellStyle name="Linked Cell 10 2 4 2 7" xfId="12192" xr:uid="{C8902C6E-98C8-4559-A3A8-88709EB543D9}"/>
    <cellStyle name="Linked Cell 10 2 4 2 7 2" xfId="12193" xr:uid="{4CDAADBB-58E3-4C89-966B-F6AD45411CBB}"/>
    <cellStyle name="Linked Cell 10 2 4 2 7 2 2" xfId="12194" xr:uid="{394434A6-1143-40D9-B43C-38BCB6C3783F}"/>
    <cellStyle name="Linked Cell 10 2 4 2 7 3" xfId="12195" xr:uid="{BA72AD38-864C-408C-B2DD-4ABAD4FABDF8}"/>
    <cellStyle name="Linked Cell 10 2 4 2 8" xfId="12196" xr:uid="{B05C686A-85F9-4F5F-9F38-E82F1B2BF187}"/>
    <cellStyle name="Linked Cell 10 2 4 2 8 2" xfId="12197" xr:uid="{ED61CEEB-A0BB-49E5-AF73-0D188E8441B1}"/>
    <cellStyle name="Linked Cell 10 2 4 2 8 2 2" xfId="12198" xr:uid="{691B3B17-0D43-49A3-913A-AD1F06D7E384}"/>
    <cellStyle name="Linked Cell 10 2 4 2 8 3" xfId="12199" xr:uid="{72861B41-3051-49B6-8230-F744761DC12C}"/>
    <cellStyle name="Linked Cell 10 2 4 2 9" xfId="12200" xr:uid="{DA5AD8F9-C01B-4F3B-931E-3AF7D84ABF06}"/>
    <cellStyle name="Linked Cell 10 2 4 2 9 2" xfId="12201" xr:uid="{C3CBDE6D-6208-428F-9925-C8F933F9E8B0}"/>
    <cellStyle name="Linked Cell 10 2 4 2 9 2 2" xfId="12202" xr:uid="{6CA551A0-ED13-45F7-82C2-B2BE09520672}"/>
    <cellStyle name="Linked Cell 10 2 4 2 9 3" xfId="12203" xr:uid="{D6EB76B1-62DA-44D6-8E21-B70CBF625F1D}"/>
    <cellStyle name="Linked Cell 10 2 4 3" xfId="12204" xr:uid="{2A67B800-82E1-436C-BBA8-15B648A6BF24}"/>
    <cellStyle name="Linked Cell 10 2 4 3 2" xfId="12205" xr:uid="{8F515C17-24DD-4587-A96A-1BF22ED91C3B}"/>
    <cellStyle name="Linked Cell 10 2 4 3 2 2" xfId="12206" xr:uid="{8C57D6B6-3876-420F-9AF5-C7288CEE3F1E}"/>
    <cellStyle name="Linked Cell 10 2 4 3 3" xfId="12207" xr:uid="{D90941A1-255C-46D5-AB5F-E270B99387C3}"/>
    <cellStyle name="Linked Cell 10 2 4 4" xfId="12208" xr:uid="{B6D1683E-ED26-4BEB-ACFE-7056554115A8}"/>
    <cellStyle name="Linked Cell 10 2 4 4 2" xfId="12209" xr:uid="{C743EF21-A570-4765-81E8-723201011A59}"/>
    <cellStyle name="Linked Cell 10 2 4 4 2 2" xfId="12210" xr:uid="{CE755983-CDE2-4680-8A7D-E4FEAC2CAB03}"/>
    <cellStyle name="Linked Cell 10 2 4 4 3" xfId="12211" xr:uid="{8B24DFE7-0F48-428F-B760-0937ABC393FE}"/>
    <cellStyle name="Linked Cell 10 2 4 5" xfId="12212" xr:uid="{2DAF7B44-157C-4FB1-AE8B-32E236AAE12C}"/>
    <cellStyle name="Linked Cell 10 2 4 5 2" xfId="12213" xr:uid="{12A042DD-B020-4ABB-9CBF-9EC2D19726A7}"/>
    <cellStyle name="Linked Cell 10 2 4 5 2 2" xfId="12214" xr:uid="{3E884A49-5AE6-4DF5-89D4-5E4B81BEFBB3}"/>
    <cellStyle name="Linked Cell 10 2 4 5 3" xfId="12215" xr:uid="{2A3804D1-74E6-4371-B9D7-2C41260E1036}"/>
    <cellStyle name="Linked Cell 10 2 4 6" xfId="12216" xr:uid="{B5E08583-BBA5-44A4-8C63-196ABD30D5A3}"/>
    <cellStyle name="Linked Cell 10 2 4 6 2" xfId="12217" xr:uid="{C2A11225-4B53-4B5A-B168-E2E9DA0CC1CC}"/>
    <cellStyle name="Linked Cell 10 2 4 6 2 2" xfId="12218" xr:uid="{47FE4BBE-F61A-4130-9DA1-8F98F643C6C3}"/>
    <cellStyle name="Linked Cell 10 2 4 6 3" xfId="12219" xr:uid="{A9C1F311-6C3E-4EE8-B01D-98F8168C1914}"/>
    <cellStyle name="Linked Cell 10 2 4 7" xfId="12220" xr:uid="{84E3F498-A1F6-4638-84C7-803CD291C283}"/>
    <cellStyle name="Linked Cell 10 2 4 7 2" xfId="12221" xr:uid="{C2401DC2-524B-493B-BB58-CCDA3DCB2E4F}"/>
    <cellStyle name="Linked Cell 10 2 4 7 2 2" xfId="12222" xr:uid="{27C98BE6-4E7C-4BC9-9F8B-47BDE966D922}"/>
    <cellStyle name="Linked Cell 10 2 4 7 3" xfId="12223" xr:uid="{35115418-48CD-4ED2-860A-A8A06F0FF96C}"/>
    <cellStyle name="Linked Cell 10 2 4 8" xfId="12224" xr:uid="{4BC4C5BE-452A-40EE-BF87-D074139DF569}"/>
    <cellStyle name="Linked Cell 10 2 4 8 2" xfId="12225" xr:uid="{86AD6DEB-CD0F-43F1-99CA-B90179CD99E8}"/>
    <cellStyle name="Linked Cell 10 2 4 8 2 2" xfId="12226" xr:uid="{AFFEEA50-ED2E-4476-9394-0FDE53D3F5AE}"/>
    <cellStyle name="Linked Cell 10 2 4 8 3" xfId="12227" xr:uid="{99BD8983-C732-4296-9811-2003EB849A33}"/>
    <cellStyle name="Linked Cell 10 2 4 9" xfId="12228" xr:uid="{49AC6D3A-C3B7-4C19-9037-F126EB71CADE}"/>
    <cellStyle name="Linked Cell 10 2 4 9 2" xfId="12229" xr:uid="{9160123A-27F3-40D0-BEF6-FEDB25EE183A}"/>
    <cellStyle name="Linked Cell 10 2 4 9 2 2" xfId="12230" xr:uid="{8B207335-2320-4BAF-B981-02BEBDB20680}"/>
    <cellStyle name="Linked Cell 10 2 4 9 3" xfId="12231" xr:uid="{4873357A-F138-4850-BE4A-CEE1F7456660}"/>
    <cellStyle name="Linked Cell 10 2 5" xfId="12232" xr:uid="{50B3F921-2369-4E01-BEA9-4844ED87F190}"/>
    <cellStyle name="Linked Cell 10 2 5 10" xfId="12233" xr:uid="{D43256A0-570D-4AB1-BDB5-782BE01383D8}"/>
    <cellStyle name="Linked Cell 10 2 5 10 2" xfId="12234" xr:uid="{96EC6BC9-DDA3-41DB-90B2-B353BA353436}"/>
    <cellStyle name="Linked Cell 10 2 5 11" xfId="12235" xr:uid="{229B0986-2BB9-4D29-BC01-3A721767CB5D}"/>
    <cellStyle name="Linked Cell 10 2 5 2" xfId="12236" xr:uid="{75523A92-71C3-4209-AFBB-1F661AA6731C}"/>
    <cellStyle name="Linked Cell 10 2 5 2 2" xfId="12237" xr:uid="{1E80545F-A107-4253-98CE-65A0AE9DCC18}"/>
    <cellStyle name="Linked Cell 10 2 5 2 2 2" xfId="12238" xr:uid="{DA782160-042E-463C-8490-8B25660CC6AF}"/>
    <cellStyle name="Linked Cell 10 2 5 2 3" xfId="12239" xr:uid="{68A24F6F-A17C-4F08-BDD5-704ED6B2D558}"/>
    <cellStyle name="Linked Cell 10 2 5 3" xfId="12240" xr:uid="{579BC9CA-4CC5-44B9-AA77-1BAF113BC7A2}"/>
    <cellStyle name="Linked Cell 10 2 5 3 2" xfId="12241" xr:uid="{85CC3825-639F-464B-A2F8-2F191D8A8EDF}"/>
    <cellStyle name="Linked Cell 10 2 5 3 2 2" xfId="12242" xr:uid="{0500521A-03D3-4A96-9B98-F03112E3109A}"/>
    <cellStyle name="Linked Cell 10 2 5 3 3" xfId="12243" xr:uid="{3D7BB4A7-A9FA-4D93-A312-8DC48A212EED}"/>
    <cellStyle name="Linked Cell 10 2 5 4" xfId="12244" xr:uid="{02732D79-E014-4625-A123-641041A95AD8}"/>
    <cellStyle name="Linked Cell 10 2 5 4 2" xfId="12245" xr:uid="{CD2C4037-429A-4443-B502-9692284CF18D}"/>
    <cellStyle name="Linked Cell 10 2 5 4 2 2" xfId="12246" xr:uid="{63469835-FA64-405D-8E9C-C516D54CB0CC}"/>
    <cellStyle name="Linked Cell 10 2 5 4 3" xfId="12247" xr:uid="{CFD838C8-F9AB-4ADE-B8C0-D7D14CEFAF9E}"/>
    <cellStyle name="Linked Cell 10 2 5 5" xfId="12248" xr:uid="{D66CEC5B-9059-4D46-8D60-397B4E52DDA9}"/>
    <cellStyle name="Linked Cell 10 2 5 5 2" xfId="12249" xr:uid="{2C0E6AC6-C781-45A0-AD7E-ADAF36F4E724}"/>
    <cellStyle name="Linked Cell 10 2 5 5 2 2" xfId="12250" xr:uid="{D319F6AD-319C-4B16-8257-663A20D30C05}"/>
    <cellStyle name="Linked Cell 10 2 5 5 3" xfId="12251" xr:uid="{B453797D-1E14-4F65-9AEC-FB132F1369E6}"/>
    <cellStyle name="Linked Cell 10 2 5 6" xfId="12252" xr:uid="{0539C567-6C79-4CD9-9E59-9DD3F787F75B}"/>
    <cellStyle name="Linked Cell 10 2 5 6 2" xfId="12253" xr:uid="{EFA4D48B-FC97-49B1-B592-91614EF313A5}"/>
    <cellStyle name="Linked Cell 10 2 5 6 2 2" xfId="12254" xr:uid="{A789402E-C4ED-4486-BCB3-7FE4F2A46CCE}"/>
    <cellStyle name="Linked Cell 10 2 5 6 3" xfId="12255" xr:uid="{F20EB168-5CB7-42AF-9B3B-5695828B93F5}"/>
    <cellStyle name="Linked Cell 10 2 5 7" xfId="12256" xr:uid="{AFE31B29-F7D3-4364-B290-0A9938677DCF}"/>
    <cellStyle name="Linked Cell 10 2 5 7 2" xfId="12257" xr:uid="{0A4308B7-1231-4E98-86F6-DCBD952398A5}"/>
    <cellStyle name="Linked Cell 10 2 5 7 2 2" xfId="12258" xr:uid="{C5AD30C4-F39E-40D2-8052-9722CB4565CE}"/>
    <cellStyle name="Linked Cell 10 2 5 7 3" xfId="12259" xr:uid="{69F8879F-C0BA-4379-981A-AF66D6F34DDF}"/>
    <cellStyle name="Linked Cell 10 2 5 8" xfId="12260" xr:uid="{8CB6422F-5E1A-4B03-A236-0B0F6CB26AD5}"/>
    <cellStyle name="Linked Cell 10 2 5 8 2" xfId="12261" xr:uid="{27995710-A66B-456E-9F23-BF50566AB3B2}"/>
    <cellStyle name="Linked Cell 10 2 5 8 2 2" xfId="12262" xr:uid="{3E63B847-7DE4-4C4E-8AF9-964A0B9BB32F}"/>
    <cellStyle name="Linked Cell 10 2 5 8 3" xfId="12263" xr:uid="{D7B388F7-BA95-474E-8353-CF801A0B9693}"/>
    <cellStyle name="Linked Cell 10 2 5 9" xfId="12264" xr:uid="{E32618AE-1663-42E1-8EA4-AC695C3F22AD}"/>
    <cellStyle name="Linked Cell 10 2 5 9 2" xfId="12265" xr:uid="{D3DBF578-07DD-4238-90CC-B3236D96BF47}"/>
    <cellStyle name="Linked Cell 10 2 5 9 2 2" xfId="12266" xr:uid="{CFFC7C2C-D167-420F-B17F-2905AE65E6FF}"/>
    <cellStyle name="Linked Cell 10 2 5 9 3" xfId="12267" xr:uid="{DB8243F9-5F00-41F6-A775-FE519C35CC74}"/>
    <cellStyle name="Linked Cell 10 2 6" xfId="12268" xr:uid="{6030382A-FF40-493B-9C1D-4EB9C1537C41}"/>
    <cellStyle name="Linked Cell 10 2 6 2" xfId="12269" xr:uid="{2F49451B-CB05-4181-A62C-6F3BAC92888F}"/>
    <cellStyle name="Linked Cell 10 2 6 2 2" xfId="12270" xr:uid="{24154E38-37E0-492A-942D-E9A70D9F368B}"/>
    <cellStyle name="Linked Cell 10 2 6 3" xfId="12271" xr:uid="{5CC40348-3876-4075-AAE6-B9BD8C93C474}"/>
    <cellStyle name="Linked Cell 10 2 7" xfId="12272" xr:uid="{E4217683-3498-4EBF-B653-4A5322D13350}"/>
    <cellStyle name="Linked Cell 10 2 7 2" xfId="12273" xr:uid="{B1FDD22D-8979-4A54-A0EA-C6B2BDA7004F}"/>
    <cellStyle name="Linked Cell 10 2 7 2 2" xfId="12274" xr:uid="{15D03426-A3C6-49B5-9A74-DAB087971126}"/>
    <cellStyle name="Linked Cell 10 2 7 3" xfId="12275" xr:uid="{B3C84C16-3045-48E1-80D8-D32D31122EE5}"/>
    <cellStyle name="Linked Cell 10 2 8" xfId="12276" xr:uid="{49D0BC40-FABB-46D5-B045-CCDDA9FB4431}"/>
    <cellStyle name="Linked Cell 10 2 8 2" xfId="12277" xr:uid="{3DD7816D-2E72-4A47-B942-835DE52DC230}"/>
    <cellStyle name="Linked Cell 10 2 8 2 2" xfId="12278" xr:uid="{8367845D-89ED-4F6D-BAC3-B1F9C40AB9C9}"/>
    <cellStyle name="Linked Cell 10 2 8 3" xfId="12279" xr:uid="{BA5039B4-572C-4AF9-BA50-280123D02B75}"/>
    <cellStyle name="Linked Cell 10 2 9" xfId="12280" xr:uid="{B3C37A02-0943-45B4-8D0E-A83B017147B3}"/>
    <cellStyle name="Linked Cell 10 2 9 2" xfId="12281" xr:uid="{F2B040D7-F03D-43B8-8D39-3020FAD15516}"/>
    <cellStyle name="Linked Cell 10 2 9 2 2" xfId="12282" xr:uid="{B92B164B-6338-477C-A604-5146EED2528C}"/>
    <cellStyle name="Linked Cell 10 2 9 3" xfId="12283" xr:uid="{1D9D8155-536D-472B-B3A6-C7CCBD048B5A}"/>
    <cellStyle name="Linked Cell 10 3" xfId="12284" xr:uid="{6561C690-2FE2-428D-847C-3A1B1AF8018B}"/>
    <cellStyle name="Linked Cell 10 3 10" xfId="12285" xr:uid="{F70C667B-54F5-42B9-8440-F59C08100326}"/>
    <cellStyle name="Linked Cell 10 3 10 2" xfId="12286" xr:uid="{5C669C26-5E80-4765-8198-B3E08566EEC3}"/>
    <cellStyle name="Linked Cell 10 3 10 2 2" xfId="12287" xr:uid="{7DAA2D0E-F6F2-4D0D-BC50-44C7E5852591}"/>
    <cellStyle name="Linked Cell 10 3 10 3" xfId="12288" xr:uid="{262E5ED2-6C87-4760-88B8-402D03C55320}"/>
    <cellStyle name="Linked Cell 10 3 11" xfId="12289" xr:uid="{227A0186-CD82-4B9C-9EEB-AEF1F7D8FDB2}"/>
    <cellStyle name="Linked Cell 10 3 11 2" xfId="12290" xr:uid="{98C175E5-4E7D-4435-895F-ABBC94C80ECD}"/>
    <cellStyle name="Linked Cell 10 3 11 2 2" xfId="12291" xr:uid="{3871646A-4AC0-4DBC-A00B-7FFE2DCB14AF}"/>
    <cellStyle name="Linked Cell 10 3 11 3" xfId="12292" xr:uid="{2899197E-D0EE-40C4-8F36-4474A9C6B60A}"/>
    <cellStyle name="Linked Cell 10 3 12" xfId="12293" xr:uid="{87C4373C-DCFB-4109-9918-EFF371135C5A}"/>
    <cellStyle name="Linked Cell 10 3 12 2" xfId="12294" xr:uid="{7A0D6DD2-DBFB-49A7-A30A-E24CD0CF980F}"/>
    <cellStyle name="Linked Cell 10 3 12 2 2" xfId="12295" xr:uid="{CB989569-78A7-4D52-B13B-FD2F093E4420}"/>
    <cellStyle name="Linked Cell 10 3 12 3" xfId="12296" xr:uid="{7DCC5C03-2856-4B32-86D4-2EC4F7FBED71}"/>
    <cellStyle name="Linked Cell 10 3 13" xfId="12297" xr:uid="{6C117AC6-0F24-41F1-B802-67BFE12F9B96}"/>
    <cellStyle name="Linked Cell 10 3 13 2" xfId="12298" xr:uid="{ED19749F-AF14-4E6B-A0BB-AC92B25FBD48}"/>
    <cellStyle name="Linked Cell 10 3 14" xfId="12299" xr:uid="{BFA3F88A-2DD7-4135-A5CB-E1087EBB5E40}"/>
    <cellStyle name="Linked Cell 10 3 2" xfId="12300" xr:uid="{E89CDC60-43EA-4594-AA28-CAFE0FE9133A}"/>
    <cellStyle name="Linked Cell 10 3 2 10" xfId="12301" xr:uid="{D5A12762-F992-40FE-994F-F0472BC2EF7F}"/>
    <cellStyle name="Linked Cell 10 3 2 10 2" xfId="12302" xr:uid="{3CCA505E-735E-4354-949F-3E00E3D7DB41}"/>
    <cellStyle name="Linked Cell 10 3 2 10 2 2" xfId="12303" xr:uid="{6A328B17-31D4-4DF9-9D8D-F3547A1E9A6B}"/>
    <cellStyle name="Linked Cell 10 3 2 10 3" xfId="12304" xr:uid="{A6A54C33-51F3-49EA-914F-CFCF3F426A39}"/>
    <cellStyle name="Linked Cell 10 3 2 11" xfId="12305" xr:uid="{6BE043D9-48A7-4301-9E4C-5C02FE5382D0}"/>
    <cellStyle name="Linked Cell 10 3 2 11 2" xfId="12306" xr:uid="{667AC62C-26BC-40E1-B4BC-96FF7247F118}"/>
    <cellStyle name="Linked Cell 10 3 2 11 2 2" xfId="12307" xr:uid="{EB18C80A-035D-490C-9DAE-497CB9ABDEC5}"/>
    <cellStyle name="Linked Cell 10 3 2 11 3" xfId="12308" xr:uid="{0B591C1E-A217-46AD-9929-841F09A51F64}"/>
    <cellStyle name="Linked Cell 10 3 2 12" xfId="12309" xr:uid="{CFACECB8-802C-4475-B605-5ADA2F6F9A05}"/>
    <cellStyle name="Linked Cell 10 3 2 12 2" xfId="12310" xr:uid="{2BC1E542-7F90-4F1F-A98E-69E1E851842B}"/>
    <cellStyle name="Linked Cell 10 3 2 13" xfId="12311" xr:uid="{51A9B35D-0705-4F1D-BA3A-8FF9DE99A1F9}"/>
    <cellStyle name="Linked Cell 10 3 2 2" xfId="12312" xr:uid="{880E4DE4-0BA8-473D-9A6B-3EEF516657CE}"/>
    <cellStyle name="Linked Cell 10 3 2 2 10" xfId="12313" xr:uid="{853B74E9-D8D9-44F2-8FF9-1A9DAB1C1F6D}"/>
    <cellStyle name="Linked Cell 10 3 2 2 10 2" xfId="12314" xr:uid="{5EF1CDC9-9E2E-45C0-B9FF-A21A4E8F43CD}"/>
    <cellStyle name="Linked Cell 10 3 2 2 10 2 2" xfId="12315" xr:uid="{4FDEBC9B-0E65-495F-9398-E1EAAEB877F6}"/>
    <cellStyle name="Linked Cell 10 3 2 2 10 3" xfId="12316" xr:uid="{A02EEF22-1B7D-4FEA-9E66-E6A5000E1E51}"/>
    <cellStyle name="Linked Cell 10 3 2 2 11" xfId="12317" xr:uid="{AE82C527-82DB-4045-BB49-DF7E668F60C5}"/>
    <cellStyle name="Linked Cell 10 3 2 2 11 2" xfId="12318" xr:uid="{AA9E49AD-226C-4A10-B2CE-7A76B00C9758}"/>
    <cellStyle name="Linked Cell 10 3 2 2 12" xfId="12319" xr:uid="{EB78666A-8C62-499B-A093-5D1556B83F91}"/>
    <cellStyle name="Linked Cell 10 3 2 2 2" xfId="12320" xr:uid="{C7FE2F1E-D8AF-483D-8F50-80D1A1984C27}"/>
    <cellStyle name="Linked Cell 10 3 2 2 2 2" xfId="12321" xr:uid="{5D73415D-B55E-4ECD-9D52-E91BE4A76736}"/>
    <cellStyle name="Linked Cell 10 3 2 2 2 2 2" xfId="12322" xr:uid="{BBC1AE74-3A9D-44FB-A190-EF3CF5AD6F30}"/>
    <cellStyle name="Linked Cell 10 3 2 2 2 3" xfId="12323" xr:uid="{34E3E5E1-4F49-4416-AA5B-360F705AC004}"/>
    <cellStyle name="Linked Cell 10 3 2 2 3" xfId="12324" xr:uid="{8FB13EF6-484D-4E5E-B83E-B7195526ECA0}"/>
    <cellStyle name="Linked Cell 10 3 2 2 3 2" xfId="12325" xr:uid="{985FAAE2-F572-4F26-92B4-08AB94F7DD20}"/>
    <cellStyle name="Linked Cell 10 3 2 2 3 2 2" xfId="12326" xr:uid="{396C757F-D0A1-4B91-86F5-7191EDF957E3}"/>
    <cellStyle name="Linked Cell 10 3 2 2 3 3" xfId="12327" xr:uid="{47B735FD-6222-45D1-848B-61BFC4F43435}"/>
    <cellStyle name="Linked Cell 10 3 2 2 4" xfId="12328" xr:uid="{3B9C75CE-0090-4686-8A60-4AB54F0EF02D}"/>
    <cellStyle name="Linked Cell 10 3 2 2 4 2" xfId="12329" xr:uid="{14EA1FBA-5FEC-4785-BF5A-20BFD3CF9C78}"/>
    <cellStyle name="Linked Cell 10 3 2 2 4 2 2" xfId="12330" xr:uid="{D82113A5-2363-4A2E-B910-9F0276008EF6}"/>
    <cellStyle name="Linked Cell 10 3 2 2 4 3" xfId="12331" xr:uid="{F0C60D37-12F0-4F0D-8EB3-C31B192CF8FE}"/>
    <cellStyle name="Linked Cell 10 3 2 2 5" xfId="12332" xr:uid="{1979B9D4-72BD-4A8D-9A6B-4A235B384014}"/>
    <cellStyle name="Linked Cell 10 3 2 2 5 2" xfId="12333" xr:uid="{193CD4A0-565F-447E-889E-576C654E595D}"/>
    <cellStyle name="Linked Cell 10 3 2 2 5 2 2" xfId="12334" xr:uid="{FEDBB20A-15C5-4B0D-A65F-6A1578559182}"/>
    <cellStyle name="Linked Cell 10 3 2 2 5 3" xfId="12335" xr:uid="{4617C0D2-853E-4EFF-BF1B-86770F190195}"/>
    <cellStyle name="Linked Cell 10 3 2 2 6" xfId="12336" xr:uid="{D8002DDE-21AB-4073-A2A2-5EF01109C35B}"/>
    <cellStyle name="Linked Cell 10 3 2 2 6 2" xfId="12337" xr:uid="{509875A1-40E6-4E0D-95D2-20E14194626F}"/>
    <cellStyle name="Linked Cell 10 3 2 2 6 2 2" xfId="12338" xr:uid="{76EDDFD9-A13B-4F0A-BEDB-50037F63DC49}"/>
    <cellStyle name="Linked Cell 10 3 2 2 6 3" xfId="12339" xr:uid="{6A536E09-CC2C-4205-B02B-7EBAC70B5895}"/>
    <cellStyle name="Linked Cell 10 3 2 2 7" xfId="12340" xr:uid="{EFE91069-192D-4110-8EAB-21E6BE20596D}"/>
    <cellStyle name="Linked Cell 10 3 2 2 7 2" xfId="12341" xr:uid="{ECF5E72D-EF07-43AC-9565-8D0DBE9C5C97}"/>
    <cellStyle name="Linked Cell 10 3 2 2 7 2 2" xfId="12342" xr:uid="{802E82BD-324B-4617-9860-4F2645F7BA82}"/>
    <cellStyle name="Linked Cell 10 3 2 2 7 3" xfId="12343" xr:uid="{1B4ACF65-0524-4950-8C2C-21D8B1E389B7}"/>
    <cellStyle name="Linked Cell 10 3 2 2 8" xfId="12344" xr:uid="{EA8A19DF-2113-4BAA-837B-A9E726478AAC}"/>
    <cellStyle name="Linked Cell 10 3 2 2 8 2" xfId="12345" xr:uid="{0D5409C4-635F-4A3E-BB7E-9F1150F28E2F}"/>
    <cellStyle name="Linked Cell 10 3 2 2 8 2 2" xfId="12346" xr:uid="{47F684A6-A2EE-4704-9861-1EA125223DA3}"/>
    <cellStyle name="Linked Cell 10 3 2 2 8 3" xfId="12347" xr:uid="{6C40DD2A-24FC-449F-AB34-F85B7EAE29BC}"/>
    <cellStyle name="Linked Cell 10 3 2 2 9" xfId="12348" xr:uid="{2BDDFDF5-935A-416D-B4D9-E27FBD838C6C}"/>
    <cellStyle name="Linked Cell 10 3 2 2 9 2" xfId="12349" xr:uid="{DB2FA4CC-9498-4F6A-B67C-84950C50DF99}"/>
    <cellStyle name="Linked Cell 10 3 2 2 9 2 2" xfId="12350" xr:uid="{89EFDCBE-7978-460A-9DBB-FE13EE929C12}"/>
    <cellStyle name="Linked Cell 10 3 2 2 9 3" xfId="12351" xr:uid="{B6A050FB-C274-4835-990C-E54070A1BCDB}"/>
    <cellStyle name="Linked Cell 10 3 2 3" xfId="12352" xr:uid="{57CD240A-4338-4D88-8D09-6E4C7CBB3E82}"/>
    <cellStyle name="Linked Cell 10 3 2 3 10" xfId="12353" xr:uid="{CD4D8B05-0C93-4362-9291-83A80CC86280}"/>
    <cellStyle name="Linked Cell 10 3 2 3 10 2" xfId="12354" xr:uid="{C62B544C-53C9-4C36-A1F0-3D4CC63CCD28}"/>
    <cellStyle name="Linked Cell 10 3 2 3 11" xfId="12355" xr:uid="{6D969CFB-FE93-4D0A-B909-FD14CBB41519}"/>
    <cellStyle name="Linked Cell 10 3 2 3 2" xfId="12356" xr:uid="{324FFC62-1A71-4140-A06A-D5DEC6CEBB6D}"/>
    <cellStyle name="Linked Cell 10 3 2 3 2 2" xfId="12357" xr:uid="{A2F9CDB5-E70F-484E-A1FF-D4A660C0408F}"/>
    <cellStyle name="Linked Cell 10 3 2 3 2 2 2" xfId="12358" xr:uid="{52D51727-AB56-41B0-B860-3B5ED303BD45}"/>
    <cellStyle name="Linked Cell 10 3 2 3 2 3" xfId="12359" xr:uid="{E52A06D7-85DE-4CF0-BDFC-2AE0F7E722D4}"/>
    <cellStyle name="Linked Cell 10 3 2 3 3" xfId="12360" xr:uid="{10C1D710-8CEE-454C-9497-94B84AFCAB98}"/>
    <cellStyle name="Linked Cell 10 3 2 3 3 2" xfId="12361" xr:uid="{5A952727-55C6-442B-B43E-AE889CF6C98E}"/>
    <cellStyle name="Linked Cell 10 3 2 3 3 2 2" xfId="12362" xr:uid="{2BAB383F-C926-47BD-A113-BBA13F3065E5}"/>
    <cellStyle name="Linked Cell 10 3 2 3 3 3" xfId="12363" xr:uid="{94568492-EC9E-4234-9502-7A76575E1B55}"/>
    <cellStyle name="Linked Cell 10 3 2 3 4" xfId="12364" xr:uid="{D11E63EF-F257-4540-8FD0-D9D4151CA2F5}"/>
    <cellStyle name="Linked Cell 10 3 2 3 4 2" xfId="12365" xr:uid="{AC49EE28-3ECC-4AFD-A8CF-10C14F5882F6}"/>
    <cellStyle name="Linked Cell 10 3 2 3 4 2 2" xfId="12366" xr:uid="{BC7F02DF-BB79-4F2E-8988-D262368A959A}"/>
    <cellStyle name="Linked Cell 10 3 2 3 4 3" xfId="12367" xr:uid="{5FD49EE8-4420-4799-BD4F-30D56EBB4AC4}"/>
    <cellStyle name="Linked Cell 10 3 2 3 5" xfId="12368" xr:uid="{1F4333D8-BCB3-42DD-AD03-FCD75EBA8B8E}"/>
    <cellStyle name="Linked Cell 10 3 2 3 5 2" xfId="12369" xr:uid="{90B8E676-4C41-4B52-97FE-A50B37F4A651}"/>
    <cellStyle name="Linked Cell 10 3 2 3 5 2 2" xfId="12370" xr:uid="{6A51D9A1-0D55-4394-A809-3D1F03B3332E}"/>
    <cellStyle name="Linked Cell 10 3 2 3 5 3" xfId="12371" xr:uid="{B045C876-0010-49FA-A8CB-28019018826C}"/>
    <cellStyle name="Linked Cell 10 3 2 3 6" xfId="12372" xr:uid="{A3ED48C6-8786-4417-9569-9060B4E0175D}"/>
    <cellStyle name="Linked Cell 10 3 2 3 6 2" xfId="12373" xr:uid="{C26A2B01-3E0E-4F1A-9C68-7F867718F408}"/>
    <cellStyle name="Linked Cell 10 3 2 3 6 2 2" xfId="12374" xr:uid="{27D28A21-434D-4966-8A9F-982320FE3CC1}"/>
    <cellStyle name="Linked Cell 10 3 2 3 6 3" xfId="12375" xr:uid="{3CB48C56-1A99-4EEB-95B9-6C4CB8146F73}"/>
    <cellStyle name="Linked Cell 10 3 2 3 7" xfId="12376" xr:uid="{CD5CDAB8-0BDA-46D3-B97F-F82117CA4E6F}"/>
    <cellStyle name="Linked Cell 10 3 2 3 7 2" xfId="12377" xr:uid="{BA1B72DB-DEB2-4E60-9730-9173D763899A}"/>
    <cellStyle name="Linked Cell 10 3 2 3 7 2 2" xfId="12378" xr:uid="{14D7E77A-B1B1-49A2-A55C-4EB14539A68E}"/>
    <cellStyle name="Linked Cell 10 3 2 3 7 3" xfId="12379" xr:uid="{E40B3EB8-E2A1-4CAC-94A2-E9DF405A3F2F}"/>
    <cellStyle name="Linked Cell 10 3 2 3 8" xfId="12380" xr:uid="{1AD7E109-78E1-4714-A9FD-196F67841DAA}"/>
    <cellStyle name="Linked Cell 10 3 2 3 8 2" xfId="12381" xr:uid="{6F73D7FA-3DCE-47A3-83AF-FE45FD608188}"/>
    <cellStyle name="Linked Cell 10 3 2 3 8 2 2" xfId="12382" xr:uid="{A2460BEA-4E0E-4528-8BC8-389696767936}"/>
    <cellStyle name="Linked Cell 10 3 2 3 8 3" xfId="12383" xr:uid="{FFBDB666-E7E4-4122-9339-2CF092275C9C}"/>
    <cellStyle name="Linked Cell 10 3 2 3 9" xfId="12384" xr:uid="{040EC724-E5DE-4115-AEAD-079F21A4C15A}"/>
    <cellStyle name="Linked Cell 10 3 2 3 9 2" xfId="12385" xr:uid="{8FEE09F5-4682-4AEA-A817-7DA4B7E4427F}"/>
    <cellStyle name="Linked Cell 10 3 2 3 9 2 2" xfId="12386" xr:uid="{E251244E-F45D-4938-8B57-7AE385B6DCC4}"/>
    <cellStyle name="Linked Cell 10 3 2 3 9 3" xfId="12387" xr:uid="{A2089FBA-CED7-4443-A0CF-E5318B228F3A}"/>
    <cellStyle name="Linked Cell 10 3 2 4" xfId="12388" xr:uid="{314E1F54-3751-42F9-83D5-B2E5DEDE9297}"/>
    <cellStyle name="Linked Cell 10 3 2 4 2" xfId="12389" xr:uid="{4D74711C-654A-4A1C-8E4A-9165C3A93B35}"/>
    <cellStyle name="Linked Cell 10 3 2 4 2 2" xfId="12390" xr:uid="{468A6C2E-2F83-4CB9-B652-811F9497E69C}"/>
    <cellStyle name="Linked Cell 10 3 2 4 3" xfId="12391" xr:uid="{C21BC40D-453C-4648-B36A-30466B52DC39}"/>
    <cellStyle name="Linked Cell 10 3 2 5" xfId="12392" xr:uid="{FD76324C-B3DB-4454-AE0D-DCC6657542C4}"/>
    <cellStyle name="Linked Cell 10 3 2 5 2" xfId="12393" xr:uid="{65F83746-FF1A-42E7-96E2-A1A7E81C57B2}"/>
    <cellStyle name="Linked Cell 10 3 2 5 2 2" xfId="12394" xr:uid="{3C0BCDFB-002E-4E8C-BB12-E7AC79D3AF3B}"/>
    <cellStyle name="Linked Cell 10 3 2 5 3" xfId="12395" xr:uid="{CE593B05-459A-46AB-A5BC-CE989EFEDA45}"/>
    <cellStyle name="Linked Cell 10 3 2 6" xfId="12396" xr:uid="{67A22E0F-54EA-479D-85C8-A57846144CB2}"/>
    <cellStyle name="Linked Cell 10 3 2 6 2" xfId="12397" xr:uid="{1A5F7525-341A-4A89-913F-8672243C0813}"/>
    <cellStyle name="Linked Cell 10 3 2 6 2 2" xfId="12398" xr:uid="{57070187-4483-49D3-982D-27DBEDE0DF71}"/>
    <cellStyle name="Linked Cell 10 3 2 6 3" xfId="12399" xr:uid="{2B17A761-863A-4D91-A106-A80B4976A81B}"/>
    <cellStyle name="Linked Cell 10 3 2 7" xfId="12400" xr:uid="{91D49854-8338-4256-BB3D-8C6BE6D5493F}"/>
    <cellStyle name="Linked Cell 10 3 2 7 2" xfId="12401" xr:uid="{B6DD8D73-3E3E-4D44-9420-FF9470CEF74B}"/>
    <cellStyle name="Linked Cell 10 3 2 7 2 2" xfId="12402" xr:uid="{B7394873-1E14-4BB6-BC09-15FF3934E9DC}"/>
    <cellStyle name="Linked Cell 10 3 2 7 3" xfId="12403" xr:uid="{9799E7D4-D8BE-4FC8-8B74-4097B380E314}"/>
    <cellStyle name="Linked Cell 10 3 2 8" xfId="12404" xr:uid="{126DB3FB-57E6-43E0-A18A-07A81DEB1F5F}"/>
    <cellStyle name="Linked Cell 10 3 2 8 2" xfId="12405" xr:uid="{CCBE9EC0-2A9D-49C8-A324-34A1629D170D}"/>
    <cellStyle name="Linked Cell 10 3 2 8 2 2" xfId="12406" xr:uid="{45B5FE43-B15C-4560-9260-92DB74154203}"/>
    <cellStyle name="Linked Cell 10 3 2 8 3" xfId="12407" xr:uid="{374A2C67-F954-48B1-A97A-DDCC51FD0C10}"/>
    <cellStyle name="Linked Cell 10 3 2 9" xfId="12408" xr:uid="{93A7C9F5-CA62-4A07-9A1A-693DAF2AE0CF}"/>
    <cellStyle name="Linked Cell 10 3 2 9 2" xfId="12409" xr:uid="{F2996837-096E-4BE2-975F-DE385E81D532}"/>
    <cellStyle name="Linked Cell 10 3 2 9 2 2" xfId="12410" xr:uid="{7FA6920D-C208-412D-BECB-09CB01D5D39D}"/>
    <cellStyle name="Linked Cell 10 3 2 9 3" xfId="12411" xr:uid="{C31A9E9B-258B-459B-8224-997A533505EA}"/>
    <cellStyle name="Linked Cell 10 3 3" xfId="12412" xr:uid="{1281DC87-D6DD-4730-BC83-5203E9B1B4D0}"/>
    <cellStyle name="Linked Cell 10 3 3 10" xfId="12413" xr:uid="{6497FFBF-03FE-4234-840B-C4C34CD92EB8}"/>
    <cellStyle name="Linked Cell 10 3 3 10 2" xfId="12414" xr:uid="{A6FC8A4D-BD1F-439C-AB6F-194512B5AADA}"/>
    <cellStyle name="Linked Cell 10 3 3 10 2 2" xfId="12415" xr:uid="{BD2804A2-2703-47BA-8CA6-A76167BD0CDA}"/>
    <cellStyle name="Linked Cell 10 3 3 10 3" xfId="12416" xr:uid="{AFF81797-5229-4A74-9095-E840DBF3C735}"/>
    <cellStyle name="Linked Cell 10 3 3 11" xfId="12417" xr:uid="{E898AF4A-754F-41F6-B9AB-0A5E4E00C1A1}"/>
    <cellStyle name="Linked Cell 10 3 3 11 2" xfId="12418" xr:uid="{691C21E7-0655-4418-8C5F-FC3E8C5DAAA6}"/>
    <cellStyle name="Linked Cell 10 3 3 12" xfId="12419" xr:uid="{E8085D10-CFCB-47E8-A135-65D644098081}"/>
    <cellStyle name="Linked Cell 10 3 3 2" xfId="12420" xr:uid="{4F56F318-4006-4807-AE8C-BA0EDCB7DF33}"/>
    <cellStyle name="Linked Cell 10 3 3 2 10" xfId="12421" xr:uid="{73D0A0C3-247A-4A2A-9D8D-422331134846}"/>
    <cellStyle name="Linked Cell 10 3 3 2 10 2" xfId="12422" xr:uid="{7288441C-C1F9-4C0B-A3E5-9FDBF26C5B43}"/>
    <cellStyle name="Linked Cell 10 3 3 2 11" xfId="12423" xr:uid="{4ECACDCF-854B-4BE3-86B9-81D0EB894B6F}"/>
    <cellStyle name="Linked Cell 10 3 3 2 2" xfId="12424" xr:uid="{1C3755B2-BCF1-4411-B1FE-4D708D066884}"/>
    <cellStyle name="Linked Cell 10 3 3 2 2 2" xfId="12425" xr:uid="{49451033-F74E-4B0B-9E12-F86570A8EF59}"/>
    <cellStyle name="Linked Cell 10 3 3 2 2 2 2" xfId="12426" xr:uid="{57AB9DEE-DDF8-4748-A693-7E024B6218E8}"/>
    <cellStyle name="Linked Cell 10 3 3 2 2 3" xfId="12427" xr:uid="{5B2E51E4-10BD-4C33-90C1-261B695D789C}"/>
    <cellStyle name="Linked Cell 10 3 3 2 3" xfId="12428" xr:uid="{DFB3DBB8-339B-4312-8B7B-C4442A4A0A20}"/>
    <cellStyle name="Linked Cell 10 3 3 2 3 2" xfId="12429" xr:uid="{2D202798-E5F1-45FF-BF0C-2D2435D01A23}"/>
    <cellStyle name="Linked Cell 10 3 3 2 3 2 2" xfId="12430" xr:uid="{BE951FE1-2427-4C38-82D4-26CCC9BDAF43}"/>
    <cellStyle name="Linked Cell 10 3 3 2 3 3" xfId="12431" xr:uid="{AE71D0AD-8AD1-4915-B7B8-D3E0C82EBD03}"/>
    <cellStyle name="Linked Cell 10 3 3 2 4" xfId="12432" xr:uid="{68BA8706-0156-4906-A3CA-CBDC17FEFA26}"/>
    <cellStyle name="Linked Cell 10 3 3 2 4 2" xfId="12433" xr:uid="{537235EE-62B5-449F-BC95-ACCDAB6CB0F5}"/>
    <cellStyle name="Linked Cell 10 3 3 2 4 2 2" xfId="12434" xr:uid="{183EA24F-D5AC-418B-A819-D566C288307B}"/>
    <cellStyle name="Linked Cell 10 3 3 2 4 3" xfId="12435" xr:uid="{A85EF4A0-8DD0-462C-AD62-8971BB035AF3}"/>
    <cellStyle name="Linked Cell 10 3 3 2 5" xfId="12436" xr:uid="{77082B73-183A-43D5-A8F8-DD5D041018F3}"/>
    <cellStyle name="Linked Cell 10 3 3 2 5 2" xfId="12437" xr:uid="{80CD91F6-9453-48BC-8B48-EF51BAA84198}"/>
    <cellStyle name="Linked Cell 10 3 3 2 5 2 2" xfId="12438" xr:uid="{9975391D-01AE-4344-ADC4-3F55E0E96141}"/>
    <cellStyle name="Linked Cell 10 3 3 2 5 3" xfId="12439" xr:uid="{3BAC5348-E6E7-42DF-82B9-73A10AB71159}"/>
    <cellStyle name="Linked Cell 10 3 3 2 6" xfId="12440" xr:uid="{F0771879-59AA-4C9D-87FC-9F90A07AD87A}"/>
    <cellStyle name="Linked Cell 10 3 3 2 6 2" xfId="12441" xr:uid="{69CDCA67-C556-4628-9878-41E270577AA2}"/>
    <cellStyle name="Linked Cell 10 3 3 2 6 2 2" xfId="12442" xr:uid="{D11EE4F9-C439-4E95-8343-8AD4869ED02B}"/>
    <cellStyle name="Linked Cell 10 3 3 2 6 3" xfId="12443" xr:uid="{6BBE863F-50AE-4B89-A1A0-F8AE9B03C6A5}"/>
    <cellStyle name="Linked Cell 10 3 3 2 7" xfId="12444" xr:uid="{9138A7EE-24E8-4D42-81E2-281FE4B702E9}"/>
    <cellStyle name="Linked Cell 10 3 3 2 7 2" xfId="12445" xr:uid="{515AFCEC-34E1-4B00-A944-DFCFEFFA2BF3}"/>
    <cellStyle name="Linked Cell 10 3 3 2 7 2 2" xfId="12446" xr:uid="{63E9B115-FE9D-4AC0-BC82-8557D0931813}"/>
    <cellStyle name="Linked Cell 10 3 3 2 7 3" xfId="12447" xr:uid="{DF33355C-AD78-4479-A886-528818CCC1BC}"/>
    <cellStyle name="Linked Cell 10 3 3 2 8" xfId="12448" xr:uid="{9AB49557-3E69-46BE-A0F1-CCEF8DC56118}"/>
    <cellStyle name="Linked Cell 10 3 3 2 8 2" xfId="12449" xr:uid="{C1D3E7E2-8594-4485-A381-18DA836A5A35}"/>
    <cellStyle name="Linked Cell 10 3 3 2 8 2 2" xfId="12450" xr:uid="{091021AD-2B71-4D69-89FA-2833C554D936}"/>
    <cellStyle name="Linked Cell 10 3 3 2 8 3" xfId="12451" xr:uid="{DCD07D5C-71A6-44DE-B4E1-F4C8D4FD69C4}"/>
    <cellStyle name="Linked Cell 10 3 3 2 9" xfId="12452" xr:uid="{F4DCF556-4E11-4EA3-A2FB-444A90AB5CAF}"/>
    <cellStyle name="Linked Cell 10 3 3 2 9 2" xfId="12453" xr:uid="{CBA209DD-38EB-40C6-8376-C0B8B40E39D5}"/>
    <cellStyle name="Linked Cell 10 3 3 2 9 2 2" xfId="12454" xr:uid="{C0B5FA89-D668-41E9-8D96-A6BF810EF668}"/>
    <cellStyle name="Linked Cell 10 3 3 2 9 3" xfId="12455" xr:uid="{F7E5BD18-5EDF-4786-8500-B498BCFA410C}"/>
    <cellStyle name="Linked Cell 10 3 3 3" xfId="12456" xr:uid="{A5ECDF81-2E38-4807-8AA3-B2F4F62F89F6}"/>
    <cellStyle name="Linked Cell 10 3 3 3 2" xfId="12457" xr:uid="{A62B08C8-BD3B-4D59-8829-98B3175CB94D}"/>
    <cellStyle name="Linked Cell 10 3 3 3 2 2" xfId="12458" xr:uid="{584F9DD8-14F5-464E-BCCB-1CA2049A0DFB}"/>
    <cellStyle name="Linked Cell 10 3 3 3 3" xfId="12459" xr:uid="{A3449283-F85F-48A9-A7D8-B864534D44E6}"/>
    <cellStyle name="Linked Cell 10 3 3 4" xfId="12460" xr:uid="{FB094F8F-4787-484D-B723-A439FEFC3866}"/>
    <cellStyle name="Linked Cell 10 3 3 4 2" xfId="12461" xr:uid="{A9061255-5371-4289-9275-3B0967BDF5B6}"/>
    <cellStyle name="Linked Cell 10 3 3 4 2 2" xfId="12462" xr:uid="{7147FB14-3A0F-4496-B889-027EDEE0DC04}"/>
    <cellStyle name="Linked Cell 10 3 3 4 3" xfId="12463" xr:uid="{1A25E6B7-7331-4AEB-AC18-5FF3A165D8E9}"/>
    <cellStyle name="Linked Cell 10 3 3 5" xfId="12464" xr:uid="{98C30096-3AC5-4144-8974-3D5B50B20F1F}"/>
    <cellStyle name="Linked Cell 10 3 3 5 2" xfId="12465" xr:uid="{DA8C6ED4-1381-4B6D-882B-A2B48323BD97}"/>
    <cellStyle name="Linked Cell 10 3 3 5 2 2" xfId="12466" xr:uid="{67F8EF4F-E548-41E3-AC9E-09D5D6E8E96A}"/>
    <cellStyle name="Linked Cell 10 3 3 5 3" xfId="12467" xr:uid="{65E24C11-919C-47F0-AFCD-2713DF00D223}"/>
    <cellStyle name="Linked Cell 10 3 3 6" xfId="12468" xr:uid="{367C0C20-0A24-46F6-A33D-F8398DA07CF4}"/>
    <cellStyle name="Linked Cell 10 3 3 6 2" xfId="12469" xr:uid="{50F1BA35-9E34-4451-A789-D162CC1D37D9}"/>
    <cellStyle name="Linked Cell 10 3 3 6 2 2" xfId="12470" xr:uid="{B433DD80-F6A6-4DAE-B866-0E66E1782B57}"/>
    <cellStyle name="Linked Cell 10 3 3 6 3" xfId="12471" xr:uid="{B51F2073-CA02-430A-B94F-E265B538CABE}"/>
    <cellStyle name="Linked Cell 10 3 3 7" xfId="12472" xr:uid="{6481FF6F-DB25-4039-B3CA-EB4AA6CD42FD}"/>
    <cellStyle name="Linked Cell 10 3 3 7 2" xfId="12473" xr:uid="{538922BB-8195-48D8-9CC9-B09034514658}"/>
    <cellStyle name="Linked Cell 10 3 3 7 2 2" xfId="12474" xr:uid="{ADA75830-5012-4AB5-BD49-9F520A12FA48}"/>
    <cellStyle name="Linked Cell 10 3 3 7 3" xfId="12475" xr:uid="{20EC1246-425C-4401-9D27-CB96BD878B86}"/>
    <cellStyle name="Linked Cell 10 3 3 8" xfId="12476" xr:uid="{4C2BD681-7A3E-4943-A439-86A731D5ABDD}"/>
    <cellStyle name="Linked Cell 10 3 3 8 2" xfId="12477" xr:uid="{424C06ED-B92F-4EB2-88C3-438903203CE8}"/>
    <cellStyle name="Linked Cell 10 3 3 8 2 2" xfId="12478" xr:uid="{1E0BAB65-E68F-41FE-BD9D-F33635C18C6F}"/>
    <cellStyle name="Linked Cell 10 3 3 8 3" xfId="12479" xr:uid="{80626963-1A14-41DA-A293-01AD0F115B39}"/>
    <cellStyle name="Linked Cell 10 3 3 9" xfId="12480" xr:uid="{77A23F0B-D8EC-4343-9034-2661571DA37A}"/>
    <cellStyle name="Linked Cell 10 3 3 9 2" xfId="12481" xr:uid="{0BEC790B-A07E-4851-9045-DA2FD888E3F3}"/>
    <cellStyle name="Linked Cell 10 3 3 9 2 2" xfId="12482" xr:uid="{3BD24B9A-9F5F-4B3D-B431-4971097F04DC}"/>
    <cellStyle name="Linked Cell 10 3 3 9 3" xfId="12483" xr:uid="{346D7B1B-E80D-4CDF-8AD9-00A17248D38D}"/>
    <cellStyle name="Linked Cell 10 3 4" xfId="12484" xr:uid="{3925A245-443D-43AB-9464-3FA6D4D385C1}"/>
    <cellStyle name="Linked Cell 10 3 4 10" xfId="12485" xr:uid="{294B0975-899A-44EF-A27E-90E1D547D149}"/>
    <cellStyle name="Linked Cell 10 3 4 10 2" xfId="12486" xr:uid="{DEB80E91-6110-4F34-9FA5-56489FD311D7}"/>
    <cellStyle name="Linked Cell 10 3 4 11" xfId="12487" xr:uid="{4B63BE65-9107-466B-9ACA-0F72EE82F81D}"/>
    <cellStyle name="Linked Cell 10 3 4 2" xfId="12488" xr:uid="{8C585D0D-30D8-472B-AE23-1F2485ACD635}"/>
    <cellStyle name="Linked Cell 10 3 4 2 2" xfId="12489" xr:uid="{2BC560B0-2192-4CC1-98FA-3C0A7C420892}"/>
    <cellStyle name="Linked Cell 10 3 4 2 2 2" xfId="12490" xr:uid="{4806D30D-2CF8-4B3F-999D-9A859FF69E7D}"/>
    <cellStyle name="Linked Cell 10 3 4 2 3" xfId="12491" xr:uid="{39F8D699-5C6E-4537-9595-5AAC25B23A36}"/>
    <cellStyle name="Linked Cell 10 3 4 3" xfId="12492" xr:uid="{00317BE7-FA5D-488F-ACAB-55FDAB9BD407}"/>
    <cellStyle name="Linked Cell 10 3 4 3 2" xfId="12493" xr:uid="{ABBBD949-C416-42A6-806D-5C68F776315B}"/>
    <cellStyle name="Linked Cell 10 3 4 3 2 2" xfId="12494" xr:uid="{0DB214D8-3DF5-4D7D-8346-9388F2A6BD90}"/>
    <cellStyle name="Linked Cell 10 3 4 3 3" xfId="12495" xr:uid="{3526DE64-D62B-42CB-AB0F-B96309BE0CE0}"/>
    <cellStyle name="Linked Cell 10 3 4 4" xfId="12496" xr:uid="{3FBB0E34-F83A-41E5-9A81-83F5E4018158}"/>
    <cellStyle name="Linked Cell 10 3 4 4 2" xfId="12497" xr:uid="{6346E422-A5D1-4AF4-9906-B491464E6810}"/>
    <cellStyle name="Linked Cell 10 3 4 4 2 2" xfId="12498" xr:uid="{5E60E957-4309-4099-B90C-62544BCEA486}"/>
    <cellStyle name="Linked Cell 10 3 4 4 3" xfId="12499" xr:uid="{F83CE708-1A86-428A-91EF-0DB7DBD77BB6}"/>
    <cellStyle name="Linked Cell 10 3 4 5" xfId="12500" xr:uid="{4737362C-7E4D-4D57-884E-1C09F559D0B3}"/>
    <cellStyle name="Linked Cell 10 3 4 5 2" xfId="12501" xr:uid="{C85D6421-B286-4373-B8AD-106224D7AD0A}"/>
    <cellStyle name="Linked Cell 10 3 4 5 2 2" xfId="12502" xr:uid="{34667B9A-1B89-4524-99BB-FB795AE6ED09}"/>
    <cellStyle name="Linked Cell 10 3 4 5 3" xfId="12503" xr:uid="{991E3E75-2229-4529-AA12-CB3D2443CAB6}"/>
    <cellStyle name="Linked Cell 10 3 4 6" xfId="12504" xr:uid="{08A2F867-046B-4A7A-8A06-B204B836B163}"/>
    <cellStyle name="Linked Cell 10 3 4 6 2" xfId="12505" xr:uid="{7E58372A-7E12-40A5-9A2A-C41F712E633E}"/>
    <cellStyle name="Linked Cell 10 3 4 6 2 2" xfId="12506" xr:uid="{A5C44BF2-F05F-4B4D-8CB9-6CD9F0163830}"/>
    <cellStyle name="Linked Cell 10 3 4 6 3" xfId="12507" xr:uid="{432DAC56-02CC-4E3E-BB26-E6276805DEC8}"/>
    <cellStyle name="Linked Cell 10 3 4 7" xfId="12508" xr:uid="{D7B68163-EE03-493B-8767-99214BBFBB29}"/>
    <cellStyle name="Linked Cell 10 3 4 7 2" xfId="12509" xr:uid="{756CFB25-7083-438E-A0A0-03FFE49DFAB2}"/>
    <cellStyle name="Linked Cell 10 3 4 7 2 2" xfId="12510" xr:uid="{97CCE988-BF0A-4757-83DF-BB1FADB6ABB9}"/>
    <cellStyle name="Linked Cell 10 3 4 7 3" xfId="12511" xr:uid="{513743BA-800F-49A5-8853-9BF83907149A}"/>
    <cellStyle name="Linked Cell 10 3 4 8" xfId="12512" xr:uid="{6098B4F8-3AF3-4F70-B727-0FF4739829F6}"/>
    <cellStyle name="Linked Cell 10 3 4 8 2" xfId="12513" xr:uid="{D0910CFF-3A3D-4D18-BD3F-8A7A8B6E7C72}"/>
    <cellStyle name="Linked Cell 10 3 4 8 2 2" xfId="12514" xr:uid="{8BCEA865-B877-45EA-88E2-61517B0B2584}"/>
    <cellStyle name="Linked Cell 10 3 4 8 3" xfId="12515" xr:uid="{FA90526D-B25E-4404-B0D9-34BD91450BC2}"/>
    <cellStyle name="Linked Cell 10 3 4 9" xfId="12516" xr:uid="{5ECB3D0E-C634-49A3-9627-F184758906B8}"/>
    <cellStyle name="Linked Cell 10 3 4 9 2" xfId="12517" xr:uid="{33EFF3DA-1677-49F2-A9D7-530BE5FE23B0}"/>
    <cellStyle name="Linked Cell 10 3 4 9 2 2" xfId="12518" xr:uid="{9BFE3FC0-EF2E-400A-8067-9376EC31F02F}"/>
    <cellStyle name="Linked Cell 10 3 4 9 3" xfId="12519" xr:uid="{02DC8B15-5899-4600-9977-0EF428FAC09A}"/>
    <cellStyle name="Linked Cell 10 3 5" xfId="12520" xr:uid="{281B8F3C-BF5A-4BFE-9036-F9DDAED8DA70}"/>
    <cellStyle name="Linked Cell 10 3 5 2" xfId="12521" xr:uid="{93DEA7D2-B578-4BD7-AF0C-32AC7875B73C}"/>
    <cellStyle name="Linked Cell 10 3 5 2 2" xfId="12522" xr:uid="{76E8E9FE-A910-4860-9F52-158D1FD70C43}"/>
    <cellStyle name="Linked Cell 10 3 5 3" xfId="12523" xr:uid="{F28D6A0C-EE2D-4D2C-8DA4-1AF77E1F4D45}"/>
    <cellStyle name="Linked Cell 10 3 6" xfId="12524" xr:uid="{50E4E776-FD6D-4D1A-AC49-24F745E68084}"/>
    <cellStyle name="Linked Cell 10 3 6 2" xfId="12525" xr:uid="{A4161602-6FC0-43D0-804E-7238C59B4FB4}"/>
    <cellStyle name="Linked Cell 10 3 6 2 2" xfId="12526" xr:uid="{0F22ED5E-F9CF-4777-80A3-1D8D56D3ACA8}"/>
    <cellStyle name="Linked Cell 10 3 6 3" xfId="12527" xr:uid="{077E36A1-A408-4801-ACE2-DE7AC8763A3E}"/>
    <cellStyle name="Linked Cell 10 3 7" xfId="12528" xr:uid="{5E4CA674-4316-4198-B9E8-52C3EFD9D2C1}"/>
    <cellStyle name="Linked Cell 10 3 7 2" xfId="12529" xr:uid="{B0693BBE-9421-4508-920C-2860015C7FE3}"/>
    <cellStyle name="Linked Cell 10 3 7 2 2" xfId="12530" xr:uid="{D6AE3A5E-DB32-4A15-81F1-887F08F2D2C8}"/>
    <cellStyle name="Linked Cell 10 3 7 3" xfId="12531" xr:uid="{6E71334D-B210-4214-8952-F735014D85DF}"/>
    <cellStyle name="Linked Cell 10 3 8" xfId="12532" xr:uid="{92937703-942E-43FB-A3CD-3620A6CF8EDD}"/>
    <cellStyle name="Linked Cell 10 3 8 2" xfId="12533" xr:uid="{613DFE3C-7300-4D63-B6B1-2E223550F69E}"/>
    <cellStyle name="Linked Cell 10 3 8 2 2" xfId="12534" xr:uid="{D45B7082-5757-4024-B571-1E05EA71093D}"/>
    <cellStyle name="Linked Cell 10 3 8 3" xfId="12535" xr:uid="{A4C711A9-3EED-4AF6-AA72-61FBED797AB7}"/>
    <cellStyle name="Linked Cell 10 3 9" xfId="12536" xr:uid="{8EDD211A-75A6-42A4-BBD6-C30A3C54315F}"/>
    <cellStyle name="Linked Cell 10 3 9 2" xfId="12537" xr:uid="{6DD5E173-0CA3-4CF5-9816-57461EEE5CCE}"/>
    <cellStyle name="Linked Cell 10 3 9 2 2" xfId="12538" xr:uid="{D22E0FF6-CB15-443F-9D18-2B06C4F28F0A}"/>
    <cellStyle name="Linked Cell 10 3 9 3" xfId="12539" xr:uid="{1C0CA2D7-13F8-485D-ABD9-D47E9BD4472A}"/>
    <cellStyle name="Linked Cell 10 4" xfId="12540" xr:uid="{26857B48-90E8-4567-A639-112CD330DDBC}"/>
    <cellStyle name="Linked Cell 10 4 10" xfId="12541" xr:uid="{A101F252-1A25-48CD-96B7-650C422B3170}"/>
    <cellStyle name="Linked Cell 10 4 10 2" xfId="12542" xr:uid="{F62E3FAE-2D4B-4D27-B738-D530E4DC1AC4}"/>
    <cellStyle name="Linked Cell 10 4 10 2 2" xfId="12543" xr:uid="{F80AF636-9F63-46A9-AF91-884F52F1BDAA}"/>
    <cellStyle name="Linked Cell 10 4 10 3" xfId="12544" xr:uid="{4EA12261-08C6-4ECC-ADBE-17A1B7B06AB2}"/>
    <cellStyle name="Linked Cell 10 4 11" xfId="12545" xr:uid="{F7C3AE50-A452-47BE-B3CA-AB809783C665}"/>
    <cellStyle name="Linked Cell 10 4 11 2" xfId="12546" xr:uid="{75450570-D2AF-49F4-A6C5-77FD3161BFF2}"/>
    <cellStyle name="Linked Cell 10 4 11 2 2" xfId="12547" xr:uid="{BE86E8A9-B7DB-4BC4-BDCD-0C4EEF7162A8}"/>
    <cellStyle name="Linked Cell 10 4 11 3" xfId="12548" xr:uid="{A8C7EAD9-66BD-4C8F-B84E-46FF1C1506FC}"/>
    <cellStyle name="Linked Cell 10 4 12" xfId="12549" xr:uid="{91DF2EC8-B429-4735-88DC-90B08C005FDF}"/>
    <cellStyle name="Linked Cell 10 4 12 2" xfId="12550" xr:uid="{01DC9DA3-C281-4942-BDC6-FEF0470E5583}"/>
    <cellStyle name="Linked Cell 10 4 13" xfId="12551" xr:uid="{D29015D4-04A4-4053-AAC2-8414978617A2}"/>
    <cellStyle name="Linked Cell 10 4 2" xfId="12552" xr:uid="{6C08C738-6310-495E-8A28-0C9729AC6BCD}"/>
    <cellStyle name="Linked Cell 10 4 2 10" xfId="12553" xr:uid="{BFA143E5-AF5E-4357-B6BA-E10BF7B3EF7A}"/>
    <cellStyle name="Linked Cell 10 4 2 10 2" xfId="12554" xr:uid="{A7812237-8C9F-4204-B69F-78731972AB4D}"/>
    <cellStyle name="Linked Cell 10 4 2 10 2 2" xfId="12555" xr:uid="{97DE6F27-D1F5-430F-888D-A0343625575E}"/>
    <cellStyle name="Linked Cell 10 4 2 10 3" xfId="12556" xr:uid="{87B44197-96A6-41D5-86BD-7DDB7087FFB9}"/>
    <cellStyle name="Linked Cell 10 4 2 11" xfId="12557" xr:uid="{E2869EA9-9958-482C-A398-A487DE8663FC}"/>
    <cellStyle name="Linked Cell 10 4 2 11 2" xfId="12558" xr:uid="{6860B4EB-D631-4936-94A5-208800075949}"/>
    <cellStyle name="Linked Cell 10 4 2 12" xfId="12559" xr:uid="{597C6008-3895-4531-8466-7D5C966E47AA}"/>
    <cellStyle name="Linked Cell 10 4 2 2" xfId="12560" xr:uid="{1C326C7D-79BF-4376-80AD-09299D82CFC2}"/>
    <cellStyle name="Linked Cell 10 4 2 2 2" xfId="12561" xr:uid="{801832E2-2B38-468F-8CFA-234B85A6BE94}"/>
    <cellStyle name="Linked Cell 10 4 2 2 2 2" xfId="12562" xr:uid="{4C798037-C3C8-4389-8DAF-FD264C9D28A0}"/>
    <cellStyle name="Linked Cell 10 4 2 2 3" xfId="12563" xr:uid="{A5D3A4B5-1468-47C6-A458-E42E5124F6C3}"/>
    <cellStyle name="Linked Cell 10 4 2 3" xfId="12564" xr:uid="{F151B612-9DC1-4F92-BE9B-12477585A27C}"/>
    <cellStyle name="Linked Cell 10 4 2 3 2" xfId="12565" xr:uid="{5102AFCF-E763-4644-A548-0C0B125A3E0D}"/>
    <cellStyle name="Linked Cell 10 4 2 3 2 2" xfId="12566" xr:uid="{20778E47-3401-463F-8B4B-D1B47133AC45}"/>
    <cellStyle name="Linked Cell 10 4 2 3 3" xfId="12567" xr:uid="{78A631F7-2908-42DE-A2FD-C685CFD66669}"/>
    <cellStyle name="Linked Cell 10 4 2 4" xfId="12568" xr:uid="{C5419CE4-E71A-44C6-928A-BEA069D33C55}"/>
    <cellStyle name="Linked Cell 10 4 2 4 2" xfId="12569" xr:uid="{E108953E-4385-496F-9C9F-D8B1DCDB6BAD}"/>
    <cellStyle name="Linked Cell 10 4 2 4 2 2" xfId="12570" xr:uid="{B53A455E-A947-44EA-978C-FBE1091874D6}"/>
    <cellStyle name="Linked Cell 10 4 2 4 3" xfId="12571" xr:uid="{38DCE8D4-035B-4F12-9591-97FCF1160227}"/>
    <cellStyle name="Linked Cell 10 4 2 5" xfId="12572" xr:uid="{3A9FD82E-DC25-404B-8C27-A00D4FC74F89}"/>
    <cellStyle name="Linked Cell 10 4 2 5 2" xfId="12573" xr:uid="{C0BA9294-B859-4127-99CB-876EE5740313}"/>
    <cellStyle name="Linked Cell 10 4 2 5 2 2" xfId="12574" xr:uid="{06BF04A6-689F-4DA8-BA43-C0A0D245C3F5}"/>
    <cellStyle name="Linked Cell 10 4 2 5 3" xfId="12575" xr:uid="{797D1102-EFE3-4C5C-B818-47A145BBCA07}"/>
    <cellStyle name="Linked Cell 10 4 2 6" xfId="12576" xr:uid="{6120839A-F547-458B-B30A-5D79CDBF43DC}"/>
    <cellStyle name="Linked Cell 10 4 2 6 2" xfId="12577" xr:uid="{032B09A9-BCE7-413D-B678-4490DD7DE52E}"/>
    <cellStyle name="Linked Cell 10 4 2 6 2 2" xfId="12578" xr:uid="{E1E6014E-6A82-45A2-8933-19B7ED1131D4}"/>
    <cellStyle name="Linked Cell 10 4 2 6 3" xfId="12579" xr:uid="{3C5B0717-5CB8-44F4-BC05-B75D01A16183}"/>
    <cellStyle name="Linked Cell 10 4 2 7" xfId="12580" xr:uid="{F9CF5A0E-1630-4D64-99B6-A5B4EBEEE76A}"/>
    <cellStyle name="Linked Cell 10 4 2 7 2" xfId="12581" xr:uid="{13C8141C-ACC1-4845-B292-098A56844DFC}"/>
    <cellStyle name="Linked Cell 10 4 2 7 2 2" xfId="12582" xr:uid="{DA3AC0A1-9EA5-4AFC-9143-201B13C27B64}"/>
    <cellStyle name="Linked Cell 10 4 2 7 3" xfId="12583" xr:uid="{B55F5128-2089-444E-8F9F-71874880033C}"/>
    <cellStyle name="Linked Cell 10 4 2 8" xfId="12584" xr:uid="{BD32A73F-4E8A-499B-A94E-DBEB225CBA12}"/>
    <cellStyle name="Linked Cell 10 4 2 8 2" xfId="12585" xr:uid="{8375F58E-B24A-4AFC-A74A-E6DD4FE2BA7E}"/>
    <cellStyle name="Linked Cell 10 4 2 8 2 2" xfId="12586" xr:uid="{7EFBA14D-3B12-4061-984B-5702FB0D9905}"/>
    <cellStyle name="Linked Cell 10 4 2 8 3" xfId="12587" xr:uid="{DEAA1447-0F71-40A0-AD65-4D1C02388A7C}"/>
    <cellStyle name="Linked Cell 10 4 2 9" xfId="12588" xr:uid="{3B2EA144-D7AC-43CC-93A4-F53BD3C43207}"/>
    <cellStyle name="Linked Cell 10 4 2 9 2" xfId="12589" xr:uid="{3A7C4F55-FCAE-4E59-ADBA-51C7693D11C3}"/>
    <cellStyle name="Linked Cell 10 4 2 9 2 2" xfId="12590" xr:uid="{85D51AE2-B741-42C2-B58B-6E8D55DC63D6}"/>
    <cellStyle name="Linked Cell 10 4 2 9 3" xfId="12591" xr:uid="{00CC97E4-79AF-4C44-826E-16407AA43738}"/>
    <cellStyle name="Linked Cell 10 4 3" xfId="12592" xr:uid="{BE5E4BA5-51B0-4ABA-BCAF-0E41B6E768F5}"/>
    <cellStyle name="Linked Cell 10 4 3 10" xfId="12593" xr:uid="{66B4BCC5-9529-4428-B98C-6EB2C38D5C38}"/>
    <cellStyle name="Linked Cell 10 4 3 10 2" xfId="12594" xr:uid="{03517531-3F47-40F6-A5C6-83A0F0DB9EE1}"/>
    <cellStyle name="Linked Cell 10 4 3 11" xfId="12595" xr:uid="{C907F5AF-6012-433F-AAB0-0D67CF051736}"/>
    <cellStyle name="Linked Cell 10 4 3 2" xfId="12596" xr:uid="{22B97E55-0250-47A0-8FBB-4ED7C1F7E873}"/>
    <cellStyle name="Linked Cell 10 4 3 2 2" xfId="12597" xr:uid="{C5802949-4EC8-4B3B-BBF8-0F364AB1E0BA}"/>
    <cellStyle name="Linked Cell 10 4 3 2 2 2" xfId="12598" xr:uid="{F829BBD8-02EF-4BDB-AEEE-B7223898AEEB}"/>
    <cellStyle name="Linked Cell 10 4 3 2 3" xfId="12599" xr:uid="{D6A92F75-964B-4210-BB7E-4AF787DD3863}"/>
    <cellStyle name="Linked Cell 10 4 3 3" xfId="12600" xr:uid="{542964EA-B494-4937-A767-62A56975BF16}"/>
    <cellStyle name="Linked Cell 10 4 3 3 2" xfId="12601" xr:uid="{E59284DA-1AA9-45A5-874B-E24882203CA4}"/>
    <cellStyle name="Linked Cell 10 4 3 3 2 2" xfId="12602" xr:uid="{82011331-7E54-487B-BB8A-B52420A4CC18}"/>
    <cellStyle name="Linked Cell 10 4 3 3 3" xfId="12603" xr:uid="{C9851151-C51E-45DF-90FE-E0E2C7D0E788}"/>
    <cellStyle name="Linked Cell 10 4 3 4" xfId="12604" xr:uid="{B9481BC7-4C35-4DFA-9A96-81B30C10FAE9}"/>
    <cellStyle name="Linked Cell 10 4 3 4 2" xfId="12605" xr:uid="{27937EF4-84C3-497A-AAB3-DA79FE10A9C2}"/>
    <cellStyle name="Linked Cell 10 4 3 4 2 2" xfId="12606" xr:uid="{75791990-A7CB-4581-87E6-92BAD7518174}"/>
    <cellStyle name="Linked Cell 10 4 3 4 3" xfId="12607" xr:uid="{14797DE8-1925-44AE-8EB7-59EA4223E289}"/>
    <cellStyle name="Linked Cell 10 4 3 5" xfId="12608" xr:uid="{E0E356AF-2DB0-478A-B0E7-C53B08FB639E}"/>
    <cellStyle name="Linked Cell 10 4 3 5 2" xfId="12609" xr:uid="{CC0775A5-41E9-4C40-B95E-F736E1E29E0A}"/>
    <cellStyle name="Linked Cell 10 4 3 5 2 2" xfId="12610" xr:uid="{A9CAE37E-EC67-482A-AC68-F4C5D42DB67A}"/>
    <cellStyle name="Linked Cell 10 4 3 5 3" xfId="12611" xr:uid="{D627A048-8B9B-4918-9BE7-89FDB87820BB}"/>
    <cellStyle name="Linked Cell 10 4 3 6" xfId="12612" xr:uid="{48C02595-CA58-42B4-8CAE-C00F4C3C8894}"/>
    <cellStyle name="Linked Cell 10 4 3 6 2" xfId="12613" xr:uid="{6AE48D61-0F2E-4BC8-B1F0-22FA1FAD4B90}"/>
    <cellStyle name="Linked Cell 10 4 3 6 2 2" xfId="12614" xr:uid="{BD2F7736-F334-4CCE-AC2E-3651319320E5}"/>
    <cellStyle name="Linked Cell 10 4 3 6 3" xfId="12615" xr:uid="{EEE6F10E-66E2-4AE7-B4EC-6F84DC062C09}"/>
    <cellStyle name="Linked Cell 10 4 3 7" xfId="12616" xr:uid="{73B060E7-A267-4011-9182-3F0650C63E5B}"/>
    <cellStyle name="Linked Cell 10 4 3 7 2" xfId="12617" xr:uid="{FEB74A6B-C7FD-4782-B719-1CF0572B7A01}"/>
    <cellStyle name="Linked Cell 10 4 3 7 2 2" xfId="12618" xr:uid="{9D96FEE2-66BC-4B04-9980-61E587AE5939}"/>
    <cellStyle name="Linked Cell 10 4 3 7 3" xfId="12619" xr:uid="{AA8806B8-D4FC-45A5-88F2-53F7D2454E98}"/>
    <cellStyle name="Linked Cell 10 4 3 8" xfId="12620" xr:uid="{935AF358-6028-4A5B-86F9-F19A5BA21138}"/>
    <cellStyle name="Linked Cell 10 4 3 8 2" xfId="12621" xr:uid="{7B393160-BA44-4B8F-8B2A-EEF9AF08B4BA}"/>
    <cellStyle name="Linked Cell 10 4 3 8 2 2" xfId="12622" xr:uid="{A080E1AB-8D4A-4ABC-B55C-83F368CE6A1E}"/>
    <cellStyle name="Linked Cell 10 4 3 8 3" xfId="12623" xr:uid="{ECB00AC2-1572-44D7-8438-51AC96D5349F}"/>
    <cellStyle name="Linked Cell 10 4 3 9" xfId="12624" xr:uid="{5279D307-6344-41B9-8245-3EAF8350DF8E}"/>
    <cellStyle name="Linked Cell 10 4 3 9 2" xfId="12625" xr:uid="{8CD0B577-6FD1-43D9-A5E0-B71535336ADC}"/>
    <cellStyle name="Linked Cell 10 4 3 9 2 2" xfId="12626" xr:uid="{82BF0EF6-18BE-420C-9F7A-8B9094439F75}"/>
    <cellStyle name="Linked Cell 10 4 3 9 3" xfId="12627" xr:uid="{59F6A78E-11DD-4649-930C-93A6A37DEA5B}"/>
    <cellStyle name="Linked Cell 10 4 4" xfId="12628" xr:uid="{FB933839-7EBF-40E3-89E0-4CEF2F77250A}"/>
    <cellStyle name="Linked Cell 10 4 4 2" xfId="12629" xr:uid="{48A02F6D-AAEF-492E-9B7A-C732AB2C1D39}"/>
    <cellStyle name="Linked Cell 10 4 4 2 2" xfId="12630" xr:uid="{56F9D4E1-A503-4E87-8D6F-7FB26914AD82}"/>
    <cellStyle name="Linked Cell 10 4 4 3" xfId="12631" xr:uid="{F6B66142-613A-4DC6-B958-91953BA71649}"/>
    <cellStyle name="Linked Cell 10 4 5" xfId="12632" xr:uid="{4904FEAB-A2E7-4803-B298-ECAFB8903AF4}"/>
    <cellStyle name="Linked Cell 10 4 5 2" xfId="12633" xr:uid="{376A1A91-C6BA-41D7-AEF3-3C53362444DF}"/>
    <cellStyle name="Linked Cell 10 4 5 2 2" xfId="12634" xr:uid="{ABB0AE76-0245-4370-AEDE-6833E1DDA6A8}"/>
    <cellStyle name="Linked Cell 10 4 5 3" xfId="12635" xr:uid="{30353E27-DE66-49CB-A9AF-1ADBF56807C4}"/>
    <cellStyle name="Linked Cell 10 4 6" xfId="12636" xr:uid="{62EDE922-91DB-4E7D-B89E-2B6DAC7713BA}"/>
    <cellStyle name="Linked Cell 10 4 6 2" xfId="12637" xr:uid="{E18A11C0-55C7-49AC-B895-B14413237111}"/>
    <cellStyle name="Linked Cell 10 4 6 2 2" xfId="12638" xr:uid="{AF39E96B-8AC9-4A99-A588-60B336E748EF}"/>
    <cellStyle name="Linked Cell 10 4 6 3" xfId="12639" xr:uid="{20AFB086-2E4C-43F9-BA20-28A53DB4737E}"/>
    <cellStyle name="Linked Cell 10 4 7" xfId="12640" xr:uid="{5F03232B-757B-428F-9F56-097F60B28BD4}"/>
    <cellStyle name="Linked Cell 10 4 7 2" xfId="12641" xr:uid="{97FD1A1C-57DA-45BD-B23E-17C4561A39D4}"/>
    <cellStyle name="Linked Cell 10 4 7 2 2" xfId="12642" xr:uid="{9F842195-1A71-44A3-99BE-C5D59D7FDA6E}"/>
    <cellStyle name="Linked Cell 10 4 7 3" xfId="12643" xr:uid="{31EFFAA8-5B10-46C9-B006-D655ED5B601D}"/>
    <cellStyle name="Linked Cell 10 4 8" xfId="12644" xr:uid="{B832CDAE-C1EF-4A15-ADAF-F4A3E898AB56}"/>
    <cellStyle name="Linked Cell 10 4 8 2" xfId="12645" xr:uid="{18AECC39-8A2B-4E83-9E5E-A37B7E2080B8}"/>
    <cellStyle name="Linked Cell 10 4 8 2 2" xfId="12646" xr:uid="{52365BDB-4E1A-488C-80E2-4611BD3B0654}"/>
    <cellStyle name="Linked Cell 10 4 8 3" xfId="12647" xr:uid="{4CB46861-11F0-45EB-9E59-D3E76CA43D11}"/>
    <cellStyle name="Linked Cell 10 4 9" xfId="12648" xr:uid="{86FCDF37-9C33-423D-A9C8-A062FE58F4D4}"/>
    <cellStyle name="Linked Cell 10 4 9 2" xfId="12649" xr:uid="{B5054007-DC2D-4C93-8B6A-A9AFB5BBB9EA}"/>
    <cellStyle name="Linked Cell 10 4 9 2 2" xfId="12650" xr:uid="{7D92B528-12AC-45B4-A48C-B23AA708FF10}"/>
    <cellStyle name="Linked Cell 10 4 9 3" xfId="12651" xr:uid="{5F2BFDBD-D901-4094-9DE7-438777597397}"/>
    <cellStyle name="Linked Cell 11" xfId="12652" xr:uid="{E728CE14-5C19-4E4C-A323-341220F13FC1}"/>
    <cellStyle name="Linked Cell 11 2" xfId="12653" xr:uid="{6C1F92F8-8B36-4986-AB9B-7C85064EE9FD}"/>
    <cellStyle name="Linked Cell 11 2 10" xfId="12654" xr:uid="{E2095ABD-E939-4EB2-A586-A5279BA2BF95}"/>
    <cellStyle name="Linked Cell 11 2 10 2" xfId="12655" xr:uid="{2BA19528-C29E-4048-8981-76BD67BEA417}"/>
    <cellStyle name="Linked Cell 11 2 10 2 2" xfId="12656" xr:uid="{F8ACDBB3-E9DA-4267-9CDE-85501317F2E7}"/>
    <cellStyle name="Linked Cell 11 2 10 3" xfId="12657" xr:uid="{B63E541D-6A43-4E99-840E-3BC27CAFDF5A}"/>
    <cellStyle name="Linked Cell 11 2 11" xfId="12658" xr:uid="{DC1DCF78-87CB-4A0F-A2A4-B6EEFB4CCC40}"/>
    <cellStyle name="Linked Cell 11 2 11 2" xfId="12659" xr:uid="{259CBAA5-C1C2-44F1-8785-B7572AB2A7FD}"/>
    <cellStyle name="Linked Cell 11 2 11 2 2" xfId="12660" xr:uid="{B9CE345D-1E57-44E5-A93D-95EC89E59242}"/>
    <cellStyle name="Linked Cell 11 2 11 3" xfId="12661" xr:uid="{6ABFE1A0-73D1-4F33-A3F2-7169927230CC}"/>
    <cellStyle name="Linked Cell 11 2 12" xfId="12662" xr:uid="{C2350928-D581-41A2-BA54-FBDE5800D861}"/>
    <cellStyle name="Linked Cell 11 2 12 2" xfId="12663" xr:uid="{84F1D039-E985-42B9-A624-71C4CAE67D59}"/>
    <cellStyle name="Linked Cell 11 2 12 2 2" xfId="12664" xr:uid="{61966EAC-8FCF-41C8-ADB7-8FFD67F2E780}"/>
    <cellStyle name="Linked Cell 11 2 12 3" xfId="12665" xr:uid="{92242EA5-7BF1-4845-9ECA-51CE5434D3F7}"/>
    <cellStyle name="Linked Cell 11 2 13" xfId="12666" xr:uid="{5A849831-7362-4445-B05D-7EBBFD4CD70B}"/>
    <cellStyle name="Linked Cell 11 2 13 2" xfId="12667" xr:uid="{2A34CE37-B308-4FE9-9D64-3B82C764FBFE}"/>
    <cellStyle name="Linked Cell 11 2 13 2 2" xfId="12668" xr:uid="{5232D95B-94BA-40F1-BF27-2ADD377C0559}"/>
    <cellStyle name="Linked Cell 11 2 13 3" xfId="12669" xr:uid="{8E5E8B51-BDF5-4F8C-802D-B70089B18CCA}"/>
    <cellStyle name="Linked Cell 11 2 14" xfId="12670" xr:uid="{D9075B07-A2F0-45AE-94EA-6A626E0D850B}"/>
    <cellStyle name="Linked Cell 11 2 14 2" xfId="12671" xr:uid="{1E2280F0-C82B-481C-8959-47480984601E}"/>
    <cellStyle name="Linked Cell 11 2 15" xfId="12672" xr:uid="{B72E08A9-A27F-4967-A80F-EAF88635F300}"/>
    <cellStyle name="Linked Cell 11 2 2" xfId="12673" xr:uid="{8D4C1D3A-CEBA-45C5-B7BF-8C26F872477B}"/>
    <cellStyle name="Linked Cell 11 2 2 10" xfId="12674" xr:uid="{FB713F03-0365-421D-9AB5-921A346CFBBC}"/>
    <cellStyle name="Linked Cell 11 2 2 10 2" xfId="12675" xr:uid="{6AD2183C-DC1A-4AC6-B47C-0092506CE811}"/>
    <cellStyle name="Linked Cell 11 2 2 10 2 2" xfId="12676" xr:uid="{7696DD74-095F-4758-B63F-DB2D00EB551E}"/>
    <cellStyle name="Linked Cell 11 2 2 10 3" xfId="12677" xr:uid="{8C8F43F8-B1DC-47C4-81D5-57F5AF94D7D0}"/>
    <cellStyle name="Linked Cell 11 2 2 11" xfId="12678" xr:uid="{FC3CE78A-D274-46A1-A74E-2F9E4A21B2A3}"/>
    <cellStyle name="Linked Cell 11 2 2 11 2" xfId="12679" xr:uid="{738790B2-487C-46BB-88B7-D743D3CE6003}"/>
    <cellStyle name="Linked Cell 11 2 2 11 2 2" xfId="12680" xr:uid="{BA953027-FFED-4A6A-A6B6-6C306DCBE480}"/>
    <cellStyle name="Linked Cell 11 2 2 11 3" xfId="12681" xr:uid="{EA85BA9F-B10A-40EC-8611-AF0662C80E7C}"/>
    <cellStyle name="Linked Cell 11 2 2 12" xfId="12682" xr:uid="{2942CD35-C88A-4201-BDE4-6F742F3A7BDB}"/>
    <cellStyle name="Linked Cell 11 2 2 12 2" xfId="12683" xr:uid="{2EF009F5-6882-47D4-BDDE-0D506C3402DD}"/>
    <cellStyle name="Linked Cell 11 2 2 12 2 2" xfId="12684" xr:uid="{1E2B7C3B-1974-4CC8-9B48-1FD6BCE85A4E}"/>
    <cellStyle name="Linked Cell 11 2 2 12 3" xfId="12685" xr:uid="{35476BD5-20E6-4FEC-B114-D256D90A5CA5}"/>
    <cellStyle name="Linked Cell 11 2 2 13" xfId="12686" xr:uid="{52E1E8CB-7BFE-4B92-B253-8267665BB3EF}"/>
    <cellStyle name="Linked Cell 11 2 2 13 2" xfId="12687" xr:uid="{ED8951A6-B06B-4062-843C-188EE0F0AD9E}"/>
    <cellStyle name="Linked Cell 11 2 2 14" xfId="12688" xr:uid="{D9DB84E7-21E9-480A-BCA5-FC716AED7975}"/>
    <cellStyle name="Linked Cell 11 2 2 2" xfId="12689" xr:uid="{96CDFC4D-7FBA-48EE-B632-D5DB5F3C2906}"/>
    <cellStyle name="Linked Cell 11 2 2 2 10" xfId="12690" xr:uid="{5C66DF5A-B5CF-406F-BBC1-82FB1495CC0F}"/>
    <cellStyle name="Linked Cell 11 2 2 2 10 2" xfId="12691" xr:uid="{83C822E0-8FFC-4447-839B-585B3F2DC3EF}"/>
    <cellStyle name="Linked Cell 11 2 2 2 10 2 2" xfId="12692" xr:uid="{2C2DA84F-FCB8-41AB-88EC-1A9C92FE349B}"/>
    <cellStyle name="Linked Cell 11 2 2 2 10 3" xfId="12693" xr:uid="{33489666-D5FF-47D6-810F-163FA1252763}"/>
    <cellStyle name="Linked Cell 11 2 2 2 11" xfId="12694" xr:uid="{3916C5FB-588C-4EFA-AF65-8137A27C8775}"/>
    <cellStyle name="Linked Cell 11 2 2 2 11 2" xfId="12695" xr:uid="{485A37E2-6203-4CA8-83AB-74A64B221052}"/>
    <cellStyle name="Linked Cell 11 2 2 2 11 2 2" xfId="12696" xr:uid="{C7E20AA5-5E58-4380-BD48-52B2F818F2BA}"/>
    <cellStyle name="Linked Cell 11 2 2 2 11 3" xfId="12697" xr:uid="{C1CD1203-4361-45CD-B0B0-BC8DDA47FB08}"/>
    <cellStyle name="Linked Cell 11 2 2 2 12" xfId="12698" xr:uid="{D68E3B8B-3215-4AF3-82BF-D6C1666DCCA0}"/>
    <cellStyle name="Linked Cell 11 2 2 2 12 2" xfId="12699" xr:uid="{866F2B75-C65E-4CE2-AA0E-2E09332909BB}"/>
    <cellStyle name="Linked Cell 11 2 2 2 13" xfId="12700" xr:uid="{B4341CD3-AD3C-4C2A-83BB-9EB5F7ECE982}"/>
    <cellStyle name="Linked Cell 11 2 2 2 2" xfId="12701" xr:uid="{57BEC2FE-436F-4924-A28A-279EC6BC0143}"/>
    <cellStyle name="Linked Cell 11 2 2 2 2 10" xfId="12702" xr:uid="{D85322F7-4E14-4CB4-9E62-16DD29DAC389}"/>
    <cellStyle name="Linked Cell 11 2 2 2 2 10 2" xfId="12703" xr:uid="{12958101-8CE7-4D20-BCC0-F39ED6F0D23B}"/>
    <cellStyle name="Linked Cell 11 2 2 2 2 10 2 2" xfId="12704" xr:uid="{C1C9E126-879C-4F49-9EC2-491302F012AF}"/>
    <cellStyle name="Linked Cell 11 2 2 2 2 10 3" xfId="12705" xr:uid="{1060E091-D470-4B67-A2B4-6D51D3F821D1}"/>
    <cellStyle name="Linked Cell 11 2 2 2 2 11" xfId="12706" xr:uid="{3120966E-1F69-4E11-81F9-691A65331F0A}"/>
    <cellStyle name="Linked Cell 11 2 2 2 2 11 2" xfId="12707" xr:uid="{06C5230D-4A4B-4191-9F3F-097AB4847211}"/>
    <cellStyle name="Linked Cell 11 2 2 2 2 12" xfId="12708" xr:uid="{0050A6A3-A4F6-448C-A4A2-2FB22C21FE93}"/>
    <cellStyle name="Linked Cell 11 2 2 2 2 2" xfId="12709" xr:uid="{43DFA1FD-9AFC-40F6-B68D-D344DE218DDB}"/>
    <cellStyle name="Linked Cell 11 2 2 2 2 2 2" xfId="12710" xr:uid="{82E5E944-6419-4127-9256-7AF315307B38}"/>
    <cellStyle name="Linked Cell 11 2 2 2 2 2 2 2" xfId="12711" xr:uid="{E754EF3F-D8C5-495D-B7C7-CFABE3D8D52A}"/>
    <cellStyle name="Linked Cell 11 2 2 2 2 2 3" xfId="12712" xr:uid="{C8EB0A30-41C6-4756-8CC3-3638D782FFA4}"/>
    <cellStyle name="Linked Cell 11 2 2 2 2 3" xfId="12713" xr:uid="{0CAB659B-55C3-49DB-97B7-FFFFFEE54AD7}"/>
    <cellStyle name="Linked Cell 11 2 2 2 2 3 2" xfId="12714" xr:uid="{31D07AF7-2C5B-4C97-8C16-415238B4F4E2}"/>
    <cellStyle name="Linked Cell 11 2 2 2 2 3 2 2" xfId="12715" xr:uid="{89D8B0FB-39F7-4636-86B3-6C63EA6C9A55}"/>
    <cellStyle name="Linked Cell 11 2 2 2 2 3 3" xfId="12716" xr:uid="{7B14D6CC-6065-4933-BA50-E79533119B1C}"/>
    <cellStyle name="Linked Cell 11 2 2 2 2 4" xfId="12717" xr:uid="{919AA86A-7632-4E34-ACB6-D5D68781EC6A}"/>
    <cellStyle name="Linked Cell 11 2 2 2 2 4 2" xfId="12718" xr:uid="{B9EFFEA5-6CA1-48E6-8F0D-AEB09824EFE3}"/>
    <cellStyle name="Linked Cell 11 2 2 2 2 4 2 2" xfId="12719" xr:uid="{74C8357B-D092-4764-865E-0E0858694E60}"/>
    <cellStyle name="Linked Cell 11 2 2 2 2 4 3" xfId="12720" xr:uid="{408795BA-8F7D-4D87-9712-4779B1A20740}"/>
    <cellStyle name="Linked Cell 11 2 2 2 2 5" xfId="12721" xr:uid="{A0698A72-5062-494A-93A9-D1CE910188FA}"/>
    <cellStyle name="Linked Cell 11 2 2 2 2 5 2" xfId="12722" xr:uid="{E424DBDF-6233-4CDD-8389-D0BE429BAA72}"/>
    <cellStyle name="Linked Cell 11 2 2 2 2 5 2 2" xfId="12723" xr:uid="{429123F5-7DD1-4C24-ADD5-84A614ED1E03}"/>
    <cellStyle name="Linked Cell 11 2 2 2 2 5 3" xfId="12724" xr:uid="{9429B844-9C4F-4BE3-8833-C7186E1D3239}"/>
    <cellStyle name="Linked Cell 11 2 2 2 2 6" xfId="12725" xr:uid="{516CDB9A-1B39-4B37-812B-5FF32F88BB41}"/>
    <cellStyle name="Linked Cell 11 2 2 2 2 6 2" xfId="12726" xr:uid="{5FAF3ED5-270E-4184-84DF-77BD28313F03}"/>
    <cellStyle name="Linked Cell 11 2 2 2 2 6 2 2" xfId="12727" xr:uid="{280F3635-9A35-48C5-8B40-0B4660C10B0D}"/>
    <cellStyle name="Linked Cell 11 2 2 2 2 6 3" xfId="12728" xr:uid="{0EB760F4-E9B4-4CB1-8DCC-9308DE4261C2}"/>
    <cellStyle name="Linked Cell 11 2 2 2 2 7" xfId="12729" xr:uid="{37B9E9D7-003C-4717-A83B-0468D676831A}"/>
    <cellStyle name="Linked Cell 11 2 2 2 2 7 2" xfId="12730" xr:uid="{E2A91DB2-7235-4AD3-90A2-C908EBBA8595}"/>
    <cellStyle name="Linked Cell 11 2 2 2 2 7 2 2" xfId="12731" xr:uid="{52865637-58CB-4870-B0B5-7D3A6367297F}"/>
    <cellStyle name="Linked Cell 11 2 2 2 2 7 3" xfId="12732" xr:uid="{CC2B22AF-1D4D-4E93-AADE-1E0840C1D9EE}"/>
    <cellStyle name="Linked Cell 11 2 2 2 2 8" xfId="12733" xr:uid="{32972C1E-0551-4F5A-8881-4898B0CC5797}"/>
    <cellStyle name="Linked Cell 11 2 2 2 2 8 2" xfId="12734" xr:uid="{ABBBBCE8-5BDA-4656-BDE8-DB4CBB34E419}"/>
    <cellStyle name="Linked Cell 11 2 2 2 2 8 2 2" xfId="12735" xr:uid="{1A31A8F2-5CC0-43A2-9E30-B2CF40110F61}"/>
    <cellStyle name="Linked Cell 11 2 2 2 2 8 3" xfId="12736" xr:uid="{2799DA92-960E-4807-B85E-13122D253834}"/>
    <cellStyle name="Linked Cell 11 2 2 2 2 9" xfId="12737" xr:uid="{906866CB-E0E8-43E3-9ABC-37325BBC871C}"/>
    <cellStyle name="Linked Cell 11 2 2 2 2 9 2" xfId="12738" xr:uid="{34DB2E82-6147-4489-807A-C1DE563F1152}"/>
    <cellStyle name="Linked Cell 11 2 2 2 2 9 2 2" xfId="12739" xr:uid="{D135B21F-AD7F-4706-B21C-D197FDA00257}"/>
    <cellStyle name="Linked Cell 11 2 2 2 2 9 3" xfId="12740" xr:uid="{0EE4FF6D-011D-47A2-B914-5844A51AB496}"/>
    <cellStyle name="Linked Cell 11 2 2 2 3" xfId="12741" xr:uid="{E9E3FAE9-C8A1-44B6-AC68-E070D0195BD0}"/>
    <cellStyle name="Linked Cell 11 2 2 2 3 10" xfId="12742" xr:uid="{F02F1996-4C13-4168-A1C7-21DE49B44704}"/>
    <cellStyle name="Linked Cell 11 2 2 2 3 10 2" xfId="12743" xr:uid="{8B74EA18-F20A-4B3F-8CB7-DF08E7F62F99}"/>
    <cellStyle name="Linked Cell 11 2 2 2 3 11" xfId="12744" xr:uid="{9362BD1E-E0D7-46BA-80B5-CB71F3080CBF}"/>
    <cellStyle name="Linked Cell 11 2 2 2 3 2" xfId="12745" xr:uid="{9D6F9DAE-26AE-4CA1-99A7-0B77F309EB76}"/>
    <cellStyle name="Linked Cell 11 2 2 2 3 2 2" xfId="12746" xr:uid="{85830269-9F2B-4710-8AC8-B00BA1DAD471}"/>
    <cellStyle name="Linked Cell 11 2 2 2 3 2 2 2" xfId="12747" xr:uid="{32BE90B7-CFC2-4CAD-A064-6EC76DAFE2EA}"/>
    <cellStyle name="Linked Cell 11 2 2 2 3 2 3" xfId="12748" xr:uid="{EDCF53E6-4578-4834-BDA4-780DF4B86CC2}"/>
    <cellStyle name="Linked Cell 11 2 2 2 3 3" xfId="12749" xr:uid="{F465BE10-4C8C-40E1-A0A3-7482B565BF9F}"/>
    <cellStyle name="Linked Cell 11 2 2 2 3 3 2" xfId="12750" xr:uid="{08651563-A4E9-4F0B-B1B6-BC52C7C8F438}"/>
    <cellStyle name="Linked Cell 11 2 2 2 3 3 2 2" xfId="12751" xr:uid="{43220009-7821-4ED6-9B6E-7C09EA4DD9FF}"/>
    <cellStyle name="Linked Cell 11 2 2 2 3 3 3" xfId="12752" xr:uid="{82C4D01E-ECA6-4392-863F-94922129DACF}"/>
    <cellStyle name="Linked Cell 11 2 2 2 3 4" xfId="12753" xr:uid="{F318DC32-CB21-4648-A0F7-2896362B79AA}"/>
    <cellStyle name="Linked Cell 11 2 2 2 3 4 2" xfId="12754" xr:uid="{B2387D2B-C948-4DB6-BC38-483FC66C93CE}"/>
    <cellStyle name="Linked Cell 11 2 2 2 3 4 2 2" xfId="12755" xr:uid="{A74F959B-3B03-442C-9CEA-8ABCF2A49CE4}"/>
    <cellStyle name="Linked Cell 11 2 2 2 3 4 3" xfId="12756" xr:uid="{F054244A-FA7E-438E-ACBD-BED467D5090D}"/>
    <cellStyle name="Linked Cell 11 2 2 2 3 5" xfId="12757" xr:uid="{80D00C2D-3134-4DFE-8DA2-EB46EA8263CF}"/>
    <cellStyle name="Linked Cell 11 2 2 2 3 5 2" xfId="12758" xr:uid="{C0DCF760-AA7A-45D6-9382-0F2BF960E0F3}"/>
    <cellStyle name="Linked Cell 11 2 2 2 3 5 2 2" xfId="12759" xr:uid="{894DCE86-A216-4235-ADEA-BEE7A046B460}"/>
    <cellStyle name="Linked Cell 11 2 2 2 3 5 3" xfId="12760" xr:uid="{2334CCAF-8A1F-4E0C-8468-4F7B3D4CDEAB}"/>
    <cellStyle name="Linked Cell 11 2 2 2 3 6" xfId="12761" xr:uid="{5FB5BE9F-37F7-4DA5-A63B-63793D8FA895}"/>
    <cellStyle name="Linked Cell 11 2 2 2 3 6 2" xfId="12762" xr:uid="{E2DAD7B1-556D-4C2D-AD5E-95F5561AD10C}"/>
    <cellStyle name="Linked Cell 11 2 2 2 3 6 2 2" xfId="12763" xr:uid="{221CF886-5B9F-4049-B54B-5F2194994D70}"/>
    <cellStyle name="Linked Cell 11 2 2 2 3 6 3" xfId="12764" xr:uid="{E3FC11CC-F64F-40EB-8EB3-20E311E242C6}"/>
    <cellStyle name="Linked Cell 11 2 2 2 3 7" xfId="12765" xr:uid="{57E3D38C-545C-4543-A35E-C8D248254C13}"/>
    <cellStyle name="Linked Cell 11 2 2 2 3 7 2" xfId="12766" xr:uid="{8F8568C0-90FA-4F7A-B445-F84F72C42F94}"/>
    <cellStyle name="Linked Cell 11 2 2 2 3 7 2 2" xfId="12767" xr:uid="{35233E23-E088-41E8-8E87-C70A8893F4C6}"/>
    <cellStyle name="Linked Cell 11 2 2 2 3 7 3" xfId="12768" xr:uid="{56E4BFBA-FC23-4483-83E3-3D50C7748DE1}"/>
    <cellStyle name="Linked Cell 11 2 2 2 3 8" xfId="12769" xr:uid="{9DC3185C-404D-44C8-9ECB-55E00293788C}"/>
    <cellStyle name="Linked Cell 11 2 2 2 3 8 2" xfId="12770" xr:uid="{8AAA694B-6833-4D86-90EB-B4317EB50F4D}"/>
    <cellStyle name="Linked Cell 11 2 2 2 3 8 2 2" xfId="12771" xr:uid="{0B786694-A875-4F54-B222-52ED0D37C296}"/>
    <cellStyle name="Linked Cell 11 2 2 2 3 8 3" xfId="12772" xr:uid="{14968240-6DF1-431D-8152-9D190A8E1735}"/>
    <cellStyle name="Linked Cell 11 2 2 2 3 9" xfId="12773" xr:uid="{4D7D64FB-A822-44B0-92DD-70AA1DE1C7B1}"/>
    <cellStyle name="Linked Cell 11 2 2 2 3 9 2" xfId="12774" xr:uid="{1AA0EAAC-BBD2-4375-8F7F-C2C4B268C41F}"/>
    <cellStyle name="Linked Cell 11 2 2 2 3 9 2 2" xfId="12775" xr:uid="{54CE313E-598A-4630-AC29-BD24E9E4944E}"/>
    <cellStyle name="Linked Cell 11 2 2 2 3 9 3" xfId="12776" xr:uid="{71EEC552-7682-4733-AB18-1FD6C5111778}"/>
    <cellStyle name="Linked Cell 11 2 2 2 4" xfId="12777" xr:uid="{AFF1A69A-D9ED-462F-9717-FF49E11CC40F}"/>
    <cellStyle name="Linked Cell 11 2 2 2 4 2" xfId="12778" xr:uid="{B989511E-5066-4F89-BE35-2FD5553F8A92}"/>
    <cellStyle name="Linked Cell 11 2 2 2 4 2 2" xfId="12779" xr:uid="{1FCBAF6E-1CD3-461C-B323-C9E437BA7138}"/>
    <cellStyle name="Linked Cell 11 2 2 2 4 3" xfId="12780" xr:uid="{BB7494D9-CC38-4B57-828B-8D0721F4C48B}"/>
    <cellStyle name="Linked Cell 11 2 2 2 5" xfId="12781" xr:uid="{ADE0D381-33C2-4E3C-9B76-0FA5D290BC28}"/>
    <cellStyle name="Linked Cell 11 2 2 2 5 2" xfId="12782" xr:uid="{B83C79CB-97E5-46A0-B623-1BD0D9FF7EAD}"/>
    <cellStyle name="Linked Cell 11 2 2 2 5 2 2" xfId="12783" xr:uid="{AADC8E0C-B94D-4FD9-8D08-C9E6931FEDBC}"/>
    <cellStyle name="Linked Cell 11 2 2 2 5 3" xfId="12784" xr:uid="{80AD80B0-FB0F-4355-9CFD-9A6A76093ABE}"/>
    <cellStyle name="Linked Cell 11 2 2 2 6" xfId="12785" xr:uid="{D0B9F5AC-FAA7-4C7E-A54B-D5D5E8A52061}"/>
    <cellStyle name="Linked Cell 11 2 2 2 6 2" xfId="12786" xr:uid="{E7AD980E-38F9-494A-A2F8-95CF481B3EFE}"/>
    <cellStyle name="Linked Cell 11 2 2 2 6 2 2" xfId="12787" xr:uid="{ABACEAE9-9FC0-4518-9927-A68CBBFCF880}"/>
    <cellStyle name="Linked Cell 11 2 2 2 6 3" xfId="12788" xr:uid="{EE43D56F-5417-462C-B0E3-3E7DA90AEEC4}"/>
    <cellStyle name="Linked Cell 11 2 2 2 7" xfId="12789" xr:uid="{80A161B4-5DA9-47F1-913F-15F7D5A4F16F}"/>
    <cellStyle name="Linked Cell 11 2 2 2 7 2" xfId="12790" xr:uid="{DDE54E57-D3F1-4B37-84C5-EE0EBBFCF6FA}"/>
    <cellStyle name="Linked Cell 11 2 2 2 7 2 2" xfId="12791" xr:uid="{649A76CB-6AB0-4A37-B533-3C42F53ADE40}"/>
    <cellStyle name="Linked Cell 11 2 2 2 7 3" xfId="12792" xr:uid="{A07A13CE-324C-4EB9-A8AA-FD5BE018C256}"/>
    <cellStyle name="Linked Cell 11 2 2 2 8" xfId="12793" xr:uid="{0A34005E-47C0-41A5-937C-C43DFB6DE033}"/>
    <cellStyle name="Linked Cell 11 2 2 2 8 2" xfId="12794" xr:uid="{45F972EA-2C54-43DF-A199-9260F45892B0}"/>
    <cellStyle name="Linked Cell 11 2 2 2 8 2 2" xfId="12795" xr:uid="{CB876820-D00B-4EF8-B029-FE75E1087E6B}"/>
    <cellStyle name="Linked Cell 11 2 2 2 8 3" xfId="12796" xr:uid="{74000D75-DDF5-4992-B193-A625672D8BCB}"/>
    <cellStyle name="Linked Cell 11 2 2 2 9" xfId="12797" xr:uid="{7E6919EB-6D50-4F84-9720-370B5E04C0FA}"/>
    <cellStyle name="Linked Cell 11 2 2 2 9 2" xfId="12798" xr:uid="{93D009E4-A904-4E3A-A24C-8F66DF92C037}"/>
    <cellStyle name="Linked Cell 11 2 2 2 9 2 2" xfId="12799" xr:uid="{78E4AE34-A988-4666-8985-CAE132F39FC0}"/>
    <cellStyle name="Linked Cell 11 2 2 2 9 3" xfId="12800" xr:uid="{C3F5B25D-EDDD-41A4-98C2-BC42A9C3CB94}"/>
    <cellStyle name="Linked Cell 11 2 2 3" xfId="12801" xr:uid="{1EF693C4-5AD8-442C-8706-9B9AC3E47EDF}"/>
    <cellStyle name="Linked Cell 11 2 2 3 10" xfId="12802" xr:uid="{BAB90DDD-001C-4283-966D-3EC262F2540C}"/>
    <cellStyle name="Linked Cell 11 2 2 3 10 2" xfId="12803" xr:uid="{58E9ED92-2393-49B4-9005-259009FF7738}"/>
    <cellStyle name="Linked Cell 11 2 2 3 10 2 2" xfId="12804" xr:uid="{7AE90038-B924-4C98-8ED1-4422D2F1791C}"/>
    <cellStyle name="Linked Cell 11 2 2 3 10 3" xfId="12805" xr:uid="{B4BD442C-17C8-4E1E-ABD4-47060E5F1A14}"/>
    <cellStyle name="Linked Cell 11 2 2 3 11" xfId="12806" xr:uid="{9A5412B9-6D23-4C09-BD16-6BE9D3CA03C0}"/>
    <cellStyle name="Linked Cell 11 2 2 3 11 2" xfId="12807" xr:uid="{0DE4323C-6823-4FCE-9583-5B63BE07BD8C}"/>
    <cellStyle name="Linked Cell 11 2 2 3 12" xfId="12808" xr:uid="{82A27388-8EFE-469E-AE23-A577361E7073}"/>
    <cellStyle name="Linked Cell 11 2 2 3 2" xfId="12809" xr:uid="{F777C2D7-B3E5-4FE7-A7D9-39A55AFA7CCB}"/>
    <cellStyle name="Linked Cell 11 2 2 3 2 10" xfId="12810" xr:uid="{01802AC3-ECE9-42C9-AA9C-A9E0042CD1D4}"/>
    <cellStyle name="Linked Cell 11 2 2 3 2 10 2" xfId="12811" xr:uid="{0515BD61-4F08-43CD-BB8D-10C46C3BACB1}"/>
    <cellStyle name="Linked Cell 11 2 2 3 2 11" xfId="12812" xr:uid="{601DC5AC-114F-40FA-9909-49D542D41468}"/>
    <cellStyle name="Linked Cell 11 2 2 3 2 2" xfId="12813" xr:uid="{25C457E5-61AB-402D-9F4C-708FD54F4DD9}"/>
    <cellStyle name="Linked Cell 11 2 2 3 2 2 2" xfId="12814" xr:uid="{AF3AFE3E-90CA-4695-8114-C2678E6341E2}"/>
    <cellStyle name="Linked Cell 11 2 2 3 2 2 2 2" xfId="12815" xr:uid="{3CF7DC89-8BC2-40C4-B758-F15D1286780D}"/>
    <cellStyle name="Linked Cell 11 2 2 3 2 2 3" xfId="12816" xr:uid="{9249E179-8DFC-4180-9BDA-2F7B2080C2DE}"/>
    <cellStyle name="Linked Cell 11 2 2 3 2 3" xfId="12817" xr:uid="{46E7E7C4-7C9A-4E9B-8F9D-135C890C81B2}"/>
    <cellStyle name="Linked Cell 11 2 2 3 2 3 2" xfId="12818" xr:uid="{808DB276-9CBF-467D-9F72-506D1C8BB756}"/>
    <cellStyle name="Linked Cell 11 2 2 3 2 3 2 2" xfId="12819" xr:uid="{6247586B-EC38-4B8F-A144-1D7A83306850}"/>
    <cellStyle name="Linked Cell 11 2 2 3 2 3 3" xfId="12820" xr:uid="{DC2A1A56-9DEA-4CD4-88F4-E49D6762FA72}"/>
    <cellStyle name="Linked Cell 11 2 2 3 2 4" xfId="12821" xr:uid="{948AAB7D-A36A-4D12-864A-7350DCF7426C}"/>
    <cellStyle name="Linked Cell 11 2 2 3 2 4 2" xfId="12822" xr:uid="{317CC821-62B4-41D1-9FAC-C9AA527C6751}"/>
    <cellStyle name="Linked Cell 11 2 2 3 2 4 2 2" xfId="12823" xr:uid="{2A714889-2075-4C05-8154-11E1569C0539}"/>
    <cellStyle name="Linked Cell 11 2 2 3 2 4 3" xfId="12824" xr:uid="{3B957A2F-6EF5-42B7-98F9-FC243A8A091C}"/>
    <cellStyle name="Linked Cell 11 2 2 3 2 5" xfId="12825" xr:uid="{29881ECA-97BA-40C9-9DA2-1B233DB87BDD}"/>
    <cellStyle name="Linked Cell 11 2 2 3 2 5 2" xfId="12826" xr:uid="{5FA399DC-704A-493F-ACC4-288580677D5E}"/>
    <cellStyle name="Linked Cell 11 2 2 3 2 5 2 2" xfId="12827" xr:uid="{8B4E7DDD-D287-49C4-9492-71957D7F210F}"/>
    <cellStyle name="Linked Cell 11 2 2 3 2 5 3" xfId="12828" xr:uid="{44D7FD67-C408-4C4D-940C-8E2675863C3A}"/>
    <cellStyle name="Linked Cell 11 2 2 3 2 6" xfId="12829" xr:uid="{E0EBF9A3-047F-40E9-845C-C53EAF978EE5}"/>
    <cellStyle name="Linked Cell 11 2 2 3 2 6 2" xfId="12830" xr:uid="{1B91DCEA-2ECE-44C9-8374-097CC5CE4FFA}"/>
    <cellStyle name="Linked Cell 11 2 2 3 2 6 2 2" xfId="12831" xr:uid="{32D86ECE-6427-486D-8E0B-8F2E646FEE56}"/>
    <cellStyle name="Linked Cell 11 2 2 3 2 6 3" xfId="12832" xr:uid="{6DDEF1E5-6526-4E42-B82C-7742AE801076}"/>
    <cellStyle name="Linked Cell 11 2 2 3 2 7" xfId="12833" xr:uid="{DBD080E4-497F-4ADF-A98D-23CCF1A8CCB3}"/>
    <cellStyle name="Linked Cell 11 2 2 3 2 7 2" xfId="12834" xr:uid="{94204EEB-CE50-472C-8891-E931B97969CC}"/>
    <cellStyle name="Linked Cell 11 2 2 3 2 7 2 2" xfId="12835" xr:uid="{C90C0B85-26F8-4EB2-8869-3579527EFA91}"/>
    <cellStyle name="Linked Cell 11 2 2 3 2 7 3" xfId="12836" xr:uid="{4C25865A-4DD7-441D-A1B1-8AC08E0D4490}"/>
    <cellStyle name="Linked Cell 11 2 2 3 2 8" xfId="12837" xr:uid="{DCFFA44A-43DD-4992-BFBB-A874440AD479}"/>
    <cellStyle name="Linked Cell 11 2 2 3 2 8 2" xfId="12838" xr:uid="{ADDA7876-B0A6-4216-9FAB-4908DBBEDED1}"/>
    <cellStyle name="Linked Cell 11 2 2 3 2 8 2 2" xfId="12839" xr:uid="{21F357BD-E4AD-46C9-B9E0-111305BA0BE0}"/>
    <cellStyle name="Linked Cell 11 2 2 3 2 8 3" xfId="12840" xr:uid="{B3390D15-4FA3-4193-9CF7-C31C6C94DCB6}"/>
    <cellStyle name="Linked Cell 11 2 2 3 2 9" xfId="12841" xr:uid="{C17287A3-1154-4499-896E-E9C518BD52B3}"/>
    <cellStyle name="Linked Cell 11 2 2 3 2 9 2" xfId="12842" xr:uid="{8F64F4EC-92DB-4F02-94ED-1091E4D252C0}"/>
    <cellStyle name="Linked Cell 11 2 2 3 2 9 2 2" xfId="12843" xr:uid="{23D90E82-9F78-49EE-9462-C017791B1252}"/>
    <cellStyle name="Linked Cell 11 2 2 3 2 9 3" xfId="12844" xr:uid="{8BDB9B47-715D-4B98-815B-A39470AD09F5}"/>
    <cellStyle name="Linked Cell 11 2 2 3 3" xfId="12845" xr:uid="{3315B828-952A-4A7C-B45B-6B0BD3A6F5FD}"/>
    <cellStyle name="Linked Cell 11 2 2 3 3 2" xfId="12846" xr:uid="{C9584ADD-2109-4020-906C-FEA1E340ED2F}"/>
    <cellStyle name="Linked Cell 11 2 2 3 3 2 2" xfId="12847" xr:uid="{F0CC13F6-8CD9-42CB-B085-0445E8C6890F}"/>
    <cellStyle name="Linked Cell 11 2 2 3 3 3" xfId="12848" xr:uid="{6133CC0B-D8D7-45C0-8672-F51130084667}"/>
    <cellStyle name="Linked Cell 11 2 2 3 4" xfId="12849" xr:uid="{4731A018-30A9-45C0-B33B-3A4A4E0F26FC}"/>
    <cellStyle name="Linked Cell 11 2 2 3 4 2" xfId="12850" xr:uid="{FCC01BE2-D675-40A1-90C2-609514BEFC2A}"/>
    <cellStyle name="Linked Cell 11 2 2 3 4 2 2" xfId="12851" xr:uid="{B456533C-56AB-4EE8-97B3-1BC30FCAE9D5}"/>
    <cellStyle name="Linked Cell 11 2 2 3 4 3" xfId="12852" xr:uid="{D7A28155-C322-4835-8E70-8C469B3DA4CE}"/>
    <cellStyle name="Linked Cell 11 2 2 3 5" xfId="12853" xr:uid="{FD47EB73-28FE-47A6-B127-4B87A21A72AE}"/>
    <cellStyle name="Linked Cell 11 2 2 3 5 2" xfId="12854" xr:uid="{3AFE1226-1F31-4BBF-9089-91DC17642918}"/>
    <cellStyle name="Linked Cell 11 2 2 3 5 2 2" xfId="12855" xr:uid="{CAFCBBBC-A529-43FF-AC6A-4F2F5060D8F6}"/>
    <cellStyle name="Linked Cell 11 2 2 3 5 3" xfId="12856" xr:uid="{09EA3174-873D-49F7-B0B8-0AC353A6A3F4}"/>
    <cellStyle name="Linked Cell 11 2 2 3 6" xfId="12857" xr:uid="{57B0602F-C678-407A-8E6E-4832498E41A6}"/>
    <cellStyle name="Linked Cell 11 2 2 3 6 2" xfId="12858" xr:uid="{D00B96EF-AB38-400B-B659-2EB6829BC7FB}"/>
    <cellStyle name="Linked Cell 11 2 2 3 6 2 2" xfId="12859" xr:uid="{B540949A-E479-4C14-9CEC-5E782AF6FB20}"/>
    <cellStyle name="Linked Cell 11 2 2 3 6 3" xfId="12860" xr:uid="{5CAB14C9-2046-40C8-BB99-C0377227968A}"/>
    <cellStyle name="Linked Cell 11 2 2 3 7" xfId="12861" xr:uid="{515597B9-9CC7-457E-ACA2-5B5AD4155D5F}"/>
    <cellStyle name="Linked Cell 11 2 2 3 7 2" xfId="12862" xr:uid="{DE058D82-13D4-4C76-A38A-352B52434DDA}"/>
    <cellStyle name="Linked Cell 11 2 2 3 7 2 2" xfId="12863" xr:uid="{C8EDD3C0-6BAD-4B58-8D1A-9614E536DE2B}"/>
    <cellStyle name="Linked Cell 11 2 2 3 7 3" xfId="12864" xr:uid="{431C0DB3-19C5-415F-B73F-B8E3E493FF48}"/>
    <cellStyle name="Linked Cell 11 2 2 3 8" xfId="12865" xr:uid="{BD7E5900-6EF9-4E13-B795-406D207C32E3}"/>
    <cellStyle name="Linked Cell 11 2 2 3 8 2" xfId="12866" xr:uid="{1F61B6A4-51C2-4E38-81C8-6867648B1B2A}"/>
    <cellStyle name="Linked Cell 11 2 2 3 8 2 2" xfId="12867" xr:uid="{4A5BD2CC-2E00-4A8A-A52C-634601E1F99D}"/>
    <cellStyle name="Linked Cell 11 2 2 3 8 3" xfId="12868" xr:uid="{A32CB449-6AAF-44D7-945F-61FEBE66E13F}"/>
    <cellStyle name="Linked Cell 11 2 2 3 9" xfId="12869" xr:uid="{9718EBF2-70BF-473C-A728-472435B95EB0}"/>
    <cellStyle name="Linked Cell 11 2 2 3 9 2" xfId="12870" xr:uid="{FB35EA7E-C2AE-490F-B491-3B9B84E830F5}"/>
    <cellStyle name="Linked Cell 11 2 2 3 9 2 2" xfId="12871" xr:uid="{BE7CDA99-75CE-4517-88DE-45DFE954C43D}"/>
    <cellStyle name="Linked Cell 11 2 2 3 9 3" xfId="12872" xr:uid="{404D05FB-77C2-4E34-99D2-5C95623AC977}"/>
    <cellStyle name="Linked Cell 11 2 2 4" xfId="12873" xr:uid="{267F8CC6-A06A-41D7-9B20-288863B65C0D}"/>
    <cellStyle name="Linked Cell 11 2 2 4 10" xfId="12874" xr:uid="{145BE2D7-4367-4E22-BF1A-32A4AD8161A8}"/>
    <cellStyle name="Linked Cell 11 2 2 4 10 2" xfId="12875" xr:uid="{8252464C-A4EE-40AF-9BF0-ED583B0AF9F7}"/>
    <cellStyle name="Linked Cell 11 2 2 4 11" xfId="12876" xr:uid="{557435FE-AD04-4DB3-ACA1-7EE71C3055AD}"/>
    <cellStyle name="Linked Cell 11 2 2 4 2" xfId="12877" xr:uid="{B502CC5B-5A04-4FEA-A63A-136FDCA8821F}"/>
    <cellStyle name="Linked Cell 11 2 2 4 2 2" xfId="12878" xr:uid="{42255F27-AAD8-4273-B3A5-4DD3F10EBB68}"/>
    <cellStyle name="Linked Cell 11 2 2 4 2 2 2" xfId="12879" xr:uid="{BF0D660A-3BE1-443B-9DE5-201693B9B981}"/>
    <cellStyle name="Linked Cell 11 2 2 4 2 3" xfId="12880" xr:uid="{AAAFEA67-4F3F-4A9D-A307-B39977BC6D16}"/>
    <cellStyle name="Linked Cell 11 2 2 4 3" xfId="12881" xr:uid="{AD032501-39D0-40FF-BBD3-206B0B9AD1AA}"/>
    <cellStyle name="Linked Cell 11 2 2 4 3 2" xfId="12882" xr:uid="{A4CFDA8B-E58F-44C5-9F1D-239D8C3F5CC6}"/>
    <cellStyle name="Linked Cell 11 2 2 4 3 2 2" xfId="12883" xr:uid="{B5874645-87A6-4A23-A671-3657E7E1FF7C}"/>
    <cellStyle name="Linked Cell 11 2 2 4 3 3" xfId="12884" xr:uid="{73EFA13B-6EB8-4071-BA8A-3268AF5BF997}"/>
    <cellStyle name="Linked Cell 11 2 2 4 4" xfId="12885" xr:uid="{ED9C4437-2DF9-4189-A7A6-CC9FF6EDD8CD}"/>
    <cellStyle name="Linked Cell 11 2 2 4 4 2" xfId="12886" xr:uid="{FF4D2556-ED6E-42FA-AE00-40A249D4965C}"/>
    <cellStyle name="Linked Cell 11 2 2 4 4 2 2" xfId="12887" xr:uid="{371E75A7-E1DA-424B-B482-DC18F8924B33}"/>
    <cellStyle name="Linked Cell 11 2 2 4 4 3" xfId="12888" xr:uid="{0A714E5D-B900-47C4-86D2-E56D0CD545F4}"/>
    <cellStyle name="Linked Cell 11 2 2 4 5" xfId="12889" xr:uid="{0D327687-EA43-403E-A54D-10F233732A87}"/>
    <cellStyle name="Linked Cell 11 2 2 4 5 2" xfId="12890" xr:uid="{CAE0CA47-84B7-4E61-AB13-A31B0AB25A43}"/>
    <cellStyle name="Linked Cell 11 2 2 4 5 2 2" xfId="12891" xr:uid="{1F1D14CD-E348-4EE3-AF3C-2463B0A66807}"/>
    <cellStyle name="Linked Cell 11 2 2 4 5 3" xfId="12892" xr:uid="{A87570B6-5AEF-4788-BDD3-0A0366061165}"/>
    <cellStyle name="Linked Cell 11 2 2 4 6" xfId="12893" xr:uid="{39E9A995-C932-4418-9834-75D6F885D4CC}"/>
    <cellStyle name="Linked Cell 11 2 2 4 6 2" xfId="12894" xr:uid="{94F2331F-4AF7-4C47-B4ED-95E98EB0D276}"/>
    <cellStyle name="Linked Cell 11 2 2 4 6 2 2" xfId="12895" xr:uid="{62A9BAB3-C3EF-4C60-8CC0-1A8E63FDB00C}"/>
    <cellStyle name="Linked Cell 11 2 2 4 6 3" xfId="12896" xr:uid="{44641337-462C-4B0C-914E-B7097553D59D}"/>
    <cellStyle name="Linked Cell 11 2 2 4 7" xfId="12897" xr:uid="{8AF5C38B-532A-42E1-BF93-73EB8A3D467F}"/>
    <cellStyle name="Linked Cell 11 2 2 4 7 2" xfId="12898" xr:uid="{8DD201F7-086B-43BB-BB1E-9D031041B190}"/>
    <cellStyle name="Linked Cell 11 2 2 4 7 2 2" xfId="12899" xr:uid="{CD515D6B-0DBE-4048-B412-4EC6311AE90A}"/>
    <cellStyle name="Linked Cell 11 2 2 4 7 3" xfId="12900" xr:uid="{3D5E46D9-C74D-4255-AE74-4684B9F6E900}"/>
    <cellStyle name="Linked Cell 11 2 2 4 8" xfId="12901" xr:uid="{21EC2FCC-6AE3-4D10-9069-41CB5ECE9ADB}"/>
    <cellStyle name="Linked Cell 11 2 2 4 8 2" xfId="12902" xr:uid="{0E743A54-220B-423D-9558-D858D50B8A9E}"/>
    <cellStyle name="Linked Cell 11 2 2 4 8 2 2" xfId="12903" xr:uid="{B7CB5FCE-2FD3-4681-9284-C6530327B321}"/>
    <cellStyle name="Linked Cell 11 2 2 4 8 3" xfId="12904" xr:uid="{3B7A3B35-551B-4A40-B1C0-7F2C7045487F}"/>
    <cellStyle name="Linked Cell 11 2 2 4 9" xfId="12905" xr:uid="{52CB8AE4-A694-48D5-8BFE-77CB683FFC2D}"/>
    <cellStyle name="Linked Cell 11 2 2 4 9 2" xfId="12906" xr:uid="{3972B84B-640E-4E7A-B83D-F6598DF75ED5}"/>
    <cellStyle name="Linked Cell 11 2 2 4 9 2 2" xfId="12907" xr:uid="{8754C476-4840-4292-A98E-7A8EF4E2801F}"/>
    <cellStyle name="Linked Cell 11 2 2 4 9 3" xfId="12908" xr:uid="{541CF192-EB32-40B0-B8C1-64BF46A2F9C2}"/>
    <cellStyle name="Linked Cell 11 2 2 5" xfId="12909" xr:uid="{7E980BA9-09E7-4E03-BF84-B8EB67B54EF3}"/>
    <cellStyle name="Linked Cell 11 2 2 5 2" xfId="12910" xr:uid="{4D617D84-43CF-4A34-A7EB-BC869DE28817}"/>
    <cellStyle name="Linked Cell 11 2 2 5 2 2" xfId="12911" xr:uid="{A64694D9-3D9C-4062-AF82-020FA2D592B2}"/>
    <cellStyle name="Linked Cell 11 2 2 5 3" xfId="12912" xr:uid="{3C541E0C-8B36-4A92-AC75-6C540C230ABD}"/>
    <cellStyle name="Linked Cell 11 2 2 6" xfId="12913" xr:uid="{8CCE311B-9BEB-439A-9E0A-CD44A0C414F5}"/>
    <cellStyle name="Linked Cell 11 2 2 6 2" xfId="12914" xr:uid="{07FC78A2-2009-4B45-8A48-7B477CF2DFED}"/>
    <cellStyle name="Linked Cell 11 2 2 6 2 2" xfId="12915" xr:uid="{43D053A4-D17A-4BDD-A51D-485B0876D0D2}"/>
    <cellStyle name="Linked Cell 11 2 2 6 3" xfId="12916" xr:uid="{816E4702-8404-48D0-B6FE-EE3F9624972D}"/>
    <cellStyle name="Linked Cell 11 2 2 7" xfId="12917" xr:uid="{DC92E59D-1B7C-4F1A-B9BA-584299C5BB20}"/>
    <cellStyle name="Linked Cell 11 2 2 7 2" xfId="12918" xr:uid="{3B595EA0-86E0-4377-9862-9CCBA51D0E47}"/>
    <cellStyle name="Linked Cell 11 2 2 7 2 2" xfId="12919" xr:uid="{66287EC3-6BFD-4E9F-AAA2-43F870DCAD90}"/>
    <cellStyle name="Linked Cell 11 2 2 7 3" xfId="12920" xr:uid="{17141C89-2A18-4A5C-BF63-415A82859F63}"/>
    <cellStyle name="Linked Cell 11 2 2 8" xfId="12921" xr:uid="{89B507EC-47F5-48C0-BB89-2FBE7F7F0125}"/>
    <cellStyle name="Linked Cell 11 2 2 8 2" xfId="12922" xr:uid="{BBE9EF9C-3C6A-490E-845D-54A248FD61D8}"/>
    <cellStyle name="Linked Cell 11 2 2 8 2 2" xfId="12923" xr:uid="{ED8E2800-E960-47BF-9530-2DCB45BD3669}"/>
    <cellStyle name="Linked Cell 11 2 2 8 3" xfId="12924" xr:uid="{647B9C41-7840-435E-89D5-05BE79252E95}"/>
    <cellStyle name="Linked Cell 11 2 2 9" xfId="12925" xr:uid="{DFBCABF7-4CA4-4E22-A39E-65B26F268997}"/>
    <cellStyle name="Linked Cell 11 2 2 9 2" xfId="12926" xr:uid="{F89A250D-1A38-4474-B56C-5F69A89665FC}"/>
    <cellStyle name="Linked Cell 11 2 2 9 2 2" xfId="12927" xr:uid="{01C78BF1-1F39-45FF-ADAC-CF29ED1208AB}"/>
    <cellStyle name="Linked Cell 11 2 2 9 3" xfId="12928" xr:uid="{A1EEF8DC-E8CF-4DCF-9598-0763646B094F}"/>
    <cellStyle name="Linked Cell 11 2 3" xfId="12929" xr:uid="{C189DF02-55DE-4FC5-8FFF-04F393DCF100}"/>
    <cellStyle name="Linked Cell 11 2 3 10" xfId="12930" xr:uid="{3ED88A27-4B3E-49E1-AFBC-96739601985F}"/>
    <cellStyle name="Linked Cell 11 2 3 10 2" xfId="12931" xr:uid="{A49B853E-E863-4271-AED5-47B2F87A64C4}"/>
    <cellStyle name="Linked Cell 11 2 3 10 2 2" xfId="12932" xr:uid="{FE89D28A-4613-48FC-A864-E2FCE7CCD643}"/>
    <cellStyle name="Linked Cell 11 2 3 10 3" xfId="12933" xr:uid="{F8A7AE68-254A-4230-9301-46042E539B3D}"/>
    <cellStyle name="Linked Cell 11 2 3 11" xfId="12934" xr:uid="{40CC8292-39D4-40FE-BF1F-510E98339DEA}"/>
    <cellStyle name="Linked Cell 11 2 3 11 2" xfId="12935" xr:uid="{235CA9D7-2B7E-4C6A-ACDD-6D8069C8115A}"/>
    <cellStyle name="Linked Cell 11 2 3 11 2 2" xfId="12936" xr:uid="{7B141DE3-5610-489F-8B64-D53F0CB60425}"/>
    <cellStyle name="Linked Cell 11 2 3 11 3" xfId="12937" xr:uid="{29ECFC50-8405-4D2A-8DF5-35FB375CB089}"/>
    <cellStyle name="Linked Cell 11 2 3 12" xfId="12938" xr:uid="{77A4AA92-0D7D-4738-A4CC-04B29300E633}"/>
    <cellStyle name="Linked Cell 11 2 3 12 2" xfId="12939" xr:uid="{411AD975-4188-4AFC-8E73-0A3EAA214A19}"/>
    <cellStyle name="Linked Cell 11 2 3 13" xfId="12940" xr:uid="{33F4E5DB-6788-4874-A7BC-1604F2C85890}"/>
    <cellStyle name="Linked Cell 11 2 3 2" xfId="12941" xr:uid="{6A1C4D12-EEE5-4B51-A7FF-F77C6492A732}"/>
    <cellStyle name="Linked Cell 11 2 3 2 10" xfId="12942" xr:uid="{DE1DA15B-E49F-4714-8F44-D82EC7EF2C18}"/>
    <cellStyle name="Linked Cell 11 2 3 2 10 2" xfId="12943" xr:uid="{84B5BA0E-60E3-4FB0-9720-9F48CE3BDDAB}"/>
    <cellStyle name="Linked Cell 11 2 3 2 10 2 2" xfId="12944" xr:uid="{64689622-64F7-4780-ADFC-283D60F734F3}"/>
    <cellStyle name="Linked Cell 11 2 3 2 10 3" xfId="12945" xr:uid="{0CD67AA7-2497-457B-AE65-2DD8B49D53C3}"/>
    <cellStyle name="Linked Cell 11 2 3 2 11" xfId="12946" xr:uid="{3CB52177-FB42-4937-88D7-F0623B1E0CBA}"/>
    <cellStyle name="Linked Cell 11 2 3 2 11 2" xfId="12947" xr:uid="{BC7C41C5-6A6E-4DDF-88BF-EDC1B1B162ED}"/>
    <cellStyle name="Linked Cell 11 2 3 2 12" xfId="12948" xr:uid="{43CBB6E7-D49C-4918-8DD3-849CE16275EC}"/>
    <cellStyle name="Linked Cell 11 2 3 2 2" xfId="12949" xr:uid="{239D18D4-9AAD-4271-91A1-F05E4801C2F2}"/>
    <cellStyle name="Linked Cell 11 2 3 2 2 2" xfId="12950" xr:uid="{BAA278EC-773F-49EB-848F-5C785F60FF38}"/>
    <cellStyle name="Linked Cell 11 2 3 2 2 2 2" xfId="12951" xr:uid="{A1F23264-21F6-4EA2-94DE-0F1EF5DB939F}"/>
    <cellStyle name="Linked Cell 11 2 3 2 2 3" xfId="12952" xr:uid="{69066F79-183B-47FA-AE59-8ED6D2EA5A0A}"/>
    <cellStyle name="Linked Cell 11 2 3 2 3" xfId="12953" xr:uid="{7FF3D1F3-F9F5-4019-BF1A-A06A434AD4E0}"/>
    <cellStyle name="Linked Cell 11 2 3 2 3 2" xfId="12954" xr:uid="{F859AC5D-9251-440A-98DD-45CFECAA3F75}"/>
    <cellStyle name="Linked Cell 11 2 3 2 3 2 2" xfId="12955" xr:uid="{BF9DF1E7-286D-42A8-BF21-F52301C580AC}"/>
    <cellStyle name="Linked Cell 11 2 3 2 3 3" xfId="12956" xr:uid="{E337B26E-779B-49D9-921E-C3D0C31D7151}"/>
    <cellStyle name="Linked Cell 11 2 3 2 4" xfId="12957" xr:uid="{C5374219-D076-4B58-9595-DDB2A73EAEBD}"/>
    <cellStyle name="Linked Cell 11 2 3 2 4 2" xfId="12958" xr:uid="{8324D8E9-0FC1-4DCF-8153-4CE49D4DB317}"/>
    <cellStyle name="Linked Cell 11 2 3 2 4 2 2" xfId="12959" xr:uid="{5980452E-8BF9-44E8-9CC8-49352132F6E7}"/>
    <cellStyle name="Linked Cell 11 2 3 2 4 3" xfId="12960" xr:uid="{3BDC787D-1509-4C04-A808-8EE81D14D6D4}"/>
    <cellStyle name="Linked Cell 11 2 3 2 5" xfId="12961" xr:uid="{49B2AC3A-DC75-449B-B404-8E8DDEDEAB60}"/>
    <cellStyle name="Linked Cell 11 2 3 2 5 2" xfId="12962" xr:uid="{39851718-9889-4F17-BF4E-AFCE92248A72}"/>
    <cellStyle name="Linked Cell 11 2 3 2 5 2 2" xfId="12963" xr:uid="{9BCE5204-13DF-469D-9AFC-369922AB2255}"/>
    <cellStyle name="Linked Cell 11 2 3 2 5 3" xfId="12964" xr:uid="{5585DAC3-1EB8-4858-B163-D6C62AA26C89}"/>
    <cellStyle name="Linked Cell 11 2 3 2 6" xfId="12965" xr:uid="{1607AD4F-422C-4A6B-903C-236AF592D563}"/>
    <cellStyle name="Linked Cell 11 2 3 2 6 2" xfId="12966" xr:uid="{155AAC79-131F-4ADD-AD39-F62F8F175E67}"/>
    <cellStyle name="Linked Cell 11 2 3 2 6 2 2" xfId="12967" xr:uid="{49E65C7D-5E70-4CB2-90AA-693B0F2B39DF}"/>
    <cellStyle name="Linked Cell 11 2 3 2 6 3" xfId="12968" xr:uid="{0B610779-BC28-4EB4-821F-B3230FF54B2E}"/>
    <cellStyle name="Linked Cell 11 2 3 2 7" xfId="12969" xr:uid="{1B23B414-6885-498D-B7C5-2028605D9ECB}"/>
    <cellStyle name="Linked Cell 11 2 3 2 7 2" xfId="12970" xr:uid="{5906DAAB-CB70-4398-A01F-A96BBE27AD07}"/>
    <cellStyle name="Linked Cell 11 2 3 2 7 2 2" xfId="12971" xr:uid="{EF4AA401-F7CA-4CC1-BD76-7C0B8CA385CC}"/>
    <cellStyle name="Linked Cell 11 2 3 2 7 3" xfId="12972" xr:uid="{730C267C-47BD-4DF6-90BA-08677BFE9A45}"/>
    <cellStyle name="Linked Cell 11 2 3 2 8" xfId="12973" xr:uid="{A5BB4A85-35AF-4902-8D05-94A479CDEC7C}"/>
    <cellStyle name="Linked Cell 11 2 3 2 8 2" xfId="12974" xr:uid="{354BCACF-E342-42A2-BF3E-6D070F0BB31C}"/>
    <cellStyle name="Linked Cell 11 2 3 2 8 2 2" xfId="12975" xr:uid="{BFF8F9BB-F1ED-4548-8466-7C756C732D87}"/>
    <cellStyle name="Linked Cell 11 2 3 2 8 3" xfId="12976" xr:uid="{70E7582A-8924-46EB-A0C2-DDAB2D8D8483}"/>
    <cellStyle name="Linked Cell 11 2 3 2 9" xfId="12977" xr:uid="{B29577E4-E292-47AB-B4E4-A7BB43C22FA9}"/>
    <cellStyle name="Linked Cell 11 2 3 2 9 2" xfId="12978" xr:uid="{2823A713-D4AE-4A7F-ACE5-54DBEA78E02F}"/>
    <cellStyle name="Linked Cell 11 2 3 2 9 2 2" xfId="12979" xr:uid="{AC008699-89BE-4465-BDF1-67EA913BB2A4}"/>
    <cellStyle name="Linked Cell 11 2 3 2 9 3" xfId="12980" xr:uid="{DC398B9F-DDAF-4469-A57C-AD5329849410}"/>
    <cellStyle name="Linked Cell 11 2 3 3" xfId="12981" xr:uid="{FA50E558-141B-4890-82EB-A15CA58983CD}"/>
    <cellStyle name="Linked Cell 11 2 3 3 10" xfId="12982" xr:uid="{17F39945-F534-49C9-BB85-93FA99E5CFEB}"/>
    <cellStyle name="Linked Cell 11 2 3 3 10 2" xfId="12983" xr:uid="{C2057EF1-64CA-4F38-BE02-8AB3317C9EFA}"/>
    <cellStyle name="Linked Cell 11 2 3 3 11" xfId="12984" xr:uid="{8C4E51AB-CC6A-4841-B9C7-2B0082A616FC}"/>
    <cellStyle name="Linked Cell 11 2 3 3 2" xfId="12985" xr:uid="{FC856F90-0415-4624-B3BC-D08441991081}"/>
    <cellStyle name="Linked Cell 11 2 3 3 2 2" xfId="12986" xr:uid="{1EC5F04C-E281-44C0-BBE3-E6F2BDE471D0}"/>
    <cellStyle name="Linked Cell 11 2 3 3 2 2 2" xfId="12987" xr:uid="{A3F14BB6-4287-4704-AEDF-65CBB6E19308}"/>
    <cellStyle name="Linked Cell 11 2 3 3 2 3" xfId="12988" xr:uid="{E037A12A-E573-42FA-8EAB-6422DF9500C5}"/>
    <cellStyle name="Linked Cell 11 2 3 3 3" xfId="12989" xr:uid="{CD64632F-9D04-47D0-8C1B-CE7114F2F0AF}"/>
    <cellStyle name="Linked Cell 11 2 3 3 3 2" xfId="12990" xr:uid="{11A50311-C570-425D-BC4A-C0601D622938}"/>
    <cellStyle name="Linked Cell 11 2 3 3 3 2 2" xfId="12991" xr:uid="{A321DBCA-F302-407A-9F45-2696F3D98244}"/>
    <cellStyle name="Linked Cell 11 2 3 3 3 3" xfId="12992" xr:uid="{D633689B-8036-4CFB-8118-5B9CDC06AAA8}"/>
    <cellStyle name="Linked Cell 11 2 3 3 4" xfId="12993" xr:uid="{6AF98DF9-FB29-47CB-8D71-0E23FBE81E23}"/>
    <cellStyle name="Linked Cell 11 2 3 3 4 2" xfId="12994" xr:uid="{16F4C52F-9B19-4416-B41A-EA82CB7297DC}"/>
    <cellStyle name="Linked Cell 11 2 3 3 4 2 2" xfId="12995" xr:uid="{68521B26-0AED-41FB-84ED-3A72F712F36A}"/>
    <cellStyle name="Linked Cell 11 2 3 3 4 3" xfId="12996" xr:uid="{B47C3EB9-7ED3-481B-B81B-FA75F05CC980}"/>
    <cellStyle name="Linked Cell 11 2 3 3 5" xfId="12997" xr:uid="{D904ABA0-99B9-4A7C-8309-3133B6249373}"/>
    <cellStyle name="Linked Cell 11 2 3 3 5 2" xfId="12998" xr:uid="{CB88BD8A-9F19-4A63-B175-4256A5AAAEE7}"/>
    <cellStyle name="Linked Cell 11 2 3 3 5 2 2" xfId="12999" xr:uid="{71D1B50A-FA7C-44EC-8B6A-846002D885FF}"/>
    <cellStyle name="Linked Cell 11 2 3 3 5 3" xfId="13000" xr:uid="{904FF4B7-4A57-424B-9019-F23267A6D0D4}"/>
    <cellStyle name="Linked Cell 11 2 3 3 6" xfId="13001" xr:uid="{292A4E67-0AA9-4B32-B93A-531539FD3B18}"/>
    <cellStyle name="Linked Cell 11 2 3 3 6 2" xfId="13002" xr:uid="{94A487FC-267F-4A96-BC50-B698F820972A}"/>
    <cellStyle name="Linked Cell 11 2 3 3 6 2 2" xfId="13003" xr:uid="{E7096FE4-4031-4E75-8744-F62BF43BF2F0}"/>
    <cellStyle name="Linked Cell 11 2 3 3 6 3" xfId="13004" xr:uid="{4D37AA81-6ABD-431D-BA75-96CB675C7C83}"/>
    <cellStyle name="Linked Cell 11 2 3 3 7" xfId="13005" xr:uid="{255F8D59-C079-48FC-B9B9-8A61E1A4BC18}"/>
    <cellStyle name="Linked Cell 11 2 3 3 7 2" xfId="13006" xr:uid="{2C920E7C-82AB-44B3-92C3-DF8678994838}"/>
    <cellStyle name="Linked Cell 11 2 3 3 7 2 2" xfId="13007" xr:uid="{D6DE8B55-5948-4A93-B824-D3AF1C8B48E8}"/>
    <cellStyle name="Linked Cell 11 2 3 3 7 3" xfId="13008" xr:uid="{B8FD2B99-2E4D-43E6-AA46-E99190DC8BE6}"/>
    <cellStyle name="Linked Cell 11 2 3 3 8" xfId="13009" xr:uid="{B67EFF2B-D0B3-4DD1-8277-34669F9A8609}"/>
    <cellStyle name="Linked Cell 11 2 3 3 8 2" xfId="13010" xr:uid="{B6287539-378A-46BC-9F8E-18EF64ADD034}"/>
    <cellStyle name="Linked Cell 11 2 3 3 8 2 2" xfId="13011" xr:uid="{5E09AB37-28D0-423F-BC40-BB3D75BD6F12}"/>
    <cellStyle name="Linked Cell 11 2 3 3 8 3" xfId="13012" xr:uid="{4213BB76-E082-4599-B20A-8621D5C66827}"/>
    <cellStyle name="Linked Cell 11 2 3 3 9" xfId="13013" xr:uid="{1C94345A-17FD-4FF3-A718-514E9C9CE4F8}"/>
    <cellStyle name="Linked Cell 11 2 3 3 9 2" xfId="13014" xr:uid="{13123226-FA04-4961-88F3-13DA045BBEE0}"/>
    <cellStyle name="Linked Cell 11 2 3 3 9 2 2" xfId="13015" xr:uid="{8F8483AF-4ABB-4C22-912F-0495F345FC53}"/>
    <cellStyle name="Linked Cell 11 2 3 3 9 3" xfId="13016" xr:uid="{CCFB7AE1-A7B4-4370-810C-280BCDAE22DD}"/>
    <cellStyle name="Linked Cell 11 2 3 4" xfId="13017" xr:uid="{19A010FA-1F3E-4A7F-9DC5-6E352F973778}"/>
    <cellStyle name="Linked Cell 11 2 3 4 2" xfId="13018" xr:uid="{30B8552B-0008-455A-89C3-B3386CD6FB8D}"/>
    <cellStyle name="Linked Cell 11 2 3 4 2 2" xfId="13019" xr:uid="{D66A4CEB-B88F-413E-A99C-F71D81584C00}"/>
    <cellStyle name="Linked Cell 11 2 3 4 3" xfId="13020" xr:uid="{D9D4267E-144D-43D0-824F-D452D88F7240}"/>
    <cellStyle name="Linked Cell 11 2 3 5" xfId="13021" xr:uid="{6DDAEA49-D486-483C-BA82-A2DDF6C744C9}"/>
    <cellStyle name="Linked Cell 11 2 3 5 2" xfId="13022" xr:uid="{6741D475-DA74-4B68-90C9-13F40C5DD9AE}"/>
    <cellStyle name="Linked Cell 11 2 3 5 2 2" xfId="13023" xr:uid="{7DA5739D-7B02-4EC2-B207-1E5D30F64205}"/>
    <cellStyle name="Linked Cell 11 2 3 5 3" xfId="13024" xr:uid="{E3B82B87-89D3-47D4-AEA2-024A1F790D18}"/>
    <cellStyle name="Linked Cell 11 2 3 6" xfId="13025" xr:uid="{B1E000DE-3989-400B-9792-7DA0F28C6458}"/>
    <cellStyle name="Linked Cell 11 2 3 6 2" xfId="13026" xr:uid="{D99AFC6F-7198-410C-9B5D-D49C63365699}"/>
    <cellStyle name="Linked Cell 11 2 3 6 2 2" xfId="13027" xr:uid="{248C41D9-E8D5-4A81-AC15-B8367F2EBD81}"/>
    <cellStyle name="Linked Cell 11 2 3 6 3" xfId="13028" xr:uid="{EEB8426D-1EAD-4043-BA18-0536527CC4E4}"/>
    <cellStyle name="Linked Cell 11 2 3 7" xfId="13029" xr:uid="{46AB6491-044B-45C1-8820-CD4B203C0E0C}"/>
    <cellStyle name="Linked Cell 11 2 3 7 2" xfId="13030" xr:uid="{B9D7178B-23F9-4DC2-BCC8-3EA2100CCEBA}"/>
    <cellStyle name="Linked Cell 11 2 3 7 2 2" xfId="13031" xr:uid="{2CAF018A-F513-46A9-A842-8600C77EC094}"/>
    <cellStyle name="Linked Cell 11 2 3 7 3" xfId="13032" xr:uid="{EC47B111-005E-4FFC-86A9-EACF4AEA8A27}"/>
    <cellStyle name="Linked Cell 11 2 3 8" xfId="13033" xr:uid="{C6894EC7-DBA3-4E97-9B89-8569C9176CE4}"/>
    <cellStyle name="Linked Cell 11 2 3 8 2" xfId="13034" xr:uid="{CCFA5AB1-4A07-492C-95AD-C95751181B3A}"/>
    <cellStyle name="Linked Cell 11 2 3 8 2 2" xfId="13035" xr:uid="{C7C7656D-16E9-4821-B409-D98C464E6C5E}"/>
    <cellStyle name="Linked Cell 11 2 3 8 3" xfId="13036" xr:uid="{796AB5EA-4656-46DD-A65E-BE045E1377D1}"/>
    <cellStyle name="Linked Cell 11 2 3 9" xfId="13037" xr:uid="{4C24E5A5-29CB-4579-9D64-424F5F08929C}"/>
    <cellStyle name="Linked Cell 11 2 3 9 2" xfId="13038" xr:uid="{DBC8197F-2FDE-4AC1-9D49-5347D16A371D}"/>
    <cellStyle name="Linked Cell 11 2 3 9 2 2" xfId="13039" xr:uid="{4CE59E3B-8188-4D5C-A87B-4EC3C2D42CB1}"/>
    <cellStyle name="Linked Cell 11 2 3 9 3" xfId="13040" xr:uid="{67B596B0-5011-49FE-8F44-EEC02EA1A118}"/>
    <cellStyle name="Linked Cell 11 2 4" xfId="13041" xr:uid="{713807B7-DCD2-41FC-BAC9-205963A00BB4}"/>
    <cellStyle name="Linked Cell 11 2 4 10" xfId="13042" xr:uid="{CF267B36-CB27-4E83-B2D3-A4C288303DA1}"/>
    <cellStyle name="Linked Cell 11 2 4 10 2" xfId="13043" xr:uid="{F7DFF697-D8D1-4383-AAC2-B115FF9DD0E8}"/>
    <cellStyle name="Linked Cell 11 2 4 10 2 2" xfId="13044" xr:uid="{C43A045B-5DA0-49A5-93EE-266784F82F9C}"/>
    <cellStyle name="Linked Cell 11 2 4 10 3" xfId="13045" xr:uid="{8DD35F67-FF81-44F8-83B8-94073D595DB6}"/>
    <cellStyle name="Linked Cell 11 2 4 11" xfId="13046" xr:uid="{0407A6E6-4F9E-4E2D-B0A6-2E28485436F9}"/>
    <cellStyle name="Linked Cell 11 2 4 11 2" xfId="13047" xr:uid="{A963D81B-5F18-44E5-AA57-27425B7D7700}"/>
    <cellStyle name="Linked Cell 11 2 4 12" xfId="13048" xr:uid="{642CF9AC-8C0C-46CB-BE94-F9686519CCBD}"/>
    <cellStyle name="Linked Cell 11 2 4 2" xfId="13049" xr:uid="{4A53A1D5-D760-4776-BA30-570C07899BC5}"/>
    <cellStyle name="Linked Cell 11 2 4 2 10" xfId="13050" xr:uid="{3B40A872-59D9-45C6-8D9B-BB1B8E8FF9B2}"/>
    <cellStyle name="Linked Cell 11 2 4 2 10 2" xfId="13051" xr:uid="{AED168E7-8670-436B-BF73-B0C7621B46D1}"/>
    <cellStyle name="Linked Cell 11 2 4 2 11" xfId="13052" xr:uid="{1113EBBB-401F-4392-8903-B2C9CE45A365}"/>
    <cellStyle name="Linked Cell 11 2 4 2 2" xfId="13053" xr:uid="{722184E4-1B3F-4F78-BBE6-C4B0BA7E26FD}"/>
    <cellStyle name="Linked Cell 11 2 4 2 2 2" xfId="13054" xr:uid="{95DA8C91-F776-46EC-B390-6BD1B7BF61D6}"/>
    <cellStyle name="Linked Cell 11 2 4 2 2 2 2" xfId="13055" xr:uid="{4333FD56-2B7B-4361-B13E-12B2D8DF2478}"/>
    <cellStyle name="Linked Cell 11 2 4 2 2 3" xfId="13056" xr:uid="{384D189C-827C-4EE7-B8A9-DFE0FF5C360D}"/>
    <cellStyle name="Linked Cell 11 2 4 2 3" xfId="13057" xr:uid="{FA8E97EF-D4DC-4324-86EC-6B1CCCB194BF}"/>
    <cellStyle name="Linked Cell 11 2 4 2 3 2" xfId="13058" xr:uid="{E8B7467D-B518-4003-A146-7B11E8DECD19}"/>
    <cellStyle name="Linked Cell 11 2 4 2 3 2 2" xfId="13059" xr:uid="{102E9DC4-94F6-4ABD-BE20-AF29BF49836D}"/>
    <cellStyle name="Linked Cell 11 2 4 2 3 3" xfId="13060" xr:uid="{2BE1E57C-ABBE-49C7-9DDC-5BCA50611992}"/>
    <cellStyle name="Linked Cell 11 2 4 2 4" xfId="13061" xr:uid="{8A39C836-62A9-48FA-AC48-92D5D04188CB}"/>
    <cellStyle name="Linked Cell 11 2 4 2 4 2" xfId="13062" xr:uid="{E1694E3D-EE43-492D-A3F0-F320CC7CB8E9}"/>
    <cellStyle name="Linked Cell 11 2 4 2 4 2 2" xfId="13063" xr:uid="{6F7CE861-E01E-4B2D-B92C-A7A15459CB4F}"/>
    <cellStyle name="Linked Cell 11 2 4 2 4 3" xfId="13064" xr:uid="{8786152A-E42A-4681-945D-3D16E2BD2EC4}"/>
    <cellStyle name="Linked Cell 11 2 4 2 5" xfId="13065" xr:uid="{FD594C2A-0A7A-40E2-A46F-2E8B3120AE58}"/>
    <cellStyle name="Linked Cell 11 2 4 2 5 2" xfId="13066" xr:uid="{85CF2B8E-C76B-4BA8-AC85-C3A12E0FC28B}"/>
    <cellStyle name="Linked Cell 11 2 4 2 5 2 2" xfId="13067" xr:uid="{35814643-0B5B-4A72-86CA-ED91C13C53BF}"/>
    <cellStyle name="Linked Cell 11 2 4 2 5 3" xfId="13068" xr:uid="{14A0D700-CADD-4494-A6F3-D55259250979}"/>
    <cellStyle name="Linked Cell 11 2 4 2 6" xfId="13069" xr:uid="{76FDC444-41CD-46BD-814F-711FD9A422A4}"/>
    <cellStyle name="Linked Cell 11 2 4 2 6 2" xfId="13070" xr:uid="{47FF2433-4E50-44C6-8E2D-CD86D63B2377}"/>
    <cellStyle name="Linked Cell 11 2 4 2 6 2 2" xfId="13071" xr:uid="{B61D8CD4-A0CE-459E-A302-9AFBE355997F}"/>
    <cellStyle name="Linked Cell 11 2 4 2 6 3" xfId="13072" xr:uid="{092DD43C-0DE0-4EBB-A275-7BCDDF89BD98}"/>
    <cellStyle name="Linked Cell 11 2 4 2 7" xfId="13073" xr:uid="{99701063-C22E-4D1A-AB8F-D94177305B71}"/>
    <cellStyle name="Linked Cell 11 2 4 2 7 2" xfId="13074" xr:uid="{4243417D-0AFA-4C2E-A65D-C0303A4801CC}"/>
    <cellStyle name="Linked Cell 11 2 4 2 7 2 2" xfId="13075" xr:uid="{591D13D1-FCA1-4DFA-8AE1-0D4AC88C3F39}"/>
    <cellStyle name="Linked Cell 11 2 4 2 7 3" xfId="13076" xr:uid="{C9ED41FE-25B5-48C0-8F51-0E0E1AA5B7D3}"/>
    <cellStyle name="Linked Cell 11 2 4 2 8" xfId="13077" xr:uid="{9241C8F1-DEC9-4833-8BC0-9E3FF3EFA36F}"/>
    <cellStyle name="Linked Cell 11 2 4 2 8 2" xfId="13078" xr:uid="{959682C1-0B70-45E4-88D7-97645C1B8AE0}"/>
    <cellStyle name="Linked Cell 11 2 4 2 8 2 2" xfId="13079" xr:uid="{0C182CDA-00CC-451D-84D9-2C88793D631C}"/>
    <cellStyle name="Linked Cell 11 2 4 2 8 3" xfId="13080" xr:uid="{9C01A966-6647-4115-A412-F94612B2F2FB}"/>
    <cellStyle name="Linked Cell 11 2 4 2 9" xfId="13081" xr:uid="{A2B4CD56-1A63-4817-9199-DE48C8F0D530}"/>
    <cellStyle name="Linked Cell 11 2 4 2 9 2" xfId="13082" xr:uid="{8FFFBBF5-4FA3-4A41-8618-21AFB92E2D2A}"/>
    <cellStyle name="Linked Cell 11 2 4 2 9 2 2" xfId="13083" xr:uid="{5E0F1D04-1F14-4ADE-8B8F-2E6B1A5EB8CA}"/>
    <cellStyle name="Linked Cell 11 2 4 2 9 3" xfId="13084" xr:uid="{E5B91541-1AE5-4A75-818C-D5E8F56E4380}"/>
    <cellStyle name="Linked Cell 11 2 4 3" xfId="13085" xr:uid="{F87291B4-E4CF-44A3-91C9-CA14FF1FDDEA}"/>
    <cellStyle name="Linked Cell 11 2 4 3 2" xfId="13086" xr:uid="{E4A1AA4D-24A8-453B-B00A-924933FFEAFF}"/>
    <cellStyle name="Linked Cell 11 2 4 3 2 2" xfId="13087" xr:uid="{C1AF11AB-8929-495F-A54D-32C8D1E3C0AB}"/>
    <cellStyle name="Linked Cell 11 2 4 3 3" xfId="13088" xr:uid="{3589C4ED-E608-45C5-84A0-40247FC09508}"/>
    <cellStyle name="Linked Cell 11 2 4 4" xfId="13089" xr:uid="{7A9DB09F-D82C-457C-8953-2FCEBC630858}"/>
    <cellStyle name="Linked Cell 11 2 4 4 2" xfId="13090" xr:uid="{F6D28D74-7ED6-4B75-A93E-3A4D8581CBD2}"/>
    <cellStyle name="Linked Cell 11 2 4 4 2 2" xfId="13091" xr:uid="{5BF7D004-C240-4EBF-AC66-F5DA985AE2B4}"/>
    <cellStyle name="Linked Cell 11 2 4 4 3" xfId="13092" xr:uid="{C6330694-8ABF-47A0-B120-F1C5405A3CD2}"/>
    <cellStyle name="Linked Cell 11 2 4 5" xfId="13093" xr:uid="{553D9453-9342-4E1A-9D72-1353C81F5DB4}"/>
    <cellStyle name="Linked Cell 11 2 4 5 2" xfId="13094" xr:uid="{AD0BCBDF-8D21-4A93-9D08-00ABBC283CB1}"/>
    <cellStyle name="Linked Cell 11 2 4 5 2 2" xfId="13095" xr:uid="{5480DC49-575E-4F2E-908A-AC781F02442B}"/>
    <cellStyle name="Linked Cell 11 2 4 5 3" xfId="13096" xr:uid="{800EF1E8-188F-4FB4-9006-151A2CF1CE1D}"/>
    <cellStyle name="Linked Cell 11 2 4 6" xfId="13097" xr:uid="{8D486B4F-CB9D-4276-8564-7F587389AD44}"/>
    <cellStyle name="Linked Cell 11 2 4 6 2" xfId="13098" xr:uid="{93B61DD8-47EB-4A3B-A050-0EB994F78CBE}"/>
    <cellStyle name="Linked Cell 11 2 4 6 2 2" xfId="13099" xr:uid="{7D84C1DF-55B7-44BB-AC9F-E9492EF83020}"/>
    <cellStyle name="Linked Cell 11 2 4 6 3" xfId="13100" xr:uid="{E97E0B2B-0762-42DE-A5FD-A94D7BEB9A7B}"/>
    <cellStyle name="Linked Cell 11 2 4 7" xfId="13101" xr:uid="{287D1F4D-F54A-4512-96C9-95B813A03512}"/>
    <cellStyle name="Linked Cell 11 2 4 7 2" xfId="13102" xr:uid="{F0FBAF79-327A-450A-843B-D8F82CCED435}"/>
    <cellStyle name="Linked Cell 11 2 4 7 2 2" xfId="13103" xr:uid="{5958C37D-8F2E-464D-887A-787F212B4769}"/>
    <cellStyle name="Linked Cell 11 2 4 7 3" xfId="13104" xr:uid="{E7D1FCB1-D159-4F28-A16C-70119D7D1DBB}"/>
    <cellStyle name="Linked Cell 11 2 4 8" xfId="13105" xr:uid="{FF5DD95C-C98F-4080-8277-B6E5C9C17110}"/>
    <cellStyle name="Linked Cell 11 2 4 8 2" xfId="13106" xr:uid="{5D8CB4F2-D778-4589-A689-02DA1B042434}"/>
    <cellStyle name="Linked Cell 11 2 4 8 2 2" xfId="13107" xr:uid="{9BF51350-3010-4282-AA20-ADF220B1C458}"/>
    <cellStyle name="Linked Cell 11 2 4 8 3" xfId="13108" xr:uid="{519C90AC-1DA2-4B9A-A0E5-080A62F44A74}"/>
    <cellStyle name="Linked Cell 11 2 4 9" xfId="13109" xr:uid="{E8B61E29-A6BC-4395-99B1-A8F12D6E8B55}"/>
    <cellStyle name="Linked Cell 11 2 4 9 2" xfId="13110" xr:uid="{26BAD83F-144A-479E-9003-9FC7873AF024}"/>
    <cellStyle name="Linked Cell 11 2 4 9 2 2" xfId="13111" xr:uid="{959111E6-5965-4C85-8CD1-6DB3A8C9152D}"/>
    <cellStyle name="Linked Cell 11 2 4 9 3" xfId="13112" xr:uid="{D14C59C4-F830-484B-9ECC-03D57119E93E}"/>
    <cellStyle name="Linked Cell 11 2 5" xfId="13113" xr:uid="{C573380D-8FA7-4EC1-93AC-AFD235965308}"/>
    <cellStyle name="Linked Cell 11 2 5 10" xfId="13114" xr:uid="{723EAE25-7E82-49B0-82B5-DF7D05D82C08}"/>
    <cellStyle name="Linked Cell 11 2 5 10 2" xfId="13115" xr:uid="{3D8DF7DE-E2EA-45BF-AD3E-97E5DB4CEF5D}"/>
    <cellStyle name="Linked Cell 11 2 5 11" xfId="13116" xr:uid="{F5B2416A-5FCF-49B7-AE98-D652F5E87D4B}"/>
    <cellStyle name="Linked Cell 11 2 5 2" xfId="13117" xr:uid="{11890A5C-F605-49CD-AA5C-50E1539037D2}"/>
    <cellStyle name="Linked Cell 11 2 5 2 2" xfId="13118" xr:uid="{5AAFA9FD-6804-4E68-B763-963648C3F8C2}"/>
    <cellStyle name="Linked Cell 11 2 5 2 2 2" xfId="13119" xr:uid="{0CE8DBAC-7F6F-4E9E-AFE7-A7CF93AEFCA3}"/>
    <cellStyle name="Linked Cell 11 2 5 2 3" xfId="13120" xr:uid="{059DC3F9-0691-4348-9543-4A7511DB03D0}"/>
    <cellStyle name="Linked Cell 11 2 5 3" xfId="13121" xr:uid="{75889AE4-E277-4D59-8656-2092935E7B13}"/>
    <cellStyle name="Linked Cell 11 2 5 3 2" xfId="13122" xr:uid="{84215792-6191-4C11-B172-0220B8419F7E}"/>
    <cellStyle name="Linked Cell 11 2 5 3 2 2" xfId="13123" xr:uid="{E4A10C27-0C89-4392-9FB8-D28BC3BCAEFE}"/>
    <cellStyle name="Linked Cell 11 2 5 3 3" xfId="13124" xr:uid="{99CE7856-2FD8-4BBC-80AC-5A4C6F5189FD}"/>
    <cellStyle name="Linked Cell 11 2 5 4" xfId="13125" xr:uid="{3298EB6B-423B-4EAB-B4A2-1EB082E40F73}"/>
    <cellStyle name="Linked Cell 11 2 5 4 2" xfId="13126" xr:uid="{FCA88361-0115-4391-8FCE-1D05049886ED}"/>
    <cellStyle name="Linked Cell 11 2 5 4 2 2" xfId="13127" xr:uid="{9C90CB92-6739-45F8-AB06-7BFFD7FF372E}"/>
    <cellStyle name="Linked Cell 11 2 5 4 3" xfId="13128" xr:uid="{B1DD9918-AC86-4ED2-9319-F636892EBD28}"/>
    <cellStyle name="Linked Cell 11 2 5 5" xfId="13129" xr:uid="{EFAF2C99-9575-4EAE-BD10-26EE68ADCE36}"/>
    <cellStyle name="Linked Cell 11 2 5 5 2" xfId="13130" xr:uid="{77B120EF-E1C7-432B-BAA4-0E4F8D5211F4}"/>
    <cellStyle name="Linked Cell 11 2 5 5 2 2" xfId="13131" xr:uid="{8AA2D04E-9EAB-4359-8449-7952EBAC8CA4}"/>
    <cellStyle name="Linked Cell 11 2 5 5 3" xfId="13132" xr:uid="{4255253B-3E4B-4984-8822-DAC8EBE6632B}"/>
    <cellStyle name="Linked Cell 11 2 5 6" xfId="13133" xr:uid="{A77A884E-8772-4376-AD94-A5726DB0E434}"/>
    <cellStyle name="Linked Cell 11 2 5 6 2" xfId="13134" xr:uid="{2A1835B6-4E75-446E-A61E-B41F5A067EF5}"/>
    <cellStyle name="Linked Cell 11 2 5 6 2 2" xfId="13135" xr:uid="{4B9F6288-FFF3-4CB0-817B-7C2A5176B59F}"/>
    <cellStyle name="Linked Cell 11 2 5 6 3" xfId="13136" xr:uid="{02B2F823-2D16-453B-B6B0-8142813C6486}"/>
    <cellStyle name="Linked Cell 11 2 5 7" xfId="13137" xr:uid="{11ABB756-0B1B-4A41-ACDC-A3007268A278}"/>
    <cellStyle name="Linked Cell 11 2 5 7 2" xfId="13138" xr:uid="{498B49CE-6F34-41D3-91CD-35A117F60DBE}"/>
    <cellStyle name="Linked Cell 11 2 5 7 2 2" xfId="13139" xr:uid="{859E31AD-CB7B-4FCC-AC37-417B368DCB3B}"/>
    <cellStyle name="Linked Cell 11 2 5 7 3" xfId="13140" xr:uid="{1BAF4E90-D998-4C90-9FEF-B314C17DE26E}"/>
    <cellStyle name="Linked Cell 11 2 5 8" xfId="13141" xr:uid="{73FA5BAD-1019-4356-9987-D3443276BEE6}"/>
    <cellStyle name="Linked Cell 11 2 5 8 2" xfId="13142" xr:uid="{87BBAB9E-597F-44E3-8BE4-C46B29AEDD4B}"/>
    <cellStyle name="Linked Cell 11 2 5 8 2 2" xfId="13143" xr:uid="{E83BFE38-C2A6-4CC5-92FC-8F3D89E82F20}"/>
    <cellStyle name="Linked Cell 11 2 5 8 3" xfId="13144" xr:uid="{61D6EFEB-0F02-456D-B2A3-871A2932DB37}"/>
    <cellStyle name="Linked Cell 11 2 5 9" xfId="13145" xr:uid="{27F0F488-819C-4857-8CDB-F34541E7D617}"/>
    <cellStyle name="Linked Cell 11 2 5 9 2" xfId="13146" xr:uid="{FC07EAF1-C0F3-47C7-812A-4C4B413F0146}"/>
    <cellStyle name="Linked Cell 11 2 5 9 2 2" xfId="13147" xr:uid="{76E82DAE-6050-42EC-993D-A9B44C6D1D96}"/>
    <cellStyle name="Linked Cell 11 2 5 9 3" xfId="13148" xr:uid="{5A5F0E02-5BFD-495B-9D96-BCB516317BC0}"/>
    <cellStyle name="Linked Cell 11 2 6" xfId="13149" xr:uid="{90060178-9C6F-4942-B6CE-246ACF961D9C}"/>
    <cellStyle name="Linked Cell 11 2 6 2" xfId="13150" xr:uid="{18056407-09C8-44DF-B009-E73952894A2C}"/>
    <cellStyle name="Linked Cell 11 2 6 2 2" xfId="13151" xr:uid="{EDDA030F-ABBC-4EC4-A181-1C46A4633AD6}"/>
    <cellStyle name="Linked Cell 11 2 6 3" xfId="13152" xr:uid="{1AE64753-4B05-443E-9AF6-A8139C587893}"/>
    <cellStyle name="Linked Cell 11 2 7" xfId="13153" xr:uid="{6F892DA1-210E-476F-86FF-D4429B2D41B7}"/>
    <cellStyle name="Linked Cell 11 2 7 2" xfId="13154" xr:uid="{8C372E64-5A3D-43A5-9D68-F246D0582C7C}"/>
    <cellStyle name="Linked Cell 11 2 7 2 2" xfId="13155" xr:uid="{601F4EA8-EEB8-4935-86CE-C39CE424C7E4}"/>
    <cellStyle name="Linked Cell 11 2 7 3" xfId="13156" xr:uid="{B3934F8A-5446-40B6-8A91-099180879AD9}"/>
    <cellStyle name="Linked Cell 11 2 8" xfId="13157" xr:uid="{84751AFB-0F39-4DEF-A653-3AFF9E2B54EE}"/>
    <cellStyle name="Linked Cell 11 2 8 2" xfId="13158" xr:uid="{5B825AF5-9D79-4EC5-AE00-5E979DFD43B0}"/>
    <cellStyle name="Linked Cell 11 2 8 2 2" xfId="13159" xr:uid="{A2F1021A-179B-4186-A1E6-FDD20101C924}"/>
    <cellStyle name="Linked Cell 11 2 8 3" xfId="13160" xr:uid="{DF63F9C1-5BF4-4900-B9D5-1D2E1DF2C474}"/>
    <cellStyle name="Linked Cell 11 2 9" xfId="13161" xr:uid="{C13C6809-7725-47B8-A09B-F8C2F5D6848D}"/>
    <cellStyle name="Linked Cell 11 2 9 2" xfId="13162" xr:uid="{37A092D0-F4C5-4530-ABA5-873DAD419E68}"/>
    <cellStyle name="Linked Cell 11 2 9 2 2" xfId="13163" xr:uid="{BCCE07E4-D704-4ADC-8DCE-0BCCDC102BF1}"/>
    <cellStyle name="Linked Cell 11 2 9 3" xfId="13164" xr:uid="{22B22CDC-A29B-4D58-9C94-FFE2ABAB8172}"/>
    <cellStyle name="Linked Cell 11 3" xfId="13165" xr:uid="{A1F73D2D-EF8F-499D-9A93-FD2477F4DB2E}"/>
    <cellStyle name="Linked Cell 11 3 10" xfId="13166" xr:uid="{A48524F0-4469-466B-967F-B0D4D7D8403A}"/>
    <cellStyle name="Linked Cell 11 3 10 2" xfId="13167" xr:uid="{497A3173-68B8-4CF0-AF42-EE90202E2589}"/>
    <cellStyle name="Linked Cell 11 3 10 2 2" xfId="13168" xr:uid="{90F4BBBE-05A2-4559-92A5-48BF3CB62557}"/>
    <cellStyle name="Linked Cell 11 3 10 3" xfId="13169" xr:uid="{FA641BB6-3FC5-4590-8DB9-E5B207AD321B}"/>
    <cellStyle name="Linked Cell 11 3 11" xfId="13170" xr:uid="{93DD1603-83AF-4F36-94E8-9465CFFF9E94}"/>
    <cellStyle name="Linked Cell 11 3 11 2" xfId="13171" xr:uid="{74E5EF9A-3B24-4A53-A7DC-73ACDCEDC0DE}"/>
    <cellStyle name="Linked Cell 11 3 11 2 2" xfId="13172" xr:uid="{3E1688A5-957C-467D-9DA3-50A056DEDDEE}"/>
    <cellStyle name="Linked Cell 11 3 11 3" xfId="13173" xr:uid="{85ACDF9C-2CA3-4AC1-91E2-A7B6E871E1A4}"/>
    <cellStyle name="Linked Cell 11 3 12" xfId="13174" xr:uid="{AA568B56-184E-457F-B8E0-6F56A15F1D75}"/>
    <cellStyle name="Linked Cell 11 3 12 2" xfId="13175" xr:uid="{5165D6CD-AB6D-4B52-8AFB-9A896D814074}"/>
    <cellStyle name="Linked Cell 11 3 12 2 2" xfId="13176" xr:uid="{F34DF403-893B-47D1-86DC-20EEDE291981}"/>
    <cellStyle name="Linked Cell 11 3 12 3" xfId="13177" xr:uid="{19120A89-016F-4C59-BCFE-CB497A4A550C}"/>
    <cellStyle name="Linked Cell 11 3 13" xfId="13178" xr:uid="{E716624B-FBF7-488B-A6D7-D13E0A3B1777}"/>
    <cellStyle name="Linked Cell 11 3 13 2" xfId="13179" xr:uid="{EA3A2A3D-28CD-4584-A212-D3FDC53EA141}"/>
    <cellStyle name="Linked Cell 11 3 14" xfId="13180" xr:uid="{E3CF67D1-DA2F-4A42-BF48-67365FEDD323}"/>
    <cellStyle name="Linked Cell 11 3 2" xfId="13181" xr:uid="{A01F3928-0E06-4C65-8139-B832A079F157}"/>
    <cellStyle name="Linked Cell 11 3 2 10" xfId="13182" xr:uid="{EB806EBA-52F9-4072-A8E5-A77510734CF2}"/>
    <cellStyle name="Linked Cell 11 3 2 10 2" xfId="13183" xr:uid="{0CE3679B-F374-44D4-A0EA-B473108ED296}"/>
    <cellStyle name="Linked Cell 11 3 2 10 2 2" xfId="13184" xr:uid="{F905C1E2-2A78-4559-B2D0-177473517760}"/>
    <cellStyle name="Linked Cell 11 3 2 10 3" xfId="13185" xr:uid="{DADDE3E7-D8F2-45DB-A5D7-58A5572C3BF1}"/>
    <cellStyle name="Linked Cell 11 3 2 11" xfId="13186" xr:uid="{A9A041B0-CD62-49D4-85CC-5DBDE618BC2C}"/>
    <cellStyle name="Linked Cell 11 3 2 11 2" xfId="13187" xr:uid="{787FCFF8-46D1-42E3-B911-18F2E9C40B97}"/>
    <cellStyle name="Linked Cell 11 3 2 11 2 2" xfId="13188" xr:uid="{FC0E8E9A-BBF8-412C-BB7F-AB69BA05E92A}"/>
    <cellStyle name="Linked Cell 11 3 2 11 3" xfId="13189" xr:uid="{21F2FFEC-1B4A-4FAC-92D2-9E13D2630E02}"/>
    <cellStyle name="Linked Cell 11 3 2 12" xfId="13190" xr:uid="{BD872716-0724-4191-AD20-CB95462A4521}"/>
    <cellStyle name="Linked Cell 11 3 2 12 2" xfId="13191" xr:uid="{FD197ABC-5FCC-401D-A1AF-64A52929F8AF}"/>
    <cellStyle name="Linked Cell 11 3 2 13" xfId="13192" xr:uid="{902A872A-08DA-4F36-82A9-E44D1737A2CB}"/>
    <cellStyle name="Linked Cell 11 3 2 2" xfId="13193" xr:uid="{473E735E-0D6A-4EC7-9CD9-1B7E290F49EF}"/>
    <cellStyle name="Linked Cell 11 3 2 2 10" xfId="13194" xr:uid="{7E87B42F-91CB-41A5-9FD2-0E6C6F16E8C0}"/>
    <cellStyle name="Linked Cell 11 3 2 2 10 2" xfId="13195" xr:uid="{AF2CEB63-8C99-43F0-A67D-78B8D7899DEB}"/>
    <cellStyle name="Linked Cell 11 3 2 2 10 2 2" xfId="13196" xr:uid="{91EFFD33-9CEF-4D12-B23C-A8F14652DD15}"/>
    <cellStyle name="Linked Cell 11 3 2 2 10 3" xfId="13197" xr:uid="{D0ECDB65-A8D4-45B4-A01D-1BAE04D8112F}"/>
    <cellStyle name="Linked Cell 11 3 2 2 11" xfId="13198" xr:uid="{59B3704A-A70C-4C40-89E6-482B99A8F92C}"/>
    <cellStyle name="Linked Cell 11 3 2 2 11 2" xfId="13199" xr:uid="{F443F9AA-6E03-41AE-A8B8-18C6A8C9049D}"/>
    <cellStyle name="Linked Cell 11 3 2 2 12" xfId="13200" xr:uid="{95C7F790-0769-4EED-868D-95113FDD4282}"/>
    <cellStyle name="Linked Cell 11 3 2 2 2" xfId="13201" xr:uid="{314DDC5A-01DA-453F-81EB-5852F2AF7CFF}"/>
    <cellStyle name="Linked Cell 11 3 2 2 2 2" xfId="13202" xr:uid="{8136A267-4FB2-4853-9787-84AB9E88B72E}"/>
    <cellStyle name="Linked Cell 11 3 2 2 2 2 2" xfId="13203" xr:uid="{0E755301-B436-4A2F-AC42-C828442D13D7}"/>
    <cellStyle name="Linked Cell 11 3 2 2 2 3" xfId="13204" xr:uid="{A856E515-A222-40D8-A478-E1224F0DA49E}"/>
    <cellStyle name="Linked Cell 11 3 2 2 3" xfId="13205" xr:uid="{C3A63510-BE3D-4FDB-9DD5-C55A86ECE3D2}"/>
    <cellStyle name="Linked Cell 11 3 2 2 3 2" xfId="13206" xr:uid="{BB4514D0-29D1-4160-B6C9-AABC8FCAE05D}"/>
    <cellStyle name="Linked Cell 11 3 2 2 3 2 2" xfId="13207" xr:uid="{D57215A4-EF79-44C8-A802-7EFAC1BCE851}"/>
    <cellStyle name="Linked Cell 11 3 2 2 3 3" xfId="13208" xr:uid="{0D43B690-315E-4BB7-B3DC-2C40E8391C87}"/>
    <cellStyle name="Linked Cell 11 3 2 2 4" xfId="13209" xr:uid="{CE486A4E-D5AE-44C2-87F7-6BEA7472D2AC}"/>
    <cellStyle name="Linked Cell 11 3 2 2 4 2" xfId="13210" xr:uid="{D02218EE-E4EB-41C9-BBC5-E890C502914C}"/>
    <cellStyle name="Linked Cell 11 3 2 2 4 2 2" xfId="13211" xr:uid="{07AD9694-90DE-42D2-B28A-49FC9C3815ED}"/>
    <cellStyle name="Linked Cell 11 3 2 2 4 3" xfId="13212" xr:uid="{4B568DE8-2F38-4470-B79C-767747682C64}"/>
    <cellStyle name="Linked Cell 11 3 2 2 5" xfId="13213" xr:uid="{4E876910-94D0-42FC-B743-02BE25D5529C}"/>
    <cellStyle name="Linked Cell 11 3 2 2 5 2" xfId="13214" xr:uid="{495E97F6-6D9F-4D64-841E-8961CCFF7CC1}"/>
    <cellStyle name="Linked Cell 11 3 2 2 5 2 2" xfId="13215" xr:uid="{89AED43F-FD38-41B1-B273-AB71EDB45E1A}"/>
    <cellStyle name="Linked Cell 11 3 2 2 5 3" xfId="13216" xr:uid="{22EB46D5-9C90-4663-A136-CE81FC0F52BA}"/>
    <cellStyle name="Linked Cell 11 3 2 2 6" xfId="13217" xr:uid="{CE51C2D2-07AA-45CB-BBE1-296A3624A136}"/>
    <cellStyle name="Linked Cell 11 3 2 2 6 2" xfId="13218" xr:uid="{0E4E5947-A389-41C6-AFDD-13A7BFFF9D9F}"/>
    <cellStyle name="Linked Cell 11 3 2 2 6 2 2" xfId="13219" xr:uid="{D404411A-5614-49CE-AA26-A8B046759ABE}"/>
    <cellStyle name="Linked Cell 11 3 2 2 6 3" xfId="13220" xr:uid="{14AA3032-F900-48C5-BDFD-87342F285C66}"/>
    <cellStyle name="Linked Cell 11 3 2 2 7" xfId="13221" xr:uid="{FCA7E575-A2B2-49E4-AE67-57B4EC1CC451}"/>
    <cellStyle name="Linked Cell 11 3 2 2 7 2" xfId="13222" xr:uid="{922C3DDF-5C67-4592-B623-B09FF93D090D}"/>
    <cellStyle name="Linked Cell 11 3 2 2 7 2 2" xfId="13223" xr:uid="{438554D1-51DB-40AF-922B-90667BC41437}"/>
    <cellStyle name="Linked Cell 11 3 2 2 7 3" xfId="13224" xr:uid="{A825ED72-851E-49BD-86B2-70F4391DD372}"/>
    <cellStyle name="Linked Cell 11 3 2 2 8" xfId="13225" xr:uid="{9D440D9B-A3BA-4963-A997-8821953629F7}"/>
    <cellStyle name="Linked Cell 11 3 2 2 8 2" xfId="13226" xr:uid="{40DE61EE-1B58-4940-BD34-6380C8AB90A1}"/>
    <cellStyle name="Linked Cell 11 3 2 2 8 2 2" xfId="13227" xr:uid="{9E5A9A20-9EF6-474F-B76B-F3DD43548192}"/>
    <cellStyle name="Linked Cell 11 3 2 2 8 3" xfId="13228" xr:uid="{B88E04D5-063B-4385-90C6-0B428D277539}"/>
    <cellStyle name="Linked Cell 11 3 2 2 9" xfId="13229" xr:uid="{806D647A-7D89-471E-8421-DB612071DD8F}"/>
    <cellStyle name="Linked Cell 11 3 2 2 9 2" xfId="13230" xr:uid="{E0F946D1-D9F2-4325-964D-5B8ED596BD8E}"/>
    <cellStyle name="Linked Cell 11 3 2 2 9 2 2" xfId="13231" xr:uid="{886F860A-7CBD-4335-AE5A-681B83F48835}"/>
    <cellStyle name="Linked Cell 11 3 2 2 9 3" xfId="13232" xr:uid="{C9D30E97-F778-4BF0-ABAF-1F818E4FA86F}"/>
    <cellStyle name="Linked Cell 11 3 2 3" xfId="13233" xr:uid="{81B5F0B9-A03D-4EF2-A902-12F30A4B6908}"/>
    <cellStyle name="Linked Cell 11 3 2 3 10" xfId="13234" xr:uid="{7100503F-2100-41FE-B16D-0620F60D9DEC}"/>
    <cellStyle name="Linked Cell 11 3 2 3 10 2" xfId="13235" xr:uid="{BA172490-51F3-42E9-813A-2C9EAD353F0F}"/>
    <cellStyle name="Linked Cell 11 3 2 3 11" xfId="13236" xr:uid="{34130757-6275-4D33-BE61-9F4E21C000F6}"/>
    <cellStyle name="Linked Cell 11 3 2 3 2" xfId="13237" xr:uid="{4F02E3D4-1860-4709-B07C-99A7E5411DAA}"/>
    <cellStyle name="Linked Cell 11 3 2 3 2 2" xfId="13238" xr:uid="{41D3D524-DFC5-40EF-BFB8-22058F22916D}"/>
    <cellStyle name="Linked Cell 11 3 2 3 2 2 2" xfId="13239" xr:uid="{28D64BA7-9BA1-40A7-B2B5-CB76F3D8CB83}"/>
    <cellStyle name="Linked Cell 11 3 2 3 2 3" xfId="13240" xr:uid="{4D4EF3A9-144A-4171-9741-9D0CCE2CD2D3}"/>
    <cellStyle name="Linked Cell 11 3 2 3 3" xfId="13241" xr:uid="{862697C5-CC2F-46D8-B6C1-593C1DBDA144}"/>
    <cellStyle name="Linked Cell 11 3 2 3 3 2" xfId="13242" xr:uid="{8D9397B2-61B0-4861-90D5-2BCE4F9A9FFC}"/>
    <cellStyle name="Linked Cell 11 3 2 3 3 2 2" xfId="13243" xr:uid="{75B7800C-1C0A-4BC1-81DA-87625659D110}"/>
    <cellStyle name="Linked Cell 11 3 2 3 3 3" xfId="13244" xr:uid="{547C8047-B440-4DB7-AD7F-95C96DBD8F61}"/>
    <cellStyle name="Linked Cell 11 3 2 3 4" xfId="13245" xr:uid="{4D7BBE0A-E19D-4F5A-94FD-7AC407F76280}"/>
    <cellStyle name="Linked Cell 11 3 2 3 4 2" xfId="13246" xr:uid="{B45C6F06-DFF3-4EA6-8BDB-32DD149043BC}"/>
    <cellStyle name="Linked Cell 11 3 2 3 4 2 2" xfId="13247" xr:uid="{FB38F69B-34D0-45AC-AEB2-ABA5844B3870}"/>
    <cellStyle name="Linked Cell 11 3 2 3 4 3" xfId="13248" xr:uid="{CAA98677-6218-4AE5-BDD1-1DE4FE19E312}"/>
    <cellStyle name="Linked Cell 11 3 2 3 5" xfId="13249" xr:uid="{2ABF3B20-9604-44E9-BE03-9FC50C3D964A}"/>
    <cellStyle name="Linked Cell 11 3 2 3 5 2" xfId="13250" xr:uid="{80818BAE-FEB4-4482-8F31-1E6DB7DC11C7}"/>
    <cellStyle name="Linked Cell 11 3 2 3 5 2 2" xfId="13251" xr:uid="{C1341F6B-B930-4D5C-B4B5-60B3262939E5}"/>
    <cellStyle name="Linked Cell 11 3 2 3 5 3" xfId="13252" xr:uid="{70C3B5A5-7953-4003-8D61-A3E9D7B9E237}"/>
    <cellStyle name="Linked Cell 11 3 2 3 6" xfId="13253" xr:uid="{4A7D7D79-979C-41C2-AE77-D22D5A1EB1D3}"/>
    <cellStyle name="Linked Cell 11 3 2 3 6 2" xfId="13254" xr:uid="{0AF9E52A-8BFC-435D-8144-A6FEF0986028}"/>
    <cellStyle name="Linked Cell 11 3 2 3 6 2 2" xfId="13255" xr:uid="{D5A4E6C8-81E1-4C7F-8B94-2C8D37141AB6}"/>
    <cellStyle name="Linked Cell 11 3 2 3 6 3" xfId="13256" xr:uid="{72E865C4-7061-4D5B-B81F-A377F1E9B142}"/>
    <cellStyle name="Linked Cell 11 3 2 3 7" xfId="13257" xr:uid="{5D6E7314-1959-4D12-A0E3-6ABBD185DECC}"/>
    <cellStyle name="Linked Cell 11 3 2 3 7 2" xfId="13258" xr:uid="{55CD05FF-389C-4659-BAB2-508DCEE20CA8}"/>
    <cellStyle name="Linked Cell 11 3 2 3 7 2 2" xfId="13259" xr:uid="{2BC5885A-077D-4DDA-ADE3-5E07FF7EC10D}"/>
    <cellStyle name="Linked Cell 11 3 2 3 7 3" xfId="13260" xr:uid="{BBAEDC9A-B7E4-4957-A13E-3AD9FE293C52}"/>
    <cellStyle name="Linked Cell 11 3 2 3 8" xfId="13261" xr:uid="{E70F1226-FE88-4AA0-851E-D5945D75E521}"/>
    <cellStyle name="Linked Cell 11 3 2 3 8 2" xfId="13262" xr:uid="{64DBC855-A032-4604-94EA-21168426E134}"/>
    <cellStyle name="Linked Cell 11 3 2 3 8 2 2" xfId="13263" xr:uid="{32D418D9-C82F-4183-8D38-3D6E23470251}"/>
    <cellStyle name="Linked Cell 11 3 2 3 8 3" xfId="13264" xr:uid="{42208C0B-B98E-47F3-AA46-8CE000BC40DC}"/>
    <cellStyle name="Linked Cell 11 3 2 3 9" xfId="13265" xr:uid="{63C7C8A5-608C-4C35-9E67-2FA1FFD64541}"/>
    <cellStyle name="Linked Cell 11 3 2 3 9 2" xfId="13266" xr:uid="{4BE42933-F8D9-45CE-9C18-F09EF02002F4}"/>
    <cellStyle name="Linked Cell 11 3 2 3 9 2 2" xfId="13267" xr:uid="{F0919ABB-8DBE-42F8-BF46-F2B8A2BA42FF}"/>
    <cellStyle name="Linked Cell 11 3 2 3 9 3" xfId="13268" xr:uid="{A1AB8EEE-9C0D-4F7B-B477-85476E133B41}"/>
    <cellStyle name="Linked Cell 11 3 2 4" xfId="13269" xr:uid="{8C33A249-693B-40E1-B956-DCF7408C37E7}"/>
    <cellStyle name="Linked Cell 11 3 2 4 2" xfId="13270" xr:uid="{17A3148F-11D9-4BCD-9191-6F582499B05C}"/>
    <cellStyle name="Linked Cell 11 3 2 4 2 2" xfId="13271" xr:uid="{F6039CFE-07A5-4847-A211-3EC0AF9B4A5F}"/>
    <cellStyle name="Linked Cell 11 3 2 4 3" xfId="13272" xr:uid="{A8B573D2-2E07-4317-ABA1-A093637FB64E}"/>
    <cellStyle name="Linked Cell 11 3 2 5" xfId="13273" xr:uid="{4F177F5C-8B23-4CE1-8081-46D0BD8F5A0B}"/>
    <cellStyle name="Linked Cell 11 3 2 5 2" xfId="13274" xr:uid="{7C660ECE-ED6B-4F59-BD3D-37A7BD5142D2}"/>
    <cellStyle name="Linked Cell 11 3 2 5 2 2" xfId="13275" xr:uid="{49B676EC-6E65-4C56-AA7F-A7A42CD1F77C}"/>
    <cellStyle name="Linked Cell 11 3 2 5 3" xfId="13276" xr:uid="{DED08039-FFC4-40CB-B73A-2E4352650083}"/>
    <cellStyle name="Linked Cell 11 3 2 6" xfId="13277" xr:uid="{FCED6115-A6A2-49D0-AAA7-E9FF2FBF3C2F}"/>
    <cellStyle name="Linked Cell 11 3 2 6 2" xfId="13278" xr:uid="{8FFC7E00-5456-42A3-8720-BF37548653CA}"/>
    <cellStyle name="Linked Cell 11 3 2 6 2 2" xfId="13279" xr:uid="{4A3FDBD5-F728-4699-A72D-DB9A8F024BE3}"/>
    <cellStyle name="Linked Cell 11 3 2 6 3" xfId="13280" xr:uid="{9995502F-C30F-46ED-8CE9-E256E78BAAFB}"/>
    <cellStyle name="Linked Cell 11 3 2 7" xfId="13281" xr:uid="{4BF85182-B4F2-44FF-A6D9-9B02BDE8DD0D}"/>
    <cellStyle name="Linked Cell 11 3 2 7 2" xfId="13282" xr:uid="{D9502A5C-E831-4F43-8F63-6E1549C9CA37}"/>
    <cellStyle name="Linked Cell 11 3 2 7 2 2" xfId="13283" xr:uid="{578BF091-8F27-41F0-BBC6-A73E70F56AE8}"/>
    <cellStyle name="Linked Cell 11 3 2 7 3" xfId="13284" xr:uid="{414A5998-5FF0-49EE-840C-9CEADE26FDE6}"/>
    <cellStyle name="Linked Cell 11 3 2 8" xfId="13285" xr:uid="{164DBC51-AA5E-45A7-B279-F85A72DCEC5F}"/>
    <cellStyle name="Linked Cell 11 3 2 8 2" xfId="13286" xr:uid="{BD27582B-175C-481F-8E76-84047D22B46D}"/>
    <cellStyle name="Linked Cell 11 3 2 8 2 2" xfId="13287" xr:uid="{E6000976-4410-483E-9AC6-2FD52D14E12D}"/>
    <cellStyle name="Linked Cell 11 3 2 8 3" xfId="13288" xr:uid="{80CEEDB9-98D9-47F7-B52D-A96DA298E59B}"/>
    <cellStyle name="Linked Cell 11 3 2 9" xfId="13289" xr:uid="{D0A9D819-745E-465F-A2B9-0BEDB993FC10}"/>
    <cellStyle name="Linked Cell 11 3 2 9 2" xfId="13290" xr:uid="{D1294244-A075-4277-A999-6A8996B7D2C1}"/>
    <cellStyle name="Linked Cell 11 3 2 9 2 2" xfId="13291" xr:uid="{9AA902D0-A872-4739-9F78-F4B450F70726}"/>
    <cellStyle name="Linked Cell 11 3 2 9 3" xfId="13292" xr:uid="{3320C612-2881-406D-964D-8AE044C3F35D}"/>
    <cellStyle name="Linked Cell 11 3 3" xfId="13293" xr:uid="{2928C558-BC0C-45EC-8E32-A914783D0036}"/>
    <cellStyle name="Linked Cell 11 3 3 10" xfId="13294" xr:uid="{869249D9-6427-4E48-9EF5-5CE6F3070E8E}"/>
    <cellStyle name="Linked Cell 11 3 3 10 2" xfId="13295" xr:uid="{ACF5437D-9913-4958-A467-ACACC9C200B9}"/>
    <cellStyle name="Linked Cell 11 3 3 10 2 2" xfId="13296" xr:uid="{E8C43C36-C9A8-4AF8-9697-E45404339660}"/>
    <cellStyle name="Linked Cell 11 3 3 10 3" xfId="13297" xr:uid="{1C484DF5-422E-4DBC-9B0D-82FD805F64A5}"/>
    <cellStyle name="Linked Cell 11 3 3 11" xfId="13298" xr:uid="{6F47F8C8-ED52-4216-821A-994A67CA8542}"/>
    <cellStyle name="Linked Cell 11 3 3 11 2" xfId="13299" xr:uid="{C68F14A0-2E84-4AE7-BB09-E756F3A42709}"/>
    <cellStyle name="Linked Cell 11 3 3 12" xfId="13300" xr:uid="{A2C0EFAF-065D-4B21-A90D-72D540EA5639}"/>
    <cellStyle name="Linked Cell 11 3 3 2" xfId="13301" xr:uid="{C0CFE312-42FD-49EF-A0B3-337A74AEC58C}"/>
    <cellStyle name="Linked Cell 11 3 3 2 10" xfId="13302" xr:uid="{07927063-197B-48DF-9029-C7C4BB161136}"/>
    <cellStyle name="Linked Cell 11 3 3 2 10 2" xfId="13303" xr:uid="{CB538241-12F0-4C3B-B6B8-8FBAA8927E0C}"/>
    <cellStyle name="Linked Cell 11 3 3 2 11" xfId="13304" xr:uid="{5A59815E-C76F-4CB4-B703-B0AAA0025580}"/>
    <cellStyle name="Linked Cell 11 3 3 2 2" xfId="13305" xr:uid="{4F3037BD-1722-4085-BB60-C14EF1C99A07}"/>
    <cellStyle name="Linked Cell 11 3 3 2 2 2" xfId="13306" xr:uid="{4D1E00B1-6D5B-43C9-AB29-9EB44EF7D804}"/>
    <cellStyle name="Linked Cell 11 3 3 2 2 2 2" xfId="13307" xr:uid="{182FA9D2-2D0C-4E8E-AAC9-A2414301501E}"/>
    <cellStyle name="Linked Cell 11 3 3 2 2 3" xfId="13308" xr:uid="{EF46D960-D960-4870-9262-CFC4C4571274}"/>
    <cellStyle name="Linked Cell 11 3 3 2 3" xfId="13309" xr:uid="{48C32E82-C4D6-4E42-916D-257127B597D0}"/>
    <cellStyle name="Linked Cell 11 3 3 2 3 2" xfId="13310" xr:uid="{63996C92-4A90-4088-9F2B-18EB08DBC0EB}"/>
    <cellStyle name="Linked Cell 11 3 3 2 3 2 2" xfId="13311" xr:uid="{252FBF24-D2F6-45E1-A5D6-8F30A875EF57}"/>
    <cellStyle name="Linked Cell 11 3 3 2 3 3" xfId="13312" xr:uid="{9802BF53-600A-4598-8544-0464008982C7}"/>
    <cellStyle name="Linked Cell 11 3 3 2 4" xfId="13313" xr:uid="{D95B3383-8F60-4EF7-B54B-3F0AD961C124}"/>
    <cellStyle name="Linked Cell 11 3 3 2 4 2" xfId="13314" xr:uid="{0EB3B286-154D-4A75-91EB-62D612C0EFE3}"/>
    <cellStyle name="Linked Cell 11 3 3 2 4 2 2" xfId="13315" xr:uid="{43498049-283D-4121-8D0E-11CC487B0E28}"/>
    <cellStyle name="Linked Cell 11 3 3 2 4 3" xfId="13316" xr:uid="{6436EEDC-3880-41A5-B3A8-A840D9FD79A0}"/>
    <cellStyle name="Linked Cell 11 3 3 2 5" xfId="13317" xr:uid="{044113C4-DCEA-44A1-B55C-930BB5427631}"/>
    <cellStyle name="Linked Cell 11 3 3 2 5 2" xfId="13318" xr:uid="{D96E380F-570F-4784-BACB-9CBF1DABE785}"/>
    <cellStyle name="Linked Cell 11 3 3 2 5 2 2" xfId="13319" xr:uid="{328C4079-9C69-4FC7-9D54-C6A4632F59FD}"/>
    <cellStyle name="Linked Cell 11 3 3 2 5 3" xfId="13320" xr:uid="{253FC5AA-8838-45AB-961D-BBBE0B412C7A}"/>
    <cellStyle name="Linked Cell 11 3 3 2 6" xfId="13321" xr:uid="{7EF7A18A-8B0D-4043-83C9-1B07923143C0}"/>
    <cellStyle name="Linked Cell 11 3 3 2 6 2" xfId="13322" xr:uid="{99313AAE-0AAC-425C-9145-173DE52316FF}"/>
    <cellStyle name="Linked Cell 11 3 3 2 6 2 2" xfId="13323" xr:uid="{46F3E6F7-AE6B-4F5D-8D18-FFCE45F6D1E6}"/>
    <cellStyle name="Linked Cell 11 3 3 2 6 3" xfId="13324" xr:uid="{82543650-9C4D-410F-A46B-C7D2053A36E0}"/>
    <cellStyle name="Linked Cell 11 3 3 2 7" xfId="13325" xr:uid="{D4484337-6EFE-443D-AB7B-0060885FB1BC}"/>
    <cellStyle name="Linked Cell 11 3 3 2 7 2" xfId="13326" xr:uid="{924A9FB8-DB7C-4074-AB08-7A74D9993FB1}"/>
    <cellStyle name="Linked Cell 11 3 3 2 7 2 2" xfId="13327" xr:uid="{5254F101-C8DB-4E63-B0EC-E56E9A7F1DCB}"/>
    <cellStyle name="Linked Cell 11 3 3 2 7 3" xfId="13328" xr:uid="{6DB7ED84-73A2-448B-9A5A-675E8C4F260A}"/>
    <cellStyle name="Linked Cell 11 3 3 2 8" xfId="13329" xr:uid="{E6A3C85D-B80E-47B8-81FE-27DCBB08DC85}"/>
    <cellStyle name="Linked Cell 11 3 3 2 8 2" xfId="13330" xr:uid="{2F902114-28D8-4D67-A582-3028056A39BD}"/>
    <cellStyle name="Linked Cell 11 3 3 2 8 2 2" xfId="13331" xr:uid="{F1256B10-DADD-4823-A24C-D0089DA6A8BD}"/>
    <cellStyle name="Linked Cell 11 3 3 2 8 3" xfId="13332" xr:uid="{6674DF62-5990-4013-AEC5-14614F9BF243}"/>
    <cellStyle name="Linked Cell 11 3 3 2 9" xfId="13333" xr:uid="{CC794A68-67AA-452F-BFD1-F212D5DE02AE}"/>
    <cellStyle name="Linked Cell 11 3 3 2 9 2" xfId="13334" xr:uid="{A5A3754B-AA31-49CF-8E4C-33A91F826D0C}"/>
    <cellStyle name="Linked Cell 11 3 3 2 9 2 2" xfId="13335" xr:uid="{A3C67EDD-742A-4677-94CE-9FA8E741694F}"/>
    <cellStyle name="Linked Cell 11 3 3 2 9 3" xfId="13336" xr:uid="{1F7B0B88-2B9F-4114-8138-E5C2E2C6A7AB}"/>
    <cellStyle name="Linked Cell 11 3 3 3" xfId="13337" xr:uid="{0BE8785E-ACC9-4654-9F05-AC81BF92E419}"/>
    <cellStyle name="Linked Cell 11 3 3 3 2" xfId="13338" xr:uid="{B7091544-4D8A-4EBB-8947-7B002027FB2B}"/>
    <cellStyle name="Linked Cell 11 3 3 3 2 2" xfId="13339" xr:uid="{D6F11201-2078-48DD-ACB9-D9947EB076C7}"/>
    <cellStyle name="Linked Cell 11 3 3 3 3" xfId="13340" xr:uid="{6D776B59-1DCE-4B73-93B5-405D407206F4}"/>
    <cellStyle name="Linked Cell 11 3 3 4" xfId="13341" xr:uid="{C4DAE892-E097-42E8-A21F-CCD3759F8146}"/>
    <cellStyle name="Linked Cell 11 3 3 4 2" xfId="13342" xr:uid="{3CD407B9-2B44-4C39-881C-AF553F2E7489}"/>
    <cellStyle name="Linked Cell 11 3 3 4 2 2" xfId="13343" xr:uid="{034B9876-C068-4D21-AAE2-0318829C0F99}"/>
    <cellStyle name="Linked Cell 11 3 3 4 3" xfId="13344" xr:uid="{8D180761-C092-446F-A893-5895430CA760}"/>
    <cellStyle name="Linked Cell 11 3 3 5" xfId="13345" xr:uid="{7FAB0C4C-62F0-4BC4-833D-28C22894F909}"/>
    <cellStyle name="Linked Cell 11 3 3 5 2" xfId="13346" xr:uid="{A6F68F12-7267-4095-8AE9-8FF17E3830C2}"/>
    <cellStyle name="Linked Cell 11 3 3 5 2 2" xfId="13347" xr:uid="{AF9DB5C9-F477-4AD7-9496-C089646E965F}"/>
    <cellStyle name="Linked Cell 11 3 3 5 3" xfId="13348" xr:uid="{BBD403B4-E28E-45C9-8B42-4F9B40038EF1}"/>
    <cellStyle name="Linked Cell 11 3 3 6" xfId="13349" xr:uid="{A57F081D-8BE0-4E4C-BA5D-1EA7CC0525BD}"/>
    <cellStyle name="Linked Cell 11 3 3 6 2" xfId="13350" xr:uid="{6EF7DEC0-6490-4ABD-A9B7-484C8D52EB6E}"/>
    <cellStyle name="Linked Cell 11 3 3 6 2 2" xfId="13351" xr:uid="{CF328531-2DAC-4353-B1B9-12B02D36461F}"/>
    <cellStyle name="Linked Cell 11 3 3 6 3" xfId="13352" xr:uid="{63B9C7D0-62F7-476B-9C45-191ED5743193}"/>
    <cellStyle name="Linked Cell 11 3 3 7" xfId="13353" xr:uid="{06475289-4954-4573-8EF5-3BF16EEDDB44}"/>
    <cellStyle name="Linked Cell 11 3 3 7 2" xfId="13354" xr:uid="{9194D9CE-0398-403E-81ED-1CB257355ADE}"/>
    <cellStyle name="Linked Cell 11 3 3 7 2 2" xfId="13355" xr:uid="{374A3FB5-52DF-4C87-A3B2-C4EFAAE41784}"/>
    <cellStyle name="Linked Cell 11 3 3 7 3" xfId="13356" xr:uid="{FCE76465-E676-44C2-A2C6-0C96391F952B}"/>
    <cellStyle name="Linked Cell 11 3 3 8" xfId="13357" xr:uid="{08BFE280-C445-496F-BFA8-4D05DA90EB8D}"/>
    <cellStyle name="Linked Cell 11 3 3 8 2" xfId="13358" xr:uid="{D1DB2643-5893-42C7-A277-C6D92462F90D}"/>
    <cellStyle name="Linked Cell 11 3 3 8 2 2" xfId="13359" xr:uid="{05026B6C-5863-4FFB-BF5D-95DF477DBA9E}"/>
    <cellStyle name="Linked Cell 11 3 3 8 3" xfId="13360" xr:uid="{A4A41B85-F5D8-49D0-9E0E-FE6596D2CD1D}"/>
    <cellStyle name="Linked Cell 11 3 3 9" xfId="13361" xr:uid="{34C4797C-B77F-4F7B-BE33-6AFA9351155A}"/>
    <cellStyle name="Linked Cell 11 3 3 9 2" xfId="13362" xr:uid="{54528D3B-1067-45A6-9E2A-DD5923D686D8}"/>
    <cellStyle name="Linked Cell 11 3 3 9 2 2" xfId="13363" xr:uid="{D7BC102A-C061-4E34-9074-0E237ECCE738}"/>
    <cellStyle name="Linked Cell 11 3 3 9 3" xfId="13364" xr:uid="{DB02F8DB-F95E-4C81-A3EA-6F58069EC7B7}"/>
    <cellStyle name="Linked Cell 11 3 4" xfId="13365" xr:uid="{D9C9C72A-B246-4FE3-90C4-DBF49E653B7E}"/>
    <cellStyle name="Linked Cell 11 3 4 10" xfId="13366" xr:uid="{57F24648-9D73-429A-A1A9-4EE1AC9A36BD}"/>
    <cellStyle name="Linked Cell 11 3 4 10 2" xfId="13367" xr:uid="{A4D97E71-6AC7-4241-8BE0-A0FE55160E5E}"/>
    <cellStyle name="Linked Cell 11 3 4 11" xfId="13368" xr:uid="{69511950-E65A-4E30-9155-454B88C08BBD}"/>
    <cellStyle name="Linked Cell 11 3 4 2" xfId="13369" xr:uid="{DBECC0A3-E70D-4EA2-AE5D-B7387F953A33}"/>
    <cellStyle name="Linked Cell 11 3 4 2 2" xfId="13370" xr:uid="{C73E41B3-0B44-49BE-B506-8290E65B33CB}"/>
    <cellStyle name="Linked Cell 11 3 4 2 2 2" xfId="13371" xr:uid="{52CA1A83-D969-4B77-B8FE-17D1183F9816}"/>
    <cellStyle name="Linked Cell 11 3 4 2 3" xfId="13372" xr:uid="{1B4A05AF-E270-4258-8704-07F14EA343C2}"/>
    <cellStyle name="Linked Cell 11 3 4 3" xfId="13373" xr:uid="{94E39E05-CD34-4B38-A284-EE4739BDD159}"/>
    <cellStyle name="Linked Cell 11 3 4 3 2" xfId="13374" xr:uid="{B5E2D3D4-7D57-4F08-B88B-2BE5911C0D73}"/>
    <cellStyle name="Linked Cell 11 3 4 3 2 2" xfId="13375" xr:uid="{9785A93F-548B-490F-948E-93D9D185474E}"/>
    <cellStyle name="Linked Cell 11 3 4 3 3" xfId="13376" xr:uid="{7A681437-6712-41C6-88A9-0C61C54FD697}"/>
    <cellStyle name="Linked Cell 11 3 4 4" xfId="13377" xr:uid="{0F1BCD15-CAE9-40A8-B9E5-4FFB0D28742E}"/>
    <cellStyle name="Linked Cell 11 3 4 4 2" xfId="13378" xr:uid="{F3933E94-5018-4F3C-B510-654CFC46DCBC}"/>
    <cellStyle name="Linked Cell 11 3 4 4 2 2" xfId="13379" xr:uid="{FCB181D4-BF26-4C5D-A4A5-960BDF9E1845}"/>
    <cellStyle name="Linked Cell 11 3 4 4 3" xfId="13380" xr:uid="{DF80E339-9889-4A85-9386-941FA4A97440}"/>
    <cellStyle name="Linked Cell 11 3 4 5" xfId="13381" xr:uid="{C9C34292-E3CC-436B-ABF8-B6095BA07F3F}"/>
    <cellStyle name="Linked Cell 11 3 4 5 2" xfId="13382" xr:uid="{396DF723-781C-42DE-B3F4-0D0564139906}"/>
    <cellStyle name="Linked Cell 11 3 4 5 2 2" xfId="13383" xr:uid="{33D0D039-4191-42B5-A21E-046D61708914}"/>
    <cellStyle name="Linked Cell 11 3 4 5 3" xfId="13384" xr:uid="{FDFBCD64-E210-48E2-A166-B2A500DA7689}"/>
    <cellStyle name="Linked Cell 11 3 4 6" xfId="13385" xr:uid="{635B2B10-4325-4AB6-9B9A-98E3A4EF3441}"/>
    <cellStyle name="Linked Cell 11 3 4 6 2" xfId="13386" xr:uid="{95D867E0-05E4-4273-B4F8-55B7D1121E38}"/>
    <cellStyle name="Linked Cell 11 3 4 6 2 2" xfId="13387" xr:uid="{EEA8B7E3-6B72-4EF7-A013-3F4B660F157B}"/>
    <cellStyle name="Linked Cell 11 3 4 6 3" xfId="13388" xr:uid="{F92C4818-E543-4036-B166-1FC1C420436D}"/>
    <cellStyle name="Linked Cell 11 3 4 7" xfId="13389" xr:uid="{B6ECD059-648D-47A2-934C-A27BBBDC64A0}"/>
    <cellStyle name="Linked Cell 11 3 4 7 2" xfId="13390" xr:uid="{915A55D9-D763-4968-AC8A-85A051094FD0}"/>
    <cellStyle name="Linked Cell 11 3 4 7 2 2" xfId="13391" xr:uid="{15C10619-2114-461A-A56B-974B92AAF1A7}"/>
    <cellStyle name="Linked Cell 11 3 4 7 3" xfId="13392" xr:uid="{98DA8B95-3787-45FF-BDD6-EB794A867160}"/>
    <cellStyle name="Linked Cell 11 3 4 8" xfId="13393" xr:uid="{FC4E4CDA-1C45-4A48-9253-FB9B2AA5FF26}"/>
    <cellStyle name="Linked Cell 11 3 4 8 2" xfId="13394" xr:uid="{753DDCB3-8F5B-435A-AB67-A024F1E19FBD}"/>
    <cellStyle name="Linked Cell 11 3 4 8 2 2" xfId="13395" xr:uid="{572A9104-1DC4-43D7-BB03-A5FD987CD901}"/>
    <cellStyle name="Linked Cell 11 3 4 8 3" xfId="13396" xr:uid="{01A30029-8FA0-4352-B79B-12736624F8B8}"/>
    <cellStyle name="Linked Cell 11 3 4 9" xfId="13397" xr:uid="{21E019DE-A4BD-456C-B3DC-22CA477F723F}"/>
    <cellStyle name="Linked Cell 11 3 4 9 2" xfId="13398" xr:uid="{4B088D47-60B0-45A7-A2C2-DC0B842E0E18}"/>
    <cellStyle name="Linked Cell 11 3 4 9 2 2" xfId="13399" xr:uid="{6039AA33-273A-4964-8D4C-CD9377D1EF0F}"/>
    <cellStyle name="Linked Cell 11 3 4 9 3" xfId="13400" xr:uid="{864006C6-0BCC-41C1-838C-649266B6E75B}"/>
    <cellStyle name="Linked Cell 11 3 5" xfId="13401" xr:uid="{7DAACD97-0600-484A-B701-53A151584DF5}"/>
    <cellStyle name="Linked Cell 11 3 5 2" xfId="13402" xr:uid="{0EB60480-D65A-4C10-8C7B-A1C4A1D7330D}"/>
    <cellStyle name="Linked Cell 11 3 5 2 2" xfId="13403" xr:uid="{7B599C23-0A18-4543-BC5F-76EB6F0678DD}"/>
    <cellStyle name="Linked Cell 11 3 5 3" xfId="13404" xr:uid="{FE4296A6-9038-4243-8690-722A082E3AF4}"/>
    <cellStyle name="Linked Cell 11 3 6" xfId="13405" xr:uid="{A9D77E4C-3916-43AD-814C-1782A3BE1AFC}"/>
    <cellStyle name="Linked Cell 11 3 6 2" xfId="13406" xr:uid="{43EAD79C-0CE4-418D-9AA3-12AEDD19505F}"/>
    <cellStyle name="Linked Cell 11 3 6 2 2" xfId="13407" xr:uid="{C1388607-4BF0-45CF-8F02-53CAF539BE21}"/>
    <cellStyle name="Linked Cell 11 3 6 3" xfId="13408" xr:uid="{655F52F2-A537-45DC-9CE0-F934BB2B2D82}"/>
    <cellStyle name="Linked Cell 11 3 7" xfId="13409" xr:uid="{9DF0FD98-6D92-4A7B-8F82-A81EDE532CA6}"/>
    <cellStyle name="Linked Cell 11 3 7 2" xfId="13410" xr:uid="{4DADD737-48E5-4D7A-BE39-B800E1A00D44}"/>
    <cellStyle name="Linked Cell 11 3 7 2 2" xfId="13411" xr:uid="{30833265-37ED-4C6B-8119-7ADDB59530C7}"/>
    <cellStyle name="Linked Cell 11 3 7 3" xfId="13412" xr:uid="{9E2B946F-7988-4F94-AA9B-C60815D5313C}"/>
    <cellStyle name="Linked Cell 11 3 8" xfId="13413" xr:uid="{9EA973ED-1BDD-46DC-8EAC-B4E30E4DD043}"/>
    <cellStyle name="Linked Cell 11 3 8 2" xfId="13414" xr:uid="{E0FDE504-9A4F-4DEE-ABA1-728168432A12}"/>
    <cellStyle name="Linked Cell 11 3 8 2 2" xfId="13415" xr:uid="{109012C5-CCC7-444B-A056-6F09705CE33D}"/>
    <cellStyle name="Linked Cell 11 3 8 3" xfId="13416" xr:uid="{C74CDF2A-E5BB-43D1-81CB-627807B33313}"/>
    <cellStyle name="Linked Cell 11 3 9" xfId="13417" xr:uid="{2E19EE55-88F9-444A-B3A9-58F98543F5A3}"/>
    <cellStyle name="Linked Cell 11 3 9 2" xfId="13418" xr:uid="{8EDD5126-8A69-49A3-BDD9-623801ABBD73}"/>
    <cellStyle name="Linked Cell 11 3 9 2 2" xfId="13419" xr:uid="{DD6FA2EB-25CD-4886-B543-E65FD913025F}"/>
    <cellStyle name="Linked Cell 11 3 9 3" xfId="13420" xr:uid="{DFBD9AB5-E98F-45C7-A326-9A3A537ADFF3}"/>
    <cellStyle name="Linked Cell 11 4" xfId="13421" xr:uid="{9D5B7B27-272C-4478-8314-154C3E862858}"/>
    <cellStyle name="Linked Cell 11 4 10" xfId="13422" xr:uid="{9B8C06D7-6736-4C7A-B0A7-A2D54B22FD35}"/>
    <cellStyle name="Linked Cell 11 4 10 2" xfId="13423" xr:uid="{9F18AD5D-5715-4F9E-ADE9-262AB21E0A1D}"/>
    <cellStyle name="Linked Cell 11 4 10 2 2" xfId="13424" xr:uid="{11F9E73F-DB3E-4BDC-8942-B92BFA00131E}"/>
    <cellStyle name="Linked Cell 11 4 10 3" xfId="13425" xr:uid="{ACB558B0-1274-484E-ACDF-AEE3E546501B}"/>
    <cellStyle name="Linked Cell 11 4 11" xfId="13426" xr:uid="{D5526FBD-D1D1-4C28-B035-0C55357F54DB}"/>
    <cellStyle name="Linked Cell 11 4 11 2" xfId="13427" xr:uid="{62DB34B5-B603-4283-A8A8-F1E734A52A04}"/>
    <cellStyle name="Linked Cell 11 4 11 2 2" xfId="13428" xr:uid="{C16B6C87-0B25-47DB-ABF8-3A991B29B877}"/>
    <cellStyle name="Linked Cell 11 4 11 3" xfId="13429" xr:uid="{1F84DD58-2610-4B21-8C7F-3BFF9FDF9AE1}"/>
    <cellStyle name="Linked Cell 11 4 12" xfId="13430" xr:uid="{BB537560-857E-4A51-8A83-B7CD8117C448}"/>
    <cellStyle name="Linked Cell 11 4 12 2" xfId="13431" xr:uid="{C3228436-A8F1-4857-99A9-C24473E1A8A0}"/>
    <cellStyle name="Linked Cell 11 4 13" xfId="13432" xr:uid="{816556DF-2374-4868-A47B-400BCFAA01DF}"/>
    <cellStyle name="Linked Cell 11 4 2" xfId="13433" xr:uid="{86023C6E-CAAC-4714-A03C-9152810342E2}"/>
    <cellStyle name="Linked Cell 11 4 2 10" xfId="13434" xr:uid="{BC62CFF7-F16D-46CD-86E3-21BB3FDAD992}"/>
    <cellStyle name="Linked Cell 11 4 2 10 2" xfId="13435" xr:uid="{5C29C7F1-795A-4F7E-93DB-C5318C424C30}"/>
    <cellStyle name="Linked Cell 11 4 2 10 2 2" xfId="13436" xr:uid="{513195A8-8F9A-494C-9DD7-DA0EC8753722}"/>
    <cellStyle name="Linked Cell 11 4 2 10 3" xfId="13437" xr:uid="{21A44E57-472D-46D6-892C-4FB075CC6D66}"/>
    <cellStyle name="Linked Cell 11 4 2 11" xfId="13438" xr:uid="{C8EB6726-BEEB-4B89-95CF-BD4569A25469}"/>
    <cellStyle name="Linked Cell 11 4 2 11 2" xfId="13439" xr:uid="{E12FEB4D-21A4-49C8-B206-D6A14E707514}"/>
    <cellStyle name="Linked Cell 11 4 2 12" xfId="13440" xr:uid="{00E029A7-4B2F-4D99-B183-FC2BFAE79241}"/>
    <cellStyle name="Linked Cell 11 4 2 2" xfId="13441" xr:uid="{9180402E-51B7-4047-92BA-8514E875792E}"/>
    <cellStyle name="Linked Cell 11 4 2 2 2" xfId="13442" xr:uid="{4800BEE1-1722-49C8-9F19-666A9421B3BC}"/>
    <cellStyle name="Linked Cell 11 4 2 2 2 2" xfId="13443" xr:uid="{999B7EAC-F940-4368-92F3-BF7B983659F5}"/>
    <cellStyle name="Linked Cell 11 4 2 2 3" xfId="13444" xr:uid="{F63A9307-273E-49C0-977E-5E50C65F99E8}"/>
    <cellStyle name="Linked Cell 11 4 2 3" xfId="13445" xr:uid="{F69BBA26-C918-4F0E-864E-60391AD4E9BD}"/>
    <cellStyle name="Linked Cell 11 4 2 3 2" xfId="13446" xr:uid="{A91CBF2F-D6FF-427C-9B5A-AB67B9909965}"/>
    <cellStyle name="Linked Cell 11 4 2 3 2 2" xfId="13447" xr:uid="{3415F386-F71E-45AE-B5C2-DDBFCCDDE39F}"/>
    <cellStyle name="Linked Cell 11 4 2 3 3" xfId="13448" xr:uid="{63E7A97B-CDCE-4AC1-96A2-A61922FA5B54}"/>
    <cellStyle name="Linked Cell 11 4 2 4" xfId="13449" xr:uid="{8775D5B2-3B17-4977-A082-71627F85E5C7}"/>
    <cellStyle name="Linked Cell 11 4 2 4 2" xfId="13450" xr:uid="{D10531F5-39DD-4355-B55A-8026ABE5AF3A}"/>
    <cellStyle name="Linked Cell 11 4 2 4 2 2" xfId="13451" xr:uid="{D631A1D3-7EE6-47DA-8799-BC209B0503CB}"/>
    <cellStyle name="Linked Cell 11 4 2 4 3" xfId="13452" xr:uid="{A196B0CC-3346-4F7C-AE91-CA2C6A7E0866}"/>
    <cellStyle name="Linked Cell 11 4 2 5" xfId="13453" xr:uid="{0CCF5917-A0C7-477E-B5A6-724BC5E73834}"/>
    <cellStyle name="Linked Cell 11 4 2 5 2" xfId="13454" xr:uid="{D33BF300-3644-4490-9BF4-8B7BD7B12D1D}"/>
    <cellStyle name="Linked Cell 11 4 2 5 2 2" xfId="13455" xr:uid="{AD8997CD-3768-4A62-8797-584E117EDE2C}"/>
    <cellStyle name="Linked Cell 11 4 2 5 3" xfId="13456" xr:uid="{67955EEB-470C-43A8-94E6-466CE2955CF4}"/>
    <cellStyle name="Linked Cell 11 4 2 6" xfId="13457" xr:uid="{8C876AAD-FFCA-475C-A294-718560A41EEF}"/>
    <cellStyle name="Linked Cell 11 4 2 6 2" xfId="13458" xr:uid="{FE2B9DF0-1422-43EB-A53A-B6D407B7BF1D}"/>
    <cellStyle name="Linked Cell 11 4 2 6 2 2" xfId="13459" xr:uid="{C89EB2AE-CBC6-4CD1-95EB-D92F86427246}"/>
    <cellStyle name="Linked Cell 11 4 2 6 3" xfId="13460" xr:uid="{17B99208-29D2-4C98-8B38-207CE07AA627}"/>
    <cellStyle name="Linked Cell 11 4 2 7" xfId="13461" xr:uid="{57FF8D43-6A87-41BE-A912-150455FBA870}"/>
    <cellStyle name="Linked Cell 11 4 2 7 2" xfId="13462" xr:uid="{4D660C8B-97C0-4942-969C-0CD1267900D1}"/>
    <cellStyle name="Linked Cell 11 4 2 7 2 2" xfId="13463" xr:uid="{2B4196BC-E2B0-43C3-A71A-9CB3C0683280}"/>
    <cellStyle name="Linked Cell 11 4 2 7 3" xfId="13464" xr:uid="{ADC0C508-3CC9-4994-9802-0F20BBF43FFF}"/>
    <cellStyle name="Linked Cell 11 4 2 8" xfId="13465" xr:uid="{E264B08D-AEAD-4AA9-81B7-901CFDDC35E0}"/>
    <cellStyle name="Linked Cell 11 4 2 8 2" xfId="13466" xr:uid="{2F65706C-2039-4351-90CB-7A6DD865C83E}"/>
    <cellStyle name="Linked Cell 11 4 2 8 2 2" xfId="13467" xr:uid="{43E7E8A8-703D-49DC-8C6C-3618BA47A646}"/>
    <cellStyle name="Linked Cell 11 4 2 8 3" xfId="13468" xr:uid="{5F7F7C46-D421-4DB1-A14E-788C73EF325C}"/>
    <cellStyle name="Linked Cell 11 4 2 9" xfId="13469" xr:uid="{834A6F00-69B0-4567-88A0-51D15DF91F9C}"/>
    <cellStyle name="Linked Cell 11 4 2 9 2" xfId="13470" xr:uid="{0BE8AF34-39A9-41D7-8662-ED04FC0D8979}"/>
    <cellStyle name="Linked Cell 11 4 2 9 2 2" xfId="13471" xr:uid="{4A68B935-0AD2-4B31-AF60-53C9AA04958A}"/>
    <cellStyle name="Linked Cell 11 4 2 9 3" xfId="13472" xr:uid="{D4B7903E-A669-4C2A-8B23-314287D6AFA5}"/>
    <cellStyle name="Linked Cell 11 4 3" xfId="13473" xr:uid="{9E9CA812-4D44-49B9-8DB1-5E0F5D284555}"/>
    <cellStyle name="Linked Cell 11 4 3 10" xfId="13474" xr:uid="{9E361D1F-B6B0-41FE-B0C2-7EDC86C799C4}"/>
    <cellStyle name="Linked Cell 11 4 3 10 2" xfId="13475" xr:uid="{F7DA790E-F48A-48DB-A763-BDB2CF8184E3}"/>
    <cellStyle name="Linked Cell 11 4 3 11" xfId="13476" xr:uid="{CD597838-9BD4-44DB-A0ED-CE154EA5974B}"/>
    <cellStyle name="Linked Cell 11 4 3 2" xfId="13477" xr:uid="{535B6B75-A627-45A1-89A6-AF4035EFC123}"/>
    <cellStyle name="Linked Cell 11 4 3 2 2" xfId="13478" xr:uid="{0EA0E301-49BE-4DC4-900D-643E0638FC51}"/>
    <cellStyle name="Linked Cell 11 4 3 2 2 2" xfId="13479" xr:uid="{805D2430-D697-40F6-BA4D-D6C9F9B7F2BB}"/>
    <cellStyle name="Linked Cell 11 4 3 2 3" xfId="13480" xr:uid="{1DB62581-C620-44AE-A36B-A742CE034D2E}"/>
    <cellStyle name="Linked Cell 11 4 3 3" xfId="13481" xr:uid="{0B23507C-09DF-4FAD-9383-C633F37970E8}"/>
    <cellStyle name="Linked Cell 11 4 3 3 2" xfId="13482" xr:uid="{45BCFA98-0706-4914-BD49-04A5414E90EA}"/>
    <cellStyle name="Linked Cell 11 4 3 3 2 2" xfId="13483" xr:uid="{D49BFCA8-C68F-485C-9DD2-CF5BE9F9D2E6}"/>
    <cellStyle name="Linked Cell 11 4 3 3 3" xfId="13484" xr:uid="{FB0CC10D-B424-4D18-9973-CE822493F322}"/>
    <cellStyle name="Linked Cell 11 4 3 4" xfId="13485" xr:uid="{031225EB-12F3-47EE-8F73-3BE8C55C03F6}"/>
    <cellStyle name="Linked Cell 11 4 3 4 2" xfId="13486" xr:uid="{D581967B-9612-49B0-BAB4-AC4C0BFEBF58}"/>
    <cellStyle name="Linked Cell 11 4 3 4 2 2" xfId="13487" xr:uid="{EF9D6EEE-8503-400C-B714-6BB9139119F4}"/>
    <cellStyle name="Linked Cell 11 4 3 4 3" xfId="13488" xr:uid="{94775789-8AE2-4596-91B1-BDFCDFEC2B63}"/>
    <cellStyle name="Linked Cell 11 4 3 5" xfId="13489" xr:uid="{39AFAEC7-F46F-4E61-816B-92A4CA80EF25}"/>
    <cellStyle name="Linked Cell 11 4 3 5 2" xfId="13490" xr:uid="{6BC2AE89-9264-4704-81B2-4CC4780B04A3}"/>
    <cellStyle name="Linked Cell 11 4 3 5 2 2" xfId="13491" xr:uid="{19A9D7E8-435A-4946-9176-F27FD5224375}"/>
    <cellStyle name="Linked Cell 11 4 3 5 3" xfId="13492" xr:uid="{B29171D2-4987-4D7E-BC1B-B8059165D29F}"/>
    <cellStyle name="Linked Cell 11 4 3 6" xfId="13493" xr:uid="{78ACBB68-FA66-45A8-99EF-BC80143FC4F9}"/>
    <cellStyle name="Linked Cell 11 4 3 6 2" xfId="13494" xr:uid="{D600B0B7-8B39-4C37-8F98-847B8906AD02}"/>
    <cellStyle name="Linked Cell 11 4 3 6 2 2" xfId="13495" xr:uid="{ABD3A988-2FA6-4463-A3A3-632BE4C8190D}"/>
    <cellStyle name="Linked Cell 11 4 3 6 3" xfId="13496" xr:uid="{E9579300-712C-4828-BA4B-8060671A191F}"/>
    <cellStyle name="Linked Cell 11 4 3 7" xfId="13497" xr:uid="{3C6B0C25-3663-4DF7-8FE2-6387F74519AA}"/>
    <cellStyle name="Linked Cell 11 4 3 7 2" xfId="13498" xr:uid="{D0D773B4-3C53-4A50-B0B8-2C5E3D1A6DC9}"/>
    <cellStyle name="Linked Cell 11 4 3 7 2 2" xfId="13499" xr:uid="{A6358FDA-8996-4794-B907-9EB0C94EB29F}"/>
    <cellStyle name="Linked Cell 11 4 3 7 3" xfId="13500" xr:uid="{84BF6E9F-14D5-4FC9-AC51-44CE563F3213}"/>
    <cellStyle name="Linked Cell 11 4 3 8" xfId="13501" xr:uid="{B6ACD0CB-07D2-41B4-AC44-1CD89EAF484A}"/>
    <cellStyle name="Linked Cell 11 4 3 8 2" xfId="13502" xr:uid="{84508644-3B04-4188-BE2F-DC6201A69D52}"/>
    <cellStyle name="Linked Cell 11 4 3 8 2 2" xfId="13503" xr:uid="{2FDD8E04-BF6C-41F9-810E-C1B115BAFDDD}"/>
    <cellStyle name="Linked Cell 11 4 3 8 3" xfId="13504" xr:uid="{805EDCEF-8217-4713-B753-7B84679CBB29}"/>
    <cellStyle name="Linked Cell 11 4 3 9" xfId="13505" xr:uid="{7B84E7E2-EDE9-45DE-9C62-765A353A8516}"/>
    <cellStyle name="Linked Cell 11 4 3 9 2" xfId="13506" xr:uid="{F7DCA390-1819-4155-A705-7D7562A00A87}"/>
    <cellStyle name="Linked Cell 11 4 3 9 2 2" xfId="13507" xr:uid="{62965886-672E-4214-8145-49C66C8EB186}"/>
    <cellStyle name="Linked Cell 11 4 3 9 3" xfId="13508" xr:uid="{182D0E20-A48B-4D5C-9AFB-F8D4D33D1AEB}"/>
    <cellStyle name="Linked Cell 11 4 4" xfId="13509" xr:uid="{698C966F-D284-44BF-A826-81B0AC4064CD}"/>
    <cellStyle name="Linked Cell 11 4 4 2" xfId="13510" xr:uid="{5B9F249B-AE08-4028-AA84-F5B667D0D2E9}"/>
    <cellStyle name="Linked Cell 11 4 4 2 2" xfId="13511" xr:uid="{BDAE3721-A194-464A-9953-CD56A24C3BBC}"/>
    <cellStyle name="Linked Cell 11 4 4 3" xfId="13512" xr:uid="{34410D80-65EA-402C-88E7-63CD0FFB45CB}"/>
    <cellStyle name="Linked Cell 11 4 5" xfId="13513" xr:uid="{24AA7A5D-DC9B-412F-A275-E0984B218C72}"/>
    <cellStyle name="Linked Cell 11 4 5 2" xfId="13514" xr:uid="{F14B6D6D-4BAE-4BFD-9CBA-6F80E632EE6E}"/>
    <cellStyle name="Linked Cell 11 4 5 2 2" xfId="13515" xr:uid="{2A2E3B9A-56E4-461C-9B8D-2EDC73446C7C}"/>
    <cellStyle name="Linked Cell 11 4 5 3" xfId="13516" xr:uid="{30D85C6F-6CBE-489A-923E-666890A83E68}"/>
    <cellStyle name="Linked Cell 11 4 6" xfId="13517" xr:uid="{CFC63CE7-4BC4-4994-9D00-5AEFA52EB67A}"/>
    <cellStyle name="Linked Cell 11 4 6 2" xfId="13518" xr:uid="{0CD4B3E4-6ABD-44ED-99A7-FC3A3D38F56F}"/>
    <cellStyle name="Linked Cell 11 4 6 2 2" xfId="13519" xr:uid="{6A7BC637-83FB-4555-9E0B-3CEA046107D6}"/>
    <cellStyle name="Linked Cell 11 4 6 3" xfId="13520" xr:uid="{ACDC83C2-D167-490D-952D-4CE9364691DA}"/>
    <cellStyle name="Linked Cell 11 4 7" xfId="13521" xr:uid="{7F6C7F8D-0666-4C8B-A3EE-743DEC2C6079}"/>
    <cellStyle name="Linked Cell 11 4 7 2" xfId="13522" xr:uid="{17171553-9A61-478A-AC5E-9017FA49F126}"/>
    <cellStyle name="Linked Cell 11 4 7 2 2" xfId="13523" xr:uid="{32C4F54A-C8F6-4D5D-ACDB-38A915FE0789}"/>
    <cellStyle name="Linked Cell 11 4 7 3" xfId="13524" xr:uid="{D246268F-E2B0-487F-A307-B83C75BA301E}"/>
    <cellStyle name="Linked Cell 11 4 8" xfId="13525" xr:uid="{B8129C77-592B-4D3D-B19D-09C90592FBAD}"/>
    <cellStyle name="Linked Cell 11 4 8 2" xfId="13526" xr:uid="{4FC5D32D-A547-4484-AA6C-3C70CD90089C}"/>
    <cellStyle name="Linked Cell 11 4 8 2 2" xfId="13527" xr:uid="{CC0EEFC5-8A72-4B1C-944E-3707F9E3F3EA}"/>
    <cellStyle name="Linked Cell 11 4 8 3" xfId="13528" xr:uid="{150DA89F-1F4E-462E-B73B-95CE2E767D06}"/>
    <cellStyle name="Linked Cell 11 4 9" xfId="13529" xr:uid="{DA0E9186-ECC7-4D4F-881C-9F56E983E03D}"/>
    <cellStyle name="Linked Cell 11 4 9 2" xfId="13530" xr:uid="{6B673CCB-3B3D-4129-BCBB-071EF1ADF594}"/>
    <cellStyle name="Linked Cell 11 4 9 2 2" xfId="13531" xr:uid="{BD2E6DB0-3553-48CA-8CC6-218AFC77F369}"/>
    <cellStyle name="Linked Cell 11 4 9 3" xfId="13532" xr:uid="{D797C759-6F3D-4C1E-A563-95075681FDAC}"/>
    <cellStyle name="Linked Cell 12" xfId="13533" xr:uid="{A3F7E8C6-423D-4034-BA9D-B92040F24B9C}"/>
    <cellStyle name="Linked Cell 12 2" xfId="13534" xr:uid="{BF543C0B-9CAB-4FFB-9803-4264BDC33A13}"/>
    <cellStyle name="Linked Cell 12 2 10" xfId="13535" xr:uid="{398CE0D2-3231-4336-BDBC-4850323B1A3F}"/>
    <cellStyle name="Linked Cell 12 2 10 2" xfId="13536" xr:uid="{A76A6980-9473-4ECC-82D2-58CA7FDE4CC6}"/>
    <cellStyle name="Linked Cell 12 2 10 2 2" xfId="13537" xr:uid="{5B73560C-FC31-4676-89B4-704969D09F68}"/>
    <cellStyle name="Linked Cell 12 2 10 3" xfId="13538" xr:uid="{0F50CD72-B87F-4806-A030-8F87AD09D561}"/>
    <cellStyle name="Linked Cell 12 2 11" xfId="13539" xr:uid="{D44014B9-9F32-4389-BB69-AB0F629723E0}"/>
    <cellStyle name="Linked Cell 12 2 11 2" xfId="13540" xr:uid="{09E763C8-3ADA-40BA-B437-B8A4B3459F9C}"/>
    <cellStyle name="Linked Cell 12 2 11 2 2" xfId="13541" xr:uid="{EC49A4BA-F594-4963-86F4-23F7CC6A016F}"/>
    <cellStyle name="Linked Cell 12 2 11 3" xfId="13542" xr:uid="{40404FAB-2CDB-4AE7-91D5-3266A010E684}"/>
    <cellStyle name="Linked Cell 12 2 12" xfId="13543" xr:uid="{85CE4107-6A95-4AC2-8E9F-0070F15ED3BA}"/>
    <cellStyle name="Linked Cell 12 2 12 2" xfId="13544" xr:uid="{06362FDD-0514-4FCD-8947-8C72FA9AE459}"/>
    <cellStyle name="Linked Cell 12 2 12 2 2" xfId="13545" xr:uid="{1FE55FF2-1A0B-4350-91BD-BE64F8C4F550}"/>
    <cellStyle name="Linked Cell 12 2 12 3" xfId="13546" xr:uid="{A0D9CA2F-7ECB-460B-8206-2BD12C01F7BC}"/>
    <cellStyle name="Linked Cell 12 2 13" xfId="13547" xr:uid="{1BF1E293-489B-47A4-86B1-D0DCA8D27D98}"/>
    <cellStyle name="Linked Cell 12 2 13 2" xfId="13548" xr:uid="{74F12D72-AC16-452B-8F98-A775A8078739}"/>
    <cellStyle name="Linked Cell 12 2 13 2 2" xfId="13549" xr:uid="{3B53AE76-4C68-42D6-B7D1-7DB2F264C56F}"/>
    <cellStyle name="Linked Cell 12 2 13 3" xfId="13550" xr:uid="{B64023FA-D8E0-4C72-9A64-530EC6C8D64A}"/>
    <cellStyle name="Linked Cell 12 2 14" xfId="13551" xr:uid="{6EDE54DD-C0F3-44B0-86EA-95C1C5CC1BFE}"/>
    <cellStyle name="Linked Cell 12 2 14 2" xfId="13552" xr:uid="{661E99F4-8C23-4102-BC1A-BF29F45550FE}"/>
    <cellStyle name="Linked Cell 12 2 15" xfId="13553" xr:uid="{707818D9-E8A7-479E-B544-6EE0BB843CBC}"/>
    <cellStyle name="Linked Cell 12 2 2" xfId="13554" xr:uid="{7C0F97EC-7B4F-4B37-BC34-3309570E8F67}"/>
    <cellStyle name="Linked Cell 12 2 2 10" xfId="13555" xr:uid="{D7D801D3-BC9B-4B1E-9CCD-422ED2D757C1}"/>
    <cellStyle name="Linked Cell 12 2 2 10 2" xfId="13556" xr:uid="{30BE4347-24EA-45F2-9BD3-AA25740DB259}"/>
    <cellStyle name="Linked Cell 12 2 2 10 2 2" xfId="13557" xr:uid="{0AF87933-0239-4A39-B568-8A4820EC2AB8}"/>
    <cellStyle name="Linked Cell 12 2 2 10 3" xfId="13558" xr:uid="{3E0FA8AC-42EC-497A-AD0F-3D6B856AFF38}"/>
    <cellStyle name="Linked Cell 12 2 2 11" xfId="13559" xr:uid="{472E17A9-9D58-4CFB-A909-8AC298E58197}"/>
    <cellStyle name="Linked Cell 12 2 2 11 2" xfId="13560" xr:uid="{A3F27C2C-3AAF-45C3-A70F-A63F12AE093B}"/>
    <cellStyle name="Linked Cell 12 2 2 11 2 2" xfId="13561" xr:uid="{90D05F07-2F04-4395-AE75-9970A20988B6}"/>
    <cellStyle name="Linked Cell 12 2 2 11 3" xfId="13562" xr:uid="{1BBDD7EE-B92C-44EE-BF2F-F89236086941}"/>
    <cellStyle name="Linked Cell 12 2 2 12" xfId="13563" xr:uid="{DC5E02DD-210F-4E67-9792-356A20273EB1}"/>
    <cellStyle name="Linked Cell 12 2 2 12 2" xfId="13564" xr:uid="{E1F589B5-BCB0-418F-92B3-194CBA890105}"/>
    <cellStyle name="Linked Cell 12 2 2 12 2 2" xfId="13565" xr:uid="{FBC01B6C-A935-474A-A75A-66A1865B15B4}"/>
    <cellStyle name="Linked Cell 12 2 2 12 3" xfId="13566" xr:uid="{B3F246C8-2789-4AAE-B86A-BDBCEE03335A}"/>
    <cellStyle name="Linked Cell 12 2 2 13" xfId="13567" xr:uid="{92BF73A1-2E31-4CC3-A9D4-13CD43DE51C1}"/>
    <cellStyle name="Linked Cell 12 2 2 13 2" xfId="13568" xr:uid="{EDCF3B03-94F9-4109-ADAE-5B35FC7D9120}"/>
    <cellStyle name="Linked Cell 12 2 2 14" xfId="13569" xr:uid="{12F6349F-66CF-462D-A4F6-B7A341837220}"/>
    <cellStyle name="Linked Cell 12 2 2 2" xfId="13570" xr:uid="{76A4D0C7-0893-497B-B0E2-E95CE9C3DA69}"/>
    <cellStyle name="Linked Cell 12 2 2 2 10" xfId="13571" xr:uid="{856665FB-4775-46AA-9ED4-30D294B3FE9A}"/>
    <cellStyle name="Linked Cell 12 2 2 2 10 2" xfId="13572" xr:uid="{306B6013-34A6-4A78-9CAC-98B175F8B572}"/>
    <cellStyle name="Linked Cell 12 2 2 2 10 2 2" xfId="13573" xr:uid="{55A0BB44-7B64-4BB7-B45A-89BCADDBC6DC}"/>
    <cellStyle name="Linked Cell 12 2 2 2 10 3" xfId="13574" xr:uid="{2ACA2F97-274A-4F53-B05F-E5079A26CAF8}"/>
    <cellStyle name="Linked Cell 12 2 2 2 11" xfId="13575" xr:uid="{AFDF5A30-497C-495B-8344-D08C45D0E1D1}"/>
    <cellStyle name="Linked Cell 12 2 2 2 11 2" xfId="13576" xr:uid="{DDA6B152-EA6A-41D1-B5EC-A04CA8FC5495}"/>
    <cellStyle name="Linked Cell 12 2 2 2 11 2 2" xfId="13577" xr:uid="{A4CB688C-3829-4903-B352-630E1797BA26}"/>
    <cellStyle name="Linked Cell 12 2 2 2 11 3" xfId="13578" xr:uid="{18D546F2-0A2D-43DB-81C7-7404BA8AEBFD}"/>
    <cellStyle name="Linked Cell 12 2 2 2 12" xfId="13579" xr:uid="{E9A2CDA5-ACAE-4154-8847-0C2AC52BA0C2}"/>
    <cellStyle name="Linked Cell 12 2 2 2 12 2" xfId="13580" xr:uid="{AA3111EA-17F3-424A-A851-441588856812}"/>
    <cellStyle name="Linked Cell 12 2 2 2 13" xfId="13581" xr:uid="{D56E7149-0B18-4DAF-A390-88B2A4B8710B}"/>
    <cellStyle name="Linked Cell 12 2 2 2 2" xfId="13582" xr:uid="{D37C7D3B-A3E4-4956-88FC-C665C5B716D3}"/>
    <cellStyle name="Linked Cell 12 2 2 2 2 10" xfId="13583" xr:uid="{A14FAD9E-FDD6-4309-AC1B-38603EF8CECF}"/>
    <cellStyle name="Linked Cell 12 2 2 2 2 10 2" xfId="13584" xr:uid="{0F88A46B-BAA6-490D-8B73-AEB18ADAD5B0}"/>
    <cellStyle name="Linked Cell 12 2 2 2 2 10 2 2" xfId="13585" xr:uid="{682181C4-E3A6-4DC7-8D76-C13B97602646}"/>
    <cellStyle name="Linked Cell 12 2 2 2 2 10 3" xfId="13586" xr:uid="{7A9EE508-DF25-499A-819A-9D7DA996AB85}"/>
    <cellStyle name="Linked Cell 12 2 2 2 2 11" xfId="13587" xr:uid="{369D9473-48DF-45C6-805A-0A39E8E10C85}"/>
    <cellStyle name="Linked Cell 12 2 2 2 2 11 2" xfId="13588" xr:uid="{7147E921-23FD-4C34-801D-E95771FC81E2}"/>
    <cellStyle name="Linked Cell 12 2 2 2 2 12" xfId="13589" xr:uid="{D6CB9B35-B627-428F-9203-E265842C8BEE}"/>
    <cellStyle name="Linked Cell 12 2 2 2 2 2" xfId="13590" xr:uid="{FAEDF326-A30A-4B43-96C8-ABD283926E61}"/>
    <cellStyle name="Linked Cell 12 2 2 2 2 2 2" xfId="13591" xr:uid="{C5FC547B-E8B9-47D0-84DB-11B3C551A555}"/>
    <cellStyle name="Linked Cell 12 2 2 2 2 2 2 2" xfId="13592" xr:uid="{F3CF8717-125F-444E-8B53-42967B9F884F}"/>
    <cellStyle name="Linked Cell 12 2 2 2 2 2 3" xfId="13593" xr:uid="{6954C67A-A8FA-447B-BD17-7CE4CE860038}"/>
    <cellStyle name="Linked Cell 12 2 2 2 2 3" xfId="13594" xr:uid="{C36EE8F9-76A5-4BBC-9F73-1F13D827112C}"/>
    <cellStyle name="Linked Cell 12 2 2 2 2 3 2" xfId="13595" xr:uid="{146E045C-AE26-43D1-B8A2-B832B276FE85}"/>
    <cellStyle name="Linked Cell 12 2 2 2 2 3 2 2" xfId="13596" xr:uid="{A61C0BCF-7D13-4EBA-B74F-B29609970ECE}"/>
    <cellStyle name="Linked Cell 12 2 2 2 2 3 3" xfId="13597" xr:uid="{C83C029D-187C-4822-B81F-5FB81BBE9764}"/>
    <cellStyle name="Linked Cell 12 2 2 2 2 4" xfId="13598" xr:uid="{75D3733E-2C3A-4D72-92D6-F70755D116B4}"/>
    <cellStyle name="Linked Cell 12 2 2 2 2 4 2" xfId="13599" xr:uid="{217E4B11-AED7-4668-8C93-E2C6041DE001}"/>
    <cellStyle name="Linked Cell 12 2 2 2 2 4 2 2" xfId="13600" xr:uid="{844C5231-489E-4AA7-A3D3-F8C804C9762E}"/>
    <cellStyle name="Linked Cell 12 2 2 2 2 4 3" xfId="13601" xr:uid="{C4961F71-8D71-4C58-923A-73D2B6E0D551}"/>
    <cellStyle name="Linked Cell 12 2 2 2 2 5" xfId="13602" xr:uid="{11044E5A-7572-450C-A109-1F3FEDF13FD0}"/>
    <cellStyle name="Linked Cell 12 2 2 2 2 5 2" xfId="13603" xr:uid="{A71674BB-01EE-4E3A-9CF1-D79D6DD0CA8D}"/>
    <cellStyle name="Linked Cell 12 2 2 2 2 5 2 2" xfId="13604" xr:uid="{C9FD6AF2-122B-4296-AA1D-655F2C8E8A8B}"/>
    <cellStyle name="Linked Cell 12 2 2 2 2 5 3" xfId="13605" xr:uid="{A4ADCE98-6BC3-4CFD-BF17-526C56A78C0F}"/>
    <cellStyle name="Linked Cell 12 2 2 2 2 6" xfId="13606" xr:uid="{F36144DA-B3D6-4DFF-B5D6-99A16C0AB808}"/>
    <cellStyle name="Linked Cell 12 2 2 2 2 6 2" xfId="13607" xr:uid="{F79831EC-FB11-4C77-80DA-77DEF8C80F70}"/>
    <cellStyle name="Linked Cell 12 2 2 2 2 6 2 2" xfId="13608" xr:uid="{32DCEEDD-D130-4386-9CDE-CA68E1E9C60B}"/>
    <cellStyle name="Linked Cell 12 2 2 2 2 6 3" xfId="13609" xr:uid="{48989D4A-E341-4EBC-9733-5ABCCDA5F460}"/>
    <cellStyle name="Linked Cell 12 2 2 2 2 7" xfId="13610" xr:uid="{316DC650-E0DB-43B9-B1C1-0FFC3ED9A155}"/>
    <cellStyle name="Linked Cell 12 2 2 2 2 7 2" xfId="13611" xr:uid="{60FB5921-69CD-46DB-A283-0BF2C7BE3284}"/>
    <cellStyle name="Linked Cell 12 2 2 2 2 7 2 2" xfId="13612" xr:uid="{DFFCCDDA-81F9-4D93-9EDC-EF90B857E150}"/>
    <cellStyle name="Linked Cell 12 2 2 2 2 7 3" xfId="13613" xr:uid="{2D120399-902E-4642-B2C5-66F0C1368291}"/>
    <cellStyle name="Linked Cell 12 2 2 2 2 8" xfId="13614" xr:uid="{C05100BA-AC91-4636-944A-B524E44737B7}"/>
    <cellStyle name="Linked Cell 12 2 2 2 2 8 2" xfId="13615" xr:uid="{A4955563-ECA3-4965-A81A-85F0B571BF0D}"/>
    <cellStyle name="Linked Cell 12 2 2 2 2 8 2 2" xfId="13616" xr:uid="{D73FE150-C770-46FA-8C14-FC1689521662}"/>
    <cellStyle name="Linked Cell 12 2 2 2 2 8 3" xfId="13617" xr:uid="{D07A99CC-C442-4772-B5FA-2EE26C57F5FB}"/>
    <cellStyle name="Linked Cell 12 2 2 2 2 9" xfId="13618" xr:uid="{1468CA25-8DDB-443B-B0DB-4759D33ACB48}"/>
    <cellStyle name="Linked Cell 12 2 2 2 2 9 2" xfId="13619" xr:uid="{5FCB0C04-1A26-4E68-A63F-4523469C16AA}"/>
    <cellStyle name="Linked Cell 12 2 2 2 2 9 2 2" xfId="13620" xr:uid="{A823DA3C-50AD-4D94-8988-9434217A5391}"/>
    <cellStyle name="Linked Cell 12 2 2 2 2 9 3" xfId="13621" xr:uid="{992EF672-E1FE-4ADE-987C-F453669B6FEA}"/>
    <cellStyle name="Linked Cell 12 2 2 2 3" xfId="13622" xr:uid="{15676C32-5BF8-4974-8990-A6E64AB64DD2}"/>
    <cellStyle name="Linked Cell 12 2 2 2 3 10" xfId="13623" xr:uid="{C146D93E-35DF-4758-B3D7-B7BD223B3E0B}"/>
    <cellStyle name="Linked Cell 12 2 2 2 3 10 2" xfId="13624" xr:uid="{E88E854A-BE9E-4089-8A3A-F7B1DF380F62}"/>
    <cellStyle name="Linked Cell 12 2 2 2 3 11" xfId="13625" xr:uid="{74DCC772-FE94-40B6-828D-9C7B79BA99B0}"/>
    <cellStyle name="Linked Cell 12 2 2 2 3 2" xfId="13626" xr:uid="{B7219E08-CD00-4F2A-85B9-B522A913F81C}"/>
    <cellStyle name="Linked Cell 12 2 2 2 3 2 2" xfId="13627" xr:uid="{D4BD0AFB-44F8-4BAF-AD22-B8AA841D0FE0}"/>
    <cellStyle name="Linked Cell 12 2 2 2 3 2 2 2" xfId="13628" xr:uid="{69746CA1-72B1-425A-8B06-6B2AC13FE96F}"/>
    <cellStyle name="Linked Cell 12 2 2 2 3 2 3" xfId="13629" xr:uid="{BAFC22F7-F6FA-4024-94DC-BF2EE4A796FA}"/>
    <cellStyle name="Linked Cell 12 2 2 2 3 3" xfId="13630" xr:uid="{04094893-7C58-4184-8AC6-17ABEF18E9D4}"/>
    <cellStyle name="Linked Cell 12 2 2 2 3 3 2" xfId="13631" xr:uid="{E14F05D0-580E-4CE7-BB0A-DE621E801761}"/>
    <cellStyle name="Linked Cell 12 2 2 2 3 3 2 2" xfId="13632" xr:uid="{997E9868-F956-4ACB-8EF7-A5DA07D58FCA}"/>
    <cellStyle name="Linked Cell 12 2 2 2 3 3 3" xfId="13633" xr:uid="{92D0A2AB-6931-4FB0-93B3-C97C28586B4B}"/>
    <cellStyle name="Linked Cell 12 2 2 2 3 4" xfId="13634" xr:uid="{A5F30DD4-3E13-4E8C-9D11-524161C021F8}"/>
    <cellStyle name="Linked Cell 12 2 2 2 3 4 2" xfId="13635" xr:uid="{369187B8-D51F-4E13-8D7A-7683AF7212B0}"/>
    <cellStyle name="Linked Cell 12 2 2 2 3 4 2 2" xfId="13636" xr:uid="{6872E7B1-8983-4DFA-8B09-F94A2543419F}"/>
    <cellStyle name="Linked Cell 12 2 2 2 3 4 3" xfId="13637" xr:uid="{AB992366-29BA-4BF0-8564-794D9CA7F3A5}"/>
    <cellStyle name="Linked Cell 12 2 2 2 3 5" xfId="13638" xr:uid="{04821F18-16C3-4DFA-A7CC-9CE05CD9288F}"/>
    <cellStyle name="Linked Cell 12 2 2 2 3 5 2" xfId="13639" xr:uid="{5D315938-42E8-4C69-A5C8-E59E2770D734}"/>
    <cellStyle name="Linked Cell 12 2 2 2 3 5 2 2" xfId="13640" xr:uid="{42B92BEB-DA82-4667-BBC3-51D0D49F005F}"/>
    <cellStyle name="Linked Cell 12 2 2 2 3 5 3" xfId="13641" xr:uid="{698B4A83-8E4C-48D2-896D-C2615F02D851}"/>
    <cellStyle name="Linked Cell 12 2 2 2 3 6" xfId="13642" xr:uid="{AC771B9B-A208-4391-AE79-A212D05514D9}"/>
    <cellStyle name="Linked Cell 12 2 2 2 3 6 2" xfId="13643" xr:uid="{73462FF8-CBE6-4BB0-AA01-8E8F1B66FA26}"/>
    <cellStyle name="Linked Cell 12 2 2 2 3 6 2 2" xfId="13644" xr:uid="{747315A1-A306-4FCC-A4B7-2FA5EB114E90}"/>
    <cellStyle name="Linked Cell 12 2 2 2 3 6 3" xfId="13645" xr:uid="{756719E5-9699-4C41-89B9-FFDE8D0B45E5}"/>
    <cellStyle name="Linked Cell 12 2 2 2 3 7" xfId="13646" xr:uid="{21102719-BDFB-43EA-A71B-0DD0837632A7}"/>
    <cellStyle name="Linked Cell 12 2 2 2 3 7 2" xfId="13647" xr:uid="{6463754B-D6FE-47DE-A13A-EFF2FD88B4CF}"/>
    <cellStyle name="Linked Cell 12 2 2 2 3 7 2 2" xfId="13648" xr:uid="{296604BE-28C5-49A7-8779-EB17947988AD}"/>
    <cellStyle name="Linked Cell 12 2 2 2 3 7 3" xfId="13649" xr:uid="{69F2AE01-B1CB-4E93-95D3-0F936499E930}"/>
    <cellStyle name="Linked Cell 12 2 2 2 3 8" xfId="13650" xr:uid="{CA906C3D-4D1F-4572-B122-D9C24847F805}"/>
    <cellStyle name="Linked Cell 12 2 2 2 3 8 2" xfId="13651" xr:uid="{A5F32D44-CE88-436A-8D64-1AEB49E5DD05}"/>
    <cellStyle name="Linked Cell 12 2 2 2 3 8 2 2" xfId="13652" xr:uid="{5CF5253D-8C88-4C90-AB55-FB0CC08E8DDA}"/>
    <cellStyle name="Linked Cell 12 2 2 2 3 8 3" xfId="13653" xr:uid="{10BD5892-2B9D-476B-BEB7-1BC112F19441}"/>
    <cellStyle name="Linked Cell 12 2 2 2 3 9" xfId="13654" xr:uid="{97661D55-E1C6-4EF3-BD26-C73D1A2739D7}"/>
    <cellStyle name="Linked Cell 12 2 2 2 3 9 2" xfId="13655" xr:uid="{74319E90-BAE5-4D6B-A207-95DC16AB5943}"/>
    <cellStyle name="Linked Cell 12 2 2 2 3 9 2 2" xfId="13656" xr:uid="{15BEAF43-A02A-4B08-B7C8-0A6A8EF75779}"/>
    <cellStyle name="Linked Cell 12 2 2 2 3 9 3" xfId="13657" xr:uid="{546DF21F-7492-4B22-8784-A58FA8405D0E}"/>
    <cellStyle name="Linked Cell 12 2 2 2 4" xfId="13658" xr:uid="{553E2558-0EAF-4586-A3E9-9E67C2A9A119}"/>
    <cellStyle name="Linked Cell 12 2 2 2 4 2" xfId="13659" xr:uid="{7C8BA5BE-8811-484C-89FC-69AD8BFA573E}"/>
    <cellStyle name="Linked Cell 12 2 2 2 4 2 2" xfId="13660" xr:uid="{AF9DADD9-68A1-4598-9F55-93F1BF433461}"/>
    <cellStyle name="Linked Cell 12 2 2 2 4 3" xfId="13661" xr:uid="{06372021-F2E5-4895-BA2F-D84BD971EA2E}"/>
    <cellStyle name="Linked Cell 12 2 2 2 5" xfId="13662" xr:uid="{60506D19-A1D8-45A4-AA35-DEDD6D13DEDE}"/>
    <cellStyle name="Linked Cell 12 2 2 2 5 2" xfId="13663" xr:uid="{FD67ED73-8F37-452D-A24D-D77954316DC9}"/>
    <cellStyle name="Linked Cell 12 2 2 2 5 2 2" xfId="13664" xr:uid="{B671A117-98FF-4331-9E02-6848029EFA97}"/>
    <cellStyle name="Linked Cell 12 2 2 2 5 3" xfId="13665" xr:uid="{A6DB794D-9095-40FB-8553-B043F219932E}"/>
    <cellStyle name="Linked Cell 12 2 2 2 6" xfId="13666" xr:uid="{C429CC1E-AF7D-410E-95D3-A059398709C7}"/>
    <cellStyle name="Linked Cell 12 2 2 2 6 2" xfId="13667" xr:uid="{3999BD0C-B8DB-456F-9EF7-C22333A14C89}"/>
    <cellStyle name="Linked Cell 12 2 2 2 6 2 2" xfId="13668" xr:uid="{F01ED080-EFE0-4709-BCB4-20B15CE452BD}"/>
    <cellStyle name="Linked Cell 12 2 2 2 6 3" xfId="13669" xr:uid="{20B0581D-5CF3-4DF5-9896-E08DB6920473}"/>
    <cellStyle name="Linked Cell 12 2 2 2 7" xfId="13670" xr:uid="{7FBCF59B-B6F5-42BC-AEA5-C74BB5139C24}"/>
    <cellStyle name="Linked Cell 12 2 2 2 7 2" xfId="13671" xr:uid="{95068B1F-AE49-4EC2-8033-C283A8F07E18}"/>
    <cellStyle name="Linked Cell 12 2 2 2 7 2 2" xfId="13672" xr:uid="{A990EB0B-473E-429F-911A-B7FD8636F59F}"/>
    <cellStyle name="Linked Cell 12 2 2 2 7 3" xfId="13673" xr:uid="{6E151F1F-DB1D-4D2A-BF80-AFC24C0BFE24}"/>
    <cellStyle name="Linked Cell 12 2 2 2 8" xfId="13674" xr:uid="{9597691B-5D87-40FD-A95F-258CA8D8A06C}"/>
    <cellStyle name="Linked Cell 12 2 2 2 8 2" xfId="13675" xr:uid="{12EE0CCB-F9E0-4FE1-B8A2-0D8925E7191A}"/>
    <cellStyle name="Linked Cell 12 2 2 2 8 2 2" xfId="13676" xr:uid="{07423D5D-DC43-4D39-BD51-721CD58B52D5}"/>
    <cellStyle name="Linked Cell 12 2 2 2 8 3" xfId="13677" xr:uid="{D0E13A5F-AFA4-4740-B1D9-7CA78418B57C}"/>
    <cellStyle name="Linked Cell 12 2 2 2 9" xfId="13678" xr:uid="{E34E0F59-4C14-4831-842C-7B92DD064C43}"/>
    <cellStyle name="Linked Cell 12 2 2 2 9 2" xfId="13679" xr:uid="{BB143142-E0ED-4D7F-BFFC-043094EA97BE}"/>
    <cellStyle name="Linked Cell 12 2 2 2 9 2 2" xfId="13680" xr:uid="{205F925C-11DE-4FB6-890D-0DDB3EF6BE61}"/>
    <cellStyle name="Linked Cell 12 2 2 2 9 3" xfId="13681" xr:uid="{F3CFBB1D-A122-4BF0-88E8-E58B3E86AF05}"/>
    <cellStyle name="Linked Cell 12 2 2 3" xfId="13682" xr:uid="{41DC1130-8D7C-4F76-BFD7-36386474D664}"/>
    <cellStyle name="Linked Cell 12 2 2 3 10" xfId="13683" xr:uid="{6DFDA00E-AF41-4D7F-9ACC-4C833E87B651}"/>
    <cellStyle name="Linked Cell 12 2 2 3 10 2" xfId="13684" xr:uid="{AF913974-6287-4985-847C-707F525EEBAF}"/>
    <cellStyle name="Linked Cell 12 2 2 3 10 2 2" xfId="13685" xr:uid="{722F0314-0D11-4B49-9F4A-0993D2534CB2}"/>
    <cellStyle name="Linked Cell 12 2 2 3 10 3" xfId="13686" xr:uid="{EFFE1BBE-C287-470E-9A94-681FF4BC0705}"/>
    <cellStyle name="Linked Cell 12 2 2 3 11" xfId="13687" xr:uid="{178ECB52-9287-408D-A1DB-FFC1A78254E0}"/>
    <cellStyle name="Linked Cell 12 2 2 3 11 2" xfId="13688" xr:uid="{45B2AB45-4CEA-4402-AB28-479A9330A043}"/>
    <cellStyle name="Linked Cell 12 2 2 3 12" xfId="13689" xr:uid="{E9659F71-D1BA-43D8-A976-6F9B4AA99341}"/>
    <cellStyle name="Linked Cell 12 2 2 3 2" xfId="13690" xr:uid="{77D5B3D3-EE42-4C19-AC80-AC9F0E12FD44}"/>
    <cellStyle name="Linked Cell 12 2 2 3 2 10" xfId="13691" xr:uid="{A3E6B31F-1024-40BC-BAA1-ADC91C00A0C6}"/>
    <cellStyle name="Linked Cell 12 2 2 3 2 10 2" xfId="13692" xr:uid="{B1D03C6C-14D1-4401-85A7-0CCAD0AFABD0}"/>
    <cellStyle name="Linked Cell 12 2 2 3 2 11" xfId="13693" xr:uid="{EB2FE44B-18D5-4CAD-8A81-5B4011114D3F}"/>
    <cellStyle name="Linked Cell 12 2 2 3 2 2" xfId="13694" xr:uid="{1FF46F66-AC8F-44CF-AD8E-5479119676E4}"/>
    <cellStyle name="Linked Cell 12 2 2 3 2 2 2" xfId="13695" xr:uid="{E63BB14E-7A08-4ED8-891A-82DB8812B9E9}"/>
    <cellStyle name="Linked Cell 12 2 2 3 2 2 2 2" xfId="13696" xr:uid="{95B4CF86-E862-4D02-8B1C-A74962F67683}"/>
    <cellStyle name="Linked Cell 12 2 2 3 2 2 3" xfId="13697" xr:uid="{5E6E54BA-40A8-4D47-A4C8-B091C3BD274F}"/>
    <cellStyle name="Linked Cell 12 2 2 3 2 3" xfId="13698" xr:uid="{E55EF048-0677-4C55-8CDC-720D94D3035D}"/>
    <cellStyle name="Linked Cell 12 2 2 3 2 3 2" xfId="13699" xr:uid="{186EB369-02F8-429B-BCA9-15CDEBD71222}"/>
    <cellStyle name="Linked Cell 12 2 2 3 2 3 2 2" xfId="13700" xr:uid="{F4404336-A69B-4647-B253-50DEEE925392}"/>
    <cellStyle name="Linked Cell 12 2 2 3 2 3 3" xfId="13701" xr:uid="{22AA2EEA-67E4-47FD-90E9-B451775F3A05}"/>
    <cellStyle name="Linked Cell 12 2 2 3 2 4" xfId="13702" xr:uid="{FCC59792-89A6-4021-B72F-FE1DE8892399}"/>
    <cellStyle name="Linked Cell 12 2 2 3 2 4 2" xfId="13703" xr:uid="{ADD2A29E-1AAD-4337-BA78-2B542149E63B}"/>
    <cellStyle name="Linked Cell 12 2 2 3 2 4 2 2" xfId="13704" xr:uid="{D440281A-3C41-4C09-BB76-09986D09E1FC}"/>
    <cellStyle name="Linked Cell 12 2 2 3 2 4 3" xfId="13705" xr:uid="{CE854C5D-F1FD-4915-84EF-6112A530676C}"/>
    <cellStyle name="Linked Cell 12 2 2 3 2 5" xfId="13706" xr:uid="{FAB678B7-2DAF-4F7E-9E95-2A96F675E92C}"/>
    <cellStyle name="Linked Cell 12 2 2 3 2 5 2" xfId="13707" xr:uid="{03FDE38D-4697-4109-A948-41B15EA173EF}"/>
    <cellStyle name="Linked Cell 12 2 2 3 2 5 2 2" xfId="13708" xr:uid="{39CDED74-27E0-47C6-8248-8D656101C700}"/>
    <cellStyle name="Linked Cell 12 2 2 3 2 5 3" xfId="13709" xr:uid="{1D4D623A-5A30-4605-96EE-70A0F90A377E}"/>
    <cellStyle name="Linked Cell 12 2 2 3 2 6" xfId="13710" xr:uid="{EE4A15CE-531A-4631-A814-7897CEDB8210}"/>
    <cellStyle name="Linked Cell 12 2 2 3 2 6 2" xfId="13711" xr:uid="{4445B1B0-3615-4DED-BE1E-25AA7D8DBFA8}"/>
    <cellStyle name="Linked Cell 12 2 2 3 2 6 2 2" xfId="13712" xr:uid="{AF38732B-190B-4962-82CF-DDDDC664DF70}"/>
    <cellStyle name="Linked Cell 12 2 2 3 2 6 3" xfId="13713" xr:uid="{FB5F43D0-8A82-467C-8247-DE19F2854033}"/>
    <cellStyle name="Linked Cell 12 2 2 3 2 7" xfId="13714" xr:uid="{3428F3E0-D242-44A9-A970-2778C54FD9EA}"/>
    <cellStyle name="Linked Cell 12 2 2 3 2 7 2" xfId="13715" xr:uid="{A0298B9A-D3F0-40CD-A694-FFE5B3E6547F}"/>
    <cellStyle name="Linked Cell 12 2 2 3 2 7 2 2" xfId="13716" xr:uid="{2562D91D-53E8-4485-AD75-10D3E46F3F8F}"/>
    <cellStyle name="Linked Cell 12 2 2 3 2 7 3" xfId="13717" xr:uid="{5063E91B-6A58-44B2-B16A-6AC1B577D856}"/>
    <cellStyle name="Linked Cell 12 2 2 3 2 8" xfId="13718" xr:uid="{99DD9DA4-177E-44D3-8C7D-931C00BF7715}"/>
    <cellStyle name="Linked Cell 12 2 2 3 2 8 2" xfId="13719" xr:uid="{A33570CA-98E8-474C-B1B7-0355D395CEFD}"/>
    <cellStyle name="Linked Cell 12 2 2 3 2 8 2 2" xfId="13720" xr:uid="{C77190F4-2516-48F5-AEED-2436A956025A}"/>
    <cellStyle name="Linked Cell 12 2 2 3 2 8 3" xfId="13721" xr:uid="{4DEA2A0E-B482-45AB-AAFA-1B498DF562DD}"/>
    <cellStyle name="Linked Cell 12 2 2 3 2 9" xfId="13722" xr:uid="{8401B218-FCE8-4EB8-B63F-E8E4D133F489}"/>
    <cellStyle name="Linked Cell 12 2 2 3 2 9 2" xfId="13723" xr:uid="{961F6E87-76DF-4F5E-AB1F-1C3147DF20E2}"/>
    <cellStyle name="Linked Cell 12 2 2 3 2 9 2 2" xfId="13724" xr:uid="{57499CD3-B855-4293-A661-54FC53296FC4}"/>
    <cellStyle name="Linked Cell 12 2 2 3 2 9 3" xfId="13725" xr:uid="{4A964DDE-AA7F-4841-88F4-C3A53C115576}"/>
    <cellStyle name="Linked Cell 12 2 2 3 3" xfId="13726" xr:uid="{8E73B75B-F36C-4CD2-AE75-B09F3504258F}"/>
    <cellStyle name="Linked Cell 12 2 2 3 3 2" xfId="13727" xr:uid="{54F18206-A3E2-449D-A882-0CE5870F36D5}"/>
    <cellStyle name="Linked Cell 12 2 2 3 3 2 2" xfId="13728" xr:uid="{ABA8946B-FBDD-4662-A7EE-F8D7C8AF8C78}"/>
    <cellStyle name="Linked Cell 12 2 2 3 3 3" xfId="13729" xr:uid="{25EAD10F-D8B5-4872-BE9F-433390011D7E}"/>
    <cellStyle name="Linked Cell 12 2 2 3 4" xfId="13730" xr:uid="{D40E5773-DE48-459B-8B8C-FA77D238D2C9}"/>
    <cellStyle name="Linked Cell 12 2 2 3 4 2" xfId="13731" xr:uid="{94534D18-CB98-44F6-A198-BF4897E7E4A2}"/>
    <cellStyle name="Linked Cell 12 2 2 3 4 2 2" xfId="13732" xr:uid="{5AC6FBBD-8FAD-4BBB-8157-04BF34705837}"/>
    <cellStyle name="Linked Cell 12 2 2 3 4 3" xfId="13733" xr:uid="{E6C33D4C-1B8D-4C91-BDB5-32968A4945BE}"/>
    <cellStyle name="Linked Cell 12 2 2 3 5" xfId="13734" xr:uid="{E4C8B772-A81E-4CC4-8D66-87095553B720}"/>
    <cellStyle name="Linked Cell 12 2 2 3 5 2" xfId="13735" xr:uid="{4EFFBBE8-4E90-4499-B66A-647F90D16D3C}"/>
    <cellStyle name="Linked Cell 12 2 2 3 5 2 2" xfId="13736" xr:uid="{96F7E2D6-F25E-4A2D-9862-15F6CAB4001C}"/>
    <cellStyle name="Linked Cell 12 2 2 3 5 3" xfId="13737" xr:uid="{223B3391-E971-4CF6-B62D-550F5BC4BF21}"/>
    <cellStyle name="Linked Cell 12 2 2 3 6" xfId="13738" xr:uid="{F7B4A17E-AA85-4E4C-AAF3-0ED38742F112}"/>
    <cellStyle name="Linked Cell 12 2 2 3 6 2" xfId="13739" xr:uid="{4556AEF9-BC43-4EC3-BDA5-5631EE88E931}"/>
    <cellStyle name="Linked Cell 12 2 2 3 6 2 2" xfId="13740" xr:uid="{E0A451AD-EB6A-424C-85FE-ED52E5488E2C}"/>
    <cellStyle name="Linked Cell 12 2 2 3 6 3" xfId="13741" xr:uid="{D37DC8A9-A201-43A7-BFA7-3F68FF8F7247}"/>
    <cellStyle name="Linked Cell 12 2 2 3 7" xfId="13742" xr:uid="{8EE30935-AED9-460C-B4B6-DEC10189273C}"/>
    <cellStyle name="Linked Cell 12 2 2 3 7 2" xfId="13743" xr:uid="{EB1E52E3-0275-451A-BCCC-8A30D2302498}"/>
    <cellStyle name="Linked Cell 12 2 2 3 7 2 2" xfId="13744" xr:uid="{152CAF9C-FFC9-4D5A-902F-257FEE52DDFF}"/>
    <cellStyle name="Linked Cell 12 2 2 3 7 3" xfId="13745" xr:uid="{70C59F52-6AC1-4EC4-9B7C-F81D83343E16}"/>
    <cellStyle name="Linked Cell 12 2 2 3 8" xfId="13746" xr:uid="{4FA953C2-BD3C-4F66-96CB-905C085EE205}"/>
    <cellStyle name="Linked Cell 12 2 2 3 8 2" xfId="13747" xr:uid="{D6DCCAFE-E506-450E-806B-D76B6FA9C6AB}"/>
    <cellStyle name="Linked Cell 12 2 2 3 8 2 2" xfId="13748" xr:uid="{28D11170-D9FB-46DA-B540-BC812BBA43AD}"/>
    <cellStyle name="Linked Cell 12 2 2 3 8 3" xfId="13749" xr:uid="{906FF7E5-E9CE-4615-8A1A-DD247A90514B}"/>
    <cellStyle name="Linked Cell 12 2 2 3 9" xfId="13750" xr:uid="{80ECD89D-FC24-482E-9A83-9F39CE9422C2}"/>
    <cellStyle name="Linked Cell 12 2 2 3 9 2" xfId="13751" xr:uid="{1F29E4E3-4EBF-46F5-8BA8-73517DBFB8F4}"/>
    <cellStyle name="Linked Cell 12 2 2 3 9 2 2" xfId="13752" xr:uid="{CF5D5EF7-346F-407C-A083-93DE92876B46}"/>
    <cellStyle name="Linked Cell 12 2 2 3 9 3" xfId="13753" xr:uid="{839541D4-71F3-4B01-87D3-7F5D2A90DBBD}"/>
    <cellStyle name="Linked Cell 12 2 2 4" xfId="13754" xr:uid="{FB48D798-011E-49F4-9BA2-B180F01DC64B}"/>
    <cellStyle name="Linked Cell 12 2 2 4 10" xfId="13755" xr:uid="{963774A5-F692-47D2-96A5-D11CC64532AD}"/>
    <cellStyle name="Linked Cell 12 2 2 4 10 2" xfId="13756" xr:uid="{3F0D5B1A-42A6-47E3-A4B6-466790095436}"/>
    <cellStyle name="Linked Cell 12 2 2 4 11" xfId="13757" xr:uid="{196C58BF-B4B0-482D-BB14-E5CAFDB8CC8D}"/>
    <cellStyle name="Linked Cell 12 2 2 4 2" xfId="13758" xr:uid="{7738D70F-FB99-4918-8126-EAFEE0D2D070}"/>
    <cellStyle name="Linked Cell 12 2 2 4 2 2" xfId="13759" xr:uid="{75BB945E-203B-4D3E-BF10-8630E1EE7D19}"/>
    <cellStyle name="Linked Cell 12 2 2 4 2 2 2" xfId="13760" xr:uid="{9D287D1F-D045-4CE1-AF80-753B7D69C90B}"/>
    <cellStyle name="Linked Cell 12 2 2 4 2 3" xfId="13761" xr:uid="{550EB864-6F6D-473C-97CD-C599988EAAAF}"/>
    <cellStyle name="Linked Cell 12 2 2 4 3" xfId="13762" xr:uid="{27A13EF2-B201-410F-B86A-32B30A57FDDF}"/>
    <cellStyle name="Linked Cell 12 2 2 4 3 2" xfId="13763" xr:uid="{7E4CC1CC-193C-4A9D-9FD5-5371722C5A5C}"/>
    <cellStyle name="Linked Cell 12 2 2 4 3 2 2" xfId="13764" xr:uid="{E9E64BAF-F637-4D01-9B58-00811B6939C8}"/>
    <cellStyle name="Linked Cell 12 2 2 4 3 3" xfId="13765" xr:uid="{7689199F-4B71-41E9-93FE-F9B94E61D4ED}"/>
    <cellStyle name="Linked Cell 12 2 2 4 4" xfId="13766" xr:uid="{B258AE6E-5D02-4F70-97CB-9E52BAB88085}"/>
    <cellStyle name="Linked Cell 12 2 2 4 4 2" xfId="13767" xr:uid="{5BB22DC1-B682-44BC-8996-4DD557F02FB3}"/>
    <cellStyle name="Linked Cell 12 2 2 4 4 2 2" xfId="13768" xr:uid="{8F636386-F1EA-40CD-8F63-CDCF59A93C65}"/>
    <cellStyle name="Linked Cell 12 2 2 4 4 3" xfId="13769" xr:uid="{5B2AB6C4-A941-43F1-A537-D2F0263BB6CE}"/>
    <cellStyle name="Linked Cell 12 2 2 4 5" xfId="13770" xr:uid="{53B1111C-289D-4BCD-A487-5ECEDB58E4FF}"/>
    <cellStyle name="Linked Cell 12 2 2 4 5 2" xfId="13771" xr:uid="{7A29A124-FF83-457E-AC7D-4A1CA35FE7EE}"/>
    <cellStyle name="Linked Cell 12 2 2 4 5 2 2" xfId="13772" xr:uid="{3E4D3F9C-7D62-4737-8B48-B75F8E3B94D2}"/>
    <cellStyle name="Linked Cell 12 2 2 4 5 3" xfId="13773" xr:uid="{C06AFE52-67E7-4841-8FB3-644A951DCD04}"/>
    <cellStyle name="Linked Cell 12 2 2 4 6" xfId="13774" xr:uid="{9CCC5242-FA51-4418-A8EB-0EA8B9FCEBE6}"/>
    <cellStyle name="Linked Cell 12 2 2 4 6 2" xfId="13775" xr:uid="{B48F510E-98B0-4DDD-BBF5-3831E7CE532E}"/>
    <cellStyle name="Linked Cell 12 2 2 4 6 2 2" xfId="13776" xr:uid="{543B5B01-E988-431D-818D-0CA5A71D8DD4}"/>
    <cellStyle name="Linked Cell 12 2 2 4 6 3" xfId="13777" xr:uid="{604FC9D7-6A93-4F8C-92BF-D86CDF402320}"/>
    <cellStyle name="Linked Cell 12 2 2 4 7" xfId="13778" xr:uid="{1FAE2FDD-BCA1-47D9-AD81-B181199CA944}"/>
    <cellStyle name="Linked Cell 12 2 2 4 7 2" xfId="13779" xr:uid="{BF46FCF9-4AA2-4118-877E-FAEBDAC16298}"/>
    <cellStyle name="Linked Cell 12 2 2 4 7 2 2" xfId="13780" xr:uid="{C222CC2F-593D-4EAF-8AE5-266E008FBBCC}"/>
    <cellStyle name="Linked Cell 12 2 2 4 7 3" xfId="13781" xr:uid="{7C3A4CC1-2417-40BF-A818-6F5FCE1E8D34}"/>
    <cellStyle name="Linked Cell 12 2 2 4 8" xfId="13782" xr:uid="{CDD6EFA2-007A-49E9-BFF5-23291D2C81EA}"/>
    <cellStyle name="Linked Cell 12 2 2 4 8 2" xfId="13783" xr:uid="{51A59DBF-CE61-462B-A695-0DB2FDE60CF6}"/>
    <cellStyle name="Linked Cell 12 2 2 4 8 2 2" xfId="13784" xr:uid="{CA48FA83-1B0A-44E1-88C8-60144CF893EA}"/>
    <cellStyle name="Linked Cell 12 2 2 4 8 3" xfId="13785" xr:uid="{F57B0904-2F2F-48F9-A4DD-9CF19EE4D58E}"/>
    <cellStyle name="Linked Cell 12 2 2 4 9" xfId="13786" xr:uid="{0B78634C-0FBD-426D-ADC4-63BE245E61CA}"/>
    <cellStyle name="Linked Cell 12 2 2 4 9 2" xfId="13787" xr:uid="{12FC4513-3C24-4BE9-83ED-F35D48CF091A}"/>
    <cellStyle name="Linked Cell 12 2 2 4 9 2 2" xfId="13788" xr:uid="{EAE5037B-5942-4069-8D91-2FC0CFFACCB4}"/>
    <cellStyle name="Linked Cell 12 2 2 4 9 3" xfId="13789" xr:uid="{38371377-2DEB-4597-9FC0-F6C439405684}"/>
    <cellStyle name="Linked Cell 12 2 2 5" xfId="13790" xr:uid="{9C75C7B7-D852-4E58-8576-E6D7AED5DE5F}"/>
    <cellStyle name="Linked Cell 12 2 2 5 2" xfId="13791" xr:uid="{92B77C16-81A0-4CB5-85E2-605DF33D5315}"/>
    <cellStyle name="Linked Cell 12 2 2 5 2 2" xfId="13792" xr:uid="{5E68DB48-B337-4FC7-9C3D-7FDFB7CF23E4}"/>
    <cellStyle name="Linked Cell 12 2 2 5 3" xfId="13793" xr:uid="{AF0A7721-9E09-4890-A47D-B8FAFB00C568}"/>
    <cellStyle name="Linked Cell 12 2 2 6" xfId="13794" xr:uid="{3E41CA36-7558-4FB5-B3C9-F644FE1B1463}"/>
    <cellStyle name="Linked Cell 12 2 2 6 2" xfId="13795" xr:uid="{6DCA4EB1-3563-4AC3-A5DC-5B2FDB585029}"/>
    <cellStyle name="Linked Cell 12 2 2 6 2 2" xfId="13796" xr:uid="{B0101BF4-2753-4190-8828-65E2210E774E}"/>
    <cellStyle name="Linked Cell 12 2 2 6 3" xfId="13797" xr:uid="{11A09079-F29A-44E6-958F-A2528BCB7DE2}"/>
    <cellStyle name="Linked Cell 12 2 2 7" xfId="13798" xr:uid="{ADEE2B33-7170-41DA-BD0C-896098954B6C}"/>
    <cellStyle name="Linked Cell 12 2 2 7 2" xfId="13799" xr:uid="{C801BA46-0847-4F52-8CC3-1D7DCEDB7EBE}"/>
    <cellStyle name="Linked Cell 12 2 2 7 2 2" xfId="13800" xr:uid="{91419042-5B51-4506-B7DE-6DACA179A49D}"/>
    <cellStyle name="Linked Cell 12 2 2 7 3" xfId="13801" xr:uid="{826C1961-8E53-4013-A1EB-68AD332D1152}"/>
    <cellStyle name="Linked Cell 12 2 2 8" xfId="13802" xr:uid="{00D1AD4B-E937-4F75-9A43-0C7C9E6241DB}"/>
    <cellStyle name="Linked Cell 12 2 2 8 2" xfId="13803" xr:uid="{5CA5B143-2FF3-483B-8BC1-25DDB5444B6B}"/>
    <cellStyle name="Linked Cell 12 2 2 8 2 2" xfId="13804" xr:uid="{81EC358F-0061-4CCC-9891-544A47F1BD75}"/>
    <cellStyle name="Linked Cell 12 2 2 8 3" xfId="13805" xr:uid="{07F57AE6-6F7C-43A6-83F5-F3EB8DCA70F2}"/>
    <cellStyle name="Linked Cell 12 2 2 9" xfId="13806" xr:uid="{3629322C-9C5C-4BF5-B449-EC4889A16A59}"/>
    <cellStyle name="Linked Cell 12 2 2 9 2" xfId="13807" xr:uid="{14410978-C53A-4123-A42C-AD69FD24A906}"/>
    <cellStyle name="Linked Cell 12 2 2 9 2 2" xfId="13808" xr:uid="{91177FBF-E71B-49E4-B606-D46F60C0AFD2}"/>
    <cellStyle name="Linked Cell 12 2 2 9 3" xfId="13809" xr:uid="{696771E2-A6D1-4B78-A2A1-0FDAA9406032}"/>
    <cellStyle name="Linked Cell 12 2 3" xfId="13810" xr:uid="{D6319731-76EF-4D30-9EFE-E15B62B2F4D1}"/>
    <cellStyle name="Linked Cell 12 2 3 10" xfId="13811" xr:uid="{2AFD9409-DE2B-45BD-B8EF-D9AC5395324A}"/>
    <cellStyle name="Linked Cell 12 2 3 10 2" xfId="13812" xr:uid="{6022B05A-544A-4A70-93B4-BA365386EFB4}"/>
    <cellStyle name="Linked Cell 12 2 3 10 2 2" xfId="13813" xr:uid="{3E45CE57-FE82-4ACE-AA91-BFA3D350E6C7}"/>
    <cellStyle name="Linked Cell 12 2 3 10 3" xfId="13814" xr:uid="{83203B54-C153-4E0E-BAE8-E70D6F3050F0}"/>
    <cellStyle name="Linked Cell 12 2 3 11" xfId="13815" xr:uid="{E7DDB687-721D-4A67-ACDD-462DA215ECCD}"/>
    <cellStyle name="Linked Cell 12 2 3 11 2" xfId="13816" xr:uid="{A792F251-CD93-49E4-8ED4-601E1820A24A}"/>
    <cellStyle name="Linked Cell 12 2 3 11 2 2" xfId="13817" xr:uid="{9FDCD7C2-773E-4E19-96AE-292FEA0564CE}"/>
    <cellStyle name="Linked Cell 12 2 3 11 3" xfId="13818" xr:uid="{140BCAD3-D0B4-4058-95B0-99DA124CE05B}"/>
    <cellStyle name="Linked Cell 12 2 3 12" xfId="13819" xr:uid="{6B05BC5C-1C37-413A-9E15-4BC0DA856EC2}"/>
    <cellStyle name="Linked Cell 12 2 3 12 2" xfId="13820" xr:uid="{EED7FFA6-D24B-438F-BF85-B812CCFDC5D6}"/>
    <cellStyle name="Linked Cell 12 2 3 13" xfId="13821" xr:uid="{6E377358-D303-4CA1-ADED-DA28ECCC95D2}"/>
    <cellStyle name="Linked Cell 12 2 3 2" xfId="13822" xr:uid="{E7ABE8BF-5F77-4814-ACF0-3A4D1141153D}"/>
    <cellStyle name="Linked Cell 12 2 3 2 10" xfId="13823" xr:uid="{7AB07383-01A3-4A73-B913-A01F3C43F85E}"/>
    <cellStyle name="Linked Cell 12 2 3 2 10 2" xfId="13824" xr:uid="{3EAC4232-A563-4384-9EF0-E14AE8FAE5A8}"/>
    <cellStyle name="Linked Cell 12 2 3 2 10 2 2" xfId="13825" xr:uid="{8193CD0E-2168-46E1-A6B1-41A968443761}"/>
    <cellStyle name="Linked Cell 12 2 3 2 10 3" xfId="13826" xr:uid="{D096D0A8-07CB-40AE-A68E-28B8770BA4BA}"/>
    <cellStyle name="Linked Cell 12 2 3 2 11" xfId="13827" xr:uid="{907C39BB-64E6-4B59-98A5-91A8F382B64A}"/>
    <cellStyle name="Linked Cell 12 2 3 2 11 2" xfId="13828" xr:uid="{1130DF1E-C14B-4FBB-952E-89A95B6735DC}"/>
    <cellStyle name="Linked Cell 12 2 3 2 12" xfId="13829" xr:uid="{B9E623AF-1490-4386-BED0-8736CA86F111}"/>
    <cellStyle name="Linked Cell 12 2 3 2 2" xfId="13830" xr:uid="{415FE2DD-669D-4217-8D40-F097C02B18FF}"/>
    <cellStyle name="Linked Cell 12 2 3 2 2 2" xfId="13831" xr:uid="{0F498208-ECF4-47AF-859D-EE39E0AC7B15}"/>
    <cellStyle name="Linked Cell 12 2 3 2 2 2 2" xfId="13832" xr:uid="{DD43B38A-3EFC-4D8B-83D0-50031CD6DD57}"/>
    <cellStyle name="Linked Cell 12 2 3 2 2 3" xfId="13833" xr:uid="{200561EE-8114-4AE0-86CB-3278A0066026}"/>
    <cellStyle name="Linked Cell 12 2 3 2 3" xfId="13834" xr:uid="{84505F0A-D668-4D90-84C1-61FD1E8A9717}"/>
    <cellStyle name="Linked Cell 12 2 3 2 3 2" xfId="13835" xr:uid="{BCD9073F-10EB-46A0-AEAB-470C1970A871}"/>
    <cellStyle name="Linked Cell 12 2 3 2 3 2 2" xfId="13836" xr:uid="{0A4BD025-DA06-40DC-B75B-E514B0A8ABD6}"/>
    <cellStyle name="Linked Cell 12 2 3 2 3 3" xfId="13837" xr:uid="{11F9F78C-2FE2-42B1-9176-0441DCEDA40D}"/>
    <cellStyle name="Linked Cell 12 2 3 2 4" xfId="13838" xr:uid="{052C5100-AB6C-463C-B57C-2E1463F73B27}"/>
    <cellStyle name="Linked Cell 12 2 3 2 4 2" xfId="13839" xr:uid="{C374DB7F-1B67-4D3C-A26A-0A94EFB1AC71}"/>
    <cellStyle name="Linked Cell 12 2 3 2 4 2 2" xfId="13840" xr:uid="{FB1AEB7A-F768-4B25-822A-1BEB9C588678}"/>
    <cellStyle name="Linked Cell 12 2 3 2 4 3" xfId="13841" xr:uid="{C8E371AD-D259-41A3-91A7-05957B704BC6}"/>
    <cellStyle name="Linked Cell 12 2 3 2 5" xfId="13842" xr:uid="{BEB8C37B-FEA6-4ECD-A787-94C3DC39CB94}"/>
    <cellStyle name="Linked Cell 12 2 3 2 5 2" xfId="13843" xr:uid="{DE1789E6-0943-4076-B2ED-200AA09258C6}"/>
    <cellStyle name="Linked Cell 12 2 3 2 5 2 2" xfId="13844" xr:uid="{8708A4A6-E8DF-4A62-BD03-4BA91D193A59}"/>
    <cellStyle name="Linked Cell 12 2 3 2 5 3" xfId="13845" xr:uid="{9295460D-2404-4017-A96E-BD480BFE613D}"/>
    <cellStyle name="Linked Cell 12 2 3 2 6" xfId="13846" xr:uid="{98065181-782A-4C1E-98F5-EA4ED894EDA4}"/>
    <cellStyle name="Linked Cell 12 2 3 2 6 2" xfId="13847" xr:uid="{9951CCC7-1D53-4660-875D-CBA479F0CFB9}"/>
    <cellStyle name="Linked Cell 12 2 3 2 6 2 2" xfId="13848" xr:uid="{79C3723E-A914-4219-A249-191C024DB03D}"/>
    <cellStyle name="Linked Cell 12 2 3 2 6 3" xfId="13849" xr:uid="{FE3A603C-3CE4-4490-ACAA-D38EF24B3878}"/>
    <cellStyle name="Linked Cell 12 2 3 2 7" xfId="13850" xr:uid="{6AF1466D-0689-42EA-B58D-DD3DBE32C02D}"/>
    <cellStyle name="Linked Cell 12 2 3 2 7 2" xfId="13851" xr:uid="{D025D2EE-0FCD-48A9-BC47-45EBF29FE1D7}"/>
    <cellStyle name="Linked Cell 12 2 3 2 7 2 2" xfId="13852" xr:uid="{B81C5404-D4A9-46BD-9936-025A676741AA}"/>
    <cellStyle name="Linked Cell 12 2 3 2 7 3" xfId="13853" xr:uid="{81AD8823-0A0E-478E-8863-C7AAA5F1CE5A}"/>
    <cellStyle name="Linked Cell 12 2 3 2 8" xfId="13854" xr:uid="{1CD05131-4A89-468D-9375-58DDB6C59687}"/>
    <cellStyle name="Linked Cell 12 2 3 2 8 2" xfId="13855" xr:uid="{676E2FCA-3BB0-4D04-AB66-78B17F074619}"/>
    <cellStyle name="Linked Cell 12 2 3 2 8 2 2" xfId="13856" xr:uid="{A3B5513C-7467-4D68-9F2B-0A09620C62E4}"/>
    <cellStyle name="Linked Cell 12 2 3 2 8 3" xfId="13857" xr:uid="{32865A03-155A-4FD0-BA9E-811BCB9C7F31}"/>
    <cellStyle name="Linked Cell 12 2 3 2 9" xfId="13858" xr:uid="{73D42FF6-0378-4720-944E-BB8BCC9B2188}"/>
    <cellStyle name="Linked Cell 12 2 3 2 9 2" xfId="13859" xr:uid="{CD035FE4-3537-42AE-AAFD-741924C684DF}"/>
    <cellStyle name="Linked Cell 12 2 3 2 9 2 2" xfId="13860" xr:uid="{C1BB7445-CCF6-472A-A80E-9C2803381EAA}"/>
    <cellStyle name="Linked Cell 12 2 3 2 9 3" xfId="13861" xr:uid="{719E1110-4378-4C05-B247-3B6EB15C55DD}"/>
    <cellStyle name="Linked Cell 12 2 3 3" xfId="13862" xr:uid="{4C7E2BD6-AEA5-42C8-B381-717E24DC4D6B}"/>
    <cellStyle name="Linked Cell 12 2 3 3 10" xfId="13863" xr:uid="{7914148E-0040-4079-B268-766D98470058}"/>
    <cellStyle name="Linked Cell 12 2 3 3 10 2" xfId="13864" xr:uid="{8378D1CD-CEA8-40FB-B3F2-24208136A117}"/>
    <cellStyle name="Linked Cell 12 2 3 3 11" xfId="13865" xr:uid="{E910CCCB-4CA7-4B38-9824-8B05501A1419}"/>
    <cellStyle name="Linked Cell 12 2 3 3 2" xfId="13866" xr:uid="{6AFE0442-0CFE-42BE-894D-57223BFA7F3C}"/>
    <cellStyle name="Linked Cell 12 2 3 3 2 2" xfId="13867" xr:uid="{550B4CAD-7E2B-4F1F-88A4-443581C61399}"/>
    <cellStyle name="Linked Cell 12 2 3 3 2 2 2" xfId="13868" xr:uid="{C549AF19-52E6-46DA-A0C6-EEB1CCF8F196}"/>
    <cellStyle name="Linked Cell 12 2 3 3 2 3" xfId="13869" xr:uid="{E2E2045F-5EFD-46E2-BF0D-2C085FEE6C15}"/>
    <cellStyle name="Linked Cell 12 2 3 3 3" xfId="13870" xr:uid="{A3091FCD-AD2E-4B54-A92E-30786A9F688E}"/>
    <cellStyle name="Linked Cell 12 2 3 3 3 2" xfId="13871" xr:uid="{A147598F-3626-4CB9-AC40-A5331B25A4CF}"/>
    <cellStyle name="Linked Cell 12 2 3 3 3 2 2" xfId="13872" xr:uid="{F92294C4-F0AC-4831-A862-44A4C1103CA6}"/>
    <cellStyle name="Linked Cell 12 2 3 3 3 3" xfId="13873" xr:uid="{E2AC6754-85B7-45FF-B9A4-5710F04408B2}"/>
    <cellStyle name="Linked Cell 12 2 3 3 4" xfId="13874" xr:uid="{9A7278E5-F179-4780-9BE4-9183FEE40693}"/>
    <cellStyle name="Linked Cell 12 2 3 3 4 2" xfId="13875" xr:uid="{1A29774D-54AA-4996-B9F7-902CF61282DA}"/>
    <cellStyle name="Linked Cell 12 2 3 3 4 2 2" xfId="13876" xr:uid="{04B26289-308F-42C8-9224-2C343A1F04F9}"/>
    <cellStyle name="Linked Cell 12 2 3 3 4 3" xfId="13877" xr:uid="{DB4975F9-D111-4CB6-AC51-E92DCEF4F485}"/>
    <cellStyle name="Linked Cell 12 2 3 3 5" xfId="13878" xr:uid="{FCFEFF7D-E0C9-4355-97D4-92CA42670F7C}"/>
    <cellStyle name="Linked Cell 12 2 3 3 5 2" xfId="13879" xr:uid="{3A37A7A7-A4CD-415B-8FE4-F68F2A5FE50B}"/>
    <cellStyle name="Linked Cell 12 2 3 3 5 2 2" xfId="13880" xr:uid="{49F981A1-600E-4506-BA6A-032E6692F84F}"/>
    <cellStyle name="Linked Cell 12 2 3 3 5 3" xfId="13881" xr:uid="{C02682C5-FEE9-404C-AD48-FC4A8B7F7290}"/>
    <cellStyle name="Linked Cell 12 2 3 3 6" xfId="13882" xr:uid="{E9E6326D-671E-436B-B2D1-4DC53799CDB8}"/>
    <cellStyle name="Linked Cell 12 2 3 3 6 2" xfId="13883" xr:uid="{51A400F4-C142-4973-B0E4-29F2ABEE50B1}"/>
    <cellStyle name="Linked Cell 12 2 3 3 6 2 2" xfId="13884" xr:uid="{89E3D8ED-4CD4-4EBD-9855-A9674E1282D6}"/>
    <cellStyle name="Linked Cell 12 2 3 3 6 3" xfId="13885" xr:uid="{8718A673-8E5E-4924-B7F5-0144DE1A3C74}"/>
    <cellStyle name="Linked Cell 12 2 3 3 7" xfId="13886" xr:uid="{3245F02C-81F0-427E-B1A1-5FB0E4F7839C}"/>
    <cellStyle name="Linked Cell 12 2 3 3 7 2" xfId="13887" xr:uid="{C33C749F-16DA-4A6E-A09C-1D46CB811B8C}"/>
    <cellStyle name="Linked Cell 12 2 3 3 7 2 2" xfId="13888" xr:uid="{86D6BDBB-7DC3-4848-96FB-AF7ACB8C1869}"/>
    <cellStyle name="Linked Cell 12 2 3 3 7 3" xfId="13889" xr:uid="{42E856FD-5C87-4997-8F7E-882139C6C7F3}"/>
    <cellStyle name="Linked Cell 12 2 3 3 8" xfId="13890" xr:uid="{AB7A7D5A-A939-4B70-BE99-0389C5FD54F4}"/>
    <cellStyle name="Linked Cell 12 2 3 3 8 2" xfId="13891" xr:uid="{51405CEA-41CD-43EE-9D32-6CC7D3E6C8EF}"/>
    <cellStyle name="Linked Cell 12 2 3 3 8 2 2" xfId="13892" xr:uid="{B15079E6-97B8-4E04-98E6-A40EBC336D07}"/>
    <cellStyle name="Linked Cell 12 2 3 3 8 3" xfId="13893" xr:uid="{3FE64678-ACA2-41A2-B642-1F9F4F8E4961}"/>
    <cellStyle name="Linked Cell 12 2 3 3 9" xfId="13894" xr:uid="{AC7392B1-C482-40CE-81AC-A08918C2460F}"/>
    <cellStyle name="Linked Cell 12 2 3 3 9 2" xfId="13895" xr:uid="{A01F3424-B204-4471-80BF-C37BC821DC48}"/>
    <cellStyle name="Linked Cell 12 2 3 3 9 2 2" xfId="13896" xr:uid="{88372478-EFAB-4516-953B-892360D978F5}"/>
    <cellStyle name="Linked Cell 12 2 3 3 9 3" xfId="13897" xr:uid="{7458C978-6523-4CBA-B0C3-AE8B931600F9}"/>
    <cellStyle name="Linked Cell 12 2 3 4" xfId="13898" xr:uid="{3C3483D8-2955-401A-9584-F20DF4C3FEDB}"/>
    <cellStyle name="Linked Cell 12 2 3 4 2" xfId="13899" xr:uid="{449E9D36-D461-4F26-9D79-D312DB003F0E}"/>
    <cellStyle name="Linked Cell 12 2 3 4 2 2" xfId="13900" xr:uid="{E9DA9869-BADD-4A76-84FC-D68D95212FEE}"/>
    <cellStyle name="Linked Cell 12 2 3 4 3" xfId="13901" xr:uid="{76C839BF-4D5F-43F3-86CE-61117BA86B48}"/>
    <cellStyle name="Linked Cell 12 2 3 5" xfId="13902" xr:uid="{36A681B9-FAC7-4220-8693-ADF5E6F3CBBC}"/>
    <cellStyle name="Linked Cell 12 2 3 5 2" xfId="13903" xr:uid="{53AC095D-4D09-4C4B-A55E-F7BF94365252}"/>
    <cellStyle name="Linked Cell 12 2 3 5 2 2" xfId="13904" xr:uid="{3A8DCD1C-71E6-426C-A0CB-B0171D5BDA90}"/>
    <cellStyle name="Linked Cell 12 2 3 5 3" xfId="13905" xr:uid="{8534D70B-415B-4D48-BA25-4248EF6A5793}"/>
    <cellStyle name="Linked Cell 12 2 3 6" xfId="13906" xr:uid="{C964595A-1C03-4420-B5F6-5DDC4800C902}"/>
    <cellStyle name="Linked Cell 12 2 3 6 2" xfId="13907" xr:uid="{8E4A2192-69AF-4128-B399-8DC7D73D85B9}"/>
    <cellStyle name="Linked Cell 12 2 3 6 2 2" xfId="13908" xr:uid="{33D30772-5B4E-4389-942E-9FE35A51985B}"/>
    <cellStyle name="Linked Cell 12 2 3 6 3" xfId="13909" xr:uid="{04715021-E586-4EB1-AC89-37952B526C7E}"/>
    <cellStyle name="Linked Cell 12 2 3 7" xfId="13910" xr:uid="{6A4C835C-BDE6-4D52-9F04-C48C6CCF30B6}"/>
    <cellStyle name="Linked Cell 12 2 3 7 2" xfId="13911" xr:uid="{CF17B525-C669-4DC2-846A-A40719B8B667}"/>
    <cellStyle name="Linked Cell 12 2 3 7 2 2" xfId="13912" xr:uid="{1160EFA9-9B56-4F61-982F-8C58C4FDC039}"/>
    <cellStyle name="Linked Cell 12 2 3 7 3" xfId="13913" xr:uid="{FFE39E48-7169-41F6-BDFB-49571779E6A7}"/>
    <cellStyle name="Linked Cell 12 2 3 8" xfId="13914" xr:uid="{8C872C55-7880-497E-A935-CFADE1399C27}"/>
    <cellStyle name="Linked Cell 12 2 3 8 2" xfId="13915" xr:uid="{3A77D647-7B55-4183-9AD3-CBFECD5DC111}"/>
    <cellStyle name="Linked Cell 12 2 3 8 2 2" xfId="13916" xr:uid="{4D643C11-1F30-41B9-90AA-64D99000A169}"/>
    <cellStyle name="Linked Cell 12 2 3 8 3" xfId="13917" xr:uid="{260F9CB4-DACE-45D6-A583-E5E592533B56}"/>
    <cellStyle name="Linked Cell 12 2 3 9" xfId="13918" xr:uid="{DA2DEA3D-B1DB-4A9D-9F92-2A5BB4FCBE8A}"/>
    <cellStyle name="Linked Cell 12 2 3 9 2" xfId="13919" xr:uid="{8002BF89-76A0-443D-B349-6BB1411C7B6C}"/>
    <cellStyle name="Linked Cell 12 2 3 9 2 2" xfId="13920" xr:uid="{61BF91C8-EE3A-4E6F-9D6E-7BC165EA850A}"/>
    <cellStyle name="Linked Cell 12 2 3 9 3" xfId="13921" xr:uid="{0F3274AF-0A78-4F00-B1A9-E5CC18D46ABB}"/>
    <cellStyle name="Linked Cell 12 2 4" xfId="13922" xr:uid="{B72DD55E-25B3-4D8F-8547-33450C2AD05F}"/>
    <cellStyle name="Linked Cell 12 2 4 10" xfId="13923" xr:uid="{2201D4A3-32AF-4CD2-8B0B-8039FC1209B4}"/>
    <cellStyle name="Linked Cell 12 2 4 10 2" xfId="13924" xr:uid="{D6964B7A-4977-4FC6-8495-135DDF6D04C5}"/>
    <cellStyle name="Linked Cell 12 2 4 10 2 2" xfId="13925" xr:uid="{D5067CBB-22B0-4B8B-8E6F-0256859258BF}"/>
    <cellStyle name="Linked Cell 12 2 4 10 3" xfId="13926" xr:uid="{9CDED02E-CF88-4C37-BAE4-14C1AA9C68AF}"/>
    <cellStyle name="Linked Cell 12 2 4 11" xfId="13927" xr:uid="{A64F9CB3-3018-48D8-849B-F58F9FEEC2AF}"/>
    <cellStyle name="Linked Cell 12 2 4 11 2" xfId="13928" xr:uid="{23173FAF-8B8D-4DB4-9DF7-7160199BDAFE}"/>
    <cellStyle name="Linked Cell 12 2 4 12" xfId="13929" xr:uid="{6F56E7AD-00D9-44C2-B5CF-32122C5E265A}"/>
    <cellStyle name="Linked Cell 12 2 4 2" xfId="13930" xr:uid="{48B46B4E-6B28-4694-A6E3-3B0415812654}"/>
    <cellStyle name="Linked Cell 12 2 4 2 10" xfId="13931" xr:uid="{79FE9A1C-DDB3-486A-99D0-2DA78E66D03D}"/>
    <cellStyle name="Linked Cell 12 2 4 2 10 2" xfId="13932" xr:uid="{7E9C0AC2-7905-40A9-8ADE-92DD2F27657E}"/>
    <cellStyle name="Linked Cell 12 2 4 2 11" xfId="13933" xr:uid="{B61429BF-2AF2-4B2A-AE49-5BD65ABD43CD}"/>
    <cellStyle name="Linked Cell 12 2 4 2 2" xfId="13934" xr:uid="{B716AAF3-76C4-4D77-BAC7-9C361DEA5F87}"/>
    <cellStyle name="Linked Cell 12 2 4 2 2 2" xfId="13935" xr:uid="{5D3520E0-117B-4C93-AD46-114D88B85FA1}"/>
    <cellStyle name="Linked Cell 12 2 4 2 2 2 2" xfId="13936" xr:uid="{7F245B39-63D3-42BB-92DB-5AEE80AC66E4}"/>
    <cellStyle name="Linked Cell 12 2 4 2 2 3" xfId="13937" xr:uid="{CE8636E6-F664-4937-9EA5-306116EB7E1E}"/>
    <cellStyle name="Linked Cell 12 2 4 2 3" xfId="13938" xr:uid="{269A14F4-BCD6-4F6A-9A5A-D134951DDADC}"/>
    <cellStyle name="Linked Cell 12 2 4 2 3 2" xfId="13939" xr:uid="{CB8D5813-A70F-4811-BAD8-7C42493C661B}"/>
    <cellStyle name="Linked Cell 12 2 4 2 3 2 2" xfId="13940" xr:uid="{7B02EE1E-38A5-4B0A-A1D2-5D6BE0427700}"/>
    <cellStyle name="Linked Cell 12 2 4 2 3 3" xfId="13941" xr:uid="{ED4490E2-0FA7-4705-86D4-B53A8C59A778}"/>
    <cellStyle name="Linked Cell 12 2 4 2 4" xfId="13942" xr:uid="{5D3EEF9C-F43E-45EF-992C-1A2DFD4C8694}"/>
    <cellStyle name="Linked Cell 12 2 4 2 4 2" xfId="13943" xr:uid="{A994B266-57B6-47C4-BAF7-94FD6C234B5B}"/>
    <cellStyle name="Linked Cell 12 2 4 2 4 2 2" xfId="13944" xr:uid="{E4C6AD8E-5123-4A66-ABED-FFE18FF6315E}"/>
    <cellStyle name="Linked Cell 12 2 4 2 4 3" xfId="13945" xr:uid="{2E565BC9-61F8-4326-BF1C-2C945EF7DD90}"/>
    <cellStyle name="Linked Cell 12 2 4 2 5" xfId="13946" xr:uid="{68ECB671-A503-4DED-B956-78A359831601}"/>
    <cellStyle name="Linked Cell 12 2 4 2 5 2" xfId="13947" xr:uid="{A0ADE625-64E2-44B3-BF7A-207EC9570872}"/>
    <cellStyle name="Linked Cell 12 2 4 2 5 2 2" xfId="13948" xr:uid="{BB9FA063-DD4F-43B4-A36A-96E369D7BEB1}"/>
    <cellStyle name="Linked Cell 12 2 4 2 5 3" xfId="13949" xr:uid="{0F4A36BC-73EB-4793-B0F4-584E3969160C}"/>
    <cellStyle name="Linked Cell 12 2 4 2 6" xfId="13950" xr:uid="{A185C73A-9C54-46B8-B2DA-C4B7571CAC88}"/>
    <cellStyle name="Linked Cell 12 2 4 2 6 2" xfId="13951" xr:uid="{1147521A-3C0D-48E0-A256-BEE17EF58E0A}"/>
    <cellStyle name="Linked Cell 12 2 4 2 6 2 2" xfId="13952" xr:uid="{372DAED8-044E-4EC8-A078-BB3CE9F802EF}"/>
    <cellStyle name="Linked Cell 12 2 4 2 6 3" xfId="13953" xr:uid="{6B340A29-6A65-456C-B7EF-7B00B333123C}"/>
    <cellStyle name="Linked Cell 12 2 4 2 7" xfId="13954" xr:uid="{C87356C8-7D0C-4A01-91E6-E8409AB536A2}"/>
    <cellStyle name="Linked Cell 12 2 4 2 7 2" xfId="13955" xr:uid="{0AF3B153-FACD-4CD6-97CD-6F21EA78CCCA}"/>
    <cellStyle name="Linked Cell 12 2 4 2 7 2 2" xfId="13956" xr:uid="{2007B3E1-2A75-4EB3-A353-1B902D69AD27}"/>
    <cellStyle name="Linked Cell 12 2 4 2 7 3" xfId="13957" xr:uid="{07FA77D3-AB5C-44EA-BE62-C1E8000B89FB}"/>
    <cellStyle name="Linked Cell 12 2 4 2 8" xfId="13958" xr:uid="{C6740C23-0D7E-4FE8-9F9D-BAB44A9D07CD}"/>
    <cellStyle name="Linked Cell 12 2 4 2 8 2" xfId="13959" xr:uid="{F300D312-8362-4366-BF7F-67DBD2EBA506}"/>
    <cellStyle name="Linked Cell 12 2 4 2 8 2 2" xfId="13960" xr:uid="{858384C1-2761-4654-8052-C405C97B0C98}"/>
    <cellStyle name="Linked Cell 12 2 4 2 8 3" xfId="13961" xr:uid="{19D28FBA-2714-4AFF-B0EB-F2D0E248A2DC}"/>
    <cellStyle name="Linked Cell 12 2 4 2 9" xfId="13962" xr:uid="{4803F5C2-650E-403B-BFA6-FBA3BB40F471}"/>
    <cellStyle name="Linked Cell 12 2 4 2 9 2" xfId="13963" xr:uid="{E7C888C8-880D-4AAB-A260-CE7D9459D82A}"/>
    <cellStyle name="Linked Cell 12 2 4 2 9 2 2" xfId="13964" xr:uid="{F564F3A7-3568-4CA6-A0D5-711A7A18487B}"/>
    <cellStyle name="Linked Cell 12 2 4 2 9 3" xfId="13965" xr:uid="{58DC42E4-4FF8-4B7C-BA83-7ACC8D8A55CC}"/>
    <cellStyle name="Linked Cell 12 2 4 3" xfId="13966" xr:uid="{FE092CCE-2F20-4386-A090-ABCD851198B2}"/>
    <cellStyle name="Linked Cell 12 2 4 3 2" xfId="13967" xr:uid="{DCEB3930-89C4-4D39-8B3A-98338CC40086}"/>
    <cellStyle name="Linked Cell 12 2 4 3 2 2" xfId="13968" xr:uid="{F5A32E82-1512-413F-B685-75178670B032}"/>
    <cellStyle name="Linked Cell 12 2 4 3 3" xfId="13969" xr:uid="{A94F1699-4228-4060-9E5C-83AF054A28B9}"/>
    <cellStyle name="Linked Cell 12 2 4 4" xfId="13970" xr:uid="{7585C77A-0E85-4B21-98E0-8BF1D6527145}"/>
    <cellStyle name="Linked Cell 12 2 4 4 2" xfId="13971" xr:uid="{E5375EFA-F3DC-4E90-8F9C-C7156712D9BD}"/>
    <cellStyle name="Linked Cell 12 2 4 4 2 2" xfId="13972" xr:uid="{7090C4D6-F1CA-4A5F-8440-8DC3E2A12938}"/>
    <cellStyle name="Linked Cell 12 2 4 4 3" xfId="13973" xr:uid="{1D77CD33-00A6-4057-A684-C2926567ADA4}"/>
    <cellStyle name="Linked Cell 12 2 4 5" xfId="13974" xr:uid="{8571B5D9-2194-4CAE-9697-2015F81073A9}"/>
    <cellStyle name="Linked Cell 12 2 4 5 2" xfId="13975" xr:uid="{B75006DF-2E3B-4040-8B15-A906B3583569}"/>
    <cellStyle name="Linked Cell 12 2 4 5 2 2" xfId="13976" xr:uid="{A4BE9924-22DE-4239-AA46-567BAF61C6B0}"/>
    <cellStyle name="Linked Cell 12 2 4 5 3" xfId="13977" xr:uid="{6F646569-276F-4F51-B240-BE79EFEBA6E0}"/>
    <cellStyle name="Linked Cell 12 2 4 6" xfId="13978" xr:uid="{6014ECCE-ABEA-4518-A53C-EF364FAADD28}"/>
    <cellStyle name="Linked Cell 12 2 4 6 2" xfId="13979" xr:uid="{4D84AC0D-31BB-49D1-9C91-10C0DA71A3BE}"/>
    <cellStyle name="Linked Cell 12 2 4 6 2 2" xfId="13980" xr:uid="{FB832C6C-94AB-42EB-82E4-F180D851CD58}"/>
    <cellStyle name="Linked Cell 12 2 4 6 3" xfId="13981" xr:uid="{54032FA2-2C71-4F8C-969B-73F5ABC36807}"/>
    <cellStyle name="Linked Cell 12 2 4 7" xfId="13982" xr:uid="{A2B750AB-2355-4641-B5BD-91FA2F7DBA6F}"/>
    <cellStyle name="Linked Cell 12 2 4 7 2" xfId="13983" xr:uid="{12FB13B8-E3C5-4F43-8991-72FEE93EE88E}"/>
    <cellStyle name="Linked Cell 12 2 4 7 2 2" xfId="13984" xr:uid="{9D53750D-64C3-4C83-BB05-0127F888F41D}"/>
    <cellStyle name="Linked Cell 12 2 4 7 3" xfId="13985" xr:uid="{EF6CB7D1-3F91-481A-A457-B055EE08D963}"/>
    <cellStyle name="Linked Cell 12 2 4 8" xfId="13986" xr:uid="{2EE48F79-3DAB-4078-89CB-1DC19A660291}"/>
    <cellStyle name="Linked Cell 12 2 4 8 2" xfId="13987" xr:uid="{C9F60BF6-CFAE-434A-8BA4-32D1C5A7D091}"/>
    <cellStyle name="Linked Cell 12 2 4 8 2 2" xfId="13988" xr:uid="{B94DFAF0-FFC7-4202-A695-2EC52B74A22C}"/>
    <cellStyle name="Linked Cell 12 2 4 8 3" xfId="13989" xr:uid="{D3527FB3-54B2-41B0-8640-AD9D573884B4}"/>
    <cellStyle name="Linked Cell 12 2 4 9" xfId="13990" xr:uid="{9385C48F-04DB-4DFF-B9B5-A2C7D4DA4986}"/>
    <cellStyle name="Linked Cell 12 2 4 9 2" xfId="13991" xr:uid="{12E10C8E-EBBF-400E-B153-A97E2E4FD315}"/>
    <cellStyle name="Linked Cell 12 2 4 9 2 2" xfId="13992" xr:uid="{CC4B5F82-C541-46FD-92B2-9A4D9A059678}"/>
    <cellStyle name="Linked Cell 12 2 4 9 3" xfId="13993" xr:uid="{6DBE38E1-64A8-47D3-91AE-35D6A8941CAD}"/>
    <cellStyle name="Linked Cell 12 2 5" xfId="13994" xr:uid="{8D120C1C-632F-4CEF-9094-44127DB0C609}"/>
    <cellStyle name="Linked Cell 12 2 5 10" xfId="13995" xr:uid="{6EB20B37-E0B7-4E2A-A372-B24D4017E942}"/>
    <cellStyle name="Linked Cell 12 2 5 10 2" xfId="13996" xr:uid="{BC23AFC9-E03E-4613-99A6-F4B9DD9BC3B5}"/>
    <cellStyle name="Linked Cell 12 2 5 11" xfId="13997" xr:uid="{9C20CD38-5C13-410C-AE1F-5FB9FC1035B9}"/>
    <cellStyle name="Linked Cell 12 2 5 2" xfId="13998" xr:uid="{8EDDEBA4-2E97-4AC8-B603-4A5353E8AB21}"/>
    <cellStyle name="Linked Cell 12 2 5 2 2" xfId="13999" xr:uid="{67A1D05C-D46A-400B-BBED-E65A4A03E04F}"/>
    <cellStyle name="Linked Cell 12 2 5 2 2 2" xfId="14000" xr:uid="{DA09CFC1-B327-4995-8364-8C648500FF3F}"/>
    <cellStyle name="Linked Cell 12 2 5 2 3" xfId="14001" xr:uid="{4D740E6E-5FE3-49A1-8ED7-AB69E6469F2C}"/>
    <cellStyle name="Linked Cell 12 2 5 3" xfId="14002" xr:uid="{E5C28DF5-24B5-4A98-BC62-142BBAC04748}"/>
    <cellStyle name="Linked Cell 12 2 5 3 2" xfId="14003" xr:uid="{8722BA06-0886-49CA-9A99-64437DB2EE24}"/>
    <cellStyle name="Linked Cell 12 2 5 3 2 2" xfId="14004" xr:uid="{DD498047-E9D9-4C7A-89AB-37758FC01F01}"/>
    <cellStyle name="Linked Cell 12 2 5 3 3" xfId="14005" xr:uid="{BEDF68DE-8414-43F5-935D-D60CAF3470AE}"/>
    <cellStyle name="Linked Cell 12 2 5 4" xfId="14006" xr:uid="{ADE98B80-0FA9-4CC4-9785-348591D9EC72}"/>
    <cellStyle name="Linked Cell 12 2 5 4 2" xfId="14007" xr:uid="{52766D0F-0D5A-4F1A-A942-E9758CDEC323}"/>
    <cellStyle name="Linked Cell 12 2 5 4 2 2" xfId="14008" xr:uid="{75E8E085-44B1-4BE2-9142-72FF1FE48EFE}"/>
    <cellStyle name="Linked Cell 12 2 5 4 3" xfId="14009" xr:uid="{89549290-3E6C-4312-A3D7-2D32E548BC33}"/>
    <cellStyle name="Linked Cell 12 2 5 5" xfId="14010" xr:uid="{3B4FF499-E0B9-4D1B-94C7-6B1401E544C6}"/>
    <cellStyle name="Linked Cell 12 2 5 5 2" xfId="14011" xr:uid="{EC933DC9-A754-470E-92CE-10717FFB2CF7}"/>
    <cellStyle name="Linked Cell 12 2 5 5 2 2" xfId="14012" xr:uid="{91FD9F81-3E32-4239-8C8C-11315AB9C9BE}"/>
    <cellStyle name="Linked Cell 12 2 5 5 3" xfId="14013" xr:uid="{9DCAB942-D1F2-48FA-AE36-618C7D1750DB}"/>
    <cellStyle name="Linked Cell 12 2 5 6" xfId="14014" xr:uid="{CFB8647A-C31B-4405-9334-65938EC3A43A}"/>
    <cellStyle name="Linked Cell 12 2 5 6 2" xfId="14015" xr:uid="{230D416F-3CEA-4B41-873A-EF6219F55A3F}"/>
    <cellStyle name="Linked Cell 12 2 5 6 2 2" xfId="14016" xr:uid="{99686875-1D10-46B5-9630-33D2F660F7E0}"/>
    <cellStyle name="Linked Cell 12 2 5 6 3" xfId="14017" xr:uid="{B4B0CA89-A62E-4765-AD9F-FA038FFA5F88}"/>
    <cellStyle name="Linked Cell 12 2 5 7" xfId="14018" xr:uid="{F0B244E4-3507-4DBA-B109-F3FF6E4E3E9C}"/>
    <cellStyle name="Linked Cell 12 2 5 7 2" xfId="14019" xr:uid="{76C959D4-3256-4BC4-BB89-BCFB3FA59C85}"/>
    <cellStyle name="Linked Cell 12 2 5 7 2 2" xfId="14020" xr:uid="{40347930-0FC1-4B00-9639-4298D51DFB75}"/>
    <cellStyle name="Linked Cell 12 2 5 7 3" xfId="14021" xr:uid="{E8C19023-4D9A-4F49-80BC-DB2D98AA721E}"/>
    <cellStyle name="Linked Cell 12 2 5 8" xfId="14022" xr:uid="{8F151C5A-07AE-4FD0-ABE9-FFC985D001B7}"/>
    <cellStyle name="Linked Cell 12 2 5 8 2" xfId="14023" xr:uid="{A93406A0-E19B-4BCC-9402-081CCD9954F0}"/>
    <cellStyle name="Linked Cell 12 2 5 8 2 2" xfId="14024" xr:uid="{EA13ED07-3CC4-4D9B-A27C-09138A5E5FB3}"/>
    <cellStyle name="Linked Cell 12 2 5 8 3" xfId="14025" xr:uid="{20034CD3-34B8-4588-A4B8-5E2308A2D90F}"/>
    <cellStyle name="Linked Cell 12 2 5 9" xfId="14026" xr:uid="{AC824AFD-4974-4CA0-B332-21315B6111FE}"/>
    <cellStyle name="Linked Cell 12 2 5 9 2" xfId="14027" xr:uid="{D9D8B953-1F0C-4642-88C2-21BEEFBDED44}"/>
    <cellStyle name="Linked Cell 12 2 5 9 2 2" xfId="14028" xr:uid="{85B67FE9-CC53-40A7-AD17-F0DE43E52C46}"/>
    <cellStyle name="Linked Cell 12 2 5 9 3" xfId="14029" xr:uid="{187CC1C4-04E6-4C1D-88D4-A8D005F10471}"/>
    <cellStyle name="Linked Cell 12 2 6" xfId="14030" xr:uid="{646B8845-9DE8-4B2E-8C2D-C60AFCBA25CF}"/>
    <cellStyle name="Linked Cell 12 2 6 2" xfId="14031" xr:uid="{ABBB202E-5E71-4062-BA80-DA760BDAE461}"/>
    <cellStyle name="Linked Cell 12 2 6 2 2" xfId="14032" xr:uid="{503DE5C3-2A67-491A-90F2-3BEE2FD68F21}"/>
    <cellStyle name="Linked Cell 12 2 6 3" xfId="14033" xr:uid="{C28F4256-5EA0-448C-A1A1-346CA2E7B2EB}"/>
    <cellStyle name="Linked Cell 12 2 7" xfId="14034" xr:uid="{79C13D22-3C23-4BF4-8895-E299B255F243}"/>
    <cellStyle name="Linked Cell 12 2 7 2" xfId="14035" xr:uid="{B98D1CAB-1E5D-466C-88D9-E3EE08EA11FC}"/>
    <cellStyle name="Linked Cell 12 2 7 2 2" xfId="14036" xr:uid="{D7176DC3-EB87-4E24-A553-177615D3FB4D}"/>
    <cellStyle name="Linked Cell 12 2 7 3" xfId="14037" xr:uid="{B50C1918-33C1-4133-9A87-47AB2A172412}"/>
    <cellStyle name="Linked Cell 12 2 8" xfId="14038" xr:uid="{D6101F7F-240D-43F8-A6A1-EBD424DF4947}"/>
    <cellStyle name="Linked Cell 12 2 8 2" xfId="14039" xr:uid="{60C70E54-8344-4D94-A0FD-FDE8CF24FF45}"/>
    <cellStyle name="Linked Cell 12 2 8 2 2" xfId="14040" xr:uid="{B157C99E-4FC0-4C3C-AAC5-86B1CF412B87}"/>
    <cellStyle name="Linked Cell 12 2 8 3" xfId="14041" xr:uid="{C031E757-B5DF-4F85-A0D8-39CA5D23854A}"/>
    <cellStyle name="Linked Cell 12 2 9" xfId="14042" xr:uid="{54638EA7-4BF6-4CCB-8734-A005C8CCB2B5}"/>
    <cellStyle name="Linked Cell 12 2 9 2" xfId="14043" xr:uid="{3B2B79D8-CCEC-40C7-A2A0-4D0AA9088984}"/>
    <cellStyle name="Linked Cell 12 2 9 2 2" xfId="14044" xr:uid="{E998080D-52ED-4E2C-83C7-AD15CFF96AA8}"/>
    <cellStyle name="Linked Cell 12 2 9 3" xfId="14045" xr:uid="{A818ECD1-2ADA-4170-9345-199AB87F3472}"/>
    <cellStyle name="Linked Cell 12 3" xfId="14046" xr:uid="{A926C72F-EA51-41F6-852A-05254B19BD49}"/>
    <cellStyle name="Linked Cell 12 3 10" xfId="14047" xr:uid="{CA74321A-7C7D-481A-A822-7E31AD0FDDD4}"/>
    <cellStyle name="Linked Cell 12 3 10 2" xfId="14048" xr:uid="{952589C5-4F23-4A00-9B7B-F8F6EAB22B81}"/>
    <cellStyle name="Linked Cell 12 3 10 2 2" xfId="14049" xr:uid="{75B46A54-C31B-41F8-855B-E1A6C5316C69}"/>
    <cellStyle name="Linked Cell 12 3 10 3" xfId="14050" xr:uid="{D3DD0A29-C694-4D76-B6DF-967C89DEC058}"/>
    <cellStyle name="Linked Cell 12 3 11" xfId="14051" xr:uid="{566A2494-0768-4803-8B51-511858554F19}"/>
    <cellStyle name="Linked Cell 12 3 11 2" xfId="14052" xr:uid="{C91D7071-6FC9-40BB-895A-B54BB1B0979A}"/>
    <cellStyle name="Linked Cell 12 3 11 2 2" xfId="14053" xr:uid="{FD5F9656-DDD8-48F2-9859-820651CE0DB0}"/>
    <cellStyle name="Linked Cell 12 3 11 3" xfId="14054" xr:uid="{5FBF3638-4712-4DAB-B8B5-C31E7C689E6E}"/>
    <cellStyle name="Linked Cell 12 3 12" xfId="14055" xr:uid="{2E50FDFB-E805-44EB-A3ED-BCD728CC718A}"/>
    <cellStyle name="Linked Cell 12 3 12 2" xfId="14056" xr:uid="{C459FF5F-04F2-43EA-8624-B64305A86056}"/>
    <cellStyle name="Linked Cell 12 3 12 2 2" xfId="14057" xr:uid="{0CCED5E1-6A1B-44E6-94C9-3179E6866503}"/>
    <cellStyle name="Linked Cell 12 3 12 3" xfId="14058" xr:uid="{3FD5E969-C53D-4389-881C-642D1CD4065D}"/>
    <cellStyle name="Linked Cell 12 3 13" xfId="14059" xr:uid="{9B508B5A-B97B-4B0C-B782-CB72F441FB5F}"/>
    <cellStyle name="Linked Cell 12 3 13 2" xfId="14060" xr:uid="{80C41FF9-5A34-4C2E-8E6C-C0C8FFE01FFE}"/>
    <cellStyle name="Linked Cell 12 3 14" xfId="14061" xr:uid="{49CB83A4-531E-4A42-A321-D2BECF1288F6}"/>
    <cellStyle name="Linked Cell 12 3 2" xfId="14062" xr:uid="{705F02D5-3049-4948-8706-102105B3CC5C}"/>
    <cellStyle name="Linked Cell 12 3 2 10" xfId="14063" xr:uid="{FF51E4FD-34C5-4F66-B022-31984AAA2036}"/>
    <cellStyle name="Linked Cell 12 3 2 10 2" xfId="14064" xr:uid="{73639DDC-9222-434E-8620-EAD9C555781C}"/>
    <cellStyle name="Linked Cell 12 3 2 10 2 2" xfId="14065" xr:uid="{588C408D-873E-4E6F-A970-A975DE972DC7}"/>
    <cellStyle name="Linked Cell 12 3 2 10 3" xfId="14066" xr:uid="{F720B4F9-4779-46C8-B014-8ED1BA29AFC5}"/>
    <cellStyle name="Linked Cell 12 3 2 11" xfId="14067" xr:uid="{93669E39-9330-4D1E-831B-47310383C87D}"/>
    <cellStyle name="Linked Cell 12 3 2 11 2" xfId="14068" xr:uid="{C8EB9690-F2A3-477F-9594-FF570D658000}"/>
    <cellStyle name="Linked Cell 12 3 2 11 2 2" xfId="14069" xr:uid="{D979D77E-0ABC-40E4-9377-37D4540644B5}"/>
    <cellStyle name="Linked Cell 12 3 2 11 3" xfId="14070" xr:uid="{FBB93EDC-5DE6-4A97-B200-3EB1862CEE42}"/>
    <cellStyle name="Linked Cell 12 3 2 12" xfId="14071" xr:uid="{D601C56E-FF7B-4222-ACB2-4215B9EEF616}"/>
    <cellStyle name="Linked Cell 12 3 2 12 2" xfId="14072" xr:uid="{E3715185-0DD9-4103-A8F2-C8EDC814DEB4}"/>
    <cellStyle name="Linked Cell 12 3 2 13" xfId="14073" xr:uid="{BEBCDFC9-5159-49C8-9DCC-8D3E20B8D3B7}"/>
    <cellStyle name="Linked Cell 12 3 2 2" xfId="14074" xr:uid="{B5990786-B31F-416D-839E-303AAA54F8DA}"/>
    <cellStyle name="Linked Cell 12 3 2 2 10" xfId="14075" xr:uid="{8C2BBEFA-B249-4E5A-846B-FF9A1817037A}"/>
    <cellStyle name="Linked Cell 12 3 2 2 10 2" xfId="14076" xr:uid="{77EF9CEC-461D-46CE-8431-69AED413A736}"/>
    <cellStyle name="Linked Cell 12 3 2 2 10 2 2" xfId="14077" xr:uid="{ED8029C5-0524-4216-8321-C0E51562F295}"/>
    <cellStyle name="Linked Cell 12 3 2 2 10 3" xfId="14078" xr:uid="{DD9921E4-EB29-4935-B5E4-627466076F00}"/>
    <cellStyle name="Linked Cell 12 3 2 2 11" xfId="14079" xr:uid="{413426F3-05DB-451C-9ACF-F8F0F57B1040}"/>
    <cellStyle name="Linked Cell 12 3 2 2 11 2" xfId="14080" xr:uid="{E3909FB7-CEF6-48BF-859C-040ABC887603}"/>
    <cellStyle name="Linked Cell 12 3 2 2 12" xfId="14081" xr:uid="{47150FDE-01E2-4C86-9546-F6C8EE3B83DB}"/>
    <cellStyle name="Linked Cell 12 3 2 2 2" xfId="14082" xr:uid="{7F956796-77C8-43FE-8E14-A9FC8D7A774E}"/>
    <cellStyle name="Linked Cell 12 3 2 2 2 2" xfId="14083" xr:uid="{B6EEF0FE-5A30-46E4-9F72-E4966E7AC002}"/>
    <cellStyle name="Linked Cell 12 3 2 2 2 2 2" xfId="14084" xr:uid="{F4A4D0CF-4BC8-409A-8E24-46A4FFA8B97D}"/>
    <cellStyle name="Linked Cell 12 3 2 2 2 3" xfId="14085" xr:uid="{2FEF89E5-C607-4796-808F-94CFB457D92D}"/>
    <cellStyle name="Linked Cell 12 3 2 2 3" xfId="14086" xr:uid="{03F00735-2386-4CC4-8342-DFF16DA32362}"/>
    <cellStyle name="Linked Cell 12 3 2 2 3 2" xfId="14087" xr:uid="{420E3252-DFC1-49FB-B9FE-979130F684CF}"/>
    <cellStyle name="Linked Cell 12 3 2 2 3 2 2" xfId="14088" xr:uid="{9149EFD1-F8FE-4151-91FA-E1E34462CF01}"/>
    <cellStyle name="Linked Cell 12 3 2 2 3 3" xfId="14089" xr:uid="{F730D990-A483-4DA0-94FA-4E42B7F27F78}"/>
    <cellStyle name="Linked Cell 12 3 2 2 4" xfId="14090" xr:uid="{3F517413-BE4A-41CF-A557-BC0AE7F7FC41}"/>
    <cellStyle name="Linked Cell 12 3 2 2 4 2" xfId="14091" xr:uid="{E58F24EB-F79C-4FA8-87F7-8413D57798C5}"/>
    <cellStyle name="Linked Cell 12 3 2 2 4 2 2" xfId="14092" xr:uid="{0510AF79-15C7-49B2-ACCF-EA09E08355FA}"/>
    <cellStyle name="Linked Cell 12 3 2 2 4 3" xfId="14093" xr:uid="{34D1DF5E-999B-47F2-8AA2-C6542987C6C9}"/>
    <cellStyle name="Linked Cell 12 3 2 2 5" xfId="14094" xr:uid="{54F75583-ECEA-4B9B-A1D3-D8E7CDC7EB38}"/>
    <cellStyle name="Linked Cell 12 3 2 2 5 2" xfId="14095" xr:uid="{8CC16177-51D7-46F8-B286-9113DA175320}"/>
    <cellStyle name="Linked Cell 12 3 2 2 5 2 2" xfId="14096" xr:uid="{CAE2F0CC-7D43-42F3-B877-6D1963DCC652}"/>
    <cellStyle name="Linked Cell 12 3 2 2 5 3" xfId="14097" xr:uid="{51B9EA79-2A26-478B-BB77-327D4262BFB3}"/>
    <cellStyle name="Linked Cell 12 3 2 2 6" xfId="14098" xr:uid="{962E943D-A421-4930-896E-FEA7953D68A4}"/>
    <cellStyle name="Linked Cell 12 3 2 2 6 2" xfId="14099" xr:uid="{CCA4A5A3-C0FF-4A3F-9C8A-EB4E550BCFC1}"/>
    <cellStyle name="Linked Cell 12 3 2 2 6 2 2" xfId="14100" xr:uid="{E9110B3E-9BEC-4482-9A36-871B1235BEC4}"/>
    <cellStyle name="Linked Cell 12 3 2 2 6 3" xfId="14101" xr:uid="{8F68B022-78F4-4918-A497-2BE890D0B6CB}"/>
    <cellStyle name="Linked Cell 12 3 2 2 7" xfId="14102" xr:uid="{81725C77-7857-4F57-AB9D-B6BBA367CB88}"/>
    <cellStyle name="Linked Cell 12 3 2 2 7 2" xfId="14103" xr:uid="{C97D3125-354D-400B-84AC-A47C635F802B}"/>
    <cellStyle name="Linked Cell 12 3 2 2 7 2 2" xfId="14104" xr:uid="{06FF9220-F3B9-488E-8558-5AF82C216173}"/>
    <cellStyle name="Linked Cell 12 3 2 2 7 3" xfId="14105" xr:uid="{2BFEAF42-7824-4BF8-B230-8D683784B91C}"/>
    <cellStyle name="Linked Cell 12 3 2 2 8" xfId="14106" xr:uid="{2816AF1C-896D-498C-B663-78882E3287F2}"/>
    <cellStyle name="Linked Cell 12 3 2 2 8 2" xfId="14107" xr:uid="{83D39486-FDE8-4932-B878-9AE9CD046DF5}"/>
    <cellStyle name="Linked Cell 12 3 2 2 8 2 2" xfId="14108" xr:uid="{E3104F97-2A0E-4667-9107-658C04582C23}"/>
    <cellStyle name="Linked Cell 12 3 2 2 8 3" xfId="14109" xr:uid="{80E8647D-9918-4621-8738-DD808F2BE7C9}"/>
    <cellStyle name="Linked Cell 12 3 2 2 9" xfId="14110" xr:uid="{B0881F9C-804D-4665-BFD6-C93603285C57}"/>
    <cellStyle name="Linked Cell 12 3 2 2 9 2" xfId="14111" xr:uid="{90045948-E037-4D68-B75F-18C30261E76D}"/>
    <cellStyle name="Linked Cell 12 3 2 2 9 2 2" xfId="14112" xr:uid="{95E6AC8B-8DC9-461A-B338-1410F27B07E0}"/>
    <cellStyle name="Linked Cell 12 3 2 2 9 3" xfId="14113" xr:uid="{CBD3812F-CC80-447C-BBAF-D1E5FFC6E8BE}"/>
    <cellStyle name="Linked Cell 12 3 2 3" xfId="14114" xr:uid="{5089827E-ABC3-4A9E-A0B1-FE82D7AD688D}"/>
    <cellStyle name="Linked Cell 12 3 2 3 10" xfId="14115" xr:uid="{A4674A9B-AF55-48DD-B6D5-0A514396E658}"/>
    <cellStyle name="Linked Cell 12 3 2 3 10 2" xfId="14116" xr:uid="{4493CC8B-F279-4674-8C0E-7DC71DC1683C}"/>
    <cellStyle name="Linked Cell 12 3 2 3 11" xfId="14117" xr:uid="{11D9D339-DF1E-4E0C-9ECF-993C398EC837}"/>
    <cellStyle name="Linked Cell 12 3 2 3 2" xfId="14118" xr:uid="{308D1EDA-EA29-46B4-906E-287A3A89A532}"/>
    <cellStyle name="Linked Cell 12 3 2 3 2 2" xfId="14119" xr:uid="{B0D8B48A-0EED-4ED5-A80E-665710CAF05E}"/>
    <cellStyle name="Linked Cell 12 3 2 3 2 2 2" xfId="14120" xr:uid="{E0354C25-1786-4204-BB7A-FE5C38197365}"/>
    <cellStyle name="Linked Cell 12 3 2 3 2 3" xfId="14121" xr:uid="{D90AF696-372F-4C30-B3AF-E95F98CB98D4}"/>
    <cellStyle name="Linked Cell 12 3 2 3 3" xfId="14122" xr:uid="{F983B932-79AC-4A35-8AB2-771EBF0745FD}"/>
    <cellStyle name="Linked Cell 12 3 2 3 3 2" xfId="14123" xr:uid="{4109EEC3-D9C5-40E4-B343-AAE03CF8D55A}"/>
    <cellStyle name="Linked Cell 12 3 2 3 3 2 2" xfId="14124" xr:uid="{E54DD33D-A820-4610-8351-BCC19E4CC5CD}"/>
    <cellStyle name="Linked Cell 12 3 2 3 3 3" xfId="14125" xr:uid="{F9A7756A-393B-402E-A7C4-07815C47989D}"/>
    <cellStyle name="Linked Cell 12 3 2 3 4" xfId="14126" xr:uid="{9B4B5C3D-C1BD-42C0-A9FF-7D6641CEAEB4}"/>
    <cellStyle name="Linked Cell 12 3 2 3 4 2" xfId="14127" xr:uid="{711CF452-981C-4C91-BC2A-F2A3277188BE}"/>
    <cellStyle name="Linked Cell 12 3 2 3 4 2 2" xfId="14128" xr:uid="{97C80818-454D-4D2B-9028-EB504E3BEBA7}"/>
    <cellStyle name="Linked Cell 12 3 2 3 4 3" xfId="14129" xr:uid="{4EBA03A9-FD34-4F65-A42C-FDE18A8F3825}"/>
    <cellStyle name="Linked Cell 12 3 2 3 5" xfId="14130" xr:uid="{698B14EA-053D-4955-9690-809F5096C92E}"/>
    <cellStyle name="Linked Cell 12 3 2 3 5 2" xfId="14131" xr:uid="{C79BBE8E-F965-4CC6-AF58-DD8647EAE10D}"/>
    <cellStyle name="Linked Cell 12 3 2 3 5 2 2" xfId="14132" xr:uid="{7033B09D-3007-4761-B1C1-CDCC2C942F4F}"/>
    <cellStyle name="Linked Cell 12 3 2 3 5 3" xfId="14133" xr:uid="{AE6A0A47-DC9E-48FB-899B-BAF5221025C0}"/>
    <cellStyle name="Linked Cell 12 3 2 3 6" xfId="14134" xr:uid="{DF2364F2-EBE7-4F10-912A-60CD951FCA28}"/>
    <cellStyle name="Linked Cell 12 3 2 3 6 2" xfId="14135" xr:uid="{48311293-454D-4D2D-BD58-FE10C8DB90FA}"/>
    <cellStyle name="Linked Cell 12 3 2 3 6 2 2" xfId="14136" xr:uid="{334958F6-26D7-4FE5-8A66-BB8BD543E1F2}"/>
    <cellStyle name="Linked Cell 12 3 2 3 6 3" xfId="14137" xr:uid="{FC988177-8314-4887-929E-383F8CF88FD5}"/>
    <cellStyle name="Linked Cell 12 3 2 3 7" xfId="14138" xr:uid="{035844B0-CF3F-4825-812C-951163B39C6C}"/>
    <cellStyle name="Linked Cell 12 3 2 3 7 2" xfId="14139" xr:uid="{6C524C89-ACC9-4766-B4C4-4E25329E2F08}"/>
    <cellStyle name="Linked Cell 12 3 2 3 7 2 2" xfId="14140" xr:uid="{056A5FA8-E75F-4890-80E3-4712DE674E68}"/>
    <cellStyle name="Linked Cell 12 3 2 3 7 3" xfId="14141" xr:uid="{6C6D270F-FA50-42AD-8FCC-C61AE92EEB89}"/>
    <cellStyle name="Linked Cell 12 3 2 3 8" xfId="14142" xr:uid="{24149D39-2558-4FBC-9F8D-B97C328C9088}"/>
    <cellStyle name="Linked Cell 12 3 2 3 8 2" xfId="14143" xr:uid="{AD87A1C3-13C2-460F-985E-68C65D11856A}"/>
    <cellStyle name="Linked Cell 12 3 2 3 8 2 2" xfId="14144" xr:uid="{E9682F2E-80FD-4335-8060-3EBBFDA56BE7}"/>
    <cellStyle name="Linked Cell 12 3 2 3 8 3" xfId="14145" xr:uid="{E90F16D9-F7CD-4373-80C7-32D070EAF53A}"/>
    <cellStyle name="Linked Cell 12 3 2 3 9" xfId="14146" xr:uid="{02649869-FDFC-4A39-B175-EA2CDCE602C5}"/>
    <cellStyle name="Linked Cell 12 3 2 3 9 2" xfId="14147" xr:uid="{965D2168-9FFE-4017-98D9-2FB9C677A902}"/>
    <cellStyle name="Linked Cell 12 3 2 3 9 2 2" xfId="14148" xr:uid="{7AAED01C-C7C7-423A-959C-D44595F3FBD2}"/>
    <cellStyle name="Linked Cell 12 3 2 3 9 3" xfId="14149" xr:uid="{97E7FFC1-2427-4097-B629-FFF6728AFFA1}"/>
    <cellStyle name="Linked Cell 12 3 2 4" xfId="14150" xr:uid="{157E09BB-09F8-47C8-AE2C-3CB2C62A2380}"/>
    <cellStyle name="Linked Cell 12 3 2 4 2" xfId="14151" xr:uid="{B58F362B-3993-459F-AA81-A1BE24A2BCDF}"/>
    <cellStyle name="Linked Cell 12 3 2 4 2 2" xfId="14152" xr:uid="{6A854B8F-F3CD-4D83-80E0-EDE348A26CE4}"/>
    <cellStyle name="Linked Cell 12 3 2 4 3" xfId="14153" xr:uid="{3309C233-E34C-47EA-B96B-78DF4C602B0C}"/>
    <cellStyle name="Linked Cell 12 3 2 5" xfId="14154" xr:uid="{245FF265-4656-4CF9-92E6-B1AF025FBDE5}"/>
    <cellStyle name="Linked Cell 12 3 2 5 2" xfId="14155" xr:uid="{15672F10-EB52-41FA-8BF5-7AA8C9ACA092}"/>
    <cellStyle name="Linked Cell 12 3 2 5 2 2" xfId="14156" xr:uid="{4B32BE15-0F83-480C-BA8F-3DE1A0375728}"/>
    <cellStyle name="Linked Cell 12 3 2 5 3" xfId="14157" xr:uid="{C3A93A34-C0C9-43DB-B6AB-8016201E40F6}"/>
    <cellStyle name="Linked Cell 12 3 2 6" xfId="14158" xr:uid="{2ED8B03A-D392-4731-918B-A8CF9D2E84BD}"/>
    <cellStyle name="Linked Cell 12 3 2 6 2" xfId="14159" xr:uid="{ECC63C8C-50AA-4E0C-9AFB-F72BA9580E03}"/>
    <cellStyle name="Linked Cell 12 3 2 6 2 2" xfId="14160" xr:uid="{771332B6-DEB8-47B8-874D-814C78E8D285}"/>
    <cellStyle name="Linked Cell 12 3 2 6 3" xfId="14161" xr:uid="{9540273A-CCA0-43CA-8DB4-3DCA41233512}"/>
    <cellStyle name="Linked Cell 12 3 2 7" xfId="14162" xr:uid="{221749C4-A636-4D58-9543-C7366F8711AB}"/>
    <cellStyle name="Linked Cell 12 3 2 7 2" xfId="14163" xr:uid="{BCBC5224-B214-42E7-B648-145F01416AE3}"/>
    <cellStyle name="Linked Cell 12 3 2 7 2 2" xfId="14164" xr:uid="{B55E27E8-AB93-4B27-B828-84F452C403B2}"/>
    <cellStyle name="Linked Cell 12 3 2 7 3" xfId="14165" xr:uid="{D4E48490-5F76-4C1B-960F-8A0B936CD5F4}"/>
    <cellStyle name="Linked Cell 12 3 2 8" xfId="14166" xr:uid="{D24C0DB7-65D9-4DD7-991B-65AE412CE177}"/>
    <cellStyle name="Linked Cell 12 3 2 8 2" xfId="14167" xr:uid="{3EA3164A-8DF1-44CB-899A-EB54E95B6214}"/>
    <cellStyle name="Linked Cell 12 3 2 8 2 2" xfId="14168" xr:uid="{5B1DCEFF-A762-4FDA-A7F7-F3B010CA72FE}"/>
    <cellStyle name="Linked Cell 12 3 2 8 3" xfId="14169" xr:uid="{EADC6A8A-CCEC-4DA7-89D5-113913B46BF7}"/>
    <cellStyle name="Linked Cell 12 3 2 9" xfId="14170" xr:uid="{39714F85-7306-475D-A977-20F285F5DE75}"/>
    <cellStyle name="Linked Cell 12 3 2 9 2" xfId="14171" xr:uid="{63596E5E-3147-4362-BCA1-8BE17BE69D83}"/>
    <cellStyle name="Linked Cell 12 3 2 9 2 2" xfId="14172" xr:uid="{3A027A0D-B084-4937-BF7D-4684DB50509C}"/>
    <cellStyle name="Linked Cell 12 3 2 9 3" xfId="14173" xr:uid="{66423931-0012-4C4A-A22B-4983EDB51FA0}"/>
    <cellStyle name="Linked Cell 12 3 3" xfId="14174" xr:uid="{B1B583B1-DADD-4A82-BDBD-86270D941C26}"/>
    <cellStyle name="Linked Cell 12 3 3 10" xfId="14175" xr:uid="{2B38F31C-C499-4BAB-A363-B1C9EC863B2F}"/>
    <cellStyle name="Linked Cell 12 3 3 10 2" xfId="14176" xr:uid="{5B87ACAC-D53D-45F3-99C1-A6CE53A59154}"/>
    <cellStyle name="Linked Cell 12 3 3 10 2 2" xfId="14177" xr:uid="{80D41CC0-F22B-45E0-96F0-152519C8D247}"/>
    <cellStyle name="Linked Cell 12 3 3 10 3" xfId="14178" xr:uid="{2D3DF1A8-9575-43F3-9116-AD0BC90BAB09}"/>
    <cellStyle name="Linked Cell 12 3 3 11" xfId="14179" xr:uid="{BC322EFC-CE98-478B-BC43-114108D5EE95}"/>
    <cellStyle name="Linked Cell 12 3 3 11 2" xfId="14180" xr:uid="{EA89CA6B-DA61-4D00-A113-5696D65ED5AD}"/>
    <cellStyle name="Linked Cell 12 3 3 12" xfId="14181" xr:uid="{8EADD438-7428-447A-99BC-97736536F68A}"/>
    <cellStyle name="Linked Cell 12 3 3 2" xfId="14182" xr:uid="{8C91263A-122D-4939-88D8-C92420DBF046}"/>
    <cellStyle name="Linked Cell 12 3 3 2 10" xfId="14183" xr:uid="{A24CB094-6A82-4CA4-A598-71ADDEAFC1D2}"/>
    <cellStyle name="Linked Cell 12 3 3 2 10 2" xfId="14184" xr:uid="{0261B701-C314-4E06-9036-5D6D4649534F}"/>
    <cellStyle name="Linked Cell 12 3 3 2 11" xfId="14185" xr:uid="{253918D2-E1C5-410C-9C56-C682EBEBCC26}"/>
    <cellStyle name="Linked Cell 12 3 3 2 2" xfId="14186" xr:uid="{E7454DF6-F8C8-4AF0-95DA-A54852510FC7}"/>
    <cellStyle name="Linked Cell 12 3 3 2 2 2" xfId="14187" xr:uid="{F941F34F-E715-46CE-89C6-B8F8256C3069}"/>
    <cellStyle name="Linked Cell 12 3 3 2 2 2 2" xfId="14188" xr:uid="{562DF7A2-3317-4313-928D-5B2A3A4CFC18}"/>
    <cellStyle name="Linked Cell 12 3 3 2 2 3" xfId="14189" xr:uid="{01A03741-4984-49D4-A85C-3D0BDCEF2045}"/>
    <cellStyle name="Linked Cell 12 3 3 2 3" xfId="14190" xr:uid="{16F8AC11-23B5-4B57-9C26-76F14999FD1A}"/>
    <cellStyle name="Linked Cell 12 3 3 2 3 2" xfId="14191" xr:uid="{1F8B0F34-254D-4BC3-A156-B8C9123CFDB2}"/>
    <cellStyle name="Linked Cell 12 3 3 2 3 2 2" xfId="14192" xr:uid="{31870EDA-D8E0-433A-836E-79311E77E9EF}"/>
    <cellStyle name="Linked Cell 12 3 3 2 3 3" xfId="14193" xr:uid="{BEC6BF97-8B20-4F00-8B5E-6817EC5F49B2}"/>
    <cellStyle name="Linked Cell 12 3 3 2 4" xfId="14194" xr:uid="{693AA1A2-C747-4662-B874-7DCCBBB8841F}"/>
    <cellStyle name="Linked Cell 12 3 3 2 4 2" xfId="14195" xr:uid="{5876FCE5-460B-4A36-A228-2E91A0A61537}"/>
    <cellStyle name="Linked Cell 12 3 3 2 4 2 2" xfId="14196" xr:uid="{46E2BA45-89C7-4AAC-BCEB-F71CD15DA3F9}"/>
    <cellStyle name="Linked Cell 12 3 3 2 4 3" xfId="14197" xr:uid="{5DD2EE10-BC41-4D9A-8989-72452699C435}"/>
    <cellStyle name="Linked Cell 12 3 3 2 5" xfId="14198" xr:uid="{A4B79E00-F43A-4555-9B96-63D70F3027CA}"/>
    <cellStyle name="Linked Cell 12 3 3 2 5 2" xfId="14199" xr:uid="{B9FFF5F5-9CDA-463C-8C24-4525E5B04C73}"/>
    <cellStyle name="Linked Cell 12 3 3 2 5 2 2" xfId="14200" xr:uid="{35331E3D-BBC0-400F-8DA1-F7456AC75F2F}"/>
    <cellStyle name="Linked Cell 12 3 3 2 5 3" xfId="14201" xr:uid="{5166955A-FE95-47A0-ADD8-C1B934FB7C5D}"/>
    <cellStyle name="Linked Cell 12 3 3 2 6" xfId="14202" xr:uid="{0A460E20-A05F-4221-829F-35DC1EF44006}"/>
    <cellStyle name="Linked Cell 12 3 3 2 6 2" xfId="14203" xr:uid="{FB2D3279-4457-4273-B2E8-863B5674EF53}"/>
    <cellStyle name="Linked Cell 12 3 3 2 6 2 2" xfId="14204" xr:uid="{82296247-95DF-4921-8393-C63D3438A47A}"/>
    <cellStyle name="Linked Cell 12 3 3 2 6 3" xfId="14205" xr:uid="{7616AC0F-162C-4302-B7BD-DB0AFBC7C50D}"/>
    <cellStyle name="Linked Cell 12 3 3 2 7" xfId="14206" xr:uid="{6A88E8E5-1BB8-4279-8485-D53429D00153}"/>
    <cellStyle name="Linked Cell 12 3 3 2 7 2" xfId="14207" xr:uid="{5EB9538D-3E92-4C59-884C-33EE345EFBE6}"/>
    <cellStyle name="Linked Cell 12 3 3 2 7 2 2" xfId="14208" xr:uid="{12CFC238-6C88-4196-B6D9-61D257525C26}"/>
    <cellStyle name="Linked Cell 12 3 3 2 7 3" xfId="14209" xr:uid="{E642D35E-CAC9-45E5-9253-8FE03A15C5A8}"/>
    <cellStyle name="Linked Cell 12 3 3 2 8" xfId="14210" xr:uid="{C016E10F-A253-4933-BE3C-14993F50AD35}"/>
    <cellStyle name="Linked Cell 12 3 3 2 8 2" xfId="14211" xr:uid="{D5993957-89E4-45F3-A286-31BB25F3A70E}"/>
    <cellStyle name="Linked Cell 12 3 3 2 8 2 2" xfId="14212" xr:uid="{FFE76E8B-0FB0-4817-BBA2-CFC634DFFBDA}"/>
    <cellStyle name="Linked Cell 12 3 3 2 8 3" xfId="14213" xr:uid="{22EF6E71-B201-4847-AE09-89568C8C47EA}"/>
    <cellStyle name="Linked Cell 12 3 3 2 9" xfId="14214" xr:uid="{55BA4446-B418-4C37-A552-CAA70F9B873C}"/>
    <cellStyle name="Linked Cell 12 3 3 2 9 2" xfId="14215" xr:uid="{823DE6FB-3BC3-4BBD-A750-727AB8A1B863}"/>
    <cellStyle name="Linked Cell 12 3 3 2 9 2 2" xfId="14216" xr:uid="{5D872A8E-D457-4CA6-8200-C21855E3CF66}"/>
    <cellStyle name="Linked Cell 12 3 3 2 9 3" xfId="14217" xr:uid="{D4B806CD-962C-4847-ABC7-E0F0446A3D8C}"/>
    <cellStyle name="Linked Cell 12 3 3 3" xfId="14218" xr:uid="{DF17BBFD-F2EB-443E-84EA-EC7DEA0EE9AF}"/>
    <cellStyle name="Linked Cell 12 3 3 3 2" xfId="14219" xr:uid="{5DA53187-35CA-4A78-ABEB-79AF10920567}"/>
    <cellStyle name="Linked Cell 12 3 3 3 2 2" xfId="14220" xr:uid="{BF6FD1D0-7189-4604-ACFA-0B254E41B950}"/>
    <cellStyle name="Linked Cell 12 3 3 3 3" xfId="14221" xr:uid="{15256183-AD6A-4C59-A560-EDE20567B31A}"/>
    <cellStyle name="Linked Cell 12 3 3 4" xfId="14222" xr:uid="{14505AD5-7365-4520-B8A6-987FF6D33AF2}"/>
    <cellStyle name="Linked Cell 12 3 3 4 2" xfId="14223" xr:uid="{C47433BA-03F9-4EBC-84AA-8115E0DEF979}"/>
    <cellStyle name="Linked Cell 12 3 3 4 2 2" xfId="14224" xr:uid="{1DBD04B7-DCE0-43C1-A933-954BDB4AC4B5}"/>
    <cellStyle name="Linked Cell 12 3 3 4 3" xfId="14225" xr:uid="{F45AACA3-D331-41FB-8AE5-E8E371C6D160}"/>
    <cellStyle name="Linked Cell 12 3 3 5" xfId="14226" xr:uid="{F87902F0-346F-43BF-AEF4-E22636EBC9DC}"/>
    <cellStyle name="Linked Cell 12 3 3 5 2" xfId="14227" xr:uid="{94F71784-EA28-47A5-A244-B4FA9AE83E9B}"/>
    <cellStyle name="Linked Cell 12 3 3 5 2 2" xfId="14228" xr:uid="{F03E7DE0-BDD8-4B39-BD39-9F128F77B157}"/>
    <cellStyle name="Linked Cell 12 3 3 5 3" xfId="14229" xr:uid="{5EAB0EE8-FB6F-4292-9BC2-D7DAF811C9F0}"/>
    <cellStyle name="Linked Cell 12 3 3 6" xfId="14230" xr:uid="{AF472691-0D07-4E02-9C64-8180F1203A89}"/>
    <cellStyle name="Linked Cell 12 3 3 6 2" xfId="14231" xr:uid="{7D29C42B-95C5-438E-9336-CB237A9D3317}"/>
    <cellStyle name="Linked Cell 12 3 3 6 2 2" xfId="14232" xr:uid="{DD0DC52D-CF76-454C-8241-A2B8049F54D3}"/>
    <cellStyle name="Linked Cell 12 3 3 6 3" xfId="14233" xr:uid="{80C0F645-CCDE-4C70-94A2-9757B17767BC}"/>
    <cellStyle name="Linked Cell 12 3 3 7" xfId="14234" xr:uid="{A9401FD8-02D3-4F82-B7E8-F35D3BA899B7}"/>
    <cellStyle name="Linked Cell 12 3 3 7 2" xfId="14235" xr:uid="{AAA056FF-3DB2-4302-BD74-2748A7A3A89C}"/>
    <cellStyle name="Linked Cell 12 3 3 7 2 2" xfId="14236" xr:uid="{708FA8F2-4677-4E17-BECE-7CE0520C1325}"/>
    <cellStyle name="Linked Cell 12 3 3 7 3" xfId="14237" xr:uid="{B09C1EA3-9FFE-421B-9C38-D5A75CAAAA8D}"/>
    <cellStyle name="Linked Cell 12 3 3 8" xfId="14238" xr:uid="{286A84B7-4DCA-4C8A-BFCC-9FC60CFF33E4}"/>
    <cellStyle name="Linked Cell 12 3 3 8 2" xfId="14239" xr:uid="{B5703728-B06F-4304-9882-52D0DD632362}"/>
    <cellStyle name="Linked Cell 12 3 3 8 2 2" xfId="14240" xr:uid="{236B013B-D9D5-4368-8C9A-6BABF887D87E}"/>
    <cellStyle name="Linked Cell 12 3 3 8 3" xfId="14241" xr:uid="{C458DE5A-AB7D-405D-BCC4-41F6FB08231F}"/>
    <cellStyle name="Linked Cell 12 3 3 9" xfId="14242" xr:uid="{F9DBCAAC-C73D-42A7-8F7B-5D1DE757EE69}"/>
    <cellStyle name="Linked Cell 12 3 3 9 2" xfId="14243" xr:uid="{139ACD3F-ACF2-4A74-94D4-D5DD88520B49}"/>
    <cellStyle name="Linked Cell 12 3 3 9 2 2" xfId="14244" xr:uid="{AE6C1C80-640C-438B-80D6-AD990992E173}"/>
    <cellStyle name="Linked Cell 12 3 3 9 3" xfId="14245" xr:uid="{5A7756D3-BABF-4126-9ED9-16335DECF7E5}"/>
    <cellStyle name="Linked Cell 12 3 4" xfId="14246" xr:uid="{6245AA0A-8E14-4426-BE6C-5EFC52B72625}"/>
    <cellStyle name="Linked Cell 12 3 4 10" xfId="14247" xr:uid="{E3F4A244-727A-4174-BCFD-D9E04FDAD510}"/>
    <cellStyle name="Linked Cell 12 3 4 10 2" xfId="14248" xr:uid="{B6D6F217-7B2B-46F1-9CEF-884F02184D2A}"/>
    <cellStyle name="Linked Cell 12 3 4 11" xfId="14249" xr:uid="{3729B25E-DA1A-48F9-9646-440F40643936}"/>
    <cellStyle name="Linked Cell 12 3 4 2" xfId="14250" xr:uid="{C29873D1-903E-4442-B699-740BBBE52D71}"/>
    <cellStyle name="Linked Cell 12 3 4 2 2" xfId="14251" xr:uid="{F65FB161-A472-4B8B-97A4-5F907930E5D1}"/>
    <cellStyle name="Linked Cell 12 3 4 2 2 2" xfId="14252" xr:uid="{ABB7F6B2-E42D-4A0E-87F1-E5E96FB37A1B}"/>
    <cellStyle name="Linked Cell 12 3 4 2 3" xfId="14253" xr:uid="{2A4DFBE1-031E-4C09-8FA8-CEF7887ED458}"/>
    <cellStyle name="Linked Cell 12 3 4 3" xfId="14254" xr:uid="{2AF7C2F6-C3A4-4D41-851C-81361DD6F4EA}"/>
    <cellStyle name="Linked Cell 12 3 4 3 2" xfId="14255" xr:uid="{D504DCA8-71DF-42A1-A81B-AB69752E1D86}"/>
    <cellStyle name="Linked Cell 12 3 4 3 2 2" xfId="14256" xr:uid="{8439DE0B-501C-4BEB-AD0C-ACAD0165BEF2}"/>
    <cellStyle name="Linked Cell 12 3 4 3 3" xfId="14257" xr:uid="{368208BD-46E4-4D77-A9B5-54F1D765E3CE}"/>
    <cellStyle name="Linked Cell 12 3 4 4" xfId="14258" xr:uid="{BB74F06D-F71D-45DD-BF3F-50B28A845AAD}"/>
    <cellStyle name="Linked Cell 12 3 4 4 2" xfId="14259" xr:uid="{CD3F885D-6D4F-49AC-9EA7-5CC91EE26C08}"/>
    <cellStyle name="Linked Cell 12 3 4 4 2 2" xfId="14260" xr:uid="{D877E0FA-8AED-47D8-B717-42F8818A6237}"/>
    <cellStyle name="Linked Cell 12 3 4 4 3" xfId="14261" xr:uid="{13D2A12F-F589-4087-9F3D-A76A6D653E23}"/>
    <cellStyle name="Linked Cell 12 3 4 5" xfId="14262" xr:uid="{AEE47D7E-D12C-4DF0-B866-CF5033062718}"/>
    <cellStyle name="Linked Cell 12 3 4 5 2" xfId="14263" xr:uid="{7EC03B18-AA7F-4D79-A46D-02193EE3C0BA}"/>
    <cellStyle name="Linked Cell 12 3 4 5 2 2" xfId="14264" xr:uid="{F2CE1BC8-69B6-4C02-A3E1-55EC71F3ED00}"/>
    <cellStyle name="Linked Cell 12 3 4 5 3" xfId="14265" xr:uid="{A5BA98EC-13E8-4111-838F-16BE620CD0CD}"/>
    <cellStyle name="Linked Cell 12 3 4 6" xfId="14266" xr:uid="{48889C70-27C7-4D07-8408-171E11BE985E}"/>
    <cellStyle name="Linked Cell 12 3 4 6 2" xfId="14267" xr:uid="{4B382659-545A-4FB0-9BE8-30DA2C602165}"/>
    <cellStyle name="Linked Cell 12 3 4 6 2 2" xfId="14268" xr:uid="{110552CD-4DF8-41AC-8C57-C84A8D8D83C2}"/>
    <cellStyle name="Linked Cell 12 3 4 6 3" xfId="14269" xr:uid="{EF51E657-C029-4001-8184-5F21FE36DCF9}"/>
    <cellStyle name="Linked Cell 12 3 4 7" xfId="14270" xr:uid="{3D4EC3CB-4117-4CEC-99AD-039BCC56643F}"/>
    <cellStyle name="Linked Cell 12 3 4 7 2" xfId="14271" xr:uid="{D2738F95-3AF5-4EF9-8E0B-DA2019D4B04F}"/>
    <cellStyle name="Linked Cell 12 3 4 7 2 2" xfId="14272" xr:uid="{487092CE-666E-4E2E-A2D6-D49FFEB23308}"/>
    <cellStyle name="Linked Cell 12 3 4 7 3" xfId="14273" xr:uid="{DCFB9C46-1AF6-465A-8A1D-B8F990279B83}"/>
    <cellStyle name="Linked Cell 12 3 4 8" xfId="14274" xr:uid="{65E591B0-5F83-4FCF-A96C-586D01533A27}"/>
    <cellStyle name="Linked Cell 12 3 4 8 2" xfId="14275" xr:uid="{CB5EF5A7-EF40-4B50-9364-DCF9DEE56B50}"/>
    <cellStyle name="Linked Cell 12 3 4 8 2 2" xfId="14276" xr:uid="{2561CC0C-C171-4522-B959-E2BF938B6644}"/>
    <cellStyle name="Linked Cell 12 3 4 8 3" xfId="14277" xr:uid="{EC139109-BD3C-4951-AE84-E786CCC3603E}"/>
    <cellStyle name="Linked Cell 12 3 4 9" xfId="14278" xr:uid="{A7274B7E-BDC0-45B2-BCA2-6BAFF3F7690A}"/>
    <cellStyle name="Linked Cell 12 3 4 9 2" xfId="14279" xr:uid="{12A109DF-2085-445A-8382-DAADC11B58E8}"/>
    <cellStyle name="Linked Cell 12 3 4 9 2 2" xfId="14280" xr:uid="{CE581136-0099-4158-86F9-B9B767D8B5C6}"/>
    <cellStyle name="Linked Cell 12 3 4 9 3" xfId="14281" xr:uid="{0682D84C-9E8F-4DDE-A845-BA8E7C4F9C76}"/>
    <cellStyle name="Linked Cell 12 3 5" xfId="14282" xr:uid="{29D6BAE7-430E-4669-84AA-8423F8F78FC0}"/>
    <cellStyle name="Linked Cell 12 3 5 2" xfId="14283" xr:uid="{C7320942-B371-40D4-B801-9127CADC46F6}"/>
    <cellStyle name="Linked Cell 12 3 5 2 2" xfId="14284" xr:uid="{BF7F2339-12CD-455B-A80E-E09B0CF7BAAE}"/>
    <cellStyle name="Linked Cell 12 3 5 3" xfId="14285" xr:uid="{1726235B-9B33-476B-B4A5-782C59ADBCEF}"/>
    <cellStyle name="Linked Cell 12 3 6" xfId="14286" xr:uid="{E3FB103C-48CB-4958-B083-6C7A35242FB7}"/>
    <cellStyle name="Linked Cell 12 3 6 2" xfId="14287" xr:uid="{6A0E0049-4DFF-4F2B-8BBB-894FF0752140}"/>
    <cellStyle name="Linked Cell 12 3 6 2 2" xfId="14288" xr:uid="{1437D76B-F1F3-4926-A0E7-F6DB99C38F19}"/>
    <cellStyle name="Linked Cell 12 3 6 3" xfId="14289" xr:uid="{BEFD5BD2-2EE0-47DC-B6E6-20A9DF83B1B6}"/>
    <cellStyle name="Linked Cell 12 3 7" xfId="14290" xr:uid="{88E1C690-B02F-4FFE-B5BA-33CA272234E8}"/>
    <cellStyle name="Linked Cell 12 3 7 2" xfId="14291" xr:uid="{8F3E29B5-3B88-486C-83DA-A002E31AA5FC}"/>
    <cellStyle name="Linked Cell 12 3 7 2 2" xfId="14292" xr:uid="{DE6CAFA1-604D-4DA0-88A4-F7207D4CC484}"/>
    <cellStyle name="Linked Cell 12 3 7 3" xfId="14293" xr:uid="{4319C892-2F72-436B-AF3E-C69300B46E07}"/>
    <cellStyle name="Linked Cell 12 3 8" xfId="14294" xr:uid="{9F8CD816-B396-47CF-AF55-166A5B27EA16}"/>
    <cellStyle name="Linked Cell 12 3 8 2" xfId="14295" xr:uid="{2F7D6460-EA3B-401E-A301-E473B1732F60}"/>
    <cellStyle name="Linked Cell 12 3 8 2 2" xfId="14296" xr:uid="{851BA318-77B8-401C-AEF1-C4EE2B48E7E3}"/>
    <cellStyle name="Linked Cell 12 3 8 3" xfId="14297" xr:uid="{A2E80198-23A5-4B5F-B044-F8AA93D6848E}"/>
    <cellStyle name="Linked Cell 12 3 9" xfId="14298" xr:uid="{98711213-2BEA-4E88-8F2D-1D46620162B7}"/>
    <cellStyle name="Linked Cell 12 3 9 2" xfId="14299" xr:uid="{A92FEC81-D6C6-433A-AB2F-E22AE7DCCEF0}"/>
    <cellStyle name="Linked Cell 12 3 9 2 2" xfId="14300" xr:uid="{A20C3C1B-08FE-4233-9115-6C1D9480FC89}"/>
    <cellStyle name="Linked Cell 12 3 9 3" xfId="14301" xr:uid="{7F7B2B55-5784-4DF3-B688-48C2F530F01B}"/>
    <cellStyle name="Linked Cell 12 4" xfId="14302" xr:uid="{810139F8-D049-4AD2-B2AE-A13497546FB3}"/>
    <cellStyle name="Linked Cell 12 4 10" xfId="14303" xr:uid="{E13DBC71-D5F0-40E5-8A3B-C87A973C7CD9}"/>
    <cellStyle name="Linked Cell 12 4 10 2" xfId="14304" xr:uid="{ABD780D7-55DC-4635-A881-E83BE94FFC89}"/>
    <cellStyle name="Linked Cell 12 4 10 2 2" xfId="14305" xr:uid="{8A479429-4509-4102-9BC2-776F5D590206}"/>
    <cellStyle name="Linked Cell 12 4 10 3" xfId="14306" xr:uid="{FDD52C4E-0E3F-4D50-877C-5647D2B25B5D}"/>
    <cellStyle name="Linked Cell 12 4 11" xfId="14307" xr:uid="{F05C2A95-9917-4450-ABE3-638C0279E3E9}"/>
    <cellStyle name="Linked Cell 12 4 11 2" xfId="14308" xr:uid="{DAF54359-909B-4236-88D3-A2E4535C925C}"/>
    <cellStyle name="Linked Cell 12 4 11 2 2" xfId="14309" xr:uid="{47D2CB7C-6E13-4CD6-A1D9-99DAC5E3318D}"/>
    <cellStyle name="Linked Cell 12 4 11 3" xfId="14310" xr:uid="{92823B17-ED75-41E1-B303-FD385CCCBCB6}"/>
    <cellStyle name="Linked Cell 12 4 12" xfId="14311" xr:uid="{4A869D6C-D36C-49B3-A8F7-037BA6960290}"/>
    <cellStyle name="Linked Cell 12 4 12 2" xfId="14312" xr:uid="{4813C412-FE88-404A-AC17-CF37C1CAEDD8}"/>
    <cellStyle name="Linked Cell 12 4 13" xfId="14313" xr:uid="{31BB8009-8E18-417F-A378-B28A44A190DF}"/>
    <cellStyle name="Linked Cell 12 4 2" xfId="14314" xr:uid="{627E89BB-2F45-4457-A8A9-0D2469E86AC4}"/>
    <cellStyle name="Linked Cell 12 4 2 10" xfId="14315" xr:uid="{3D2E69AD-3230-459A-8015-B48B3085D1FC}"/>
    <cellStyle name="Linked Cell 12 4 2 10 2" xfId="14316" xr:uid="{B396BC85-5978-4272-8F91-60EE76FD1550}"/>
    <cellStyle name="Linked Cell 12 4 2 10 2 2" xfId="14317" xr:uid="{C62A9DDE-0195-4D3E-A0F3-0C94EC4786E9}"/>
    <cellStyle name="Linked Cell 12 4 2 10 3" xfId="14318" xr:uid="{74575924-68BE-43D7-9894-6D6E5501BD8B}"/>
    <cellStyle name="Linked Cell 12 4 2 11" xfId="14319" xr:uid="{C69D74FB-0BE7-4522-A120-4170450C527B}"/>
    <cellStyle name="Linked Cell 12 4 2 11 2" xfId="14320" xr:uid="{FDE9C798-6354-4BE4-8A64-3087AEBF4745}"/>
    <cellStyle name="Linked Cell 12 4 2 12" xfId="14321" xr:uid="{00DE981F-94A6-4741-B7B6-136EEBE4649A}"/>
    <cellStyle name="Linked Cell 12 4 2 2" xfId="14322" xr:uid="{CF0A6A66-D66F-489D-8926-725A843A4854}"/>
    <cellStyle name="Linked Cell 12 4 2 2 2" xfId="14323" xr:uid="{EFBA1701-5F1E-4957-A6C9-E15CE2B645A5}"/>
    <cellStyle name="Linked Cell 12 4 2 2 2 2" xfId="14324" xr:uid="{8CCE668F-4062-4E73-A98B-A54BEAE3D781}"/>
    <cellStyle name="Linked Cell 12 4 2 2 3" xfId="14325" xr:uid="{5D374C33-7D1A-4216-8930-DAD8E5334E32}"/>
    <cellStyle name="Linked Cell 12 4 2 3" xfId="14326" xr:uid="{1B9A0E68-A06C-46FB-8405-6606B251525E}"/>
    <cellStyle name="Linked Cell 12 4 2 3 2" xfId="14327" xr:uid="{C69B1E9A-64AA-42F1-816B-97527DA321A4}"/>
    <cellStyle name="Linked Cell 12 4 2 3 2 2" xfId="14328" xr:uid="{FFB93114-A193-45CA-A4AB-1D3C80D92C43}"/>
    <cellStyle name="Linked Cell 12 4 2 3 3" xfId="14329" xr:uid="{A60FCA70-9D65-4112-AAA2-1D9DAF017B19}"/>
    <cellStyle name="Linked Cell 12 4 2 4" xfId="14330" xr:uid="{050725A8-E1BF-4975-B295-573D0FDED359}"/>
    <cellStyle name="Linked Cell 12 4 2 4 2" xfId="14331" xr:uid="{F0B5F52D-40D8-4C07-A63D-5F941DE5F0E7}"/>
    <cellStyle name="Linked Cell 12 4 2 4 2 2" xfId="14332" xr:uid="{0829FB40-F9A6-45DE-BAFE-852811B744E2}"/>
    <cellStyle name="Linked Cell 12 4 2 4 3" xfId="14333" xr:uid="{8B468D36-4099-4B15-97DF-A44AFD0011E9}"/>
    <cellStyle name="Linked Cell 12 4 2 5" xfId="14334" xr:uid="{D742BFBB-C248-4A21-AEFA-081C32ED6847}"/>
    <cellStyle name="Linked Cell 12 4 2 5 2" xfId="14335" xr:uid="{AED6489C-DE12-4CE6-AF48-7DCE42CEA4F1}"/>
    <cellStyle name="Linked Cell 12 4 2 5 2 2" xfId="14336" xr:uid="{010EF792-A37F-4FAC-B3D9-E1212F84EC83}"/>
    <cellStyle name="Linked Cell 12 4 2 5 3" xfId="14337" xr:uid="{30760942-D12A-477D-9083-CF637744D5A4}"/>
    <cellStyle name="Linked Cell 12 4 2 6" xfId="14338" xr:uid="{726D382C-E69B-4F0A-8ADD-6DB8E5B18499}"/>
    <cellStyle name="Linked Cell 12 4 2 6 2" xfId="14339" xr:uid="{76E62ACD-FD2C-41FB-813A-44B579CC17AD}"/>
    <cellStyle name="Linked Cell 12 4 2 6 2 2" xfId="14340" xr:uid="{6557B843-49DE-495B-8C84-AE3F67E17996}"/>
    <cellStyle name="Linked Cell 12 4 2 6 3" xfId="14341" xr:uid="{F987445F-0E1C-430F-AEF9-68277EEC5C4C}"/>
    <cellStyle name="Linked Cell 12 4 2 7" xfId="14342" xr:uid="{108A3030-C6D2-479F-85E0-C28B56207997}"/>
    <cellStyle name="Linked Cell 12 4 2 7 2" xfId="14343" xr:uid="{920F9233-081D-429A-AEA2-44490BC68909}"/>
    <cellStyle name="Linked Cell 12 4 2 7 2 2" xfId="14344" xr:uid="{AF4A36AD-3269-4AFB-9DD9-4C1DE08EA278}"/>
    <cellStyle name="Linked Cell 12 4 2 7 3" xfId="14345" xr:uid="{EC2C06FE-C02E-42FB-A8C3-1E7B1844CDDD}"/>
    <cellStyle name="Linked Cell 12 4 2 8" xfId="14346" xr:uid="{E12527C3-B4CF-493D-9E2C-E23B25809E9F}"/>
    <cellStyle name="Linked Cell 12 4 2 8 2" xfId="14347" xr:uid="{024FECAD-1C0E-4258-9F71-32D2169810D1}"/>
    <cellStyle name="Linked Cell 12 4 2 8 2 2" xfId="14348" xr:uid="{92C98B62-F803-4580-BE57-F169FE9A8344}"/>
    <cellStyle name="Linked Cell 12 4 2 8 3" xfId="14349" xr:uid="{9752565B-A533-4BCF-A7A2-0C147AA416D4}"/>
    <cellStyle name="Linked Cell 12 4 2 9" xfId="14350" xr:uid="{077EB128-9AAC-47A9-B338-3B236B6DDC71}"/>
    <cellStyle name="Linked Cell 12 4 2 9 2" xfId="14351" xr:uid="{371A9855-8601-41DC-BD54-2F5FE45E8562}"/>
    <cellStyle name="Linked Cell 12 4 2 9 2 2" xfId="14352" xr:uid="{70CA5249-886A-4DB4-8B84-C34A781E5DB4}"/>
    <cellStyle name="Linked Cell 12 4 2 9 3" xfId="14353" xr:uid="{1F4B8910-6BBA-4C9F-85A5-6B04C295AA60}"/>
    <cellStyle name="Linked Cell 12 4 3" xfId="14354" xr:uid="{3B3A7932-D6A4-4311-B8C0-5BB4B0F4CEFA}"/>
    <cellStyle name="Linked Cell 12 4 3 10" xfId="14355" xr:uid="{2F39AA32-DECC-4761-92E8-F2037CF35E9A}"/>
    <cellStyle name="Linked Cell 12 4 3 10 2" xfId="14356" xr:uid="{B6580F76-5F47-44B1-986D-6B449F756C3F}"/>
    <cellStyle name="Linked Cell 12 4 3 11" xfId="14357" xr:uid="{2DEF7906-E7D2-4377-AEB1-2875C91E8A8D}"/>
    <cellStyle name="Linked Cell 12 4 3 2" xfId="14358" xr:uid="{F7C84AB4-EB96-4099-BEE7-7AA640B9D067}"/>
    <cellStyle name="Linked Cell 12 4 3 2 2" xfId="14359" xr:uid="{16C25CE9-C95C-4411-873D-87A36E6E6990}"/>
    <cellStyle name="Linked Cell 12 4 3 2 2 2" xfId="14360" xr:uid="{DDAFE1E9-C8CC-4BCB-B9F3-17ADB336873F}"/>
    <cellStyle name="Linked Cell 12 4 3 2 3" xfId="14361" xr:uid="{C1D51DB5-F9B3-4C94-BDC0-750C03A14584}"/>
    <cellStyle name="Linked Cell 12 4 3 3" xfId="14362" xr:uid="{35D7E4C2-0C76-4F12-ABC6-E57936BD9ACD}"/>
    <cellStyle name="Linked Cell 12 4 3 3 2" xfId="14363" xr:uid="{A61B6F04-154E-4FC1-A7B1-FEE87B35B9E0}"/>
    <cellStyle name="Linked Cell 12 4 3 3 2 2" xfId="14364" xr:uid="{FFC5E235-FE3E-43AA-B666-C90A1EEA283D}"/>
    <cellStyle name="Linked Cell 12 4 3 3 3" xfId="14365" xr:uid="{9629A69B-36D0-471F-AFD6-CACDB23927D4}"/>
    <cellStyle name="Linked Cell 12 4 3 4" xfId="14366" xr:uid="{4CA7CF37-5B39-4B67-AD11-72F68795263C}"/>
    <cellStyle name="Linked Cell 12 4 3 4 2" xfId="14367" xr:uid="{D46A79A3-C48C-413E-9E0C-88CA82D89E11}"/>
    <cellStyle name="Linked Cell 12 4 3 4 2 2" xfId="14368" xr:uid="{9D2072AC-302C-4B53-9196-67D308A7B10B}"/>
    <cellStyle name="Linked Cell 12 4 3 4 3" xfId="14369" xr:uid="{2201DD73-46A8-4D53-9870-7D3AD127735A}"/>
    <cellStyle name="Linked Cell 12 4 3 5" xfId="14370" xr:uid="{64E12930-FDFC-43F8-BC43-84783E954656}"/>
    <cellStyle name="Linked Cell 12 4 3 5 2" xfId="14371" xr:uid="{8FBCE878-0DC9-4BBD-8F15-91FA2943954D}"/>
    <cellStyle name="Linked Cell 12 4 3 5 2 2" xfId="14372" xr:uid="{51959340-F62C-4FFF-BBF5-FC1EBD371870}"/>
    <cellStyle name="Linked Cell 12 4 3 5 3" xfId="14373" xr:uid="{80746B40-3F69-4CE8-9399-E660B3FDB163}"/>
    <cellStyle name="Linked Cell 12 4 3 6" xfId="14374" xr:uid="{042FA79E-E87A-40C1-A9F8-66A94AAC4F2E}"/>
    <cellStyle name="Linked Cell 12 4 3 6 2" xfId="14375" xr:uid="{0487DF78-E60C-4D11-BA26-22B05908CE37}"/>
    <cellStyle name="Linked Cell 12 4 3 6 2 2" xfId="14376" xr:uid="{160390DC-20E5-4A2B-96EC-BB4D91254050}"/>
    <cellStyle name="Linked Cell 12 4 3 6 3" xfId="14377" xr:uid="{A8267096-EB08-442B-8EC1-C9AF04FED6AB}"/>
    <cellStyle name="Linked Cell 12 4 3 7" xfId="14378" xr:uid="{A64C51EC-8EDF-455D-9660-5DFD2F0FE8DD}"/>
    <cellStyle name="Linked Cell 12 4 3 7 2" xfId="14379" xr:uid="{7830050B-287C-4685-9259-6872DC977AE7}"/>
    <cellStyle name="Linked Cell 12 4 3 7 2 2" xfId="14380" xr:uid="{CF515A11-853A-4BBF-A5B7-7ACC4B2869B3}"/>
    <cellStyle name="Linked Cell 12 4 3 7 3" xfId="14381" xr:uid="{4B6E31A6-37F0-4792-A04B-2B37D6CF2DBF}"/>
    <cellStyle name="Linked Cell 12 4 3 8" xfId="14382" xr:uid="{9C2DA262-5EA1-46A9-92BE-0197D383C38C}"/>
    <cellStyle name="Linked Cell 12 4 3 8 2" xfId="14383" xr:uid="{4DD4D60C-9D0D-4471-9535-9CEC0CD31D1B}"/>
    <cellStyle name="Linked Cell 12 4 3 8 2 2" xfId="14384" xr:uid="{83888554-4FBD-406E-9F03-D58F15BCC0E1}"/>
    <cellStyle name="Linked Cell 12 4 3 8 3" xfId="14385" xr:uid="{A89488F4-0642-493A-B633-CDE883BB7FA9}"/>
    <cellStyle name="Linked Cell 12 4 3 9" xfId="14386" xr:uid="{23104BE1-F5E7-421F-A468-C1CECD55EFA6}"/>
    <cellStyle name="Linked Cell 12 4 3 9 2" xfId="14387" xr:uid="{31E07F29-3261-45A4-A13B-3F5242C0F144}"/>
    <cellStyle name="Linked Cell 12 4 3 9 2 2" xfId="14388" xr:uid="{7A6F8D3D-92E9-42EC-8025-0A28A6B96B4B}"/>
    <cellStyle name="Linked Cell 12 4 3 9 3" xfId="14389" xr:uid="{5EB2FD93-5584-4A3A-A261-94D51F78E39F}"/>
    <cellStyle name="Linked Cell 12 4 4" xfId="14390" xr:uid="{559EEC73-F700-455F-B18F-DF469FE48F37}"/>
    <cellStyle name="Linked Cell 12 4 4 2" xfId="14391" xr:uid="{BDCDE982-84C2-46DA-A786-E09C1D25A04E}"/>
    <cellStyle name="Linked Cell 12 4 4 2 2" xfId="14392" xr:uid="{82FAB7F7-3B31-431C-85E3-28989700B7DC}"/>
    <cellStyle name="Linked Cell 12 4 4 3" xfId="14393" xr:uid="{C583FD03-6292-4402-A675-E975FA8BA8B7}"/>
    <cellStyle name="Linked Cell 12 4 5" xfId="14394" xr:uid="{796A5E22-FDA3-4340-B90E-84EE40C307AE}"/>
    <cellStyle name="Linked Cell 12 4 5 2" xfId="14395" xr:uid="{901DCBD2-6AAA-4720-ADE1-49E65431242E}"/>
    <cellStyle name="Linked Cell 12 4 5 2 2" xfId="14396" xr:uid="{A92768AD-F26B-485D-A19B-6C65713537B9}"/>
    <cellStyle name="Linked Cell 12 4 5 3" xfId="14397" xr:uid="{97D631EE-5460-4E74-8611-74C64E83FF4A}"/>
    <cellStyle name="Linked Cell 12 4 6" xfId="14398" xr:uid="{7663D36A-5D8B-4469-B240-33105220943B}"/>
    <cellStyle name="Linked Cell 12 4 6 2" xfId="14399" xr:uid="{294742E4-39CF-43B5-88A2-9F0CCA5D255B}"/>
    <cellStyle name="Linked Cell 12 4 6 2 2" xfId="14400" xr:uid="{E12CE0AE-87C5-42D9-8358-37D4C5C100AC}"/>
    <cellStyle name="Linked Cell 12 4 6 3" xfId="14401" xr:uid="{8F856A4D-E82C-4A65-84DE-1B21A07BEB73}"/>
    <cellStyle name="Linked Cell 12 4 7" xfId="14402" xr:uid="{210DDEE8-AC52-4F82-AD73-246C007ABF85}"/>
    <cellStyle name="Linked Cell 12 4 7 2" xfId="14403" xr:uid="{88D413FF-6B61-43A3-BB56-747A74CB295F}"/>
    <cellStyle name="Linked Cell 12 4 7 2 2" xfId="14404" xr:uid="{6BD08B0C-DAEA-461F-B989-262ED64B7EFD}"/>
    <cellStyle name="Linked Cell 12 4 7 3" xfId="14405" xr:uid="{67ABBE4D-C630-445D-9EDF-CE1456FE33E2}"/>
    <cellStyle name="Linked Cell 12 4 8" xfId="14406" xr:uid="{47ABC11F-DAA2-401F-88A6-6D62D360F81D}"/>
    <cellStyle name="Linked Cell 12 4 8 2" xfId="14407" xr:uid="{0A4A08A4-8972-49BB-91E6-2899F6E222BA}"/>
    <cellStyle name="Linked Cell 12 4 8 2 2" xfId="14408" xr:uid="{7D0FB91A-FDFB-4899-850C-03432D68D5E7}"/>
    <cellStyle name="Linked Cell 12 4 8 3" xfId="14409" xr:uid="{485B9A82-DD98-4B8F-8702-A49D6DAC7578}"/>
    <cellStyle name="Linked Cell 12 4 9" xfId="14410" xr:uid="{434E4769-5253-4DFC-A096-01334BE264F7}"/>
    <cellStyle name="Linked Cell 12 4 9 2" xfId="14411" xr:uid="{A75A686F-8D7E-48BF-B9AF-C58385FA6842}"/>
    <cellStyle name="Linked Cell 12 4 9 2 2" xfId="14412" xr:uid="{5F743079-B920-435A-8365-946C5A0D4F5D}"/>
    <cellStyle name="Linked Cell 12 4 9 3" xfId="14413" xr:uid="{EE758A23-BA4A-43F5-9534-18D11FE29770}"/>
    <cellStyle name="Linked Cell 13" xfId="14414" xr:uid="{BAE20899-DABE-4C36-B5A4-27593BF53AEB}"/>
    <cellStyle name="Linked Cell 13 2" xfId="14415" xr:uid="{EE70A347-D951-4A19-96E9-2AF14991B406}"/>
    <cellStyle name="Linked Cell 13 2 10" xfId="14416" xr:uid="{E206747D-D2E5-4F95-A09E-12A6272A3B99}"/>
    <cellStyle name="Linked Cell 13 2 10 2" xfId="14417" xr:uid="{AE6A71ED-81DE-49A5-8BB8-03C0EA44820F}"/>
    <cellStyle name="Linked Cell 13 2 10 2 2" xfId="14418" xr:uid="{BD734034-397D-48C8-937B-928A74F2E21D}"/>
    <cellStyle name="Linked Cell 13 2 10 3" xfId="14419" xr:uid="{987304D1-3D0B-465D-AAFE-B6789E6F2BB9}"/>
    <cellStyle name="Linked Cell 13 2 11" xfId="14420" xr:uid="{D4CBDE92-B39B-4EF1-BA68-9BA5800925BB}"/>
    <cellStyle name="Linked Cell 13 2 11 2" xfId="14421" xr:uid="{5D0B164E-A384-40D1-AD6E-A9D43B1F1081}"/>
    <cellStyle name="Linked Cell 13 2 11 2 2" xfId="14422" xr:uid="{20A55AC6-B965-4EC4-900A-9757AF273B62}"/>
    <cellStyle name="Linked Cell 13 2 11 3" xfId="14423" xr:uid="{8B183DDF-A5D4-4149-9987-F98EF8844263}"/>
    <cellStyle name="Linked Cell 13 2 12" xfId="14424" xr:uid="{641F3D46-524A-4030-8A63-39E1E0FF1355}"/>
    <cellStyle name="Linked Cell 13 2 12 2" xfId="14425" xr:uid="{F36BDB96-3045-4097-9489-27CBE9393D20}"/>
    <cellStyle name="Linked Cell 13 2 12 2 2" xfId="14426" xr:uid="{343C47CD-5C9F-4F60-9676-DBBD17DACB74}"/>
    <cellStyle name="Linked Cell 13 2 12 3" xfId="14427" xr:uid="{55531F33-7ECB-4268-8F2E-9978795B08A1}"/>
    <cellStyle name="Linked Cell 13 2 13" xfId="14428" xr:uid="{82C99297-A9F3-498D-9257-987A86A108A4}"/>
    <cellStyle name="Linked Cell 13 2 13 2" xfId="14429" xr:uid="{596233EE-4E70-445D-930F-22BE0EAEE13F}"/>
    <cellStyle name="Linked Cell 13 2 13 2 2" xfId="14430" xr:uid="{AE19A9DF-F0F6-4BCC-BEF2-61C838FFDB94}"/>
    <cellStyle name="Linked Cell 13 2 13 3" xfId="14431" xr:uid="{58266CCF-5C6C-4FD5-90EF-DFC991147B39}"/>
    <cellStyle name="Linked Cell 13 2 14" xfId="14432" xr:uid="{3045DCA8-B2C0-4997-9517-8FAEF7000A7F}"/>
    <cellStyle name="Linked Cell 13 2 14 2" xfId="14433" xr:uid="{B657E886-D132-44AA-A761-FE92703CA0E7}"/>
    <cellStyle name="Linked Cell 13 2 15" xfId="14434" xr:uid="{0801139F-D55C-4EA1-80E2-33E2EF0D70A3}"/>
    <cellStyle name="Linked Cell 13 2 2" xfId="14435" xr:uid="{84A7E10A-9802-420D-8A62-2DB7B518EC5F}"/>
    <cellStyle name="Linked Cell 13 2 2 10" xfId="14436" xr:uid="{1C97BD19-16C7-4BB6-8DF4-E194D6E4860B}"/>
    <cellStyle name="Linked Cell 13 2 2 10 2" xfId="14437" xr:uid="{9FFB2E0B-C003-4A3E-9747-4599C7206D99}"/>
    <cellStyle name="Linked Cell 13 2 2 10 2 2" xfId="14438" xr:uid="{4E08CC06-8B42-44B7-A133-BC7ACAED9FD4}"/>
    <cellStyle name="Linked Cell 13 2 2 10 3" xfId="14439" xr:uid="{F4AC740B-E3CA-4B89-99E9-E522BC2CFE84}"/>
    <cellStyle name="Linked Cell 13 2 2 11" xfId="14440" xr:uid="{99D4362D-004B-4921-BFF7-67AF4321CA2A}"/>
    <cellStyle name="Linked Cell 13 2 2 11 2" xfId="14441" xr:uid="{C6A6DEAA-0DBC-45E3-AEB0-A1EE4E9A4ECD}"/>
    <cellStyle name="Linked Cell 13 2 2 11 2 2" xfId="14442" xr:uid="{6A467441-5100-4FFA-BB8F-7A8E628F0C2B}"/>
    <cellStyle name="Linked Cell 13 2 2 11 3" xfId="14443" xr:uid="{63322648-4292-49AB-93A8-26D4218C5DE2}"/>
    <cellStyle name="Linked Cell 13 2 2 12" xfId="14444" xr:uid="{2D8692B4-564F-4F00-B85E-77DC43E09D7C}"/>
    <cellStyle name="Linked Cell 13 2 2 12 2" xfId="14445" xr:uid="{9B973AEC-5A26-4B58-9733-77CC5CAB8AB8}"/>
    <cellStyle name="Linked Cell 13 2 2 12 2 2" xfId="14446" xr:uid="{CB5BFE52-151A-4CE6-9666-7746ED9A0677}"/>
    <cellStyle name="Linked Cell 13 2 2 12 3" xfId="14447" xr:uid="{B99A8D27-C2FA-4792-AA09-D50219F7979D}"/>
    <cellStyle name="Linked Cell 13 2 2 13" xfId="14448" xr:uid="{3ACA97F4-F156-402D-9167-E4D5F76302E6}"/>
    <cellStyle name="Linked Cell 13 2 2 13 2" xfId="14449" xr:uid="{52D1037B-5078-4D0F-A82C-956D5FB78558}"/>
    <cellStyle name="Linked Cell 13 2 2 14" xfId="14450" xr:uid="{0439A508-E99B-4D47-A643-225C4736B795}"/>
    <cellStyle name="Linked Cell 13 2 2 2" xfId="14451" xr:uid="{42A82360-B333-43F8-BF26-FB1C5FC1CEC8}"/>
    <cellStyle name="Linked Cell 13 2 2 2 10" xfId="14452" xr:uid="{87904BB3-B334-4019-A934-EA1FF6276B14}"/>
    <cellStyle name="Linked Cell 13 2 2 2 10 2" xfId="14453" xr:uid="{B05D0435-28DB-4801-9D54-2A22D11D04D1}"/>
    <cellStyle name="Linked Cell 13 2 2 2 10 2 2" xfId="14454" xr:uid="{6ECF1795-8927-4A5F-9DF6-70BE778AA2BE}"/>
    <cellStyle name="Linked Cell 13 2 2 2 10 3" xfId="14455" xr:uid="{2CBDFBB2-A954-477A-9031-FF4528B0EEC7}"/>
    <cellStyle name="Linked Cell 13 2 2 2 11" xfId="14456" xr:uid="{B8A461D8-06A1-4AA2-8F66-07D0E5AA92B9}"/>
    <cellStyle name="Linked Cell 13 2 2 2 11 2" xfId="14457" xr:uid="{17832E2C-26D1-40DE-BC03-021B27320786}"/>
    <cellStyle name="Linked Cell 13 2 2 2 11 2 2" xfId="14458" xr:uid="{24C4086A-4BF0-4EEB-9DE6-B4BFB7FD2E56}"/>
    <cellStyle name="Linked Cell 13 2 2 2 11 3" xfId="14459" xr:uid="{7C755645-47C4-4FC1-8C78-A150BFF64627}"/>
    <cellStyle name="Linked Cell 13 2 2 2 12" xfId="14460" xr:uid="{5DC53E64-610C-45C4-BBF9-E71C8CDF142E}"/>
    <cellStyle name="Linked Cell 13 2 2 2 12 2" xfId="14461" xr:uid="{992D2FB4-A2FD-47E1-A0C1-05B14A40C2AB}"/>
    <cellStyle name="Linked Cell 13 2 2 2 13" xfId="14462" xr:uid="{7FDFD57C-3D50-462C-A199-857BC650D2CD}"/>
    <cellStyle name="Linked Cell 13 2 2 2 2" xfId="14463" xr:uid="{9A2660A9-4AC0-4CF2-A96B-253DD026E687}"/>
    <cellStyle name="Linked Cell 13 2 2 2 2 10" xfId="14464" xr:uid="{1033E4EF-8F94-48F8-81C0-DE4911AD4C60}"/>
    <cellStyle name="Linked Cell 13 2 2 2 2 10 2" xfId="14465" xr:uid="{3E450E35-5D39-4EC2-BB39-BE32B5092EED}"/>
    <cellStyle name="Linked Cell 13 2 2 2 2 10 2 2" xfId="14466" xr:uid="{26180387-D879-4619-BEE3-8019F00C4C59}"/>
    <cellStyle name="Linked Cell 13 2 2 2 2 10 3" xfId="14467" xr:uid="{75216CA4-A186-480B-BD26-49A6E85AEA9F}"/>
    <cellStyle name="Linked Cell 13 2 2 2 2 11" xfId="14468" xr:uid="{DD92575D-B9FF-4E8B-A2FF-56987F8C8C34}"/>
    <cellStyle name="Linked Cell 13 2 2 2 2 11 2" xfId="14469" xr:uid="{19458B36-2E80-4DD2-B726-299C7CD728A2}"/>
    <cellStyle name="Linked Cell 13 2 2 2 2 12" xfId="14470" xr:uid="{046F50F6-BF0E-48A8-B0EA-CFBE24EC16CF}"/>
    <cellStyle name="Linked Cell 13 2 2 2 2 2" xfId="14471" xr:uid="{8ADEE3A0-5533-41E8-8902-DEE6A7EA5D67}"/>
    <cellStyle name="Linked Cell 13 2 2 2 2 2 2" xfId="14472" xr:uid="{17FC4270-42D7-4B47-BC6F-6648C827BC6E}"/>
    <cellStyle name="Linked Cell 13 2 2 2 2 2 2 2" xfId="14473" xr:uid="{A6F7BC09-3FD9-4391-948F-B6254A587E1B}"/>
    <cellStyle name="Linked Cell 13 2 2 2 2 2 3" xfId="14474" xr:uid="{DE353ACE-B304-4061-B991-B56EF2831F90}"/>
    <cellStyle name="Linked Cell 13 2 2 2 2 3" xfId="14475" xr:uid="{7BF94C08-6A87-400D-87BD-8DA3039ED8B5}"/>
    <cellStyle name="Linked Cell 13 2 2 2 2 3 2" xfId="14476" xr:uid="{54DC68DF-8AFB-49A4-859D-E631D86E210F}"/>
    <cellStyle name="Linked Cell 13 2 2 2 2 3 2 2" xfId="14477" xr:uid="{15525DDE-A119-4B84-BA21-89F881F95AF7}"/>
    <cellStyle name="Linked Cell 13 2 2 2 2 3 3" xfId="14478" xr:uid="{5B538084-4D50-4AE3-9CAE-6406452923C6}"/>
    <cellStyle name="Linked Cell 13 2 2 2 2 4" xfId="14479" xr:uid="{A21C5F7F-4AC9-4B8A-A262-EE9F66073D4B}"/>
    <cellStyle name="Linked Cell 13 2 2 2 2 4 2" xfId="14480" xr:uid="{F01E3D8B-D81C-4EEE-9223-0F2059045222}"/>
    <cellStyle name="Linked Cell 13 2 2 2 2 4 2 2" xfId="14481" xr:uid="{80BCF77C-AA20-4E7A-9410-7E2606E585AA}"/>
    <cellStyle name="Linked Cell 13 2 2 2 2 4 3" xfId="14482" xr:uid="{927C7BEA-6ED1-4D7F-836A-604197B9E4B7}"/>
    <cellStyle name="Linked Cell 13 2 2 2 2 5" xfId="14483" xr:uid="{A9FE259B-A15B-401C-9799-8B342C5EECB0}"/>
    <cellStyle name="Linked Cell 13 2 2 2 2 5 2" xfId="14484" xr:uid="{C600797D-48F0-4B76-9100-290ADA405517}"/>
    <cellStyle name="Linked Cell 13 2 2 2 2 5 2 2" xfId="14485" xr:uid="{DC223A45-2A62-4B7E-A03D-74D567156B39}"/>
    <cellStyle name="Linked Cell 13 2 2 2 2 5 3" xfId="14486" xr:uid="{9F0408DF-1A42-499B-9D46-5DA9212F8440}"/>
    <cellStyle name="Linked Cell 13 2 2 2 2 6" xfId="14487" xr:uid="{03CB804F-C820-4D32-8554-2C80A757182F}"/>
    <cellStyle name="Linked Cell 13 2 2 2 2 6 2" xfId="14488" xr:uid="{FDDA987B-3BB1-43E5-9416-784C679C48C2}"/>
    <cellStyle name="Linked Cell 13 2 2 2 2 6 2 2" xfId="14489" xr:uid="{C5CAE443-3B3B-4E10-9B7B-414A858B4787}"/>
    <cellStyle name="Linked Cell 13 2 2 2 2 6 3" xfId="14490" xr:uid="{CA1CE45B-F4F1-4C50-9CB2-526B45189BB0}"/>
    <cellStyle name="Linked Cell 13 2 2 2 2 7" xfId="14491" xr:uid="{E80DD617-AA9E-41CB-B823-A0086B98DF46}"/>
    <cellStyle name="Linked Cell 13 2 2 2 2 7 2" xfId="14492" xr:uid="{C4FD70C8-EBE6-49B3-B0EE-ECD66988A852}"/>
    <cellStyle name="Linked Cell 13 2 2 2 2 7 2 2" xfId="14493" xr:uid="{0E1BE5F2-8B2E-45E2-9AC3-F3A2EA5CDC90}"/>
    <cellStyle name="Linked Cell 13 2 2 2 2 7 3" xfId="14494" xr:uid="{FB0F09EB-6A15-49B6-8C12-A97123BBE662}"/>
    <cellStyle name="Linked Cell 13 2 2 2 2 8" xfId="14495" xr:uid="{20E110D0-F532-41E9-AD1E-AE354A8666F6}"/>
    <cellStyle name="Linked Cell 13 2 2 2 2 8 2" xfId="14496" xr:uid="{85CE6472-1633-4C6B-9E5F-70A2EC7E9877}"/>
    <cellStyle name="Linked Cell 13 2 2 2 2 8 2 2" xfId="14497" xr:uid="{D10AC996-2C48-4B8D-B3DA-51A90319683E}"/>
    <cellStyle name="Linked Cell 13 2 2 2 2 8 3" xfId="14498" xr:uid="{A4803773-F9D4-43D1-A03C-21542B7E64F1}"/>
    <cellStyle name="Linked Cell 13 2 2 2 2 9" xfId="14499" xr:uid="{B8AC6269-F838-4024-810B-1BA3825C0294}"/>
    <cellStyle name="Linked Cell 13 2 2 2 2 9 2" xfId="14500" xr:uid="{D05203FB-D284-4B8F-AC13-FDEE4415DE10}"/>
    <cellStyle name="Linked Cell 13 2 2 2 2 9 2 2" xfId="14501" xr:uid="{73EF47B5-977B-455F-846E-AB7A32842F0B}"/>
    <cellStyle name="Linked Cell 13 2 2 2 2 9 3" xfId="14502" xr:uid="{EBCE22F9-E6F0-4E2F-A448-03C185262E18}"/>
    <cellStyle name="Linked Cell 13 2 2 2 3" xfId="14503" xr:uid="{92D0DC81-A30C-48C9-AC39-75431C52743C}"/>
    <cellStyle name="Linked Cell 13 2 2 2 3 10" xfId="14504" xr:uid="{0D3BC827-826F-4B26-8347-B7F7124260D3}"/>
    <cellStyle name="Linked Cell 13 2 2 2 3 10 2" xfId="14505" xr:uid="{19953F7E-4999-4622-8F1E-E7FCA7A955B6}"/>
    <cellStyle name="Linked Cell 13 2 2 2 3 11" xfId="14506" xr:uid="{F19DB7C5-2A95-4C8E-80EB-FC760CF852B3}"/>
    <cellStyle name="Linked Cell 13 2 2 2 3 2" xfId="14507" xr:uid="{6C93AF92-E24F-4739-97DA-E22224AAA8F0}"/>
    <cellStyle name="Linked Cell 13 2 2 2 3 2 2" xfId="14508" xr:uid="{97DA9CB2-230E-4D32-BBB9-2216288B8487}"/>
    <cellStyle name="Linked Cell 13 2 2 2 3 2 2 2" xfId="14509" xr:uid="{56A1E46D-535C-44F7-A066-4F0553A09F57}"/>
    <cellStyle name="Linked Cell 13 2 2 2 3 2 3" xfId="14510" xr:uid="{2152121F-00D8-4475-BF35-D7A02CC5886B}"/>
    <cellStyle name="Linked Cell 13 2 2 2 3 3" xfId="14511" xr:uid="{76F5C6E1-C716-4D97-86FF-036940FDC06B}"/>
    <cellStyle name="Linked Cell 13 2 2 2 3 3 2" xfId="14512" xr:uid="{8F112138-B77D-44EF-A6F4-7ADD6F2630B0}"/>
    <cellStyle name="Linked Cell 13 2 2 2 3 3 2 2" xfId="14513" xr:uid="{4D5C694F-FE0D-4B7C-807D-59690E88FB25}"/>
    <cellStyle name="Linked Cell 13 2 2 2 3 3 3" xfId="14514" xr:uid="{A3233FAA-F903-498C-AC56-85639CF77EE4}"/>
    <cellStyle name="Linked Cell 13 2 2 2 3 4" xfId="14515" xr:uid="{6A78A4F4-7243-4266-9D7A-4EC187C8764E}"/>
    <cellStyle name="Linked Cell 13 2 2 2 3 4 2" xfId="14516" xr:uid="{EA248308-8CDF-4EC7-A11A-5AAA8A0BD2E6}"/>
    <cellStyle name="Linked Cell 13 2 2 2 3 4 2 2" xfId="14517" xr:uid="{2AB8B841-5F1F-4AB3-AF59-9F8537F9164B}"/>
    <cellStyle name="Linked Cell 13 2 2 2 3 4 3" xfId="14518" xr:uid="{5B8C0EC6-8FC9-453F-ACDD-3E6EBBFBE431}"/>
    <cellStyle name="Linked Cell 13 2 2 2 3 5" xfId="14519" xr:uid="{9D1080E1-DF39-4DFA-A2B8-717A1F14FF77}"/>
    <cellStyle name="Linked Cell 13 2 2 2 3 5 2" xfId="14520" xr:uid="{B9F7026B-8486-4A85-85C9-94AC26EB1405}"/>
    <cellStyle name="Linked Cell 13 2 2 2 3 5 2 2" xfId="14521" xr:uid="{25B04102-3B3F-4E21-9AD6-31276522820E}"/>
    <cellStyle name="Linked Cell 13 2 2 2 3 5 3" xfId="14522" xr:uid="{E722BB23-F7D6-4FF4-8E40-92C0CD037259}"/>
    <cellStyle name="Linked Cell 13 2 2 2 3 6" xfId="14523" xr:uid="{D2D26BAF-4C03-4C94-86BD-7F311B43BF0C}"/>
    <cellStyle name="Linked Cell 13 2 2 2 3 6 2" xfId="14524" xr:uid="{F7A7D065-B79D-4845-9AA7-9650EB1DF89C}"/>
    <cellStyle name="Linked Cell 13 2 2 2 3 6 2 2" xfId="14525" xr:uid="{E420A0D8-C380-4805-81BE-DF9E2FEAFA89}"/>
    <cellStyle name="Linked Cell 13 2 2 2 3 6 3" xfId="14526" xr:uid="{1A32FD01-ABAD-4E7D-867B-289543D40839}"/>
    <cellStyle name="Linked Cell 13 2 2 2 3 7" xfId="14527" xr:uid="{1A92164C-D50D-48BA-A37D-F8F219BACCF7}"/>
    <cellStyle name="Linked Cell 13 2 2 2 3 7 2" xfId="14528" xr:uid="{AA9212FB-94A3-46A9-A11F-DB2EE84C1107}"/>
    <cellStyle name="Linked Cell 13 2 2 2 3 7 2 2" xfId="14529" xr:uid="{1E1111DE-9367-415A-BA6C-5286F2C77BB3}"/>
    <cellStyle name="Linked Cell 13 2 2 2 3 7 3" xfId="14530" xr:uid="{D3022CF0-84F4-4C93-98CC-86D7C7979F36}"/>
    <cellStyle name="Linked Cell 13 2 2 2 3 8" xfId="14531" xr:uid="{A178F76B-507C-48B6-8DB8-873DE806D595}"/>
    <cellStyle name="Linked Cell 13 2 2 2 3 8 2" xfId="14532" xr:uid="{ECB50ADB-9DD2-47CA-9474-8ABACC00C883}"/>
    <cellStyle name="Linked Cell 13 2 2 2 3 8 2 2" xfId="14533" xr:uid="{38D8398B-2712-4741-8E84-6ADEC1357990}"/>
    <cellStyle name="Linked Cell 13 2 2 2 3 8 3" xfId="14534" xr:uid="{B7D15B3E-0610-4179-9B75-758A0C96643B}"/>
    <cellStyle name="Linked Cell 13 2 2 2 3 9" xfId="14535" xr:uid="{97221579-5D0F-4ADA-ABB3-DD292F719A8E}"/>
    <cellStyle name="Linked Cell 13 2 2 2 3 9 2" xfId="14536" xr:uid="{B537F575-3D22-4DC8-BB4D-8EC6089B32C2}"/>
    <cellStyle name="Linked Cell 13 2 2 2 3 9 2 2" xfId="14537" xr:uid="{63EFA714-A592-4BB0-AE8A-685CF07E11A9}"/>
    <cellStyle name="Linked Cell 13 2 2 2 3 9 3" xfId="14538" xr:uid="{A52D09F1-2DA9-4A26-A773-CB7444E24D6A}"/>
    <cellStyle name="Linked Cell 13 2 2 2 4" xfId="14539" xr:uid="{58436887-2272-456A-ADED-94D15359168C}"/>
    <cellStyle name="Linked Cell 13 2 2 2 4 2" xfId="14540" xr:uid="{B58B83FB-E178-4C08-9CDA-B43AD1C7E28D}"/>
    <cellStyle name="Linked Cell 13 2 2 2 4 2 2" xfId="14541" xr:uid="{0153D183-04DD-4BE3-BD4E-BDA7E3501875}"/>
    <cellStyle name="Linked Cell 13 2 2 2 4 3" xfId="14542" xr:uid="{C766D820-6800-4146-8D7C-3029FB1EE9A9}"/>
    <cellStyle name="Linked Cell 13 2 2 2 5" xfId="14543" xr:uid="{B61AC82A-149F-4D6F-8BED-60B28EEC5EE5}"/>
    <cellStyle name="Linked Cell 13 2 2 2 5 2" xfId="14544" xr:uid="{96D70CA6-6445-4F81-A53C-B66C383107A6}"/>
    <cellStyle name="Linked Cell 13 2 2 2 5 2 2" xfId="14545" xr:uid="{6940AF0A-5ED0-460C-A66C-2B246D7A38DB}"/>
    <cellStyle name="Linked Cell 13 2 2 2 5 3" xfId="14546" xr:uid="{3CF78261-7757-4F9F-84B7-4F3CCC8D36B2}"/>
    <cellStyle name="Linked Cell 13 2 2 2 6" xfId="14547" xr:uid="{8600D143-DF48-4669-A1DA-C765331CFF18}"/>
    <cellStyle name="Linked Cell 13 2 2 2 6 2" xfId="14548" xr:uid="{A92F834A-5B96-45B2-9CE4-B605208D58D0}"/>
    <cellStyle name="Linked Cell 13 2 2 2 6 2 2" xfId="14549" xr:uid="{EEDBA3BB-9921-41EC-902A-E8D0BA30BC1B}"/>
    <cellStyle name="Linked Cell 13 2 2 2 6 3" xfId="14550" xr:uid="{800B305F-B54D-4A0F-A3AE-8D3472486C93}"/>
    <cellStyle name="Linked Cell 13 2 2 2 7" xfId="14551" xr:uid="{0E25DD8F-3E18-4854-96E3-BF74069C013C}"/>
    <cellStyle name="Linked Cell 13 2 2 2 7 2" xfId="14552" xr:uid="{2424E5F0-85E8-438E-8B13-B1F19D50F515}"/>
    <cellStyle name="Linked Cell 13 2 2 2 7 2 2" xfId="14553" xr:uid="{BD64F25D-674D-45A6-AE5A-76E71AEE6CD0}"/>
    <cellStyle name="Linked Cell 13 2 2 2 7 3" xfId="14554" xr:uid="{4D026A98-714E-4169-8891-488C6B931A0F}"/>
    <cellStyle name="Linked Cell 13 2 2 2 8" xfId="14555" xr:uid="{A671153D-41EA-4DB1-93FD-1CEBED592186}"/>
    <cellStyle name="Linked Cell 13 2 2 2 8 2" xfId="14556" xr:uid="{3F9378F6-A910-4B96-85F4-85880596CBCC}"/>
    <cellStyle name="Linked Cell 13 2 2 2 8 2 2" xfId="14557" xr:uid="{41B336B3-CA0A-4E78-85E4-FC4825B0CC27}"/>
    <cellStyle name="Linked Cell 13 2 2 2 8 3" xfId="14558" xr:uid="{AA76BCBE-E815-4EEF-BF6C-73509227AF78}"/>
    <cellStyle name="Linked Cell 13 2 2 2 9" xfId="14559" xr:uid="{095C39F0-36D5-4BC7-8B79-CB8298FA2859}"/>
    <cellStyle name="Linked Cell 13 2 2 2 9 2" xfId="14560" xr:uid="{1C409B42-6265-401F-B09B-658985DD9395}"/>
    <cellStyle name="Linked Cell 13 2 2 2 9 2 2" xfId="14561" xr:uid="{7733F803-AD6D-492D-845D-E7D031455C66}"/>
    <cellStyle name="Linked Cell 13 2 2 2 9 3" xfId="14562" xr:uid="{3EBBFB4B-DB47-4A20-AA65-0146FA0AF484}"/>
    <cellStyle name="Linked Cell 13 2 2 3" xfId="14563" xr:uid="{F516BA2C-4037-4D38-88B4-7A3EEC5B86F2}"/>
    <cellStyle name="Linked Cell 13 2 2 3 10" xfId="14564" xr:uid="{2E95D5DB-4EF6-40C6-A37B-3E7B8A250C36}"/>
    <cellStyle name="Linked Cell 13 2 2 3 10 2" xfId="14565" xr:uid="{E9CF4D75-8A6E-4747-891C-3C93B641BDFF}"/>
    <cellStyle name="Linked Cell 13 2 2 3 10 2 2" xfId="14566" xr:uid="{3E05B7A0-8123-4B98-8376-C395056E247F}"/>
    <cellStyle name="Linked Cell 13 2 2 3 10 3" xfId="14567" xr:uid="{E6D0C134-9706-4067-A3CA-F3B2D262AB41}"/>
    <cellStyle name="Linked Cell 13 2 2 3 11" xfId="14568" xr:uid="{0C937C85-C0F2-4A88-9FE2-151565AC8C28}"/>
    <cellStyle name="Linked Cell 13 2 2 3 11 2" xfId="14569" xr:uid="{F32AD5E4-EC71-4999-9115-A149496E4E11}"/>
    <cellStyle name="Linked Cell 13 2 2 3 12" xfId="14570" xr:uid="{8BD85F20-F962-43C4-BF7F-C92C950CEE53}"/>
    <cellStyle name="Linked Cell 13 2 2 3 2" xfId="14571" xr:uid="{0FCE4CE3-7BB6-4EFE-93AE-6E2D0528CAA2}"/>
    <cellStyle name="Linked Cell 13 2 2 3 2 10" xfId="14572" xr:uid="{62D06539-748B-4DF0-BC94-9170A7455AF4}"/>
    <cellStyle name="Linked Cell 13 2 2 3 2 10 2" xfId="14573" xr:uid="{33E863A2-41D3-44BE-8324-0B7E96371D33}"/>
    <cellStyle name="Linked Cell 13 2 2 3 2 11" xfId="14574" xr:uid="{FB7AE6E4-7E79-4078-A9E9-D5D3BC448653}"/>
    <cellStyle name="Linked Cell 13 2 2 3 2 2" xfId="14575" xr:uid="{FDE5177E-141A-4A4E-8CA2-F0944F8B1CCD}"/>
    <cellStyle name="Linked Cell 13 2 2 3 2 2 2" xfId="14576" xr:uid="{B2CAF43F-9307-4173-9BEF-F9C6ABE93BE2}"/>
    <cellStyle name="Linked Cell 13 2 2 3 2 2 2 2" xfId="14577" xr:uid="{FB804C99-356A-48D3-9DB7-7EF6C1857D8E}"/>
    <cellStyle name="Linked Cell 13 2 2 3 2 2 3" xfId="14578" xr:uid="{DA296AE6-3AF9-4CDA-A1D2-B3403452CE4D}"/>
    <cellStyle name="Linked Cell 13 2 2 3 2 3" xfId="14579" xr:uid="{CEA83933-21A2-47F3-9741-A2B449EA025F}"/>
    <cellStyle name="Linked Cell 13 2 2 3 2 3 2" xfId="14580" xr:uid="{210CBCA3-A2C9-4256-84DB-7CAF89BE0D72}"/>
    <cellStyle name="Linked Cell 13 2 2 3 2 3 2 2" xfId="14581" xr:uid="{708B3E84-7DFF-4536-9939-12BF9B1F3D69}"/>
    <cellStyle name="Linked Cell 13 2 2 3 2 3 3" xfId="14582" xr:uid="{562CDA25-51FE-4845-8AA6-513FB2295A38}"/>
    <cellStyle name="Linked Cell 13 2 2 3 2 4" xfId="14583" xr:uid="{0DD93840-49AF-47B5-AD46-99BC79E4E350}"/>
    <cellStyle name="Linked Cell 13 2 2 3 2 4 2" xfId="14584" xr:uid="{4AB35C41-B327-4A39-8057-A268F11197E2}"/>
    <cellStyle name="Linked Cell 13 2 2 3 2 4 2 2" xfId="14585" xr:uid="{23AC40DF-0D31-49DA-81C5-BF2B2066AE49}"/>
    <cellStyle name="Linked Cell 13 2 2 3 2 4 3" xfId="14586" xr:uid="{A0519A4C-F818-442F-9AB9-40858B74C71F}"/>
    <cellStyle name="Linked Cell 13 2 2 3 2 5" xfId="14587" xr:uid="{971D7088-A1DA-4450-8D9C-E5C762097E7F}"/>
    <cellStyle name="Linked Cell 13 2 2 3 2 5 2" xfId="14588" xr:uid="{CAE3933B-580C-4719-A88A-2424151BB6CC}"/>
    <cellStyle name="Linked Cell 13 2 2 3 2 5 2 2" xfId="14589" xr:uid="{7C14FA79-E44F-4A1F-94E5-806FC894F55A}"/>
    <cellStyle name="Linked Cell 13 2 2 3 2 5 3" xfId="14590" xr:uid="{6A74C5C4-3F6E-47A9-878E-B240A7F3CFC1}"/>
    <cellStyle name="Linked Cell 13 2 2 3 2 6" xfId="14591" xr:uid="{072E5C67-2FD3-4E5D-B893-38A848C9AA12}"/>
    <cellStyle name="Linked Cell 13 2 2 3 2 6 2" xfId="14592" xr:uid="{EAE463CB-0D51-4D08-8C6A-66E6C26F6ACC}"/>
    <cellStyle name="Linked Cell 13 2 2 3 2 6 2 2" xfId="14593" xr:uid="{B236F2DB-750D-4A72-8F91-8D35D065730C}"/>
    <cellStyle name="Linked Cell 13 2 2 3 2 6 3" xfId="14594" xr:uid="{059C433E-466B-4232-925B-B8B4E0F26C16}"/>
    <cellStyle name="Linked Cell 13 2 2 3 2 7" xfId="14595" xr:uid="{96A5DB7B-5B0D-4757-86DE-93166C9412A7}"/>
    <cellStyle name="Linked Cell 13 2 2 3 2 7 2" xfId="14596" xr:uid="{F10E39EC-BDDE-4F03-AB9E-2F4187400F06}"/>
    <cellStyle name="Linked Cell 13 2 2 3 2 7 2 2" xfId="14597" xr:uid="{CEB63908-D17B-4A69-8C34-3A024F94D6D6}"/>
    <cellStyle name="Linked Cell 13 2 2 3 2 7 3" xfId="14598" xr:uid="{15104BF9-6BED-4E80-9ACD-7F9803696F57}"/>
    <cellStyle name="Linked Cell 13 2 2 3 2 8" xfId="14599" xr:uid="{3AD7CE59-9500-43EB-BA1D-95F2447F3F17}"/>
    <cellStyle name="Linked Cell 13 2 2 3 2 8 2" xfId="14600" xr:uid="{470E1DE7-7373-47E7-94D9-E3F58E4CFCDA}"/>
    <cellStyle name="Linked Cell 13 2 2 3 2 8 2 2" xfId="14601" xr:uid="{3B4D0952-AABF-4617-8FB6-7CCAD5552CC8}"/>
    <cellStyle name="Linked Cell 13 2 2 3 2 8 3" xfId="14602" xr:uid="{1F01D27A-C201-4167-BF67-901B8B3E0A3A}"/>
    <cellStyle name="Linked Cell 13 2 2 3 2 9" xfId="14603" xr:uid="{94010F89-C35B-4C62-99A1-C0A603F856AA}"/>
    <cellStyle name="Linked Cell 13 2 2 3 2 9 2" xfId="14604" xr:uid="{EBD2C092-3365-45DF-9940-317F728A5CC0}"/>
    <cellStyle name="Linked Cell 13 2 2 3 2 9 2 2" xfId="14605" xr:uid="{FD9EC69B-025D-4048-AEDE-0554F23DA51C}"/>
    <cellStyle name="Linked Cell 13 2 2 3 2 9 3" xfId="14606" xr:uid="{AA992AB7-5BF4-4E1D-87F1-7A75AB51F3E0}"/>
    <cellStyle name="Linked Cell 13 2 2 3 3" xfId="14607" xr:uid="{E55BF7D5-AA94-4964-A768-24690FAD6B5E}"/>
    <cellStyle name="Linked Cell 13 2 2 3 3 2" xfId="14608" xr:uid="{66740802-BCEA-4858-A649-FC1315EDF26B}"/>
    <cellStyle name="Linked Cell 13 2 2 3 3 2 2" xfId="14609" xr:uid="{9A3C8D26-0650-4AE4-A5E2-1ADB1A685A50}"/>
    <cellStyle name="Linked Cell 13 2 2 3 3 3" xfId="14610" xr:uid="{88565260-0F5B-4E53-839E-88DC20DE2031}"/>
    <cellStyle name="Linked Cell 13 2 2 3 4" xfId="14611" xr:uid="{8B450761-0FEE-49CB-A98F-16A0C79ACFA8}"/>
    <cellStyle name="Linked Cell 13 2 2 3 4 2" xfId="14612" xr:uid="{C93F5D26-AA6D-4C1C-A5F9-21E36C3DEA11}"/>
    <cellStyle name="Linked Cell 13 2 2 3 4 2 2" xfId="14613" xr:uid="{1D3B9804-C9E0-440C-B645-333178FB2E4C}"/>
    <cellStyle name="Linked Cell 13 2 2 3 4 3" xfId="14614" xr:uid="{6ADC3A3E-66B5-4F9B-B573-94996C580B50}"/>
    <cellStyle name="Linked Cell 13 2 2 3 5" xfId="14615" xr:uid="{BD0CA3BA-AEAD-4060-8BCA-98404904AC69}"/>
    <cellStyle name="Linked Cell 13 2 2 3 5 2" xfId="14616" xr:uid="{21E1F63E-138B-4FB7-AE4E-8DE8E0203684}"/>
    <cellStyle name="Linked Cell 13 2 2 3 5 2 2" xfId="14617" xr:uid="{31326420-6026-421F-9247-0D3785FBF024}"/>
    <cellStyle name="Linked Cell 13 2 2 3 5 3" xfId="14618" xr:uid="{E3DF3BDC-3F23-4EF9-BBD1-4577890791E5}"/>
    <cellStyle name="Linked Cell 13 2 2 3 6" xfId="14619" xr:uid="{0072E93D-3A84-431D-9F00-813407B4CF64}"/>
    <cellStyle name="Linked Cell 13 2 2 3 6 2" xfId="14620" xr:uid="{CD5A077B-88E0-43C3-A518-68CF5FBA12D6}"/>
    <cellStyle name="Linked Cell 13 2 2 3 6 2 2" xfId="14621" xr:uid="{910026F2-6F4F-479E-BE15-4A067C53EECD}"/>
    <cellStyle name="Linked Cell 13 2 2 3 6 3" xfId="14622" xr:uid="{53188154-B936-46A1-8FE7-0F643AADD53D}"/>
    <cellStyle name="Linked Cell 13 2 2 3 7" xfId="14623" xr:uid="{837A02CD-1EE5-464C-9BFA-965BB8A3FAA4}"/>
    <cellStyle name="Linked Cell 13 2 2 3 7 2" xfId="14624" xr:uid="{C63CAB44-0379-4068-A18E-284F09BD0169}"/>
    <cellStyle name="Linked Cell 13 2 2 3 7 2 2" xfId="14625" xr:uid="{A3D695AE-7BFA-43A1-94F4-CC100CB7B487}"/>
    <cellStyle name="Linked Cell 13 2 2 3 7 3" xfId="14626" xr:uid="{B8140784-670B-4FFF-8B89-4309293547E8}"/>
    <cellStyle name="Linked Cell 13 2 2 3 8" xfId="14627" xr:uid="{FA5A93FD-69B4-4A6C-A462-C9FC06651977}"/>
    <cellStyle name="Linked Cell 13 2 2 3 8 2" xfId="14628" xr:uid="{B5408754-8E3D-4EF8-A6D7-C06D890EF622}"/>
    <cellStyle name="Linked Cell 13 2 2 3 8 2 2" xfId="14629" xr:uid="{F2CA079E-CD1E-40A6-A2B6-EDCCC14FFED1}"/>
    <cellStyle name="Linked Cell 13 2 2 3 8 3" xfId="14630" xr:uid="{DAD75A5A-FBE5-4AA9-B901-553FA95BEAAE}"/>
    <cellStyle name="Linked Cell 13 2 2 3 9" xfId="14631" xr:uid="{D298F29A-AE56-4EED-9B70-8C3A25C6DDE0}"/>
    <cellStyle name="Linked Cell 13 2 2 3 9 2" xfId="14632" xr:uid="{68C3C68D-90A9-4F57-A153-5385349363E2}"/>
    <cellStyle name="Linked Cell 13 2 2 3 9 2 2" xfId="14633" xr:uid="{78831539-8DF9-4D9B-8F8B-B29527B24546}"/>
    <cellStyle name="Linked Cell 13 2 2 3 9 3" xfId="14634" xr:uid="{8D9EBB0B-F196-4541-98A4-F220733C325A}"/>
    <cellStyle name="Linked Cell 13 2 2 4" xfId="14635" xr:uid="{9DDCFBBF-7916-497E-8CF7-8C456DF4A180}"/>
    <cellStyle name="Linked Cell 13 2 2 4 10" xfId="14636" xr:uid="{F8C9753E-E7EC-4890-AEB5-BC59254DA7DD}"/>
    <cellStyle name="Linked Cell 13 2 2 4 10 2" xfId="14637" xr:uid="{7CC56AEB-D6E9-4E5B-9CC5-3DBA6205FC0D}"/>
    <cellStyle name="Linked Cell 13 2 2 4 11" xfId="14638" xr:uid="{5D0B6971-DD8F-46EB-AD78-D163B3B193A4}"/>
    <cellStyle name="Linked Cell 13 2 2 4 2" xfId="14639" xr:uid="{01FDF3CD-E131-4F62-9EB4-3FF5A65FFEC2}"/>
    <cellStyle name="Linked Cell 13 2 2 4 2 2" xfId="14640" xr:uid="{AD106432-40C3-4437-A663-9C7DED6BB693}"/>
    <cellStyle name="Linked Cell 13 2 2 4 2 2 2" xfId="14641" xr:uid="{4DA83AEA-E96F-45DB-9C39-91DF18EC52E8}"/>
    <cellStyle name="Linked Cell 13 2 2 4 2 3" xfId="14642" xr:uid="{CED57A01-DCC1-47DF-A733-09839F75AB84}"/>
    <cellStyle name="Linked Cell 13 2 2 4 3" xfId="14643" xr:uid="{9C081989-8A85-4C08-9E82-308B20C56DCC}"/>
    <cellStyle name="Linked Cell 13 2 2 4 3 2" xfId="14644" xr:uid="{D6479EEF-113E-439F-BEDC-B841FB3EAE85}"/>
    <cellStyle name="Linked Cell 13 2 2 4 3 2 2" xfId="14645" xr:uid="{67D83D5D-7B40-414C-BB11-8E10E5B889E5}"/>
    <cellStyle name="Linked Cell 13 2 2 4 3 3" xfId="14646" xr:uid="{4F47B147-326D-42C4-83A2-794537E78646}"/>
    <cellStyle name="Linked Cell 13 2 2 4 4" xfId="14647" xr:uid="{014D7293-DC24-46EE-AA13-659A68F29279}"/>
    <cellStyle name="Linked Cell 13 2 2 4 4 2" xfId="14648" xr:uid="{2DCEDAF9-C9B8-4265-B895-C9895B70C08C}"/>
    <cellStyle name="Linked Cell 13 2 2 4 4 2 2" xfId="14649" xr:uid="{D9ED1516-F861-43BA-99C7-EFAE8C4917C7}"/>
    <cellStyle name="Linked Cell 13 2 2 4 4 3" xfId="14650" xr:uid="{D53DF082-B79C-42B4-A3F2-BA90BCD06CEA}"/>
    <cellStyle name="Linked Cell 13 2 2 4 5" xfId="14651" xr:uid="{3406A90D-ED57-4A95-BCE4-EEA47DA53F1D}"/>
    <cellStyle name="Linked Cell 13 2 2 4 5 2" xfId="14652" xr:uid="{B6BEF4EC-9A0F-4C56-8AA1-5706803595E0}"/>
    <cellStyle name="Linked Cell 13 2 2 4 5 2 2" xfId="14653" xr:uid="{36E44034-5369-4C12-B61A-20A16A725DE6}"/>
    <cellStyle name="Linked Cell 13 2 2 4 5 3" xfId="14654" xr:uid="{6C068ED4-F84C-46A8-8015-CB17D3F912F6}"/>
    <cellStyle name="Linked Cell 13 2 2 4 6" xfId="14655" xr:uid="{8FC78BD5-9017-4823-95E1-877652DAA3D3}"/>
    <cellStyle name="Linked Cell 13 2 2 4 6 2" xfId="14656" xr:uid="{7034E306-E059-4810-BC7F-893F9E83404F}"/>
    <cellStyle name="Linked Cell 13 2 2 4 6 2 2" xfId="14657" xr:uid="{19773D56-59A0-4E21-88DD-94BC96A4264B}"/>
    <cellStyle name="Linked Cell 13 2 2 4 6 3" xfId="14658" xr:uid="{0302DC44-B6A3-4A68-88E0-C802145776B9}"/>
    <cellStyle name="Linked Cell 13 2 2 4 7" xfId="14659" xr:uid="{1F486AF5-32F2-4DAD-94CF-04C486E45404}"/>
    <cellStyle name="Linked Cell 13 2 2 4 7 2" xfId="14660" xr:uid="{90D5B41F-E214-4626-ABDF-645444576459}"/>
    <cellStyle name="Linked Cell 13 2 2 4 7 2 2" xfId="14661" xr:uid="{A5E1BFF3-12D4-40DC-8D68-1BF8391F3F13}"/>
    <cellStyle name="Linked Cell 13 2 2 4 7 3" xfId="14662" xr:uid="{8FF21266-6C78-4714-949C-A6A803FDB962}"/>
    <cellStyle name="Linked Cell 13 2 2 4 8" xfId="14663" xr:uid="{0442D919-8264-49AB-BE86-D3062F76ACE2}"/>
    <cellStyle name="Linked Cell 13 2 2 4 8 2" xfId="14664" xr:uid="{22ABB11D-08D3-40DB-9F7E-D1E60469AB9C}"/>
    <cellStyle name="Linked Cell 13 2 2 4 8 2 2" xfId="14665" xr:uid="{A93897C8-2DA1-4D6D-8FE9-27BC2439C040}"/>
    <cellStyle name="Linked Cell 13 2 2 4 8 3" xfId="14666" xr:uid="{D6896D2B-FF13-4E36-8795-90D15C9C005C}"/>
    <cellStyle name="Linked Cell 13 2 2 4 9" xfId="14667" xr:uid="{F5C190F2-1CFA-4EA5-A427-E96C93E5A948}"/>
    <cellStyle name="Linked Cell 13 2 2 4 9 2" xfId="14668" xr:uid="{5A467CC4-C14B-4C60-AA0D-6D3197D6005F}"/>
    <cellStyle name="Linked Cell 13 2 2 4 9 2 2" xfId="14669" xr:uid="{AEDABBE2-A943-4CDF-9613-E67A87384B39}"/>
    <cellStyle name="Linked Cell 13 2 2 4 9 3" xfId="14670" xr:uid="{68DA4067-094D-4A1C-9BB6-6FB56AD772DC}"/>
    <cellStyle name="Linked Cell 13 2 2 5" xfId="14671" xr:uid="{D5DDB759-EC79-4495-A802-4F1A7272C8B7}"/>
    <cellStyle name="Linked Cell 13 2 2 5 2" xfId="14672" xr:uid="{F0118B08-E3BD-4498-A0D0-5F177F065AEE}"/>
    <cellStyle name="Linked Cell 13 2 2 5 2 2" xfId="14673" xr:uid="{D84AC027-1F4B-471B-A6D8-737FE195CD50}"/>
    <cellStyle name="Linked Cell 13 2 2 5 3" xfId="14674" xr:uid="{AC3598AD-03E1-4167-8B97-64BE05EF5A0F}"/>
    <cellStyle name="Linked Cell 13 2 2 6" xfId="14675" xr:uid="{8E8323C1-BB65-471D-9159-0CFF0C78CF6A}"/>
    <cellStyle name="Linked Cell 13 2 2 6 2" xfId="14676" xr:uid="{DEDF915C-A864-4526-ADEF-0559CA87CE21}"/>
    <cellStyle name="Linked Cell 13 2 2 6 2 2" xfId="14677" xr:uid="{1493DFE6-6CD8-453C-AC05-EBB637851B8F}"/>
    <cellStyle name="Linked Cell 13 2 2 6 3" xfId="14678" xr:uid="{225BECBF-E836-4DE4-BAD6-AB51B16E2CD0}"/>
    <cellStyle name="Linked Cell 13 2 2 7" xfId="14679" xr:uid="{69D9DF5C-0F15-4A74-AE39-0AD7EFD695EA}"/>
    <cellStyle name="Linked Cell 13 2 2 7 2" xfId="14680" xr:uid="{2D98BBF0-CE85-4772-AC3E-9AAEDC6F8F5D}"/>
    <cellStyle name="Linked Cell 13 2 2 7 2 2" xfId="14681" xr:uid="{8D1D37C8-1173-4BBA-80D9-F45E3333135E}"/>
    <cellStyle name="Linked Cell 13 2 2 7 3" xfId="14682" xr:uid="{0FB24D4B-C6C6-4641-B5AD-8BC17DD28DF8}"/>
    <cellStyle name="Linked Cell 13 2 2 8" xfId="14683" xr:uid="{075A6FDE-9E2A-48C8-AD56-ABEA0AB205CA}"/>
    <cellStyle name="Linked Cell 13 2 2 8 2" xfId="14684" xr:uid="{AD359F87-EC05-4A7A-8FD3-C0F55479C632}"/>
    <cellStyle name="Linked Cell 13 2 2 8 2 2" xfId="14685" xr:uid="{3290A690-3E24-4F71-A913-A8DD5B307A06}"/>
    <cellStyle name="Linked Cell 13 2 2 8 3" xfId="14686" xr:uid="{F9D26687-A496-46CA-AF1A-07099F9DF13B}"/>
    <cellStyle name="Linked Cell 13 2 2 9" xfId="14687" xr:uid="{18AAF32E-7E62-4C63-8C0C-8EABB4486C04}"/>
    <cellStyle name="Linked Cell 13 2 2 9 2" xfId="14688" xr:uid="{B2348351-526D-416A-95A0-D63C04235FE9}"/>
    <cellStyle name="Linked Cell 13 2 2 9 2 2" xfId="14689" xr:uid="{5CE0F051-1046-4B5A-B327-2AB0359CC3D2}"/>
    <cellStyle name="Linked Cell 13 2 2 9 3" xfId="14690" xr:uid="{C64054C8-529E-45F1-905A-681F92459A6D}"/>
    <cellStyle name="Linked Cell 13 2 3" xfId="14691" xr:uid="{1922E3A5-005C-4CD0-97FA-50E7EDA1BD64}"/>
    <cellStyle name="Linked Cell 13 2 3 10" xfId="14692" xr:uid="{54D36642-F4FA-4449-82FC-5A46DE2396E7}"/>
    <cellStyle name="Linked Cell 13 2 3 10 2" xfId="14693" xr:uid="{C7055C98-962B-432A-8D4D-F35D043C21F2}"/>
    <cellStyle name="Linked Cell 13 2 3 10 2 2" xfId="14694" xr:uid="{B765192C-E32E-40DA-915F-2EE9EF2CB18B}"/>
    <cellStyle name="Linked Cell 13 2 3 10 3" xfId="14695" xr:uid="{E6F31177-84F0-4ADA-BD5A-F91A8B83088F}"/>
    <cellStyle name="Linked Cell 13 2 3 11" xfId="14696" xr:uid="{3206886C-FA4A-41E5-B41C-011A71077065}"/>
    <cellStyle name="Linked Cell 13 2 3 11 2" xfId="14697" xr:uid="{2714B9F0-E44A-4562-8F25-B3F1FDBDC9CF}"/>
    <cellStyle name="Linked Cell 13 2 3 11 2 2" xfId="14698" xr:uid="{A130B1D9-15C6-4EEA-B4EB-2D90D5F43101}"/>
    <cellStyle name="Linked Cell 13 2 3 11 3" xfId="14699" xr:uid="{78303875-D1F8-4AA2-ADD3-6FB770EEC58D}"/>
    <cellStyle name="Linked Cell 13 2 3 12" xfId="14700" xr:uid="{F6590A22-D7BC-41A0-94E4-F18B3C57B248}"/>
    <cellStyle name="Linked Cell 13 2 3 12 2" xfId="14701" xr:uid="{A52D0F7B-74FE-42CE-9242-F3672C1B1CBA}"/>
    <cellStyle name="Linked Cell 13 2 3 13" xfId="14702" xr:uid="{BAB92EEF-9B5B-48B9-9FAC-5F5117D520A8}"/>
    <cellStyle name="Linked Cell 13 2 3 2" xfId="14703" xr:uid="{53C3EC5B-FDCE-4884-931A-68A530C3B9DA}"/>
    <cellStyle name="Linked Cell 13 2 3 2 10" xfId="14704" xr:uid="{7B8CB51B-32E1-4159-A015-B12936336DC5}"/>
    <cellStyle name="Linked Cell 13 2 3 2 10 2" xfId="14705" xr:uid="{87BE88D8-3FAE-44A1-93F8-028485B7A194}"/>
    <cellStyle name="Linked Cell 13 2 3 2 10 2 2" xfId="14706" xr:uid="{03D73C0A-F007-45F8-9558-6521DCFEC7B1}"/>
    <cellStyle name="Linked Cell 13 2 3 2 10 3" xfId="14707" xr:uid="{81C65D74-3D66-4FF6-99A6-C022413879EB}"/>
    <cellStyle name="Linked Cell 13 2 3 2 11" xfId="14708" xr:uid="{9DD0B09C-55E4-439A-82DD-5B96B5035FDD}"/>
    <cellStyle name="Linked Cell 13 2 3 2 11 2" xfId="14709" xr:uid="{085780C1-4016-4929-8DD0-41FAC5C57431}"/>
    <cellStyle name="Linked Cell 13 2 3 2 12" xfId="14710" xr:uid="{BBAAA9CE-D883-4D63-9EA8-CDB289140FE5}"/>
    <cellStyle name="Linked Cell 13 2 3 2 2" xfId="14711" xr:uid="{BE0A1B7A-35E5-40B0-A451-7CC7380D4E5C}"/>
    <cellStyle name="Linked Cell 13 2 3 2 2 2" xfId="14712" xr:uid="{2FEB1F7E-E72D-4851-BC70-00ED2E4574A2}"/>
    <cellStyle name="Linked Cell 13 2 3 2 2 2 2" xfId="14713" xr:uid="{4EB936BB-A2B3-464B-9123-BEFD7D6AFD70}"/>
    <cellStyle name="Linked Cell 13 2 3 2 2 3" xfId="14714" xr:uid="{515E9EBB-09DE-414A-8E13-1F843FBC8A58}"/>
    <cellStyle name="Linked Cell 13 2 3 2 3" xfId="14715" xr:uid="{2C65A63A-E371-4B8E-A235-DF0ECDCDED90}"/>
    <cellStyle name="Linked Cell 13 2 3 2 3 2" xfId="14716" xr:uid="{D227D805-EE81-4041-85C4-EDA2D1C5D1C1}"/>
    <cellStyle name="Linked Cell 13 2 3 2 3 2 2" xfId="14717" xr:uid="{E6CEC624-774A-4714-8B5C-3C9B72ECF9C1}"/>
    <cellStyle name="Linked Cell 13 2 3 2 3 3" xfId="14718" xr:uid="{CC2E93C4-5B4B-4E6C-9464-08637A30F74A}"/>
    <cellStyle name="Linked Cell 13 2 3 2 4" xfId="14719" xr:uid="{CCD7A8D3-E1A1-44D0-AF70-70A740ED19AB}"/>
    <cellStyle name="Linked Cell 13 2 3 2 4 2" xfId="14720" xr:uid="{0929853F-66A0-4BE8-B0AC-8759DFAE44EB}"/>
    <cellStyle name="Linked Cell 13 2 3 2 4 2 2" xfId="14721" xr:uid="{DCD43867-3372-4BE5-ABA2-B10A1168B754}"/>
    <cellStyle name="Linked Cell 13 2 3 2 4 3" xfId="14722" xr:uid="{0D1C403A-DF70-4E39-B80D-C724BE4BFEF8}"/>
    <cellStyle name="Linked Cell 13 2 3 2 5" xfId="14723" xr:uid="{14765613-F179-480B-806C-E27205CEF4D9}"/>
    <cellStyle name="Linked Cell 13 2 3 2 5 2" xfId="14724" xr:uid="{2BD969BE-4CDE-41AE-B934-762B408CC06B}"/>
    <cellStyle name="Linked Cell 13 2 3 2 5 2 2" xfId="14725" xr:uid="{FF26F3F3-0CE6-45C4-8B35-6A560C0FC1B6}"/>
    <cellStyle name="Linked Cell 13 2 3 2 5 3" xfId="14726" xr:uid="{B74D5277-1D2D-4FF4-97C8-5E24B1909487}"/>
    <cellStyle name="Linked Cell 13 2 3 2 6" xfId="14727" xr:uid="{A587186D-B43C-48BE-881A-A9AE53B895B1}"/>
    <cellStyle name="Linked Cell 13 2 3 2 6 2" xfId="14728" xr:uid="{FEE0DD66-C7BD-4C72-9F2A-CF3E1D5554F3}"/>
    <cellStyle name="Linked Cell 13 2 3 2 6 2 2" xfId="14729" xr:uid="{0F6A160E-731F-4E4E-B48F-906280FA2FC3}"/>
    <cellStyle name="Linked Cell 13 2 3 2 6 3" xfId="14730" xr:uid="{5CC36D0D-05B0-4CA8-97A3-8590B486A6D2}"/>
    <cellStyle name="Linked Cell 13 2 3 2 7" xfId="14731" xr:uid="{5CFA39BB-9067-46AC-B4D1-F81DA7993E5A}"/>
    <cellStyle name="Linked Cell 13 2 3 2 7 2" xfId="14732" xr:uid="{AD52EEFD-4A81-4A29-AE8D-C45931BE17C6}"/>
    <cellStyle name="Linked Cell 13 2 3 2 7 2 2" xfId="14733" xr:uid="{774704DF-E3F6-46D6-8E4D-417ADB05B080}"/>
    <cellStyle name="Linked Cell 13 2 3 2 7 3" xfId="14734" xr:uid="{44D3AD45-A97B-4426-A9BC-5374AE61A069}"/>
    <cellStyle name="Linked Cell 13 2 3 2 8" xfId="14735" xr:uid="{C70F4D33-ED09-4B91-A607-AD4BD78CBD6F}"/>
    <cellStyle name="Linked Cell 13 2 3 2 8 2" xfId="14736" xr:uid="{CF548CCF-1CAA-43FD-8904-5F5D22EDF756}"/>
    <cellStyle name="Linked Cell 13 2 3 2 8 2 2" xfId="14737" xr:uid="{D52584D9-8D8C-4165-BC2F-2E9AABDC6FFE}"/>
    <cellStyle name="Linked Cell 13 2 3 2 8 3" xfId="14738" xr:uid="{5D044DBA-3428-4F64-8112-6EF7B034AACC}"/>
    <cellStyle name="Linked Cell 13 2 3 2 9" xfId="14739" xr:uid="{68DCA2E0-693C-4F68-BE68-4EB387CF94EB}"/>
    <cellStyle name="Linked Cell 13 2 3 2 9 2" xfId="14740" xr:uid="{1DB04434-60EB-49FD-AE3B-372B71834582}"/>
    <cellStyle name="Linked Cell 13 2 3 2 9 2 2" xfId="14741" xr:uid="{633C70B5-4591-4534-916F-238F56838231}"/>
    <cellStyle name="Linked Cell 13 2 3 2 9 3" xfId="14742" xr:uid="{E467C5CF-1B29-4435-A4A4-A57FCDA1E07A}"/>
    <cellStyle name="Linked Cell 13 2 3 3" xfId="14743" xr:uid="{87459D8A-872A-4827-908D-405467F048FF}"/>
    <cellStyle name="Linked Cell 13 2 3 3 10" xfId="14744" xr:uid="{8D00A042-2CBF-4368-8DAB-FE085189D245}"/>
    <cellStyle name="Linked Cell 13 2 3 3 10 2" xfId="14745" xr:uid="{A72D36A6-AE19-455F-8FBE-562357A7C511}"/>
    <cellStyle name="Linked Cell 13 2 3 3 11" xfId="14746" xr:uid="{563940A0-B6D5-4694-AD98-72EEE40FF45B}"/>
    <cellStyle name="Linked Cell 13 2 3 3 2" xfId="14747" xr:uid="{5C5A6970-AA29-49B0-8EC6-7A3B83B4028F}"/>
    <cellStyle name="Linked Cell 13 2 3 3 2 2" xfId="14748" xr:uid="{266DB54F-9091-45E0-A85E-4E279263D1D6}"/>
    <cellStyle name="Linked Cell 13 2 3 3 2 2 2" xfId="14749" xr:uid="{A84E5252-5991-4559-97A6-061CE8B736A5}"/>
    <cellStyle name="Linked Cell 13 2 3 3 2 3" xfId="14750" xr:uid="{F29271FA-3BDB-4915-A214-5C1C6DAB34D3}"/>
    <cellStyle name="Linked Cell 13 2 3 3 3" xfId="14751" xr:uid="{315D175B-21E5-4698-84C7-80BB0DEBCADF}"/>
    <cellStyle name="Linked Cell 13 2 3 3 3 2" xfId="14752" xr:uid="{57854998-7F1A-4253-B066-75EE1236CB53}"/>
    <cellStyle name="Linked Cell 13 2 3 3 3 2 2" xfId="14753" xr:uid="{305E4372-B618-40DB-B368-3A750046A284}"/>
    <cellStyle name="Linked Cell 13 2 3 3 3 3" xfId="14754" xr:uid="{A651D323-0740-4D4C-A7F0-4336115D660F}"/>
    <cellStyle name="Linked Cell 13 2 3 3 4" xfId="14755" xr:uid="{68D694EF-0EB8-426A-9D06-A5C7D2596BC1}"/>
    <cellStyle name="Linked Cell 13 2 3 3 4 2" xfId="14756" xr:uid="{97BF72EC-E675-43CA-A2CF-9F885548FB41}"/>
    <cellStyle name="Linked Cell 13 2 3 3 4 2 2" xfId="14757" xr:uid="{49B643E2-1ED4-4630-997A-557D7B349887}"/>
    <cellStyle name="Linked Cell 13 2 3 3 4 3" xfId="14758" xr:uid="{9ABC1842-657E-4106-88C6-D5253024D7C1}"/>
    <cellStyle name="Linked Cell 13 2 3 3 5" xfId="14759" xr:uid="{C4CCD685-1CAB-4CAA-8DC3-D4B7478482F7}"/>
    <cellStyle name="Linked Cell 13 2 3 3 5 2" xfId="14760" xr:uid="{C3EBB8CE-6F9E-4978-9803-3C1DD62D5634}"/>
    <cellStyle name="Linked Cell 13 2 3 3 5 2 2" xfId="14761" xr:uid="{87988719-BD9F-49CB-A315-320FC8017B1C}"/>
    <cellStyle name="Linked Cell 13 2 3 3 5 3" xfId="14762" xr:uid="{28AA71EF-848C-4861-A2CD-B23258A13277}"/>
    <cellStyle name="Linked Cell 13 2 3 3 6" xfId="14763" xr:uid="{2EEC2F64-6BE6-460F-9644-421B8F5A579E}"/>
    <cellStyle name="Linked Cell 13 2 3 3 6 2" xfId="14764" xr:uid="{EF00615B-7DDD-4F79-9A24-1AFFB540966A}"/>
    <cellStyle name="Linked Cell 13 2 3 3 6 2 2" xfId="14765" xr:uid="{4F5B78DB-DD5F-4492-9BBC-9751852DC90F}"/>
    <cellStyle name="Linked Cell 13 2 3 3 6 3" xfId="14766" xr:uid="{F150E054-8428-4F39-BD64-36D047707BB6}"/>
    <cellStyle name="Linked Cell 13 2 3 3 7" xfId="14767" xr:uid="{4B349FA6-A44C-4CA3-AFB5-EF2FAB33E7E2}"/>
    <cellStyle name="Linked Cell 13 2 3 3 7 2" xfId="14768" xr:uid="{4C3039CB-4684-4E48-9B0C-09167A06C9FE}"/>
    <cellStyle name="Linked Cell 13 2 3 3 7 2 2" xfId="14769" xr:uid="{1F872819-7FC8-4413-B702-B32802F3F413}"/>
    <cellStyle name="Linked Cell 13 2 3 3 7 3" xfId="14770" xr:uid="{976659FD-478D-4C62-BE34-EE948F593835}"/>
    <cellStyle name="Linked Cell 13 2 3 3 8" xfId="14771" xr:uid="{36EEA500-1248-4FEA-AFBD-E391DBB051A5}"/>
    <cellStyle name="Linked Cell 13 2 3 3 8 2" xfId="14772" xr:uid="{234781E3-BF84-4691-B29A-390823EB1E43}"/>
    <cellStyle name="Linked Cell 13 2 3 3 8 2 2" xfId="14773" xr:uid="{F5963DB4-E6C6-4D73-9E41-3CD52EA33DC3}"/>
    <cellStyle name="Linked Cell 13 2 3 3 8 3" xfId="14774" xr:uid="{B91DFBF5-C3E0-4F28-8BFA-5F4CFD4387C1}"/>
    <cellStyle name="Linked Cell 13 2 3 3 9" xfId="14775" xr:uid="{D947CA82-C5E5-4967-AE6F-BC060560B096}"/>
    <cellStyle name="Linked Cell 13 2 3 3 9 2" xfId="14776" xr:uid="{3EA8D51B-290E-4E19-9686-1EFC619BC10A}"/>
    <cellStyle name="Linked Cell 13 2 3 3 9 2 2" xfId="14777" xr:uid="{2FDF3E9C-A0D1-4079-AA2A-719D2410E523}"/>
    <cellStyle name="Linked Cell 13 2 3 3 9 3" xfId="14778" xr:uid="{78342B48-D966-4348-9C87-B46A166A6021}"/>
    <cellStyle name="Linked Cell 13 2 3 4" xfId="14779" xr:uid="{3A76FDCB-8DB5-4B7D-9B6E-5AEA8C5FC236}"/>
    <cellStyle name="Linked Cell 13 2 3 4 2" xfId="14780" xr:uid="{BCF94509-6828-415C-8047-EB24EFA41B69}"/>
    <cellStyle name="Linked Cell 13 2 3 4 2 2" xfId="14781" xr:uid="{92818473-BEEC-4C79-89C7-73167DE493B3}"/>
    <cellStyle name="Linked Cell 13 2 3 4 3" xfId="14782" xr:uid="{1C6B7081-D3B4-4E15-8ACC-ECF1EE6EFB84}"/>
    <cellStyle name="Linked Cell 13 2 3 5" xfId="14783" xr:uid="{22AB36BB-BF65-44D7-8A20-AE71CE9EA827}"/>
    <cellStyle name="Linked Cell 13 2 3 5 2" xfId="14784" xr:uid="{59F408FF-BD91-480E-BEFC-A41887685735}"/>
    <cellStyle name="Linked Cell 13 2 3 5 2 2" xfId="14785" xr:uid="{1125DAEA-EE2F-46C3-92DD-3D4C70D96043}"/>
    <cellStyle name="Linked Cell 13 2 3 5 3" xfId="14786" xr:uid="{3304C3CC-5E0F-465A-A812-64CE8587CBB2}"/>
    <cellStyle name="Linked Cell 13 2 3 6" xfId="14787" xr:uid="{759AACCB-8B7B-44D2-A3E1-EA43CF4436CA}"/>
    <cellStyle name="Linked Cell 13 2 3 6 2" xfId="14788" xr:uid="{6098DF2F-6890-4E40-A4B5-A94AC838D38F}"/>
    <cellStyle name="Linked Cell 13 2 3 6 2 2" xfId="14789" xr:uid="{113EC37B-554C-439F-AB8D-3422981B3403}"/>
    <cellStyle name="Linked Cell 13 2 3 6 3" xfId="14790" xr:uid="{30F63AE1-B930-40E7-BA6F-E4FA0A7920AF}"/>
    <cellStyle name="Linked Cell 13 2 3 7" xfId="14791" xr:uid="{DF6965CE-EC74-4C15-94DA-57037CE450B9}"/>
    <cellStyle name="Linked Cell 13 2 3 7 2" xfId="14792" xr:uid="{BE50D27C-6177-47FA-823C-B82D804D0D4E}"/>
    <cellStyle name="Linked Cell 13 2 3 7 2 2" xfId="14793" xr:uid="{C4E45FC1-29F1-450C-910A-2859CB430B52}"/>
    <cellStyle name="Linked Cell 13 2 3 7 3" xfId="14794" xr:uid="{5050AD38-E92B-49BE-B7DB-09EEA85C94AD}"/>
    <cellStyle name="Linked Cell 13 2 3 8" xfId="14795" xr:uid="{58B9F5D5-E737-4AB8-820D-9DF8B4C82068}"/>
    <cellStyle name="Linked Cell 13 2 3 8 2" xfId="14796" xr:uid="{68910D19-FA83-48CA-B004-7F3E81D46B9C}"/>
    <cellStyle name="Linked Cell 13 2 3 8 2 2" xfId="14797" xr:uid="{18FD73F2-71BA-4249-B842-76692043F008}"/>
    <cellStyle name="Linked Cell 13 2 3 8 3" xfId="14798" xr:uid="{3163DAF4-3285-4C56-9548-031EF9974B15}"/>
    <cellStyle name="Linked Cell 13 2 3 9" xfId="14799" xr:uid="{66DA24C6-45FE-492F-BFDD-A3795527155C}"/>
    <cellStyle name="Linked Cell 13 2 3 9 2" xfId="14800" xr:uid="{48C380BD-5EB5-41F7-9500-1E4E00849D7C}"/>
    <cellStyle name="Linked Cell 13 2 3 9 2 2" xfId="14801" xr:uid="{2BF18BAA-01D2-40D1-BA46-9C40DDB7B73B}"/>
    <cellStyle name="Linked Cell 13 2 3 9 3" xfId="14802" xr:uid="{A2F76379-4B63-4E11-BCF6-0AD980A7AD6B}"/>
    <cellStyle name="Linked Cell 13 2 4" xfId="14803" xr:uid="{59E70249-6826-4F1F-9D0F-4223DD6E4566}"/>
    <cellStyle name="Linked Cell 13 2 4 10" xfId="14804" xr:uid="{57528C86-717C-4FC5-AA9C-4F6BE5A5D5CB}"/>
    <cellStyle name="Linked Cell 13 2 4 10 2" xfId="14805" xr:uid="{A341B78C-0C1D-4BE0-BE1F-09C787ECCB77}"/>
    <cellStyle name="Linked Cell 13 2 4 10 2 2" xfId="14806" xr:uid="{7D88BB3B-3F53-4228-9BF7-D95136837B09}"/>
    <cellStyle name="Linked Cell 13 2 4 10 3" xfId="14807" xr:uid="{2958AE7C-21F0-435E-837E-11177A12D4C5}"/>
    <cellStyle name="Linked Cell 13 2 4 11" xfId="14808" xr:uid="{2D4D8B2B-2728-4A1D-A1F1-4ADD3C156316}"/>
    <cellStyle name="Linked Cell 13 2 4 11 2" xfId="14809" xr:uid="{6E9EADC9-18FA-4E19-AD8B-CAD40F694987}"/>
    <cellStyle name="Linked Cell 13 2 4 12" xfId="14810" xr:uid="{59E123B1-CBA0-46A6-8B07-F89421F45CAB}"/>
    <cellStyle name="Linked Cell 13 2 4 2" xfId="14811" xr:uid="{85ECE1B8-895F-482E-8D07-C63BC449AEC9}"/>
    <cellStyle name="Linked Cell 13 2 4 2 10" xfId="14812" xr:uid="{84989021-EE8D-4E68-A32A-46E696B30554}"/>
    <cellStyle name="Linked Cell 13 2 4 2 10 2" xfId="14813" xr:uid="{31D0F3CF-6D9C-46F3-B0C0-6A4B161A23D6}"/>
    <cellStyle name="Linked Cell 13 2 4 2 11" xfId="14814" xr:uid="{466EB5CD-03A3-4735-AF99-A1045410D7BE}"/>
    <cellStyle name="Linked Cell 13 2 4 2 2" xfId="14815" xr:uid="{18F2D049-B629-463D-8AA9-0E0B0820E043}"/>
    <cellStyle name="Linked Cell 13 2 4 2 2 2" xfId="14816" xr:uid="{43D2EA5F-C105-499D-B2CA-58CCCB245138}"/>
    <cellStyle name="Linked Cell 13 2 4 2 2 2 2" xfId="14817" xr:uid="{FB44674E-E288-40AE-8D11-9A1FE61EC458}"/>
    <cellStyle name="Linked Cell 13 2 4 2 2 3" xfId="14818" xr:uid="{1B61ADFB-00A0-4F01-A97F-C4ED36AE0197}"/>
    <cellStyle name="Linked Cell 13 2 4 2 3" xfId="14819" xr:uid="{31955BD2-C921-45E7-8658-960C995C9F23}"/>
    <cellStyle name="Linked Cell 13 2 4 2 3 2" xfId="14820" xr:uid="{E70CF879-20DF-4D3A-BE32-13452BB5599B}"/>
    <cellStyle name="Linked Cell 13 2 4 2 3 2 2" xfId="14821" xr:uid="{360307A0-B74B-496A-BF3B-13BD098A0CAD}"/>
    <cellStyle name="Linked Cell 13 2 4 2 3 3" xfId="14822" xr:uid="{AAC7C03C-0B8A-4BA2-8CF3-E0F107021A99}"/>
    <cellStyle name="Linked Cell 13 2 4 2 4" xfId="14823" xr:uid="{BEA95BBB-19AC-4B09-9F83-A443F7F55B75}"/>
    <cellStyle name="Linked Cell 13 2 4 2 4 2" xfId="14824" xr:uid="{491FA83B-0555-4E37-B0D7-4A97C1805265}"/>
    <cellStyle name="Linked Cell 13 2 4 2 4 2 2" xfId="14825" xr:uid="{82A2B855-3EF1-49F3-A360-766BB07F1A91}"/>
    <cellStyle name="Linked Cell 13 2 4 2 4 3" xfId="14826" xr:uid="{1587C1DF-F733-4D70-BED7-5ACDBD48294F}"/>
    <cellStyle name="Linked Cell 13 2 4 2 5" xfId="14827" xr:uid="{2129A7F1-B2D8-42BE-B191-462DAC93FDCC}"/>
    <cellStyle name="Linked Cell 13 2 4 2 5 2" xfId="14828" xr:uid="{9C6122F5-6659-4115-9B80-5150EB944B1A}"/>
    <cellStyle name="Linked Cell 13 2 4 2 5 2 2" xfId="14829" xr:uid="{B9924C74-9118-4B48-B609-1022196227DF}"/>
    <cellStyle name="Linked Cell 13 2 4 2 5 3" xfId="14830" xr:uid="{9EFF238C-D886-4EE2-8D4F-234F7776ABD0}"/>
    <cellStyle name="Linked Cell 13 2 4 2 6" xfId="14831" xr:uid="{846DB84E-23B4-42D1-8A5E-0AF428DB8D10}"/>
    <cellStyle name="Linked Cell 13 2 4 2 6 2" xfId="14832" xr:uid="{F0B5F21A-0CFD-4705-A20F-8DA95FBB47CB}"/>
    <cellStyle name="Linked Cell 13 2 4 2 6 2 2" xfId="14833" xr:uid="{19613931-B3EB-4553-8B41-A9442D3564C9}"/>
    <cellStyle name="Linked Cell 13 2 4 2 6 3" xfId="14834" xr:uid="{6B5AA2D8-308A-495E-A75E-430875B94804}"/>
    <cellStyle name="Linked Cell 13 2 4 2 7" xfId="14835" xr:uid="{8A6C6DAD-3A25-4F73-8309-D114CBEC379A}"/>
    <cellStyle name="Linked Cell 13 2 4 2 7 2" xfId="14836" xr:uid="{E9630AC8-BC95-461E-AADE-B02276BA7D2E}"/>
    <cellStyle name="Linked Cell 13 2 4 2 7 2 2" xfId="14837" xr:uid="{1153E8CE-F41A-4694-AEB4-6B93359ACD28}"/>
    <cellStyle name="Linked Cell 13 2 4 2 7 3" xfId="14838" xr:uid="{ADF0D8EE-529B-4B14-9B7A-E1D6C5CBC3B1}"/>
    <cellStyle name="Linked Cell 13 2 4 2 8" xfId="14839" xr:uid="{BECF2B4E-C17D-4276-95C0-00F613363BC7}"/>
    <cellStyle name="Linked Cell 13 2 4 2 8 2" xfId="14840" xr:uid="{51CEC8D1-8F50-4A13-939E-2C2C4B960E0A}"/>
    <cellStyle name="Linked Cell 13 2 4 2 8 2 2" xfId="14841" xr:uid="{249F4916-DBAE-480B-B11E-B1FFF4EE5083}"/>
    <cellStyle name="Linked Cell 13 2 4 2 8 3" xfId="14842" xr:uid="{6AB889A9-7B50-4133-86DC-63F336CD132A}"/>
    <cellStyle name="Linked Cell 13 2 4 2 9" xfId="14843" xr:uid="{CB93BC1B-800A-44EB-A0F1-AC6C2FCCE9F5}"/>
    <cellStyle name="Linked Cell 13 2 4 2 9 2" xfId="14844" xr:uid="{97CDB184-D54D-48F7-9C7C-F3DB6CEA7C41}"/>
    <cellStyle name="Linked Cell 13 2 4 2 9 2 2" xfId="14845" xr:uid="{5BFCEB55-06A9-4648-9F06-F2B51C7002C8}"/>
    <cellStyle name="Linked Cell 13 2 4 2 9 3" xfId="14846" xr:uid="{24AE1AC0-B8FD-4804-AA9E-C1CDF8C12DEA}"/>
    <cellStyle name="Linked Cell 13 2 4 3" xfId="14847" xr:uid="{514E82DB-86EA-4B9F-80C1-03FBD2C55E47}"/>
    <cellStyle name="Linked Cell 13 2 4 3 2" xfId="14848" xr:uid="{5F8A7156-520A-4AAE-B8B5-6C2D0848270F}"/>
    <cellStyle name="Linked Cell 13 2 4 3 2 2" xfId="14849" xr:uid="{D09368C8-357F-4859-A673-0248975A27A7}"/>
    <cellStyle name="Linked Cell 13 2 4 3 3" xfId="14850" xr:uid="{25662874-FD4C-4387-A065-6FD2F0739208}"/>
    <cellStyle name="Linked Cell 13 2 4 4" xfId="14851" xr:uid="{3AFA3040-9FFB-43C7-A6E5-7BC422EFD1CE}"/>
    <cellStyle name="Linked Cell 13 2 4 4 2" xfId="14852" xr:uid="{23F7C584-DE15-4CEE-A702-AFB015A524FB}"/>
    <cellStyle name="Linked Cell 13 2 4 4 2 2" xfId="14853" xr:uid="{7DB2A2F1-8612-46CC-B729-0B7E389394F1}"/>
    <cellStyle name="Linked Cell 13 2 4 4 3" xfId="14854" xr:uid="{1500ECEA-D1A0-4843-991B-F0CD5264EC59}"/>
    <cellStyle name="Linked Cell 13 2 4 5" xfId="14855" xr:uid="{E376C27D-5E01-40AD-9B2C-618A0073B167}"/>
    <cellStyle name="Linked Cell 13 2 4 5 2" xfId="14856" xr:uid="{A7901C05-12EF-419A-B359-78484AE2BA69}"/>
    <cellStyle name="Linked Cell 13 2 4 5 2 2" xfId="14857" xr:uid="{EE080757-ACDC-40EF-81DC-08FAEC6D9FE1}"/>
    <cellStyle name="Linked Cell 13 2 4 5 3" xfId="14858" xr:uid="{3E2EBB68-165C-44CF-83FD-957E892FB0D1}"/>
    <cellStyle name="Linked Cell 13 2 4 6" xfId="14859" xr:uid="{3E1B752A-6982-415A-8D01-EE778D9ED12B}"/>
    <cellStyle name="Linked Cell 13 2 4 6 2" xfId="14860" xr:uid="{7ADA2738-36B2-443E-8BF9-577705BE83CC}"/>
    <cellStyle name="Linked Cell 13 2 4 6 2 2" xfId="14861" xr:uid="{EA7BBA05-2AD0-496C-90D4-1D3C258464B0}"/>
    <cellStyle name="Linked Cell 13 2 4 6 3" xfId="14862" xr:uid="{129A313C-BEB3-4C8E-ABF2-31899E561F39}"/>
    <cellStyle name="Linked Cell 13 2 4 7" xfId="14863" xr:uid="{B4020FD7-ECBD-45DD-AEAA-DDB55A02418C}"/>
    <cellStyle name="Linked Cell 13 2 4 7 2" xfId="14864" xr:uid="{A4D13921-16D1-4C05-BC06-6C723540E39D}"/>
    <cellStyle name="Linked Cell 13 2 4 7 2 2" xfId="14865" xr:uid="{15CBA537-D4BB-493C-9BDB-3ED5501710D4}"/>
    <cellStyle name="Linked Cell 13 2 4 7 3" xfId="14866" xr:uid="{A8B2A3D4-9F14-4E67-A462-CC71B1DA7C02}"/>
    <cellStyle name="Linked Cell 13 2 4 8" xfId="14867" xr:uid="{3E1D97D7-3B8B-489C-A295-AFC851D50C7F}"/>
    <cellStyle name="Linked Cell 13 2 4 8 2" xfId="14868" xr:uid="{85F6044E-E244-41F7-9B72-0E2DC31E1930}"/>
    <cellStyle name="Linked Cell 13 2 4 8 2 2" xfId="14869" xr:uid="{32E7593A-9010-4A28-9985-0535CC30151D}"/>
    <cellStyle name="Linked Cell 13 2 4 8 3" xfId="14870" xr:uid="{85C2BEB5-56EF-47D9-8CBE-6E708F4DC8B1}"/>
    <cellStyle name="Linked Cell 13 2 4 9" xfId="14871" xr:uid="{B74BE602-6EF3-4D78-BCA7-25CF4C5D8041}"/>
    <cellStyle name="Linked Cell 13 2 4 9 2" xfId="14872" xr:uid="{5C079631-347F-4CFB-90C1-F78C53D0F029}"/>
    <cellStyle name="Linked Cell 13 2 4 9 2 2" xfId="14873" xr:uid="{92A4B7B5-44A9-474B-95D8-A0D7428A987D}"/>
    <cellStyle name="Linked Cell 13 2 4 9 3" xfId="14874" xr:uid="{CCBD3A8B-409A-49D7-ADA2-2A6B09023A4C}"/>
    <cellStyle name="Linked Cell 13 2 5" xfId="14875" xr:uid="{B815645E-E767-44AF-954A-802E0E8EBB8D}"/>
    <cellStyle name="Linked Cell 13 2 5 10" xfId="14876" xr:uid="{76AA9CC9-078F-4D5B-B391-9C4FD4069369}"/>
    <cellStyle name="Linked Cell 13 2 5 10 2" xfId="14877" xr:uid="{2326172C-AEF4-498E-8AF2-19D067921F4C}"/>
    <cellStyle name="Linked Cell 13 2 5 11" xfId="14878" xr:uid="{9F1537A0-A364-4A67-9BDA-4A0515E9EF71}"/>
    <cellStyle name="Linked Cell 13 2 5 2" xfId="14879" xr:uid="{E1B99752-7301-43E5-935E-31289C6E7FC5}"/>
    <cellStyle name="Linked Cell 13 2 5 2 2" xfId="14880" xr:uid="{0FF54836-F1BD-434D-8911-2A2633FE78E4}"/>
    <cellStyle name="Linked Cell 13 2 5 2 2 2" xfId="14881" xr:uid="{69D294B5-68B1-4DA6-BCC3-E0A95CC0B63F}"/>
    <cellStyle name="Linked Cell 13 2 5 2 3" xfId="14882" xr:uid="{31254391-D7DF-421C-8DFF-F8DDA01DF4A1}"/>
    <cellStyle name="Linked Cell 13 2 5 3" xfId="14883" xr:uid="{8C6937E8-B126-4760-8B3C-4C9984E9D105}"/>
    <cellStyle name="Linked Cell 13 2 5 3 2" xfId="14884" xr:uid="{51556A44-F184-445D-B6FC-5BD8078434AC}"/>
    <cellStyle name="Linked Cell 13 2 5 3 2 2" xfId="14885" xr:uid="{2679D763-7AB7-4A3C-83C1-B8F195086F38}"/>
    <cellStyle name="Linked Cell 13 2 5 3 3" xfId="14886" xr:uid="{1F5ABA2D-2283-4119-82FD-6EE06ED4A1E2}"/>
    <cellStyle name="Linked Cell 13 2 5 4" xfId="14887" xr:uid="{6995FEB0-101E-482B-AE41-3A95D3F80BB7}"/>
    <cellStyle name="Linked Cell 13 2 5 4 2" xfId="14888" xr:uid="{D274B056-93DC-4053-918C-2FB6137F8F90}"/>
    <cellStyle name="Linked Cell 13 2 5 4 2 2" xfId="14889" xr:uid="{99951EF0-C021-4ECA-8DDF-CA29C5767FA6}"/>
    <cellStyle name="Linked Cell 13 2 5 4 3" xfId="14890" xr:uid="{CA27D156-47DB-444A-8756-0A45442E3D57}"/>
    <cellStyle name="Linked Cell 13 2 5 5" xfId="14891" xr:uid="{B9ECD034-A2B1-4FE4-9AA3-97666659B904}"/>
    <cellStyle name="Linked Cell 13 2 5 5 2" xfId="14892" xr:uid="{0F4918CF-CA31-4DB1-B8E4-D23776DEE6B3}"/>
    <cellStyle name="Linked Cell 13 2 5 5 2 2" xfId="14893" xr:uid="{EA46940C-C6FF-40C5-B1B2-28C8109D4176}"/>
    <cellStyle name="Linked Cell 13 2 5 5 3" xfId="14894" xr:uid="{6FC0BF36-C0D9-4AC7-B33B-D920F902ABD6}"/>
    <cellStyle name="Linked Cell 13 2 5 6" xfId="14895" xr:uid="{A5E50F7F-6022-4AA2-AA14-4EA50F0CC45C}"/>
    <cellStyle name="Linked Cell 13 2 5 6 2" xfId="14896" xr:uid="{B61948DA-6F8F-4144-A7A3-AB1FF890AD4E}"/>
    <cellStyle name="Linked Cell 13 2 5 6 2 2" xfId="14897" xr:uid="{6102775D-7FAB-43BA-813C-A41A999C6F7F}"/>
    <cellStyle name="Linked Cell 13 2 5 6 3" xfId="14898" xr:uid="{6AA99D34-CA13-4B55-B762-6E0A8899D5E2}"/>
    <cellStyle name="Linked Cell 13 2 5 7" xfId="14899" xr:uid="{D688B56D-2CE8-4D54-9C83-328C992D03CE}"/>
    <cellStyle name="Linked Cell 13 2 5 7 2" xfId="14900" xr:uid="{D5C8EDF7-1A1E-4E63-9D86-94B1CA8ADC86}"/>
    <cellStyle name="Linked Cell 13 2 5 7 2 2" xfId="14901" xr:uid="{2CD8DBAF-E612-4C65-9BC9-0303F4AA5FAB}"/>
    <cellStyle name="Linked Cell 13 2 5 7 3" xfId="14902" xr:uid="{F58B9CAB-0519-4D67-BF72-40144064E04D}"/>
    <cellStyle name="Linked Cell 13 2 5 8" xfId="14903" xr:uid="{6BD45D63-2305-4583-BD9A-B5525FC7925A}"/>
    <cellStyle name="Linked Cell 13 2 5 8 2" xfId="14904" xr:uid="{4DBC3786-C058-4A26-8361-45AB57398B34}"/>
    <cellStyle name="Linked Cell 13 2 5 8 2 2" xfId="14905" xr:uid="{7C34D183-7E00-4156-AF7E-2D62450CB55D}"/>
    <cellStyle name="Linked Cell 13 2 5 8 3" xfId="14906" xr:uid="{32A178FE-0539-4DC2-9FD9-E6BBACDB8C4A}"/>
    <cellStyle name="Linked Cell 13 2 5 9" xfId="14907" xr:uid="{C44FE0A7-E3F5-4A92-931E-65EFCA1A5203}"/>
    <cellStyle name="Linked Cell 13 2 5 9 2" xfId="14908" xr:uid="{7233DBE8-3B6D-4488-BCD0-8D900BA48CB9}"/>
    <cellStyle name="Linked Cell 13 2 5 9 2 2" xfId="14909" xr:uid="{D78DCC96-939A-496B-B61F-9677D3267049}"/>
    <cellStyle name="Linked Cell 13 2 5 9 3" xfId="14910" xr:uid="{CEF0159C-ADA0-4FE6-8F9F-7C67120FB7ED}"/>
    <cellStyle name="Linked Cell 13 2 6" xfId="14911" xr:uid="{5075B0D6-5E88-4895-99CF-68B06466DA75}"/>
    <cellStyle name="Linked Cell 13 2 6 2" xfId="14912" xr:uid="{25CCEABE-FE68-4A7C-9769-E77C7E62A4E7}"/>
    <cellStyle name="Linked Cell 13 2 6 2 2" xfId="14913" xr:uid="{A1024728-6A8D-4165-85D9-84710E4D5938}"/>
    <cellStyle name="Linked Cell 13 2 6 3" xfId="14914" xr:uid="{B39F00C1-342A-4798-A043-9FABE33B94FB}"/>
    <cellStyle name="Linked Cell 13 2 7" xfId="14915" xr:uid="{AA2AD8E6-6CE0-4428-8E97-AB46B76C20F7}"/>
    <cellStyle name="Linked Cell 13 2 7 2" xfId="14916" xr:uid="{34E6E3CB-D06C-4EAD-B88C-6DE1B42623C2}"/>
    <cellStyle name="Linked Cell 13 2 7 2 2" xfId="14917" xr:uid="{46E6A37F-89C0-4AAA-AB99-3D7DF2E19563}"/>
    <cellStyle name="Linked Cell 13 2 7 3" xfId="14918" xr:uid="{74CFDD0D-3DAB-42A6-8096-995E025227B9}"/>
    <cellStyle name="Linked Cell 13 2 8" xfId="14919" xr:uid="{6A2E1BAC-2262-485A-8B25-1E2F98040AB0}"/>
    <cellStyle name="Linked Cell 13 2 8 2" xfId="14920" xr:uid="{D71C07C6-F72B-4AD2-AB67-2C61A765B3F7}"/>
    <cellStyle name="Linked Cell 13 2 8 2 2" xfId="14921" xr:uid="{3E42E85C-29D9-40BB-B7E3-B893162DA07B}"/>
    <cellStyle name="Linked Cell 13 2 8 3" xfId="14922" xr:uid="{ABDC1A43-4AD6-477B-B134-E99F63C9FF0B}"/>
    <cellStyle name="Linked Cell 13 2 9" xfId="14923" xr:uid="{CA165936-45DF-4BFB-8FD0-C1167E7C7763}"/>
    <cellStyle name="Linked Cell 13 2 9 2" xfId="14924" xr:uid="{BE2CC3BA-C9FA-4769-A754-10EC7B4356BC}"/>
    <cellStyle name="Linked Cell 13 2 9 2 2" xfId="14925" xr:uid="{C04B52E5-CCAE-404C-8051-16E216E445EB}"/>
    <cellStyle name="Linked Cell 13 2 9 3" xfId="14926" xr:uid="{535817AD-7277-4803-A87B-5FBBE5649C6B}"/>
    <cellStyle name="Linked Cell 13 3" xfId="14927" xr:uid="{C5218465-173C-488A-96CD-219E3E871EC6}"/>
    <cellStyle name="Linked Cell 13 3 10" xfId="14928" xr:uid="{788A4291-1A21-4926-A357-A01E53F398C6}"/>
    <cellStyle name="Linked Cell 13 3 10 2" xfId="14929" xr:uid="{446F4D38-F2EC-4315-8B9C-B9B434110344}"/>
    <cellStyle name="Linked Cell 13 3 10 2 2" xfId="14930" xr:uid="{4777D750-2BA3-4DE8-9981-07F2A36AAF5F}"/>
    <cellStyle name="Linked Cell 13 3 10 3" xfId="14931" xr:uid="{D67EF222-215D-4682-858E-F15E62C5ECC6}"/>
    <cellStyle name="Linked Cell 13 3 11" xfId="14932" xr:uid="{0A7F730D-5A8C-47B5-BD0B-A5BD14206120}"/>
    <cellStyle name="Linked Cell 13 3 11 2" xfId="14933" xr:uid="{FF74E974-43C1-458A-B155-5E3175C819D4}"/>
    <cellStyle name="Linked Cell 13 3 11 2 2" xfId="14934" xr:uid="{8A47F86F-1722-4F9E-8D7D-D86018BCCEC1}"/>
    <cellStyle name="Linked Cell 13 3 11 3" xfId="14935" xr:uid="{C25BE7A2-0231-4769-B1CB-DCCC9C8FBDC2}"/>
    <cellStyle name="Linked Cell 13 3 12" xfId="14936" xr:uid="{C68A3FDF-C707-44CD-BA07-47C894825C2E}"/>
    <cellStyle name="Linked Cell 13 3 12 2" xfId="14937" xr:uid="{DC064D97-5D11-4D32-A3C2-E4D4FF190AA6}"/>
    <cellStyle name="Linked Cell 13 3 12 2 2" xfId="14938" xr:uid="{232B6189-2107-4D3E-9E39-7C69BC67C2DE}"/>
    <cellStyle name="Linked Cell 13 3 12 3" xfId="14939" xr:uid="{E412EC9E-93CB-4D38-ABFE-1CC6EB9769BA}"/>
    <cellStyle name="Linked Cell 13 3 13" xfId="14940" xr:uid="{D7C3A3E3-CFA1-4EFB-BD16-9582A2F90CB2}"/>
    <cellStyle name="Linked Cell 13 3 13 2" xfId="14941" xr:uid="{279674A5-6FFA-4E88-B71F-B6D8CF55C2CE}"/>
    <cellStyle name="Linked Cell 13 3 14" xfId="14942" xr:uid="{5E0BB892-0ED4-4AE9-B181-98D1CF098BEF}"/>
    <cellStyle name="Linked Cell 13 3 2" xfId="14943" xr:uid="{9B0DA868-9982-413B-84DD-E74E07AF0CF7}"/>
    <cellStyle name="Linked Cell 13 3 2 10" xfId="14944" xr:uid="{315B94B4-F732-4049-ABDC-37B9A4A25C70}"/>
    <cellStyle name="Linked Cell 13 3 2 10 2" xfId="14945" xr:uid="{8D1A1034-FF39-4A61-8A91-951758E87403}"/>
    <cellStyle name="Linked Cell 13 3 2 10 2 2" xfId="14946" xr:uid="{0F38DD0F-3076-4AC5-9A78-EE55D5A42351}"/>
    <cellStyle name="Linked Cell 13 3 2 10 3" xfId="14947" xr:uid="{8C20986B-730E-4984-989D-B52B53070B2E}"/>
    <cellStyle name="Linked Cell 13 3 2 11" xfId="14948" xr:uid="{6B1FFCF8-2C99-42F2-B6F4-A1F7C5240205}"/>
    <cellStyle name="Linked Cell 13 3 2 11 2" xfId="14949" xr:uid="{18B11193-FFD7-47EA-9DC3-3E845A1F8862}"/>
    <cellStyle name="Linked Cell 13 3 2 11 2 2" xfId="14950" xr:uid="{7D49F4FB-E6E8-43A0-B131-35933CD53783}"/>
    <cellStyle name="Linked Cell 13 3 2 11 3" xfId="14951" xr:uid="{04FE4E8B-0BCF-46BD-9559-4E03D4E874C7}"/>
    <cellStyle name="Linked Cell 13 3 2 12" xfId="14952" xr:uid="{1139CE94-EE47-4800-84E6-C60A88986A54}"/>
    <cellStyle name="Linked Cell 13 3 2 12 2" xfId="14953" xr:uid="{CD9E3D40-70F2-41EA-BA2D-E2AE2D016488}"/>
    <cellStyle name="Linked Cell 13 3 2 13" xfId="14954" xr:uid="{80592C7F-6C5B-4922-A8D5-E1C833AEBE0F}"/>
    <cellStyle name="Linked Cell 13 3 2 2" xfId="14955" xr:uid="{5CAED589-C0BC-420E-890E-EF33AFA33FA9}"/>
    <cellStyle name="Linked Cell 13 3 2 2 10" xfId="14956" xr:uid="{4F5AE26A-F57C-44C4-8D6E-DE44E17488A8}"/>
    <cellStyle name="Linked Cell 13 3 2 2 10 2" xfId="14957" xr:uid="{E0B143D1-F8C5-4785-9070-CE6A209281A4}"/>
    <cellStyle name="Linked Cell 13 3 2 2 10 2 2" xfId="14958" xr:uid="{EB884339-25C7-4EE3-806E-D3D66FE56572}"/>
    <cellStyle name="Linked Cell 13 3 2 2 10 3" xfId="14959" xr:uid="{E163E1FB-2199-407D-8687-A23FAACF34D3}"/>
    <cellStyle name="Linked Cell 13 3 2 2 11" xfId="14960" xr:uid="{06F39F24-F56C-4472-AB72-03FD1C224F28}"/>
    <cellStyle name="Linked Cell 13 3 2 2 11 2" xfId="14961" xr:uid="{D54CA9B7-2435-4D2C-B0B3-96BD4F455A4D}"/>
    <cellStyle name="Linked Cell 13 3 2 2 12" xfId="14962" xr:uid="{4ED3594C-8C05-4E4C-A1B9-E7A595639431}"/>
    <cellStyle name="Linked Cell 13 3 2 2 2" xfId="14963" xr:uid="{37BBBC9B-F3F5-4E90-980A-80EE7152FDE5}"/>
    <cellStyle name="Linked Cell 13 3 2 2 2 2" xfId="14964" xr:uid="{55992C26-9157-4038-A533-BE36A8F54951}"/>
    <cellStyle name="Linked Cell 13 3 2 2 2 2 2" xfId="14965" xr:uid="{10FFEBDF-5EA1-4F48-BB9B-A0AC0D966DAB}"/>
    <cellStyle name="Linked Cell 13 3 2 2 2 3" xfId="14966" xr:uid="{E26AB67F-C30A-4A2B-9BB3-7E97CC72CAA0}"/>
    <cellStyle name="Linked Cell 13 3 2 2 3" xfId="14967" xr:uid="{27AA88DD-9988-42B9-91EF-AA2AA08FD02B}"/>
    <cellStyle name="Linked Cell 13 3 2 2 3 2" xfId="14968" xr:uid="{6B547911-002A-4B88-8E54-AF2306BF703E}"/>
    <cellStyle name="Linked Cell 13 3 2 2 3 2 2" xfId="14969" xr:uid="{7F51F9A4-D15D-4EA5-AE93-B11670C929ED}"/>
    <cellStyle name="Linked Cell 13 3 2 2 3 3" xfId="14970" xr:uid="{0BAF6976-AE6B-477C-A8A0-86A10442B3C9}"/>
    <cellStyle name="Linked Cell 13 3 2 2 4" xfId="14971" xr:uid="{80EF1943-9908-4911-ACC3-6C2EB82F2CC3}"/>
    <cellStyle name="Linked Cell 13 3 2 2 4 2" xfId="14972" xr:uid="{6C0DBEDB-755D-4E30-8DCB-727FBB193240}"/>
    <cellStyle name="Linked Cell 13 3 2 2 4 2 2" xfId="14973" xr:uid="{0C53A126-B9B1-4587-8436-B7F08318603D}"/>
    <cellStyle name="Linked Cell 13 3 2 2 4 3" xfId="14974" xr:uid="{9078DD89-7C00-4B9A-A2DD-E1F9CE0DFB69}"/>
    <cellStyle name="Linked Cell 13 3 2 2 5" xfId="14975" xr:uid="{195BD57F-3E33-481C-A051-BCC9D886D18D}"/>
    <cellStyle name="Linked Cell 13 3 2 2 5 2" xfId="14976" xr:uid="{4B24C9E3-27D5-423A-93DD-3B9AC0D29821}"/>
    <cellStyle name="Linked Cell 13 3 2 2 5 2 2" xfId="14977" xr:uid="{6F43061E-76A7-41C4-88EE-11AC3B47AC53}"/>
    <cellStyle name="Linked Cell 13 3 2 2 5 3" xfId="14978" xr:uid="{21392895-C942-495C-AC37-F246909EA754}"/>
    <cellStyle name="Linked Cell 13 3 2 2 6" xfId="14979" xr:uid="{18448ECE-148E-41B5-BF7D-682FF534EB9D}"/>
    <cellStyle name="Linked Cell 13 3 2 2 6 2" xfId="14980" xr:uid="{B6E96AE8-D554-4E27-A543-71A4A6566713}"/>
    <cellStyle name="Linked Cell 13 3 2 2 6 2 2" xfId="14981" xr:uid="{AB2DB3EE-2285-4E76-89AE-02DC8892F2A4}"/>
    <cellStyle name="Linked Cell 13 3 2 2 6 3" xfId="14982" xr:uid="{B793956F-5B5B-420B-9EEB-84E2E8E57077}"/>
    <cellStyle name="Linked Cell 13 3 2 2 7" xfId="14983" xr:uid="{39C0B1D1-4114-472A-9098-16D17EBB11F1}"/>
    <cellStyle name="Linked Cell 13 3 2 2 7 2" xfId="14984" xr:uid="{F8A4703F-A4B9-4A93-9C9D-59B4C32F5825}"/>
    <cellStyle name="Linked Cell 13 3 2 2 7 2 2" xfId="14985" xr:uid="{0F8E22AA-2C5E-42C1-BD7C-766049868125}"/>
    <cellStyle name="Linked Cell 13 3 2 2 7 3" xfId="14986" xr:uid="{2CC30CF6-71E4-4FBF-8D5A-C11BAB2F87B2}"/>
    <cellStyle name="Linked Cell 13 3 2 2 8" xfId="14987" xr:uid="{7F30480B-1DAB-4A03-893D-3BACEB06AC15}"/>
    <cellStyle name="Linked Cell 13 3 2 2 8 2" xfId="14988" xr:uid="{D6ED9BC4-E5E2-4302-8CA9-0854240F0FD5}"/>
    <cellStyle name="Linked Cell 13 3 2 2 8 2 2" xfId="14989" xr:uid="{4D218EA5-75E6-484A-8F5B-B30BDCCD1678}"/>
    <cellStyle name="Linked Cell 13 3 2 2 8 3" xfId="14990" xr:uid="{75003F5B-B093-4623-9E34-FC0D50492291}"/>
    <cellStyle name="Linked Cell 13 3 2 2 9" xfId="14991" xr:uid="{267248E1-8666-4E4F-AAEC-F15ECE6C09CD}"/>
    <cellStyle name="Linked Cell 13 3 2 2 9 2" xfId="14992" xr:uid="{86843E5B-3484-4659-9C9A-E9C4C632010F}"/>
    <cellStyle name="Linked Cell 13 3 2 2 9 2 2" xfId="14993" xr:uid="{78BE2F88-CC06-41DF-A6C2-312A851345AC}"/>
    <cellStyle name="Linked Cell 13 3 2 2 9 3" xfId="14994" xr:uid="{B6347D97-6AD2-46BB-9E85-101D613A138C}"/>
    <cellStyle name="Linked Cell 13 3 2 3" xfId="14995" xr:uid="{9ADF6357-531E-4A51-BDFF-88EC713E7D20}"/>
    <cellStyle name="Linked Cell 13 3 2 3 10" xfId="14996" xr:uid="{8DD9D56D-8829-4BCA-A9AA-D07DC3F857C3}"/>
    <cellStyle name="Linked Cell 13 3 2 3 10 2" xfId="14997" xr:uid="{06F82FC2-F04B-4596-8CB5-C1F38AA867F5}"/>
    <cellStyle name="Linked Cell 13 3 2 3 11" xfId="14998" xr:uid="{31FD040B-E3F8-4A68-8139-7B72F63E5E0A}"/>
    <cellStyle name="Linked Cell 13 3 2 3 2" xfId="14999" xr:uid="{000F32EC-B6B4-49C1-9F73-322C4C13D285}"/>
    <cellStyle name="Linked Cell 13 3 2 3 2 2" xfId="15000" xr:uid="{6D6E6E2C-40B4-40D8-87AD-4A299331A8DC}"/>
    <cellStyle name="Linked Cell 13 3 2 3 2 2 2" xfId="15001" xr:uid="{6EF7AE00-6138-4388-9B9C-EF007F8F18B7}"/>
    <cellStyle name="Linked Cell 13 3 2 3 2 3" xfId="15002" xr:uid="{306204C2-73E0-41A9-BE26-921722149865}"/>
    <cellStyle name="Linked Cell 13 3 2 3 3" xfId="15003" xr:uid="{7800AD97-C9B5-4CBE-BA34-C2669D34DDD9}"/>
    <cellStyle name="Linked Cell 13 3 2 3 3 2" xfId="15004" xr:uid="{57F90C15-0D36-4D22-B53E-4B046C4A1F3A}"/>
    <cellStyle name="Linked Cell 13 3 2 3 3 2 2" xfId="15005" xr:uid="{58E50A85-5D9C-4A2D-B1B6-EC55CDA6FF45}"/>
    <cellStyle name="Linked Cell 13 3 2 3 3 3" xfId="15006" xr:uid="{B434D35F-F154-42D6-90BA-DBAC0D9B6247}"/>
    <cellStyle name="Linked Cell 13 3 2 3 4" xfId="15007" xr:uid="{7D1664A2-3F08-4BAA-926E-8855624D0DE8}"/>
    <cellStyle name="Linked Cell 13 3 2 3 4 2" xfId="15008" xr:uid="{C40CFA03-5D20-473C-B643-93FC147B63A0}"/>
    <cellStyle name="Linked Cell 13 3 2 3 4 2 2" xfId="15009" xr:uid="{017C1E11-C35B-4019-BB66-86712FE7596D}"/>
    <cellStyle name="Linked Cell 13 3 2 3 4 3" xfId="15010" xr:uid="{0FEE8852-7A8C-4EF4-A1CD-790EC95CA9CE}"/>
    <cellStyle name="Linked Cell 13 3 2 3 5" xfId="15011" xr:uid="{7428EABF-2CB4-46D0-A643-6D808ABC0675}"/>
    <cellStyle name="Linked Cell 13 3 2 3 5 2" xfId="15012" xr:uid="{FD926924-26B7-4B2A-82B6-97BCC1FCE2E9}"/>
    <cellStyle name="Linked Cell 13 3 2 3 5 2 2" xfId="15013" xr:uid="{43665D75-1F7D-4DF4-9C99-1A48C00483CD}"/>
    <cellStyle name="Linked Cell 13 3 2 3 5 3" xfId="15014" xr:uid="{617320D1-E429-464B-A905-B610B4311869}"/>
    <cellStyle name="Linked Cell 13 3 2 3 6" xfId="15015" xr:uid="{7957BBAD-6571-40D4-AF59-9521F34AF32E}"/>
    <cellStyle name="Linked Cell 13 3 2 3 6 2" xfId="15016" xr:uid="{E16C6E6B-C7C7-4C06-89B1-EA6DC9AB0B7B}"/>
    <cellStyle name="Linked Cell 13 3 2 3 6 2 2" xfId="15017" xr:uid="{3B8981EC-AC38-447F-89E1-9A6AD75318C0}"/>
    <cellStyle name="Linked Cell 13 3 2 3 6 3" xfId="15018" xr:uid="{C782CC41-A09D-48E2-B84E-19F0EA820313}"/>
    <cellStyle name="Linked Cell 13 3 2 3 7" xfId="15019" xr:uid="{50170308-6DFC-4257-9E83-4CB38DD059D7}"/>
    <cellStyle name="Linked Cell 13 3 2 3 7 2" xfId="15020" xr:uid="{9369D4D5-E946-4222-99D3-A32AA0FF2EE2}"/>
    <cellStyle name="Linked Cell 13 3 2 3 7 2 2" xfId="15021" xr:uid="{C6D46DCE-F832-45D4-8927-C8686248B349}"/>
    <cellStyle name="Linked Cell 13 3 2 3 7 3" xfId="15022" xr:uid="{DE6E62AB-F1DD-4929-A759-4CA50131D3A5}"/>
    <cellStyle name="Linked Cell 13 3 2 3 8" xfId="15023" xr:uid="{20EC6C13-EC92-414C-A08E-F5E1F9CB09FF}"/>
    <cellStyle name="Linked Cell 13 3 2 3 8 2" xfId="15024" xr:uid="{BFA7B3C7-2A1C-489A-9FE0-458509FDC676}"/>
    <cellStyle name="Linked Cell 13 3 2 3 8 2 2" xfId="15025" xr:uid="{F5FD6BFB-7367-4F58-8EEA-29DED7663087}"/>
    <cellStyle name="Linked Cell 13 3 2 3 8 3" xfId="15026" xr:uid="{C9639190-F7C9-441C-BD5B-8B3A9B20F78D}"/>
    <cellStyle name="Linked Cell 13 3 2 3 9" xfId="15027" xr:uid="{0FE12D19-585C-4802-8D71-4473582B16AF}"/>
    <cellStyle name="Linked Cell 13 3 2 3 9 2" xfId="15028" xr:uid="{B14EF915-A0BA-42C2-A0F0-9147568D0453}"/>
    <cellStyle name="Linked Cell 13 3 2 3 9 2 2" xfId="15029" xr:uid="{453E6BC3-5A85-4910-A9A8-D54A983C6C26}"/>
    <cellStyle name="Linked Cell 13 3 2 3 9 3" xfId="15030" xr:uid="{59A96534-7838-40E1-9D1D-8B3FDA7E8A28}"/>
    <cellStyle name="Linked Cell 13 3 2 4" xfId="15031" xr:uid="{3F02DD62-4E7A-4E90-8B6E-F25C224F98AB}"/>
    <cellStyle name="Linked Cell 13 3 2 4 2" xfId="15032" xr:uid="{2E67D85E-187C-44B7-B4C3-293C11AD8069}"/>
    <cellStyle name="Linked Cell 13 3 2 4 2 2" xfId="15033" xr:uid="{D1AD2E93-4CFB-4750-ACEB-6A737AB026FE}"/>
    <cellStyle name="Linked Cell 13 3 2 4 3" xfId="15034" xr:uid="{6E2ED9EB-5886-41BE-89A0-6FB93224101A}"/>
    <cellStyle name="Linked Cell 13 3 2 5" xfId="15035" xr:uid="{9FEB359B-CCF3-4A35-A2CB-C435605726FE}"/>
    <cellStyle name="Linked Cell 13 3 2 5 2" xfId="15036" xr:uid="{A8323DEF-0264-4FC4-A19C-E6F3BBEA0ADC}"/>
    <cellStyle name="Linked Cell 13 3 2 5 2 2" xfId="15037" xr:uid="{A5F33EA8-6056-404C-BF1D-1DD94E479FEE}"/>
    <cellStyle name="Linked Cell 13 3 2 5 3" xfId="15038" xr:uid="{02EB81B2-0D0D-4D8C-BC05-7C368475644E}"/>
    <cellStyle name="Linked Cell 13 3 2 6" xfId="15039" xr:uid="{1C85E85E-FC6C-4C88-9109-09687B36B74E}"/>
    <cellStyle name="Linked Cell 13 3 2 6 2" xfId="15040" xr:uid="{97C8C48C-901B-47D9-8A6D-FEBDBC46543D}"/>
    <cellStyle name="Linked Cell 13 3 2 6 2 2" xfId="15041" xr:uid="{035CBED8-4256-4888-9D03-99264E92B6CE}"/>
    <cellStyle name="Linked Cell 13 3 2 6 3" xfId="15042" xr:uid="{5DEB74D0-D5A5-4DBB-9097-35549E8BFE81}"/>
    <cellStyle name="Linked Cell 13 3 2 7" xfId="15043" xr:uid="{1299EDBF-CD87-40E8-97D6-E265F1373C9D}"/>
    <cellStyle name="Linked Cell 13 3 2 7 2" xfId="15044" xr:uid="{C6E0B3F2-CCC0-45D7-891B-DA9F9ACDEBA5}"/>
    <cellStyle name="Linked Cell 13 3 2 7 2 2" xfId="15045" xr:uid="{51AF3FC1-B98C-427F-BC67-E04A3D7C8585}"/>
    <cellStyle name="Linked Cell 13 3 2 7 3" xfId="15046" xr:uid="{954850B6-6C7D-4145-95CC-4488EC643D67}"/>
    <cellStyle name="Linked Cell 13 3 2 8" xfId="15047" xr:uid="{CE95A8A0-908B-4694-AB28-35BE0639D800}"/>
    <cellStyle name="Linked Cell 13 3 2 8 2" xfId="15048" xr:uid="{112BAFC2-9734-4166-859B-97E29008C3E4}"/>
    <cellStyle name="Linked Cell 13 3 2 8 2 2" xfId="15049" xr:uid="{C8B54EBD-B411-4FD2-A452-CA7AB2B0D921}"/>
    <cellStyle name="Linked Cell 13 3 2 8 3" xfId="15050" xr:uid="{AE7263AC-7DB0-4879-B3F0-EA2C300A1CD2}"/>
    <cellStyle name="Linked Cell 13 3 2 9" xfId="15051" xr:uid="{CBA0AEB1-22FC-4705-9681-89A880D51356}"/>
    <cellStyle name="Linked Cell 13 3 2 9 2" xfId="15052" xr:uid="{97EAD076-464D-40A4-AFBA-BAF463A5EC5B}"/>
    <cellStyle name="Linked Cell 13 3 2 9 2 2" xfId="15053" xr:uid="{F6F460AB-AC18-499E-9A8E-864B185A041D}"/>
    <cellStyle name="Linked Cell 13 3 2 9 3" xfId="15054" xr:uid="{3E56AA98-D51B-4ACF-89A8-1725EF460A79}"/>
    <cellStyle name="Linked Cell 13 3 3" xfId="15055" xr:uid="{E1B169FB-9C80-4F6A-9E72-6E9311EB0F95}"/>
    <cellStyle name="Linked Cell 13 3 3 10" xfId="15056" xr:uid="{D89AE897-3098-4A40-ADFF-4BE71166DE2E}"/>
    <cellStyle name="Linked Cell 13 3 3 10 2" xfId="15057" xr:uid="{986298FF-1998-463C-BEDD-BEA12FBE0F53}"/>
    <cellStyle name="Linked Cell 13 3 3 10 2 2" xfId="15058" xr:uid="{4E0DE13A-724C-43B8-8153-3C010ACE72AA}"/>
    <cellStyle name="Linked Cell 13 3 3 10 3" xfId="15059" xr:uid="{F2F8E5D3-3D9A-472C-BC1E-0F7FB0D9E186}"/>
    <cellStyle name="Linked Cell 13 3 3 11" xfId="15060" xr:uid="{74BE17C8-E406-450E-A9A2-14C1237E49CC}"/>
    <cellStyle name="Linked Cell 13 3 3 11 2" xfId="15061" xr:uid="{CE73A7B4-4FC5-42ED-9E43-8C0F958A5AFA}"/>
    <cellStyle name="Linked Cell 13 3 3 12" xfId="15062" xr:uid="{215CA033-6E13-4F69-8C9A-B506584C06C0}"/>
    <cellStyle name="Linked Cell 13 3 3 2" xfId="15063" xr:uid="{D0144202-B857-4C1F-9BF0-69E0595F0180}"/>
    <cellStyle name="Linked Cell 13 3 3 2 10" xfId="15064" xr:uid="{86B0A5A9-DAA3-4AA8-96D0-5FFABB698844}"/>
    <cellStyle name="Linked Cell 13 3 3 2 10 2" xfId="15065" xr:uid="{8A127A9B-C6C6-4C40-93BB-E627B45E9CA3}"/>
    <cellStyle name="Linked Cell 13 3 3 2 11" xfId="15066" xr:uid="{0952C5D3-7649-4001-8CD3-B5919E860D04}"/>
    <cellStyle name="Linked Cell 13 3 3 2 2" xfId="15067" xr:uid="{646F7A96-B712-4DC3-99C7-9D67117510B1}"/>
    <cellStyle name="Linked Cell 13 3 3 2 2 2" xfId="15068" xr:uid="{0AC2747C-8F12-42B9-8877-0CBA60222044}"/>
    <cellStyle name="Linked Cell 13 3 3 2 2 2 2" xfId="15069" xr:uid="{25EBCCE5-38DF-4A33-931F-3861126BC987}"/>
    <cellStyle name="Linked Cell 13 3 3 2 2 3" xfId="15070" xr:uid="{F1865257-D356-4BD9-B236-DD35FE9C578D}"/>
    <cellStyle name="Linked Cell 13 3 3 2 3" xfId="15071" xr:uid="{436B5BB7-8600-442E-8667-AD5A3C1665A4}"/>
    <cellStyle name="Linked Cell 13 3 3 2 3 2" xfId="15072" xr:uid="{2BC0EC49-57CA-40D3-AE81-6F0658EAAD9D}"/>
    <cellStyle name="Linked Cell 13 3 3 2 3 2 2" xfId="15073" xr:uid="{EF0B8C58-D230-4720-86BC-4EE2739534C3}"/>
    <cellStyle name="Linked Cell 13 3 3 2 3 3" xfId="15074" xr:uid="{CCE1960B-7E29-4C57-B37B-EDE2EBB9DFCB}"/>
    <cellStyle name="Linked Cell 13 3 3 2 4" xfId="15075" xr:uid="{CFB2FC63-41EA-4CF3-BB63-C535DDA2C0F9}"/>
    <cellStyle name="Linked Cell 13 3 3 2 4 2" xfId="15076" xr:uid="{608779AC-94F8-4B53-BD94-62972CA15A84}"/>
    <cellStyle name="Linked Cell 13 3 3 2 4 2 2" xfId="15077" xr:uid="{29C163D8-98FA-4B30-85D4-03F574B0D5E8}"/>
    <cellStyle name="Linked Cell 13 3 3 2 4 3" xfId="15078" xr:uid="{421027C2-7573-49EB-A701-B4EC4181AFF8}"/>
    <cellStyle name="Linked Cell 13 3 3 2 5" xfId="15079" xr:uid="{57B59D41-C0D3-439D-8C43-E3AFAD1FF3FA}"/>
    <cellStyle name="Linked Cell 13 3 3 2 5 2" xfId="15080" xr:uid="{77601FC9-C3C8-401C-9DBC-C5F3BEA1A6AA}"/>
    <cellStyle name="Linked Cell 13 3 3 2 5 2 2" xfId="15081" xr:uid="{95E4E83C-EBC8-4ECA-99DD-196743A77560}"/>
    <cellStyle name="Linked Cell 13 3 3 2 5 3" xfId="15082" xr:uid="{701C2260-AB79-4E2C-9941-B8E4B9FE46A4}"/>
    <cellStyle name="Linked Cell 13 3 3 2 6" xfId="15083" xr:uid="{92B87D12-CF4A-4332-AAD6-F387AA5B27FB}"/>
    <cellStyle name="Linked Cell 13 3 3 2 6 2" xfId="15084" xr:uid="{E4B2C6BC-8F3B-4314-99F4-83649BD0AEEF}"/>
    <cellStyle name="Linked Cell 13 3 3 2 6 2 2" xfId="15085" xr:uid="{B7C483FD-D7EF-4765-AEE8-298D1C635849}"/>
    <cellStyle name="Linked Cell 13 3 3 2 6 3" xfId="15086" xr:uid="{71CC3057-4A4F-4CEE-A8A5-DE95B9876C1D}"/>
    <cellStyle name="Linked Cell 13 3 3 2 7" xfId="15087" xr:uid="{B0B7C9A6-41F0-43A9-BBAF-757C0B46006F}"/>
    <cellStyle name="Linked Cell 13 3 3 2 7 2" xfId="15088" xr:uid="{CDD5094D-AADA-4AF9-8E95-0BAA6B2DBEF8}"/>
    <cellStyle name="Linked Cell 13 3 3 2 7 2 2" xfId="15089" xr:uid="{ADC22ED1-ED4E-4BFC-8DBE-0699AFDCC95D}"/>
    <cellStyle name="Linked Cell 13 3 3 2 7 3" xfId="15090" xr:uid="{F7FFA92A-4156-488D-A2F3-6E4C425EF5CB}"/>
    <cellStyle name="Linked Cell 13 3 3 2 8" xfId="15091" xr:uid="{4CC2FBC4-7853-40A4-95A4-476D2DF1181E}"/>
    <cellStyle name="Linked Cell 13 3 3 2 8 2" xfId="15092" xr:uid="{C9B3A409-9D98-4F5D-8C26-269E050AEFBB}"/>
    <cellStyle name="Linked Cell 13 3 3 2 8 2 2" xfId="15093" xr:uid="{352B4306-86F4-412B-ADB6-9E9BC555DF7E}"/>
    <cellStyle name="Linked Cell 13 3 3 2 8 3" xfId="15094" xr:uid="{FBB89C1F-77BD-4DA2-91FD-1EC3245A3CA8}"/>
    <cellStyle name="Linked Cell 13 3 3 2 9" xfId="15095" xr:uid="{F4464E90-5C29-499D-BD17-D58909D6C6BA}"/>
    <cellStyle name="Linked Cell 13 3 3 2 9 2" xfId="15096" xr:uid="{A9F8311A-6EE3-4A35-9F8D-F5B65C602628}"/>
    <cellStyle name="Linked Cell 13 3 3 2 9 2 2" xfId="15097" xr:uid="{6AFD56C2-7A2E-4242-803C-759FCF0D4B78}"/>
    <cellStyle name="Linked Cell 13 3 3 2 9 3" xfId="15098" xr:uid="{09E3FA1E-CAA5-4DE1-BF48-DB3CF3E6063C}"/>
    <cellStyle name="Linked Cell 13 3 3 3" xfId="15099" xr:uid="{8428D8BC-711D-4CA8-B054-69038366D0CA}"/>
    <cellStyle name="Linked Cell 13 3 3 3 2" xfId="15100" xr:uid="{77DB30EE-3054-4C87-A6FE-CAC2CF7000F3}"/>
    <cellStyle name="Linked Cell 13 3 3 3 2 2" xfId="15101" xr:uid="{829C140C-232F-4D33-8A5F-BAEAFEB83018}"/>
    <cellStyle name="Linked Cell 13 3 3 3 3" xfId="15102" xr:uid="{0BE931FD-A6F2-48DB-9F82-C2AB6CC88A5D}"/>
    <cellStyle name="Linked Cell 13 3 3 4" xfId="15103" xr:uid="{0A2B5CDD-9239-46C4-8431-854D0D11B50F}"/>
    <cellStyle name="Linked Cell 13 3 3 4 2" xfId="15104" xr:uid="{709DF1A5-C092-44CE-8ADA-7CFAC783FA69}"/>
    <cellStyle name="Linked Cell 13 3 3 4 2 2" xfId="15105" xr:uid="{2422568C-0381-43EC-8385-A0B30173E704}"/>
    <cellStyle name="Linked Cell 13 3 3 4 3" xfId="15106" xr:uid="{694B4FE4-B14F-4B4C-AAD7-3C25AEE6F400}"/>
    <cellStyle name="Linked Cell 13 3 3 5" xfId="15107" xr:uid="{E475CB74-5578-45E4-BA10-9B40A4B57A56}"/>
    <cellStyle name="Linked Cell 13 3 3 5 2" xfId="15108" xr:uid="{B73BB179-58D0-45EC-8607-AFB0079678F9}"/>
    <cellStyle name="Linked Cell 13 3 3 5 2 2" xfId="15109" xr:uid="{AB3B832B-4944-4E5A-9927-4E02B87053DD}"/>
    <cellStyle name="Linked Cell 13 3 3 5 3" xfId="15110" xr:uid="{A930E923-511A-40A9-8FD6-CC138A8B6B00}"/>
    <cellStyle name="Linked Cell 13 3 3 6" xfId="15111" xr:uid="{FEEA38A7-D0C8-405B-A2DD-2A8087969062}"/>
    <cellStyle name="Linked Cell 13 3 3 6 2" xfId="15112" xr:uid="{F5F5E0A9-0F19-4AD5-9B15-AF834A803752}"/>
    <cellStyle name="Linked Cell 13 3 3 6 2 2" xfId="15113" xr:uid="{F82DF13E-249C-42DA-B873-0F9CB46BEF89}"/>
    <cellStyle name="Linked Cell 13 3 3 6 3" xfId="15114" xr:uid="{BEE081FC-DEAD-4139-8A2C-5067FBBCA0FE}"/>
    <cellStyle name="Linked Cell 13 3 3 7" xfId="15115" xr:uid="{BC491F26-7B15-4B0E-8543-E1FDA4D48C85}"/>
    <cellStyle name="Linked Cell 13 3 3 7 2" xfId="15116" xr:uid="{095E87D4-4FC5-47A6-98C0-3E891FCEBF5A}"/>
    <cellStyle name="Linked Cell 13 3 3 7 2 2" xfId="15117" xr:uid="{A308FF1D-D10A-4316-BA69-358D107DEB8F}"/>
    <cellStyle name="Linked Cell 13 3 3 7 3" xfId="15118" xr:uid="{AFA1B322-BAB5-48A2-B716-DE58DA789499}"/>
    <cellStyle name="Linked Cell 13 3 3 8" xfId="15119" xr:uid="{07E9AFE3-F00A-46B8-A9EC-201D6223F5ED}"/>
    <cellStyle name="Linked Cell 13 3 3 8 2" xfId="15120" xr:uid="{1A2905A0-6D9F-4ED9-BE59-2D39D97EA421}"/>
    <cellStyle name="Linked Cell 13 3 3 8 2 2" xfId="15121" xr:uid="{F6857A4C-8808-407A-9345-CCA627E20908}"/>
    <cellStyle name="Linked Cell 13 3 3 8 3" xfId="15122" xr:uid="{1F31752E-7B2C-45AE-8D03-C9AC41CFFA82}"/>
    <cellStyle name="Linked Cell 13 3 3 9" xfId="15123" xr:uid="{D1580819-2A79-4259-943E-01255F8F4F54}"/>
    <cellStyle name="Linked Cell 13 3 3 9 2" xfId="15124" xr:uid="{61FE54A6-EE8C-44E3-91EB-A60501ECB1DD}"/>
    <cellStyle name="Linked Cell 13 3 3 9 2 2" xfId="15125" xr:uid="{06A7F28C-9AD0-4E86-8300-61D1C9CEB059}"/>
    <cellStyle name="Linked Cell 13 3 3 9 3" xfId="15126" xr:uid="{3ED68922-C5ED-4F1B-8440-9569E888D3F1}"/>
    <cellStyle name="Linked Cell 13 3 4" xfId="15127" xr:uid="{3CCBB377-9CD8-4B3A-95A2-88299A9601D1}"/>
    <cellStyle name="Linked Cell 13 3 4 10" xfId="15128" xr:uid="{860E3F98-2727-4009-A552-4599F18602A5}"/>
    <cellStyle name="Linked Cell 13 3 4 10 2" xfId="15129" xr:uid="{E7B3651A-1FF1-4E79-B58C-92756E7EECEA}"/>
    <cellStyle name="Linked Cell 13 3 4 11" xfId="15130" xr:uid="{74AFEE9E-98D2-4583-90EF-7F1DE3E8FF55}"/>
    <cellStyle name="Linked Cell 13 3 4 2" xfId="15131" xr:uid="{A21A847A-4D86-47F1-99C3-E4395B638431}"/>
    <cellStyle name="Linked Cell 13 3 4 2 2" xfId="15132" xr:uid="{7566CB2E-55F8-48B6-A810-5090C4C532C7}"/>
    <cellStyle name="Linked Cell 13 3 4 2 2 2" xfId="15133" xr:uid="{2FBC118C-4C52-4AC9-AA29-2EAA1ACD9691}"/>
    <cellStyle name="Linked Cell 13 3 4 2 3" xfId="15134" xr:uid="{A0E09D24-DA65-4C33-ACC3-904C4F2A1AC0}"/>
    <cellStyle name="Linked Cell 13 3 4 3" xfId="15135" xr:uid="{38E6C8E9-864D-4D3B-A306-FC9BC2A118DF}"/>
    <cellStyle name="Linked Cell 13 3 4 3 2" xfId="15136" xr:uid="{0456A316-A01D-4A11-A05A-EBECC0750165}"/>
    <cellStyle name="Linked Cell 13 3 4 3 2 2" xfId="15137" xr:uid="{046BED60-428A-4E4B-98FE-3FE36B714533}"/>
    <cellStyle name="Linked Cell 13 3 4 3 3" xfId="15138" xr:uid="{4545CD81-7CD0-4B57-B9D2-F6C85B9A480E}"/>
    <cellStyle name="Linked Cell 13 3 4 4" xfId="15139" xr:uid="{3C2AA246-E1CB-47FA-98E6-E0C8C7DB176A}"/>
    <cellStyle name="Linked Cell 13 3 4 4 2" xfId="15140" xr:uid="{A5A5E793-880E-47E1-A5B9-DD9152844B6A}"/>
    <cellStyle name="Linked Cell 13 3 4 4 2 2" xfId="15141" xr:uid="{29A8847F-CE99-493E-BDEA-40808028ACBF}"/>
    <cellStyle name="Linked Cell 13 3 4 4 3" xfId="15142" xr:uid="{72D8C509-CE01-47FB-ABB6-B8AE4AB2D262}"/>
    <cellStyle name="Linked Cell 13 3 4 5" xfId="15143" xr:uid="{1D75F19C-46C2-478D-B126-B167153DC91B}"/>
    <cellStyle name="Linked Cell 13 3 4 5 2" xfId="15144" xr:uid="{C5C74FD6-6403-4463-BB4C-89FB63100E98}"/>
    <cellStyle name="Linked Cell 13 3 4 5 2 2" xfId="15145" xr:uid="{DA32966A-57AD-4808-BC02-02FAD1C8D0A2}"/>
    <cellStyle name="Linked Cell 13 3 4 5 3" xfId="15146" xr:uid="{77C4A151-1D85-4F47-B9D6-58CEF2ED5D4F}"/>
    <cellStyle name="Linked Cell 13 3 4 6" xfId="15147" xr:uid="{56507636-A795-404C-A788-B69CDC93A06F}"/>
    <cellStyle name="Linked Cell 13 3 4 6 2" xfId="15148" xr:uid="{82663CD0-09F2-4BB4-A2F6-4FFC7A91FD0A}"/>
    <cellStyle name="Linked Cell 13 3 4 6 2 2" xfId="15149" xr:uid="{E22D0E2A-E001-4A56-8DD9-430EE802FC09}"/>
    <cellStyle name="Linked Cell 13 3 4 6 3" xfId="15150" xr:uid="{F4770345-AE32-462A-B452-934515B65783}"/>
    <cellStyle name="Linked Cell 13 3 4 7" xfId="15151" xr:uid="{C1730E60-7FEE-4A22-A6BB-F0F4A80C1A7A}"/>
    <cellStyle name="Linked Cell 13 3 4 7 2" xfId="15152" xr:uid="{19C61993-C0B6-4601-AA31-B9FE914F1AD2}"/>
    <cellStyle name="Linked Cell 13 3 4 7 2 2" xfId="15153" xr:uid="{FB75E2CE-BCAC-433A-B8E0-059E905A1639}"/>
    <cellStyle name="Linked Cell 13 3 4 7 3" xfId="15154" xr:uid="{1B177CD1-C679-439C-9E9E-81FCBF943CE2}"/>
    <cellStyle name="Linked Cell 13 3 4 8" xfId="15155" xr:uid="{44763AE3-86FA-4255-8F7E-19D11D4B2D11}"/>
    <cellStyle name="Linked Cell 13 3 4 8 2" xfId="15156" xr:uid="{279A4982-2541-4702-B3D8-8A2735CBFB29}"/>
    <cellStyle name="Linked Cell 13 3 4 8 2 2" xfId="15157" xr:uid="{49E0B7BA-D6D9-402D-9FE9-516D1021670B}"/>
    <cellStyle name="Linked Cell 13 3 4 8 3" xfId="15158" xr:uid="{333F8B77-F4EF-479B-BD35-81156EA63C1F}"/>
    <cellStyle name="Linked Cell 13 3 4 9" xfId="15159" xr:uid="{6D2D4B45-D82D-475E-9E34-0AC5167586B2}"/>
    <cellStyle name="Linked Cell 13 3 4 9 2" xfId="15160" xr:uid="{A20BAFCA-9469-48E4-AECB-CF6E25A1F815}"/>
    <cellStyle name="Linked Cell 13 3 4 9 2 2" xfId="15161" xr:uid="{C92A8690-CCCB-444B-B0D0-AED89B91711B}"/>
    <cellStyle name="Linked Cell 13 3 4 9 3" xfId="15162" xr:uid="{9ED209A2-A972-4F94-B161-B3189AAD9C8D}"/>
    <cellStyle name="Linked Cell 13 3 5" xfId="15163" xr:uid="{9DFF3A83-C74B-4330-A7C0-CEC5B31090A3}"/>
    <cellStyle name="Linked Cell 13 3 5 2" xfId="15164" xr:uid="{8A0141AE-6A62-4EF0-A587-203694819E99}"/>
    <cellStyle name="Linked Cell 13 3 5 2 2" xfId="15165" xr:uid="{E2C5D130-9CE4-4A95-998F-B41AB819FAF5}"/>
    <cellStyle name="Linked Cell 13 3 5 3" xfId="15166" xr:uid="{6F1FCCCC-4DD6-4F41-B1EE-450754CF4A9A}"/>
    <cellStyle name="Linked Cell 13 3 6" xfId="15167" xr:uid="{6D448D64-E800-4C51-BDAC-673E007B740D}"/>
    <cellStyle name="Linked Cell 13 3 6 2" xfId="15168" xr:uid="{7B1E189F-C914-487D-B2FC-59C3EC869A87}"/>
    <cellStyle name="Linked Cell 13 3 6 2 2" xfId="15169" xr:uid="{4C628B86-BE9B-450A-95E0-9DBBEF6BAF21}"/>
    <cellStyle name="Linked Cell 13 3 6 3" xfId="15170" xr:uid="{327E3A5A-499C-4CB7-9BCF-06D7518E4010}"/>
    <cellStyle name="Linked Cell 13 3 7" xfId="15171" xr:uid="{5A0D242E-B9EE-454E-99E9-4E623FFAB467}"/>
    <cellStyle name="Linked Cell 13 3 7 2" xfId="15172" xr:uid="{90C2E16A-D551-4B30-99FD-2D7185C2D7EC}"/>
    <cellStyle name="Linked Cell 13 3 7 2 2" xfId="15173" xr:uid="{3A170935-597D-49EA-9F0C-49F9029403EB}"/>
    <cellStyle name="Linked Cell 13 3 7 3" xfId="15174" xr:uid="{E069C029-05A2-4683-AD5A-F50C5DB6A054}"/>
    <cellStyle name="Linked Cell 13 3 8" xfId="15175" xr:uid="{15153B51-F7AD-4350-875E-97D45B2A8EC2}"/>
    <cellStyle name="Linked Cell 13 3 8 2" xfId="15176" xr:uid="{3FB5FA99-1699-428D-834F-366D66ECD80D}"/>
    <cellStyle name="Linked Cell 13 3 8 2 2" xfId="15177" xr:uid="{27392762-45B8-49E4-8128-C86B1C0106EA}"/>
    <cellStyle name="Linked Cell 13 3 8 3" xfId="15178" xr:uid="{678D0FAB-0992-40D8-A272-868E332650B9}"/>
    <cellStyle name="Linked Cell 13 3 9" xfId="15179" xr:uid="{670D3FDD-5DE8-4D30-8C5A-AEC6D90388E8}"/>
    <cellStyle name="Linked Cell 13 3 9 2" xfId="15180" xr:uid="{00B851DE-ECD3-495D-9A9A-4156B5A3894D}"/>
    <cellStyle name="Linked Cell 13 3 9 2 2" xfId="15181" xr:uid="{32D5ED80-8510-4F03-941A-33880EE6C6A8}"/>
    <cellStyle name="Linked Cell 13 3 9 3" xfId="15182" xr:uid="{6D917D4E-8CD7-42F8-AF1E-A21B8334D857}"/>
    <cellStyle name="Linked Cell 13 4" xfId="15183" xr:uid="{B1D4F341-9501-4E48-AED7-AE4CD5D2385C}"/>
    <cellStyle name="Linked Cell 13 4 10" xfId="15184" xr:uid="{8B84C794-CE77-4769-8957-42B1E23F37F8}"/>
    <cellStyle name="Linked Cell 13 4 10 2" xfId="15185" xr:uid="{7B608F6A-C0FD-41E8-ADA4-21CF90D3934B}"/>
    <cellStyle name="Linked Cell 13 4 10 2 2" xfId="15186" xr:uid="{A672B62F-1B8B-44CA-AB8B-9B7FF6F3F0F7}"/>
    <cellStyle name="Linked Cell 13 4 10 3" xfId="15187" xr:uid="{B5AA7FCD-5B45-4B16-BBF4-B2CE4BAB3C51}"/>
    <cellStyle name="Linked Cell 13 4 11" xfId="15188" xr:uid="{90BD2753-F156-430B-A441-64AB21EEE5DE}"/>
    <cellStyle name="Linked Cell 13 4 11 2" xfId="15189" xr:uid="{5F4665A5-55F8-46D4-9282-FF987E6398D3}"/>
    <cellStyle name="Linked Cell 13 4 11 2 2" xfId="15190" xr:uid="{5579E400-5D20-446E-8025-AEF0E232F29D}"/>
    <cellStyle name="Linked Cell 13 4 11 3" xfId="15191" xr:uid="{A993D203-4E0B-433A-872A-D701453D9E2D}"/>
    <cellStyle name="Linked Cell 13 4 12" xfId="15192" xr:uid="{78FBF512-A78A-4E07-ADFD-2DE2A97AE2D5}"/>
    <cellStyle name="Linked Cell 13 4 12 2" xfId="15193" xr:uid="{E5656F31-BC06-47BA-9772-8C7B3A006DD6}"/>
    <cellStyle name="Linked Cell 13 4 13" xfId="15194" xr:uid="{006165BF-777E-4129-A669-5CE9235D5603}"/>
    <cellStyle name="Linked Cell 13 4 2" xfId="15195" xr:uid="{B3F7916F-F314-4AF2-9C9E-564BFC7C881C}"/>
    <cellStyle name="Linked Cell 13 4 2 10" xfId="15196" xr:uid="{AF3EEEED-B4B3-4C33-82FA-20B63B0A5D89}"/>
    <cellStyle name="Linked Cell 13 4 2 10 2" xfId="15197" xr:uid="{544D7CCD-AE49-488D-B7DD-45DA227EDE24}"/>
    <cellStyle name="Linked Cell 13 4 2 10 2 2" xfId="15198" xr:uid="{2778E65E-4E2E-472A-AE58-7E73E0FEB0C1}"/>
    <cellStyle name="Linked Cell 13 4 2 10 3" xfId="15199" xr:uid="{EEA4684F-B317-4C97-AF38-ADDCF397BD3C}"/>
    <cellStyle name="Linked Cell 13 4 2 11" xfId="15200" xr:uid="{1D806CF2-D068-420D-A732-AB5B357FC9D6}"/>
    <cellStyle name="Linked Cell 13 4 2 11 2" xfId="15201" xr:uid="{B9C208AB-4CCE-46D1-95F0-5670A16E10BC}"/>
    <cellStyle name="Linked Cell 13 4 2 12" xfId="15202" xr:uid="{8B7370F1-8433-45BF-B232-9FDDD9F60848}"/>
    <cellStyle name="Linked Cell 13 4 2 2" xfId="15203" xr:uid="{DC6DB0B8-4FFD-4261-A907-07D53D3288BC}"/>
    <cellStyle name="Linked Cell 13 4 2 2 2" xfId="15204" xr:uid="{0021DF1A-EBB9-4753-A2B5-56765750352C}"/>
    <cellStyle name="Linked Cell 13 4 2 2 2 2" xfId="15205" xr:uid="{58114B95-3847-44D4-8471-91D55A332279}"/>
    <cellStyle name="Linked Cell 13 4 2 2 3" xfId="15206" xr:uid="{F2C11379-F75B-4F48-83A7-F61F495A86FF}"/>
    <cellStyle name="Linked Cell 13 4 2 3" xfId="15207" xr:uid="{36A648CB-06B6-431C-AF92-3789E6F6792D}"/>
    <cellStyle name="Linked Cell 13 4 2 3 2" xfId="15208" xr:uid="{107B38B5-FBC7-4D0A-B848-20DEAF7BF10C}"/>
    <cellStyle name="Linked Cell 13 4 2 3 2 2" xfId="15209" xr:uid="{DA907D2C-BC05-44FB-834B-52D5CB54E1C7}"/>
    <cellStyle name="Linked Cell 13 4 2 3 3" xfId="15210" xr:uid="{F7BB17F6-5B1D-41C9-9287-E006BC353709}"/>
    <cellStyle name="Linked Cell 13 4 2 4" xfId="15211" xr:uid="{CD8CA22F-6480-4862-88BB-66EEEE66695A}"/>
    <cellStyle name="Linked Cell 13 4 2 4 2" xfId="15212" xr:uid="{D85D1A4B-8EDC-4D20-A5B4-727776BB7CC6}"/>
    <cellStyle name="Linked Cell 13 4 2 4 2 2" xfId="15213" xr:uid="{D39A794D-126B-4FA7-8E7C-29E0BC269C1D}"/>
    <cellStyle name="Linked Cell 13 4 2 4 3" xfId="15214" xr:uid="{D1C2F27C-8E07-4C90-8CD9-1D5B92A67A49}"/>
    <cellStyle name="Linked Cell 13 4 2 5" xfId="15215" xr:uid="{096AFB32-7FA9-4A10-92D5-525C0CD3893D}"/>
    <cellStyle name="Linked Cell 13 4 2 5 2" xfId="15216" xr:uid="{00F9E0C7-5DE6-4110-ABEA-665108F8C766}"/>
    <cellStyle name="Linked Cell 13 4 2 5 2 2" xfId="15217" xr:uid="{BC3117D3-3A07-469C-832F-0BE103318346}"/>
    <cellStyle name="Linked Cell 13 4 2 5 3" xfId="15218" xr:uid="{2DD4EF85-598A-47F4-8C1A-DE202B421D43}"/>
    <cellStyle name="Linked Cell 13 4 2 6" xfId="15219" xr:uid="{A9AD0073-980D-49B0-816D-1FB0AFA34D48}"/>
    <cellStyle name="Linked Cell 13 4 2 6 2" xfId="15220" xr:uid="{4410CC9E-AA04-48CE-8B59-7AC6D826FA7B}"/>
    <cellStyle name="Linked Cell 13 4 2 6 2 2" xfId="15221" xr:uid="{644FF401-53B9-46B0-AFFC-2F2E0C4555B2}"/>
    <cellStyle name="Linked Cell 13 4 2 6 3" xfId="15222" xr:uid="{55ACC8A0-5098-400E-870D-B4BAF6E78998}"/>
    <cellStyle name="Linked Cell 13 4 2 7" xfId="15223" xr:uid="{DB1962BD-D099-4EC8-97DA-110F99A52A51}"/>
    <cellStyle name="Linked Cell 13 4 2 7 2" xfId="15224" xr:uid="{CBD4631E-4959-434E-9419-F7505A054D03}"/>
    <cellStyle name="Linked Cell 13 4 2 7 2 2" xfId="15225" xr:uid="{2AB510CA-C8C1-481B-A473-26D4A92287E0}"/>
    <cellStyle name="Linked Cell 13 4 2 7 3" xfId="15226" xr:uid="{CF80F407-7F88-419F-A418-29DC5868CEF1}"/>
    <cellStyle name="Linked Cell 13 4 2 8" xfId="15227" xr:uid="{C80940D2-C072-4C48-835F-9BFF36A205E2}"/>
    <cellStyle name="Linked Cell 13 4 2 8 2" xfId="15228" xr:uid="{BFF94805-E7B9-4EB7-B485-61F08E598C2A}"/>
    <cellStyle name="Linked Cell 13 4 2 8 2 2" xfId="15229" xr:uid="{FDB87B57-A06D-4284-9005-4EAD21DFA699}"/>
    <cellStyle name="Linked Cell 13 4 2 8 3" xfId="15230" xr:uid="{90030B57-CC28-4D47-8391-714999C4D5D9}"/>
    <cellStyle name="Linked Cell 13 4 2 9" xfId="15231" xr:uid="{2C3DC41B-9837-4D44-8FB3-6DBEDA0F0930}"/>
    <cellStyle name="Linked Cell 13 4 2 9 2" xfId="15232" xr:uid="{70A93243-4C9D-4FDE-8EF0-88494CD7D61F}"/>
    <cellStyle name="Linked Cell 13 4 2 9 2 2" xfId="15233" xr:uid="{AAEBC613-C0E8-47D0-8835-AADBF95FE177}"/>
    <cellStyle name="Linked Cell 13 4 2 9 3" xfId="15234" xr:uid="{F5DEC054-1293-47F7-A53C-876FF94834D4}"/>
    <cellStyle name="Linked Cell 13 4 3" xfId="15235" xr:uid="{D91A7887-BD24-4580-AE9A-7A3B9C74EF73}"/>
    <cellStyle name="Linked Cell 13 4 3 10" xfId="15236" xr:uid="{DB0573F7-0913-464E-8D46-164DCDB61A4F}"/>
    <cellStyle name="Linked Cell 13 4 3 10 2" xfId="15237" xr:uid="{46346639-2E67-4C49-AC9F-52D7916BB81E}"/>
    <cellStyle name="Linked Cell 13 4 3 11" xfId="15238" xr:uid="{26616A2A-5E93-452B-B66D-155FC35FDDC7}"/>
    <cellStyle name="Linked Cell 13 4 3 2" xfId="15239" xr:uid="{2329F3DE-A20D-404D-8487-02C30DEC6950}"/>
    <cellStyle name="Linked Cell 13 4 3 2 2" xfId="15240" xr:uid="{E763AD45-BF4E-4571-99C7-D65D5DD7AE6B}"/>
    <cellStyle name="Linked Cell 13 4 3 2 2 2" xfId="15241" xr:uid="{8F0F631B-DA68-4EA8-B56C-D1A291F2C7C9}"/>
    <cellStyle name="Linked Cell 13 4 3 2 3" xfId="15242" xr:uid="{1243FF9A-07E7-41B4-A960-98A428433781}"/>
    <cellStyle name="Linked Cell 13 4 3 3" xfId="15243" xr:uid="{4D525C0A-0F8F-4F63-843A-04639FF509DC}"/>
    <cellStyle name="Linked Cell 13 4 3 3 2" xfId="15244" xr:uid="{7A0B1DDA-CA56-4661-9704-F1E515C0AB90}"/>
    <cellStyle name="Linked Cell 13 4 3 3 2 2" xfId="15245" xr:uid="{D79A000C-2EAD-4ADF-A222-E50EF10242B6}"/>
    <cellStyle name="Linked Cell 13 4 3 3 3" xfId="15246" xr:uid="{E5D9B3DF-D2BF-488A-BD55-3045B98406E7}"/>
    <cellStyle name="Linked Cell 13 4 3 4" xfId="15247" xr:uid="{8A76C124-E8DC-4350-AFDE-F0515E2E4457}"/>
    <cellStyle name="Linked Cell 13 4 3 4 2" xfId="15248" xr:uid="{8B6FE014-09C0-4029-B20F-570AAB0F7CCE}"/>
    <cellStyle name="Linked Cell 13 4 3 4 2 2" xfId="15249" xr:uid="{6182E09C-3223-4A5B-8BFF-F84B2D1AC1B9}"/>
    <cellStyle name="Linked Cell 13 4 3 4 3" xfId="15250" xr:uid="{687ECE40-D695-43C1-822E-F477A2F7CF89}"/>
    <cellStyle name="Linked Cell 13 4 3 5" xfId="15251" xr:uid="{DC6A1FF5-4B7B-49EB-B0F2-0CD90937BC11}"/>
    <cellStyle name="Linked Cell 13 4 3 5 2" xfId="15252" xr:uid="{6633537B-A3BF-4D40-91C8-C93FBF1A239C}"/>
    <cellStyle name="Linked Cell 13 4 3 5 2 2" xfId="15253" xr:uid="{9F91A83A-11FC-4B76-8B5C-9BFE352A12C7}"/>
    <cellStyle name="Linked Cell 13 4 3 5 3" xfId="15254" xr:uid="{5E7799F6-3F33-4CEF-BC33-31962E5722B5}"/>
    <cellStyle name="Linked Cell 13 4 3 6" xfId="15255" xr:uid="{A2C4207B-D535-489B-92CF-1F4A1023A6DF}"/>
    <cellStyle name="Linked Cell 13 4 3 6 2" xfId="15256" xr:uid="{8C65C5BC-F78C-4D4F-A017-1584C1305F03}"/>
    <cellStyle name="Linked Cell 13 4 3 6 2 2" xfId="15257" xr:uid="{55F2F843-D394-46DE-98AE-290E075AA202}"/>
    <cellStyle name="Linked Cell 13 4 3 6 3" xfId="15258" xr:uid="{1BD1C9F6-364D-4CE9-ADA8-25B8C3263885}"/>
    <cellStyle name="Linked Cell 13 4 3 7" xfId="15259" xr:uid="{E1EB39B8-39A5-4F6D-8D26-894DF18C50DA}"/>
    <cellStyle name="Linked Cell 13 4 3 7 2" xfId="15260" xr:uid="{8FB92E3C-EE0D-42AB-94A7-7E95F3732E0B}"/>
    <cellStyle name="Linked Cell 13 4 3 7 2 2" xfId="15261" xr:uid="{089438EC-0E2E-44D8-9888-560A349F0FA4}"/>
    <cellStyle name="Linked Cell 13 4 3 7 3" xfId="15262" xr:uid="{2C252D45-E659-405F-9C91-4DDA23D81867}"/>
    <cellStyle name="Linked Cell 13 4 3 8" xfId="15263" xr:uid="{1956530D-4AFC-469B-890E-D6DCC378DFBD}"/>
    <cellStyle name="Linked Cell 13 4 3 8 2" xfId="15264" xr:uid="{953AA817-27D6-4311-93A2-9B2B244E1FF8}"/>
    <cellStyle name="Linked Cell 13 4 3 8 2 2" xfId="15265" xr:uid="{1F68E6D1-C279-4212-88B9-0C3E71E222A7}"/>
    <cellStyle name="Linked Cell 13 4 3 8 3" xfId="15266" xr:uid="{3F1F1F6D-BE17-4CF7-992C-2BD9688126DC}"/>
    <cellStyle name="Linked Cell 13 4 3 9" xfId="15267" xr:uid="{3BE7B13B-A64E-4F0C-98E4-F45ABEFB14C5}"/>
    <cellStyle name="Linked Cell 13 4 3 9 2" xfId="15268" xr:uid="{4B3CD4DB-EFE8-49B1-91E1-27EC9802B4E7}"/>
    <cellStyle name="Linked Cell 13 4 3 9 2 2" xfId="15269" xr:uid="{447E841A-51A7-437C-978D-88375CEB6405}"/>
    <cellStyle name="Linked Cell 13 4 3 9 3" xfId="15270" xr:uid="{E15AA084-6954-43E2-B4BC-BEBC842F754B}"/>
    <cellStyle name="Linked Cell 13 4 4" xfId="15271" xr:uid="{062597BE-E83E-4BE0-B9D9-8B24FD0D5E74}"/>
    <cellStyle name="Linked Cell 13 4 4 2" xfId="15272" xr:uid="{9EF2158A-1D70-4559-848E-228CC9E4A4D8}"/>
    <cellStyle name="Linked Cell 13 4 4 2 2" xfId="15273" xr:uid="{2C88D0B1-D1FA-43D3-A78C-EB1BE8E9260F}"/>
    <cellStyle name="Linked Cell 13 4 4 3" xfId="15274" xr:uid="{ED70B8EE-49FD-4E4B-8438-A60E2240A0E3}"/>
    <cellStyle name="Linked Cell 13 4 5" xfId="15275" xr:uid="{867D0884-80B9-4497-A1F4-44D228735C97}"/>
    <cellStyle name="Linked Cell 13 4 5 2" xfId="15276" xr:uid="{565F7716-86FE-49A0-9F94-44D9F295A67B}"/>
    <cellStyle name="Linked Cell 13 4 5 2 2" xfId="15277" xr:uid="{637B37DF-6D6F-4D2D-8009-EAB91F7FC35A}"/>
    <cellStyle name="Linked Cell 13 4 5 3" xfId="15278" xr:uid="{2868213C-F607-4520-89B9-A0CAC296459C}"/>
    <cellStyle name="Linked Cell 13 4 6" xfId="15279" xr:uid="{5A8D932C-093C-4C66-8757-5C5F9F9B0F8F}"/>
    <cellStyle name="Linked Cell 13 4 6 2" xfId="15280" xr:uid="{C63285A0-9D9E-44DE-A2A5-07AA27AAB115}"/>
    <cellStyle name="Linked Cell 13 4 6 2 2" xfId="15281" xr:uid="{B0047CE0-9360-46BC-8879-06B775C83DD0}"/>
    <cellStyle name="Linked Cell 13 4 6 3" xfId="15282" xr:uid="{7C28D375-F47A-4F9F-B03F-E9E815E39940}"/>
    <cellStyle name="Linked Cell 13 4 7" xfId="15283" xr:uid="{9BDDB28E-F305-44F0-89BD-CE50F08CFF05}"/>
    <cellStyle name="Linked Cell 13 4 7 2" xfId="15284" xr:uid="{2F6A4C5F-765D-412F-BA8B-44F686AD17B3}"/>
    <cellStyle name="Linked Cell 13 4 7 2 2" xfId="15285" xr:uid="{862B4F67-BA6B-44E5-9BF9-7E808939C96F}"/>
    <cellStyle name="Linked Cell 13 4 7 3" xfId="15286" xr:uid="{F7D560FC-107A-420B-A00F-E36A234BA742}"/>
    <cellStyle name="Linked Cell 13 4 8" xfId="15287" xr:uid="{F9000D67-5D54-4525-B045-0C2076CB9F33}"/>
    <cellStyle name="Linked Cell 13 4 8 2" xfId="15288" xr:uid="{6A6685B9-B52F-48C7-A17C-BBD857B10BF8}"/>
    <cellStyle name="Linked Cell 13 4 8 2 2" xfId="15289" xr:uid="{3A749023-0170-45CF-836C-6E5E367B6665}"/>
    <cellStyle name="Linked Cell 13 4 8 3" xfId="15290" xr:uid="{92E081AD-8C3A-49DF-B055-404809CD03BB}"/>
    <cellStyle name="Linked Cell 13 4 9" xfId="15291" xr:uid="{79B672B6-3DA7-45B2-8AE8-1A3A437D81A4}"/>
    <cellStyle name="Linked Cell 13 4 9 2" xfId="15292" xr:uid="{DD3824B8-786B-48AC-A932-462E4392F1A7}"/>
    <cellStyle name="Linked Cell 13 4 9 2 2" xfId="15293" xr:uid="{33718C9C-42CF-4655-91BF-F24A73AA8CC2}"/>
    <cellStyle name="Linked Cell 13 4 9 3" xfId="15294" xr:uid="{7A01EE74-BF66-4724-8D35-EA4C83AA3526}"/>
    <cellStyle name="Linked Cell 14" xfId="15295" xr:uid="{36E45332-0B57-4C0C-A20A-EE78F609DDAA}"/>
    <cellStyle name="Linked Cell 14 2" xfId="15296" xr:uid="{2A54C3FA-A301-490D-894C-8663C994F3E7}"/>
    <cellStyle name="Linked Cell 14 2 10" xfId="15297" xr:uid="{AFD57AD9-D2E3-4998-B91A-599CB491AB38}"/>
    <cellStyle name="Linked Cell 14 2 10 2" xfId="15298" xr:uid="{08542B91-EEB4-415D-B162-363C18CF142F}"/>
    <cellStyle name="Linked Cell 14 2 10 2 2" xfId="15299" xr:uid="{A0CA900B-F7F7-49E2-840B-6CDFC274CAEB}"/>
    <cellStyle name="Linked Cell 14 2 10 3" xfId="15300" xr:uid="{81389645-8A1D-43AD-909E-0F02BBA9B127}"/>
    <cellStyle name="Linked Cell 14 2 11" xfId="15301" xr:uid="{FE9EDB86-5877-45D7-AAA0-0938922A13B4}"/>
    <cellStyle name="Linked Cell 14 2 11 2" xfId="15302" xr:uid="{4B880371-9F96-4D93-9DAA-0FCBA03456D5}"/>
    <cellStyle name="Linked Cell 14 2 11 2 2" xfId="15303" xr:uid="{8BD28896-71FC-4B8D-B148-CAC2CBE7DFA2}"/>
    <cellStyle name="Linked Cell 14 2 11 3" xfId="15304" xr:uid="{E9E87CBA-323C-47CA-87F6-AFE5D7A6985D}"/>
    <cellStyle name="Linked Cell 14 2 12" xfId="15305" xr:uid="{B0CB6152-D712-40D6-9C82-A65EB58F85D1}"/>
    <cellStyle name="Linked Cell 14 2 12 2" xfId="15306" xr:uid="{43F33C4B-C61A-4D67-8494-97134CFB3482}"/>
    <cellStyle name="Linked Cell 14 2 12 2 2" xfId="15307" xr:uid="{1F6134E6-A97D-40B0-AFDF-BCC0040E1BDD}"/>
    <cellStyle name="Linked Cell 14 2 12 3" xfId="15308" xr:uid="{CFAAC791-0838-41B7-B526-68F78C284D30}"/>
    <cellStyle name="Linked Cell 14 2 13" xfId="15309" xr:uid="{73CAE6AB-99FD-4B4B-8AE6-A6B0977C3E18}"/>
    <cellStyle name="Linked Cell 14 2 13 2" xfId="15310" xr:uid="{504058ED-38A3-40AB-BD9A-B8F63BD1118B}"/>
    <cellStyle name="Linked Cell 14 2 13 2 2" xfId="15311" xr:uid="{5578B2A2-703C-46A5-BE99-855F2C03A94F}"/>
    <cellStyle name="Linked Cell 14 2 13 3" xfId="15312" xr:uid="{20F122AA-7C7A-4CB7-8DA1-33B8388E4A3B}"/>
    <cellStyle name="Linked Cell 14 2 14" xfId="15313" xr:uid="{4790A34A-BE0E-45AB-9ED7-258E14626923}"/>
    <cellStyle name="Linked Cell 14 2 14 2" xfId="15314" xr:uid="{B6640FC2-EE36-4921-8A4F-E0B0929DFFE2}"/>
    <cellStyle name="Linked Cell 14 2 15" xfId="15315" xr:uid="{2D17A5FA-67C9-480C-85BC-5B6EA10E5523}"/>
    <cellStyle name="Linked Cell 14 2 2" xfId="15316" xr:uid="{162DF959-DE5B-4A3D-89E1-4F5C25C48EE4}"/>
    <cellStyle name="Linked Cell 14 2 2 10" xfId="15317" xr:uid="{9E0C7DB9-4A08-4B63-B615-E55CD9CA4B0C}"/>
    <cellStyle name="Linked Cell 14 2 2 10 2" xfId="15318" xr:uid="{B962ACC9-0694-48C0-A189-B234BAB1C56C}"/>
    <cellStyle name="Linked Cell 14 2 2 10 2 2" xfId="15319" xr:uid="{C9162301-9EB0-4A79-B668-F915D3CB6BE3}"/>
    <cellStyle name="Linked Cell 14 2 2 10 3" xfId="15320" xr:uid="{0B698D2C-17BE-4D0B-8ECA-6FED4DA426B2}"/>
    <cellStyle name="Linked Cell 14 2 2 11" xfId="15321" xr:uid="{43A3B2B4-D0E2-42AE-9514-14E0378BB3EF}"/>
    <cellStyle name="Linked Cell 14 2 2 11 2" xfId="15322" xr:uid="{178C5F77-44EB-42FE-BCCA-F846E73CA9B2}"/>
    <cellStyle name="Linked Cell 14 2 2 11 2 2" xfId="15323" xr:uid="{226C0EB3-F202-4ED4-8DB3-8000F8DCA139}"/>
    <cellStyle name="Linked Cell 14 2 2 11 3" xfId="15324" xr:uid="{F6593613-56FE-4F2E-8AF7-26F6AA112630}"/>
    <cellStyle name="Linked Cell 14 2 2 12" xfId="15325" xr:uid="{E767581C-8489-41DA-B9EE-C14282B12A4C}"/>
    <cellStyle name="Linked Cell 14 2 2 12 2" xfId="15326" xr:uid="{D8265772-3161-4D06-B535-7D6BAD430547}"/>
    <cellStyle name="Linked Cell 14 2 2 12 2 2" xfId="15327" xr:uid="{3E29832A-C4D4-4978-8360-6C6991381D10}"/>
    <cellStyle name="Linked Cell 14 2 2 12 3" xfId="15328" xr:uid="{9877C9F1-23E3-4FD6-AC08-2F536C77106A}"/>
    <cellStyle name="Linked Cell 14 2 2 13" xfId="15329" xr:uid="{CA253DDB-BE3A-4715-B8D9-9D1760F4E2A5}"/>
    <cellStyle name="Linked Cell 14 2 2 13 2" xfId="15330" xr:uid="{B4E57259-819A-4DC2-A384-983CCCC06D69}"/>
    <cellStyle name="Linked Cell 14 2 2 14" xfId="15331" xr:uid="{A9522D0A-BBDA-48ED-B77A-298DA7618145}"/>
    <cellStyle name="Linked Cell 14 2 2 2" xfId="15332" xr:uid="{448610F7-FA78-4023-B5BF-669101C5A6A7}"/>
    <cellStyle name="Linked Cell 14 2 2 2 10" xfId="15333" xr:uid="{DFC5EEDB-237D-4979-871A-17E6E22DDE31}"/>
    <cellStyle name="Linked Cell 14 2 2 2 10 2" xfId="15334" xr:uid="{4B69BB31-736B-4776-A617-BD1A7E6488BA}"/>
    <cellStyle name="Linked Cell 14 2 2 2 10 2 2" xfId="15335" xr:uid="{9C0EBBEA-85D5-491E-8C20-E20E73CC8507}"/>
    <cellStyle name="Linked Cell 14 2 2 2 10 3" xfId="15336" xr:uid="{2BD6D4DB-9CE5-4C12-9148-895C4B935FB5}"/>
    <cellStyle name="Linked Cell 14 2 2 2 11" xfId="15337" xr:uid="{2BF9AC9C-8832-453D-9E3F-74EE5241DBA6}"/>
    <cellStyle name="Linked Cell 14 2 2 2 11 2" xfId="15338" xr:uid="{76C2410D-932C-48F9-BD16-1384433E106C}"/>
    <cellStyle name="Linked Cell 14 2 2 2 11 2 2" xfId="15339" xr:uid="{089FFC38-157B-4011-AF57-B2A7E5DED4AE}"/>
    <cellStyle name="Linked Cell 14 2 2 2 11 3" xfId="15340" xr:uid="{5F80409A-35B3-49F5-8B74-E63E7DEB51BE}"/>
    <cellStyle name="Linked Cell 14 2 2 2 12" xfId="15341" xr:uid="{2F16C7AA-3B41-4040-BFE1-A37642D47571}"/>
    <cellStyle name="Linked Cell 14 2 2 2 12 2" xfId="15342" xr:uid="{F37D0A45-0A8F-4D7F-9682-719812517A5B}"/>
    <cellStyle name="Linked Cell 14 2 2 2 13" xfId="15343" xr:uid="{7EC57DD2-FA28-4494-AE7F-939D024F01D1}"/>
    <cellStyle name="Linked Cell 14 2 2 2 2" xfId="15344" xr:uid="{26CF947E-BF1C-4DD9-8B88-2FE43C82DC46}"/>
    <cellStyle name="Linked Cell 14 2 2 2 2 10" xfId="15345" xr:uid="{07107A7E-ED4E-4E99-BD31-D6A4B9C0DB31}"/>
    <cellStyle name="Linked Cell 14 2 2 2 2 10 2" xfId="15346" xr:uid="{F9FD9A3E-76B4-4C01-BD47-82A769DAF96A}"/>
    <cellStyle name="Linked Cell 14 2 2 2 2 10 2 2" xfId="15347" xr:uid="{2E3217C1-DBFC-435C-B7FD-EDE6507BDF8A}"/>
    <cellStyle name="Linked Cell 14 2 2 2 2 10 3" xfId="15348" xr:uid="{556558D9-74B9-4B29-BB8A-DD6600DF1DF0}"/>
    <cellStyle name="Linked Cell 14 2 2 2 2 11" xfId="15349" xr:uid="{1721AD7B-653D-40FF-88C0-CE52F88458AE}"/>
    <cellStyle name="Linked Cell 14 2 2 2 2 11 2" xfId="15350" xr:uid="{CDFD7B8D-BFD7-4759-B16E-0FD75F3F52AB}"/>
    <cellStyle name="Linked Cell 14 2 2 2 2 12" xfId="15351" xr:uid="{45FB0951-00A8-48FB-BC10-62FB8C52E550}"/>
    <cellStyle name="Linked Cell 14 2 2 2 2 2" xfId="15352" xr:uid="{4107DFEA-4CD5-461E-977E-D030D29B0A79}"/>
    <cellStyle name="Linked Cell 14 2 2 2 2 2 2" xfId="15353" xr:uid="{6F49CA86-BF5D-4137-BAF5-D2ECCEF6B6B0}"/>
    <cellStyle name="Linked Cell 14 2 2 2 2 2 2 2" xfId="15354" xr:uid="{0F1FDC03-4D29-4F45-8D2C-B2E5179C35D2}"/>
    <cellStyle name="Linked Cell 14 2 2 2 2 2 3" xfId="15355" xr:uid="{D912DB58-EE75-4FA1-B342-ADF060307E2A}"/>
    <cellStyle name="Linked Cell 14 2 2 2 2 3" xfId="15356" xr:uid="{1B7A166C-072D-4270-B7E1-3A2FFAF65785}"/>
    <cellStyle name="Linked Cell 14 2 2 2 2 3 2" xfId="15357" xr:uid="{01A370DB-C57E-4336-A8E3-B1E2F72D3770}"/>
    <cellStyle name="Linked Cell 14 2 2 2 2 3 2 2" xfId="15358" xr:uid="{3530017F-523D-46DB-8596-67E6A558BC24}"/>
    <cellStyle name="Linked Cell 14 2 2 2 2 3 3" xfId="15359" xr:uid="{09F580F5-E837-49F2-9A98-24D767221930}"/>
    <cellStyle name="Linked Cell 14 2 2 2 2 4" xfId="15360" xr:uid="{F7BA0DFF-6293-49E0-9A10-4F9E5F34174E}"/>
    <cellStyle name="Linked Cell 14 2 2 2 2 4 2" xfId="15361" xr:uid="{502D26C1-1214-4B56-A891-B1472A44F60B}"/>
    <cellStyle name="Linked Cell 14 2 2 2 2 4 2 2" xfId="15362" xr:uid="{4DDED8BF-E465-45EB-8F86-D2897D1B0363}"/>
    <cellStyle name="Linked Cell 14 2 2 2 2 4 3" xfId="15363" xr:uid="{4907CBEA-18AC-467A-992E-488DA2A2AF87}"/>
    <cellStyle name="Linked Cell 14 2 2 2 2 5" xfId="15364" xr:uid="{D94F7BFE-BC15-49C9-855F-61A3FD641E22}"/>
    <cellStyle name="Linked Cell 14 2 2 2 2 5 2" xfId="15365" xr:uid="{D2E9EB8B-355B-421F-8DB9-47B139B5A67D}"/>
    <cellStyle name="Linked Cell 14 2 2 2 2 5 2 2" xfId="15366" xr:uid="{75BE4237-3F50-42AF-9E35-CE79314022D1}"/>
    <cellStyle name="Linked Cell 14 2 2 2 2 5 3" xfId="15367" xr:uid="{1384F752-609F-4C4E-88B9-2D8FBC349593}"/>
    <cellStyle name="Linked Cell 14 2 2 2 2 6" xfId="15368" xr:uid="{AB41670B-7F67-457C-9DB1-1BD504B085D7}"/>
    <cellStyle name="Linked Cell 14 2 2 2 2 6 2" xfId="15369" xr:uid="{1C7D83B5-D2C9-440A-AB13-9229D1CC60C7}"/>
    <cellStyle name="Linked Cell 14 2 2 2 2 6 2 2" xfId="15370" xr:uid="{1DF807D2-F3F6-497B-8639-510D304F135A}"/>
    <cellStyle name="Linked Cell 14 2 2 2 2 6 3" xfId="15371" xr:uid="{54D37477-158F-4A92-A140-BF23E287C177}"/>
    <cellStyle name="Linked Cell 14 2 2 2 2 7" xfId="15372" xr:uid="{DE322DA8-4EB1-4F21-A9BB-CF10A253CE72}"/>
    <cellStyle name="Linked Cell 14 2 2 2 2 7 2" xfId="15373" xr:uid="{FC519437-2695-4DBB-AED0-5166EF7813D7}"/>
    <cellStyle name="Linked Cell 14 2 2 2 2 7 2 2" xfId="15374" xr:uid="{397A8439-4555-4E28-ABD0-E8924EA293E0}"/>
    <cellStyle name="Linked Cell 14 2 2 2 2 7 3" xfId="15375" xr:uid="{D70A3395-20B0-40C3-85A7-092DAC6FC07E}"/>
    <cellStyle name="Linked Cell 14 2 2 2 2 8" xfId="15376" xr:uid="{6BC96A6F-9ECA-4714-B072-D4A09FD21A4E}"/>
    <cellStyle name="Linked Cell 14 2 2 2 2 8 2" xfId="15377" xr:uid="{7B86A688-771C-45A8-9161-806648CCE0D7}"/>
    <cellStyle name="Linked Cell 14 2 2 2 2 8 2 2" xfId="15378" xr:uid="{6A21B58C-8A28-42EA-95DB-E520FFA923D3}"/>
    <cellStyle name="Linked Cell 14 2 2 2 2 8 3" xfId="15379" xr:uid="{853A8B15-D41B-4B65-A7CB-24D5DAC81973}"/>
    <cellStyle name="Linked Cell 14 2 2 2 2 9" xfId="15380" xr:uid="{4D6F04B1-2C08-45BE-B05C-410ABE32FB25}"/>
    <cellStyle name="Linked Cell 14 2 2 2 2 9 2" xfId="15381" xr:uid="{E82F8587-0CB9-4B29-888D-613B9FEB31CD}"/>
    <cellStyle name="Linked Cell 14 2 2 2 2 9 2 2" xfId="15382" xr:uid="{3CC571A6-658D-415E-B9CA-FDCA4182E96F}"/>
    <cellStyle name="Linked Cell 14 2 2 2 2 9 3" xfId="15383" xr:uid="{D2CD0697-BB82-454F-9A3F-9514BE2FA7FB}"/>
    <cellStyle name="Linked Cell 14 2 2 2 3" xfId="15384" xr:uid="{9DED066A-4857-48CA-96E0-6914A6E1C7C7}"/>
    <cellStyle name="Linked Cell 14 2 2 2 3 10" xfId="15385" xr:uid="{646C4D4F-01C6-44BB-AE66-45F35F2D6F80}"/>
    <cellStyle name="Linked Cell 14 2 2 2 3 10 2" xfId="15386" xr:uid="{945022A5-861B-49AE-B5A9-5E555AAB4B45}"/>
    <cellStyle name="Linked Cell 14 2 2 2 3 11" xfId="15387" xr:uid="{2B0ABEE7-3E94-4685-A18F-FDAB1FC2F4B7}"/>
    <cellStyle name="Linked Cell 14 2 2 2 3 2" xfId="15388" xr:uid="{5281CEB1-8BEE-4ECF-BD63-46806860DBD1}"/>
    <cellStyle name="Linked Cell 14 2 2 2 3 2 2" xfId="15389" xr:uid="{703FB296-9A87-4BEB-952E-3DE5E060D958}"/>
    <cellStyle name="Linked Cell 14 2 2 2 3 2 2 2" xfId="15390" xr:uid="{B75AB02A-9B08-4E8A-A2F7-BDC4F06B88DC}"/>
    <cellStyle name="Linked Cell 14 2 2 2 3 2 3" xfId="15391" xr:uid="{81DB6832-6E97-404A-9893-C988138F4026}"/>
    <cellStyle name="Linked Cell 14 2 2 2 3 3" xfId="15392" xr:uid="{B54F3B69-1F09-4496-B12C-043F5F11E2DC}"/>
    <cellStyle name="Linked Cell 14 2 2 2 3 3 2" xfId="15393" xr:uid="{4F2E9653-3C3C-4769-A10E-904FAD2A5096}"/>
    <cellStyle name="Linked Cell 14 2 2 2 3 3 2 2" xfId="15394" xr:uid="{6B212A52-3A7F-4151-8FDA-A082649F2F59}"/>
    <cellStyle name="Linked Cell 14 2 2 2 3 3 3" xfId="15395" xr:uid="{B0CE2CDA-B250-474D-8406-43BA099C0AF8}"/>
    <cellStyle name="Linked Cell 14 2 2 2 3 4" xfId="15396" xr:uid="{0D12BE15-D68B-4D66-BA79-C626BC7C58A4}"/>
    <cellStyle name="Linked Cell 14 2 2 2 3 4 2" xfId="15397" xr:uid="{16A58359-4B2D-4594-B854-2790A64807E0}"/>
    <cellStyle name="Linked Cell 14 2 2 2 3 4 2 2" xfId="15398" xr:uid="{76EE8C98-659C-44DF-A71F-954F3CD6F06D}"/>
    <cellStyle name="Linked Cell 14 2 2 2 3 4 3" xfId="15399" xr:uid="{8DB31AD4-3B12-40A8-922C-59BD199FE845}"/>
    <cellStyle name="Linked Cell 14 2 2 2 3 5" xfId="15400" xr:uid="{E16B9122-21E4-4BDB-A0DD-07C15AF88550}"/>
    <cellStyle name="Linked Cell 14 2 2 2 3 5 2" xfId="15401" xr:uid="{60314C68-9B9E-4B7A-9A54-D0AE03BB9288}"/>
    <cellStyle name="Linked Cell 14 2 2 2 3 5 2 2" xfId="15402" xr:uid="{84F424D3-C152-484E-8928-CC88B9BAC9D8}"/>
    <cellStyle name="Linked Cell 14 2 2 2 3 5 3" xfId="15403" xr:uid="{4234B85F-21EF-4E0C-9E63-E5BCC72374B2}"/>
    <cellStyle name="Linked Cell 14 2 2 2 3 6" xfId="15404" xr:uid="{06298B58-2501-4AD5-8DB0-455C75225768}"/>
    <cellStyle name="Linked Cell 14 2 2 2 3 6 2" xfId="15405" xr:uid="{B0A49F85-EB52-40CA-A5E2-6EFFDA82E779}"/>
    <cellStyle name="Linked Cell 14 2 2 2 3 6 2 2" xfId="15406" xr:uid="{7937417A-6EB6-457C-B45C-D73A48E216B3}"/>
    <cellStyle name="Linked Cell 14 2 2 2 3 6 3" xfId="15407" xr:uid="{D6E85330-50DB-4079-ABAF-1B767CFFE397}"/>
    <cellStyle name="Linked Cell 14 2 2 2 3 7" xfId="15408" xr:uid="{29CA51C1-80DB-4E56-ABFB-0D2F3292D237}"/>
    <cellStyle name="Linked Cell 14 2 2 2 3 7 2" xfId="15409" xr:uid="{46C8CDE9-BBBF-4993-AAF3-BEEC1EB98238}"/>
    <cellStyle name="Linked Cell 14 2 2 2 3 7 2 2" xfId="15410" xr:uid="{AB86B655-E90C-47BD-AEE6-8EF7EDDC0A95}"/>
    <cellStyle name="Linked Cell 14 2 2 2 3 7 3" xfId="15411" xr:uid="{AB21C739-009D-4D7E-9C97-A0D944E2A48F}"/>
    <cellStyle name="Linked Cell 14 2 2 2 3 8" xfId="15412" xr:uid="{B38F0F71-0672-4BCE-8C8F-417AB7923D57}"/>
    <cellStyle name="Linked Cell 14 2 2 2 3 8 2" xfId="15413" xr:uid="{F4A8A478-D967-4EFD-AE26-61D5E7176264}"/>
    <cellStyle name="Linked Cell 14 2 2 2 3 8 2 2" xfId="15414" xr:uid="{A7E449DA-DBF1-4BF0-88D4-E01041CC1EA2}"/>
    <cellStyle name="Linked Cell 14 2 2 2 3 8 3" xfId="15415" xr:uid="{5901C535-B4FF-49CB-8985-0A4955A01395}"/>
    <cellStyle name="Linked Cell 14 2 2 2 3 9" xfId="15416" xr:uid="{26D8D3A3-D57E-43F0-9E97-3C5A3E41C7F4}"/>
    <cellStyle name="Linked Cell 14 2 2 2 3 9 2" xfId="15417" xr:uid="{67AD52E6-47B5-4244-BA8C-13076119CED3}"/>
    <cellStyle name="Linked Cell 14 2 2 2 3 9 2 2" xfId="15418" xr:uid="{17239D52-249F-4B4F-84D6-46C90F9AFEBA}"/>
    <cellStyle name="Linked Cell 14 2 2 2 3 9 3" xfId="15419" xr:uid="{DB8FBA0F-0A21-4689-AAD0-3E91971D6A97}"/>
    <cellStyle name="Linked Cell 14 2 2 2 4" xfId="15420" xr:uid="{C2951C95-0CAE-4989-9199-07DA169F57A1}"/>
    <cellStyle name="Linked Cell 14 2 2 2 4 2" xfId="15421" xr:uid="{1CAC5606-64BA-4F1F-92F2-DAEB74451C03}"/>
    <cellStyle name="Linked Cell 14 2 2 2 4 2 2" xfId="15422" xr:uid="{9B6111CA-4030-4092-AB89-FA538D426F56}"/>
    <cellStyle name="Linked Cell 14 2 2 2 4 3" xfId="15423" xr:uid="{7933CA1F-8C84-496E-BF13-50DE79EB8FE7}"/>
    <cellStyle name="Linked Cell 14 2 2 2 5" xfId="15424" xr:uid="{3C6F117F-364A-4A76-ADA0-4771A820F66A}"/>
    <cellStyle name="Linked Cell 14 2 2 2 5 2" xfId="15425" xr:uid="{B7F72DA7-0F3A-4857-9793-2301C54ADA51}"/>
    <cellStyle name="Linked Cell 14 2 2 2 5 2 2" xfId="15426" xr:uid="{5F62D593-31A8-4C8E-A836-90E4EC46E56F}"/>
    <cellStyle name="Linked Cell 14 2 2 2 5 3" xfId="15427" xr:uid="{295DC36B-99B6-4CB4-BAFD-B744C013932C}"/>
    <cellStyle name="Linked Cell 14 2 2 2 6" xfId="15428" xr:uid="{58458318-DD57-4244-9FCB-5DF74639F94D}"/>
    <cellStyle name="Linked Cell 14 2 2 2 6 2" xfId="15429" xr:uid="{CB151575-5B1E-4D16-84EF-09F53F51F77D}"/>
    <cellStyle name="Linked Cell 14 2 2 2 6 2 2" xfId="15430" xr:uid="{3D2FD896-6D2D-4742-8286-DFFB1563F230}"/>
    <cellStyle name="Linked Cell 14 2 2 2 6 3" xfId="15431" xr:uid="{760D5FC3-A5D6-42B5-887F-95C9974EC7F0}"/>
    <cellStyle name="Linked Cell 14 2 2 2 7" xfId="15432" xr:uid="{FFDED721-C881-42D3-B2F5-D188B9AF16FD}"/>
    <cellStyle name="Linked Cell 14 2 2 2 7 2" xfId="15433" xr:uid="{B54EE905-1F0C-484E-9FFC-19006249B943}"/>
    <cellStyle name="Linked Cell 14 2 2 2 7 2 2" xfId="15434" xr:uid="{7BDA155D-8B5D-4825-8058-2F13F5C33D0C}"/>
    <cellStyle name="Linked Cell 14 2 2 2 7 3" xfId="15435" xr:uid="{32FAD488-5905-4A21-A6EA-DFBEBD6E8FEF}"/>
    <cellStyle name="Linked Cell 14 2 2 2 8" xfId="15436" xr:uid="{0616BB43-577A-45C4-9A2B-227F5ABA218D}"/>
    <cellStyle name="Linked Cell 14 2 2 2 8 2" xfId="15437" xr:uid="{47481ACD-95F8-46B3-87CD-4E6F000E125D}"/>
    <cellStyle name="Linked Cell 14 2 2 2 8 2 2" xfId="15438" xr:uid="{0CF864EC-0893-4139-96F2-FDB41B8A3BB4}"/>
    <cellStyle name="Linked Cell 14 2 2 2 8 3" xfId="15439" xr:uid="{6F6F367D-C346-4E5F-AFA8-743C13759C23}"/>
    <cellStyle name="Linked Cell 14 2 2 2 9" xfId="15440" xr:uid="{78279143-00E2-402F-8575-6A76FC6C2C29}"/>
    <cellStyle name="Linked Cell 14 2 2 2 9 2" xfId="15441" xr:uid="{BA7569E5-AB79-45A4-A2DF-F2AA06D89923}"/>
    <cellStyle name="Linked Cell 14 2 2 2 9 2 2" xfId="15442" xr:uid="{EA4DB2A9-500A-4610-B1CE-6D5CE5B32A20}"/>
    <cellStyle name="Linked Cell 14 2 2 2 9 3" xfId="15443" xr:uid="{1D04857A-1FA3-4AFD-9C14-700861BD0AE9}"/>
    <cellStyle name="Linked Cell 14 2 2 3" xfId="15444" xr:uid="{0491B405-B908-465B-9213-B6DE744E1DA3}"/>
    <cellStyle name="Linked Cell 14 2 2 3 10" xfId="15445" xr:uid="{BA7461EB-24BF-4AAD-8F39-D70572265A98}"/>
    <cellStyle name="Linked Cell 14 2 2 3 10 2" xfId="15446" xr:uid="{26A33978-8A96-43CE-B9E9-294786A2A846}"/>
    <cellStyle name="Linked Cell 14 2 2 3 10 2 2" xfId="15447" xr:uid="{EB1C3D28-11DE-4CAB-8825-DB69BAC86F52}"/>
    <cellStyle name="Linked Cell 14 2 2 3 10 3" xfId="15448" xr:uid="{5510F3E1-B5F4-4739-875A-F758BEDFC407}"/>
    <cellStyle name="Linked Cell 14 2 2 3 11" xfId="15449" xr:uid="{BCDE1B60-5B48-4F34-964C-98038C937B38}"/>
    <cellStyle name="Linked Cell 14 2 2 3 11 2" xfId="15450" xr:uid="{92910438-668B-4291-9FB6-F8509D8C957B}"/>
    <cellStyle name="Linked Cell 14 2 2 3 12" xfId="15451" xr:uid="{F2C17B27-6E2D-4903-B68C-8B57C8A68572}"/>
    <cellStyle name="Linked Cell 14 2 2 3 2" xfId="15452" xr:uid="{2F56C64C-9CF6-4A6A-83ED-C3D13805F9BA}"/>
    <cellStyle name="Linked Cell 14 2 2 3 2 10" xfId="15453" xr:uid="{AE6E8179-8AF5-4663-A312-19DB89DEDF53}"/>
    <cellStyle name="Linked Cell 14 2 2 3 2 10 2" xfId="15454" xr:uid="{7F770D89-A86C-414F-A3AA-8905B07D897F}"/>
    <cellStyle name="Linked Cell 14 2 2 3 2 11" xfId="15455" xr:uid="{0E80822E-A81D-43D2-AD51-811CD3A06B2C}"/>
    <cellStyle name="Linked Cell 14 2 2 3 2 2" xfId="15456" xr:uid="{7742D3C7-94C3-4FA4-92C9-36219DB4D3EA}"/>
    <cellStyle name="Linked Cell 14 2 2 3 2 2 2" xfId="15457" xr:uid="{657E95E2-57A0-4F15-A9BF-A7B993020AEA}"/>
    <cellStyle name="Linked Cell 14 2 2 3 2 2 2 2" xfId="15458" xr:uid="{36449D8C-447A-44A5-B67F-A2257798ADAA}"/>
    <cellStyle name="Linked Cell 14 2 2 3 2 2 3" xfId="15459" xr:uid="{D5F538DC-C2ED-4537-BCBD-F69631385F52}"/>
    <cellStyle name="Linked Cell 14 2 2 3 2 3" xfId="15460" xr:uid="{98E6625E-4290-422C-9FA2-146001451DA8}"/>
    <cellStyle name="Linked Cell 14 2 2 3 2 3 2" xfId="15461" xr:uid="{2F7956DB-F838-4CFE-990C-EEB51E385E4B}"/>
    <cellStyle name="Linked Cell 14 2 2 3 2 3 2 2" xfId="15462" xr:uid="{B2C2B6F0-566B-4524-874F-379090739F95}"/>
    <cellStyle name="Linked Cell 14 2 2 3 2 3 3" xfId="15463" xr:uid="{09E819D5-409A-49B1-A429-FCE6BDE5F8BB}"/>
    <cellStyle name="Linked Cell 14 2 2 3 2 4" xfId="15464" xr:uid="{9D1E1F70-3A8E-4ED5-8881-7E6F0EB968FB}"/>
    <cellStyle name="Linked Cell 14 2 2 3 2 4 2" xfId="15465" xr:uid="{2C54D90C-C696-4179-9BC0-96BC6BBA8558}"/>
    <cellStyle name="Linked Cell 14 2 2 3 2 4 2 2" xfId="15466" xr:uid="{58C1554D-E3EF-488C-8269-E0226C66E267}"/>
    <cellStyle name="Linked Cell 14 2 2 3 2 4 3" xfId="15467" xr:uid="{DA2795F6-B575-4EDD-9C3E-009A094E1178}"/>
    <cellStyle name="Linked Cell 14 2 2 3 2 5" xfId="15468" xr:uid="{0C9A63BC-22D2-4A43-AA98-DF19AD2EFFD9}"/>
    <cellStyle name="Linked Cell 14 2 2 3 2 5 2" xfId="15469" xr:uid="{6910C738-798B-42EA-9389-B83C06CA80C9}"/>
    <cellStyle name="Linked Cell 14 2 2 3 2 5 2 2" xfId="15470" xr:uid="{73F6CF6F-9909-4A20-9110-D657A96F73E3}"/>
    <cellStyle name="Linked Cell 14 2 2 3 2 5 3" xfId="15471" xr:uid="{8459014A-3992-4D8F-BC8D-95058D391D3A}"/>
    <cellStyle name="Linked Cell 14 2 2 3 2 6" xfId="15472" xr:uid="{8373B37C-385A-407F-8BF1-AF67F52AFF9E}"/>
    <cellStyle name="Linked Cell 14 2 2 3 2 6 2" xfId="15473" xr:uid="{E577C1A4-C7F9-4CA5-9F66-C42461E75EE2}"/>
    <cellStyle name="Linked Cell 14 2 2 3 2 6 2 2" xfId="15474" xr:uid="{675A8BA6-16C5-42B7-BEE8-EBCE7AED0D0D}"/>
    <cellStyle name="Linked Cell 14 2 2 3 2 6 3" xfId="15475" xr:uid="{854147AB-E0F3-40EC-B119-04B043802704}"/>
    <cellStyle name="Linked Cell 14 2 2 3 2 7" xfId="15476" xr:uid="{206AB104-BD3E-4880-A2B5-5A2F1D00355D}"/>
    <cellStyle name="Linked Cell 14 2 2 3 2 7 2" xfId="15477" xr:uid="{8E731C84-1A07-4CF4-848A-40F636076D19}"/>
    <cellStyle name="Linked Cell 14 2 2 3 2 7 2 2" xfId="15478" xr:uid="{260A28F2-55EC-43C0-AFFD-E1E8ADFEAF41}"/>
    <cellStyle name="Linked Cell 14 2 2 3 2 7 3" xfId="15479" xr:uid="{F8B83D6A-456D-464D-B082-67AF3E846E40}"/>
    <cellStyle name="Linked Cell 14 2 2 3 2 8" xfId="15480" xr:uid="{97FDAAB5-CD2C-4131-92C3-3200E4F63144}"/>
    <cellStyle name="Linked Cell 14 2 2 3 2 8 2" xfId="15481" xr:uid="{740C3ACF-E265-44D0-9F1F-79CA7CB2B16E}"/>
    <cellStyle name="Linked Cell 14 2 2 3 2 8 2 2" xfId="15482" xr:uid="{21601E06-759C-4974-B4DE-9B17730F3CDE}"/>
    <cellStyle name="Linked Cell 14 2 2 3 2 8 3" xfId="15483" xr:uid="{996B56DD-E224-489C-A3D7-DDBBCFD14538}"/>
    <cellStyle name="Linked Cell 14 2 2 3 2 9" xfId="15484" xr:uid="{89DE0B3A-B8A8-4504-BB50-FCAEC23C9B2E}"/>
    <cellStyle name="Linked Cell 14 2 2 3 2 9 2" xfId="15485" xr:uid="{2B2116B5-321E-4F32-B291-C4DCFE05A747}"/>
    <cellStyle name="Linked Cell 14 2 2 3 2 9 2 2" xfId="15486" xr:uid="{547613EC-2677-4456-95C2-0C284693C35E}"/>
    <cellStyle name="Linked Cell 14 2 2 3 2 9 3" xfId="15487" xr:uid="{C0F508BF-51E0-40A7-8F7B-6CFC47A6B6F1}"/>
    <cellStyle name="Linked Cell 14 2 2 3 3" xfId="15488" xr:uid="{2205066C-3FBB-4DD1-8855-41A855D3560C}"/>
    <cellStyle name="Linked Cell 14 2 2 3 3 2" xfId="15489" xr:uid="{15F22EAA-DD7F-49AB-A0CB-1767F5289FF8}"/>
    <cellStyle name="Linked Cell 14 2 2 3 3 2 2" xfId="15490" xr:uid="{903F3D93-75E6-4331-8809-1928E732F7F9}"/>
    <cellStyle name="Linked Cell 14 2 2 3 3 3" xfId="15491" xr:uid="{F1A032C1-2DCB-4A61-A624-F201B301042C}"/>
    <cellStyle name="Linked Cell 14 2 2 3 4" xfId="15492" xr:uid="{C27F6786-0738-458C-B255-34C8C456C7BB}"/>
    <cellStyle name="Linked Cell 14 2 2 3 4 2" xfId="15493" xr:uid="{4545C598-5541-4368-8289-AAC1E8BCC139}"/>
    <cellStyle name="Linked Cell 14 2 2 3 4 2 2" xfId="15494" xr:uid="{F2D44955-B14B-4C7C-8114-B7122819F11F}"/>
    <cellStyle name="Linked Cell 14 2 2 3 4 3" xfId="15495" xr:uid="{46F59305-CE01-4645-903F-804C1AB4704D}"/>
    <cellStyle name="Linked Cell 14 2 2 3 5" xfId="15496" xr:uid="{A554045D-3D5D-4D6D-96C6-3D7243466DF5}"/>
    <cellStyle name="Linked Cell 14 2 2 3 5 2" xfId="15497" xr:uid="{8ADB4481-6871-46B1-A8FF-C3F3736FC46A}"/>
    <cellStyle name="Linked Cell 14 2 2 3 5 2 2" xfId="15498" xr:uid="{F2404283-FCDA-48E8-9E83-C04CB257DED4}"/>
    <cellStyle name="Linked Cell 14 2 2 3 5 3" xfId="15499" xr:uid="{A63C387D-B2CD-470F-9A87-47F685CCC2DD}"/>
    <cellStyle name="Linked Cell 14 2 2 3 6" xfId="15500" xr:uid="{B7E13FB3-9F13-49B5-8556-382FC8FFFC32}"/>
    <cellStyle name="Linked Cell 14 2 2 3 6 2" xfId="15501" xr:uid="{68316654-384F-4DB6-8F4B-35AA5A429152}"/>
    <cellStyle name="Linked Cell 14 2 2 3 6 2 2" xfId="15502" xr:uid="{C99292DA-467F-45CF-A051-C6E38B52D7E6}"/>
    <cellStyle name="Linked Cell 14 2 2 3 6 3" xfId="15503" xr:uid="{EC6AAC73-9A8A-4CA9-9D81-0AB09304BF0F}"/>
    <cellStyle name="Linked Cell 14 2 2 3 7" xfId="15504" xr:uid="{B312A0B8-A941-410A-926E-06EA9135F276}"/>
    <cellStyle name="Linked Cell 14 2 2 3 7 2" xfId="15505" xr:uid="{A8EDE334-0CBA-4274-8E8C-96C85817CCBF}"/>
    <cellStyle name="Linked Cell 14 2 2 3 7 2 2" xfId="15506" xr:uid="{41693FBA-1474-4C37-9602-4869D836555E}"/>
    <cellStyle name="Linked Cell 14 2 2 3 7 3" xfId="15507" xr:uid="{52DBEEC3-9CE0-4D5C-BA51-E27F695F6A0A}"/>
    <cellStyle name="Linked Cell 14 2 2 3 8" xfId="15508" xr:uid="{BDCF5E57-B52B-4B0B-ABC4-B1AD7E458BAA}"/>
    <cellStyle name="Linked Cell 14 2 2 3 8 2" xfId="15509" xr:uid="{AFB380C4-3B1B-4685-B112-DE191B61768D}"/>
    <cellStyle name="Linked Cell 14 2 2 3 8 2 2" xfId="15510" xr:uid="{802FD9C2-741E-4E70-B541-4EAB1DD986DE}"/>
    <cellStyle name="Linked Cell 14 2 2 3 8 3" xfId="15511" xr:uid="{789CCC5A-EA6B-43EE-9E56-842A4FFA0391}"/>
    <cellStyle name="Linked Cell 14 2 2 3 9" xfId="15512" xr:uid="{7ED3205A-A700-4D4D-B705-694961917CA1}"/>
    <cellStyle name="Linked Cell 14 2 2 3 9 2" xfId="15513" xr:uid="{FE180AC8-3B96-4206-B8A0-E927FDCC43F3}"/>
    <cellStyle name="Linked Cell 14 2 2 3 9 2 2" xfId="15514" xr:uid="{34170E8F-CD7A-4C22-9CF9-1426BB7F8834}"/>
    <cellStyle name="Linked Cell 14 2 2 3 9 3" xfId="15515" xr:uid="{27749C2B-FA89-45BC-9628-D16D136157F6}"/>
    <cellStyle name="Linked Cell 14 2 2 4" xfId="15516" xr:uid="{040722AC-A9F0-4BCA-B89E-72410ADCD51A}"/>
    <cellStyle name="Linked Cell 14 2 2 4 10" xfId="15517" xr:uid="{33D75B5F-5968-4321-B68B-7A240E170322}"/>
    <cellStyle name="Linked Cell 14 2 2 4 10 2" xfId="15518" xr:uid="{DE5B9379-5163-496E-A8B5-0DDD08791155}"/>
    <cellStyle name="Linked Cell 14 2 2 4 11" xfId="15519" xr:uid="{40411AF3-4435-4D9A-ADC8-4B0EF12CF8E9}"/>
    <cellStyle name="Linked Cell 14 2 2 4 2" xfId="15520" xr:uid="{4D2C5241-C231-4C68-B811-23BBC839689A}"/>
    <cellStyle name="Linked Cell 14 2 2 4 2 2" xfId="15521" xr:uid="{E7E883AB-915B-41A7-8C8E-87FA76B0F074}"/>
    <cellStyle name="Linked Cell 14 2 2 4 2 2 2" xfId="15522" xr:uid="{4C2F592F-8096-48A7-A68F-B55C1702D65A}"/>
    <cellStyle name="Linked Cell 14 2 2 4 2 3" xfId="15523" xr:uid="{7038F28B-0637-45D0-BCC9-9FF1F7E02179}"/>
    <cellStyle name="Linked Cell 14 2 2 4 3" xfId="15524" xr:uid="{09271DBD-6E80-4189-B061-93F42D363A53}"/>
    <cellStyle name="Linked Cell 14 2 2 4 3 2" xfId="15525" xr:uid="{84A544CB-8464-4D44-AAB2-6402142FFAD2}"/>
    <cellStyle name="Linked Cell 14 2 2 4 3 2 2" xfId="15526" xr:uid="{DC5C2417-C8A2-44AC-8D3C-6AD2E7044DA7}"/>
    <cellStyle name="Linked Cell 14 2 2 4 3 3" xfId="15527" xr:uid="{568F040E-5762-4F52-8153-D0A1E7B4FBBF}"/>
    <cellStyle name="Linked Cell 14 2 2 4 4" xfId="15528" xr:uid="{6C5F16D7-2B36-463F-BCC5-C53D1D8D4245}"/>
    <cellStyle name="Linked Cell 14 2 2 4 4 2" xfId="15529" xr:uid="{2551510B-F7F9-43F6-A495-0FAF2A355C6A}"/>
    <cellStyle name="Linked Cell 14 2 2 4 4 2 2" xfId="15530" xr:uid="{F31135F5-4F9D-4797-A0EB-BA243F61F3FF}"/>
    <cellStyle name="Linked Cell 14 2 2 4 4 3" xfId="15531" xr:uid="{A564196D-7C87-40D4-B8A6-354D78EF1FF8}"/>
    <cellStyle name="Linked Cell 14 2 2 4 5" xfId="15532" xr:uid="{000E0E80-0C00-4589-B928-61A159993D39}"/>
    <cellStyle name="Linked Cell 14 2 2 4 5 2" xfId="15533" xr:uid="{C005C037-F67B-461F-B7A4-E16F495B5565}"/>
    <cellStyle name="Linked Cell 14 2 2 4 5 2 2" xfId="15534" xr:uid="{4616C078-6790-4C19-9BF9-95979C8DED05}"/>
    <cellStyle name="Linked Cell 14 2 2 4 5 3" xfId="15535" xr:uid="{3DF42D15-138D-41D0-B1F2-0373F6268B83}"/>
    <cellStyle name="Linked Cell 14 2 2 4 6" xfId="15536" xr:uid="{D7DC9F51-B92E-4107-B5B8-73D67268C5BD}"/>
    <cellStyle name="Linked Cell 14 2 2 4 6 2" xfId="15537" xr:uid="{661576BA-B3D8-4435-97D9-04334671C28C}"/>
    <cellStyle name="Linked Cell 14 2 2 4 6 2 2" xfId="15538" xr:uid="{B97157FD-342B-48BC-8192-DB605B3ADF3D}"/>
    <cellStyle name="Linked Cell 14 2 2 4 6 3" xfId="15539" xr:uid="{D6D15EE0-0AB8-4CEA-84B7-308BF8F62005}"/>
    <cellStyle name="Linked Cell 14 2 2 4 7" xfId="15540" xr:uid="{8E5D0C80-D137-4919-9BB4-F9C15432BD8F}"/>
    <cellStyle name="Linked Cell 14 2 2 4 7 2" xfId="15541" xr:uid="{ECAE1A1D-459B-4BD8-8D0C-80A824E4F495}"/>
    <cellStyle name="Linked Cell 14 2 2 4 7 2 2" xfId="15542" xr:uid="{F71361CC-A8ED-453C-AC6E-7FFF71F53B8D}"/>
    <cellStyle name="Linked Cell 14 2 2 4 7 3" xfId="15543" xr:uid="{B47DD2FB-6E7D-4407-85A3-7822149D8CDF}"/>
    <cellStyle name="Linked Cell 14 2 2 4 8" xfId="15544" xr:uid="{54D08791-96ED-4E96-9580-2444ED39624D}"/>
    <cellStyle name="Linked Cell 14 2 2 4 8 2" xfId="15545" xr:uid="{55E4FF1C-15E8-471B-9D93-AC32A2EB3679}"/>
    <cellStyle name="Linked Cell 14 2 2 4 8 2 2" xfId="15546" xr:uid="{FCCB9C5B-66F5-4F7F-BA1F-47BF55FEA12E}"/>
    <cellStyle name="Linked Cell 14 2 2 4 8 3" xfId="15547" xr:uid="{7B0CBECA-DC3A-4347-870D-BC1D31AEA45B}"/>
    <cellStyle name="Linked Cell 14 2 2 4 9" xfId="15548" xr:uid="{EAB559AF-E886-49AA-B2B1-6A435085720F}"/>
    <cellStyle name="Linked Cell 14 2 2 4 9 2" xfId="15549" xr:uid="{B93AAAA7-C139-4DB2-8E0D-AC4250621542}"/>
    <cellStyle name="Linked Cell 14 2 2 4 9 2 2" xfId="15550" xr:uid="{0FDC46B1-7F13-4091-8703-36C84C08F038}"/>
    <cellStyle name="Linked Cell 14 2 2 4 9 3" xfId="15551" xr:uid="{BBB1DA4B-B56E-454B-AB39-A25F23FAFFAC}"/>
    <cellStyle name="Linked Cell 14 2 2 5" xfId="15552" xr:uid="{0596C540-062E-4419-B60F-940290EF6263}"/>
    <cellStyle name="Linked Cell 14 2 2 5 2" xfId="15553" xr:uid="{477916F1-3B43-4F33-9E64-43908153536C}"/>
    <cellStyle name="Linked Cell 14 2 2 5 2 2" xfId="15554" xr:uid="{EB05D3A2-9349-49A1-8FCE-FAC32B0FFABB}"/>
    <cellStyle name="Linked Cell 14 2 2 5 3" xfId="15555" xr:uid="{1D56DDF9-2C41-49DF-B294-2BBAF213A41E}"/>
    <cellStyle name="Linked Cell 14 2 2 6" xfId="15556" xr:uid="{EB963CCF-57EA-44B8-8302-FF577BA47DB3}"/>
    <cellStyle name="Linked Cell 14 2 2 6 2" xfId="15557" xr:uid="{B3BDF8A3-34A6-4DA6-9159-A2C33348B78D}"/>
    <cellStyle name="Linked Cell 14 2 2 6 2 2" xfId="15558" xr:uid="{62F9F9E2-E89E-481E-B941-B42DE84D0E22}"/>
    <cellStyle name="Linked Cell 14 2 2 6 3" xfId="15559" xr:uid="{FA08A516-C498-49EA-9718-B431237AE69D}"/>
    <cellStyle name="Linked Cell 14 2 2 7" xfId="15560" xr:uid="{F96812E9-FCDC-4A15-A057-4127EBA5DB19}"/>
    <cellStyle name="Linked Cell 14 2 2 7 2" xfId="15561" xr:uid="{6A5E708B-C460-40A0-AD4D-EC38D3049746}"/>
    <cellStyle name="Linked Cell 14 2 2 7 2 2" xfId="15562" xr:uid="{DA0C92A5-7990-4B4E-A46D-7CCFE1B28B86}"/>
    <cellStyle name="Linked Cell 14 2 2 7 3" xfId="15563" xr:uid="{437AA21E-34B4-4CF1-AA01-47C6EAB8D148}"/>
    <cellStyle name="Linked Cell 14 2 2 8" xfId="15564" xr:uid="{4D4268B5-BE6D-4AE6-8FC0-D83D9BCE3E9B}"/>
    <cellStyle name="Linked Cell 14 2 2 8 2" xfId="15565" xr:uid="{0511D3E2-9C4A-4F7A-999A-CB16D6842333}"/>
    <cellStyle name="Linked Cell 14 2 2 8 2 2" xfId="15566" xr:uid="{C36DFC64-A06A-4ECC-B275-3138C7FF2BD3}"/>
    <cellStyle name="Linked Cell 14 2 2 8 3" xfId="15567" xr:uid="{FE92F75C-3CBA-4EF8-B382-8E064845ADDC}"/>
    <cellStyle name="Linked Cell 14 2 2 9" xfId="15568" xr:uid="{17DE18B6-15E3-4B3B-974A-FA340C232764}"/>
    <cellStyle name="Linked Cell 14 2 2 9 2" xfId="15569" xr:uid="{1C03059C-FCC8-4BFA-8797-964B995C8E7B}"/>
    <cellStyle name="Linked Cell 14 2 2 9 2 2" xfId="15570" xr:uid="{9448EDDB-6E39-455B-9B81-EF4667A73951}"/>
    <cellStyle name="Linked Cell 14 2 2 9 3" xfId="15571" xr:uid="{7388153A-DFF4-48B0-B810-0377DAC163FC}"/>
    <cellStyle name="Linked Cell 14 2 3" xfId="15572" xr:uid="{FD326002-9BC9-4FDF-BEE4-2349FCC8DB7F}"/>
    <cellStyle name="Linked Cell 14 2 3 10" xfId="15573" xr:uid="{0F75D44D-B740-40A9-8079-1CD0F55282B1}"/>
    <cellStyle name="Linked Cell 14 2 3 10 2" xfId="15574" xr:uid="{CC7622C0-5557-4790-B993-72005FD6BBCB}"/>
    <cellStyle name="Linked Cell 14 2 3 10 2 2" xfId="15575" xr:uid="{9CD9E2FC-CA93-496D-B9E4-EC4B7B8AF5DC}"/>
    <cellStyle name="Linked Cell 14 2 3 10 3" xfId="15576" xr:uid="{9935A9BF-C072-4E71-96C6-FDD0D36FA8B7}"/>
    <cellStyle name="Linked Cell 14 2 3 11" xfId="15577" xr:uid="{03EF0818-7FFE-4394-A392-EE90A69B0B98}"/>
    <cellStyle name="Linked Cell 14 2 3 11 2" xfId="15578" xr:uid="{58810F05-9F07-4179-817F-016447B48FA1}"/>
    <cellStyle name="Linked Cell 14 2 3 11 2 2" xfId="15579" xr:uid="{BBB700C1-9C5C-4FB1-A378-62074D2EADDA}"/>
    <cellStyle name="Linked Cell 14 2 3 11 3" xfId="15580" xr:uid="{8B9735A7-333C-4836-90A3-AA6A9E033BB3}"/>
    <cellStyle name="Linked Cell 14 2 3 12" xfId="15581" xr:uid="{D726B8A9-A0F9-4512-8876-6B15B89DD03A}"/>
    <cellStyle name="Linked Cell 14 2 3 12 2" xfId="15582" xr:uid="{F61E46A4-923D-47B1-B282-F1106A430D1C}"/>
    <cellStyle name="Linked Cell 14 2 3 13" xfId="15583" xr:uid="{01F6D681-32CE-484B-AB0D-33E4B84677F6}"/>
    <cellStyle name="Linked Cell 14 2 3 2" xfId="15584" xr:uid="{1A4EE6E9-1A41-4533-B74C-2EAABFAACE89}"/>
    <cellStyle name="Linked Cell 14 2 3 2 10" xfId="15585" xr:uid="{A785ABDB-0E58-487D-8ED9-A493C64800EF}"/>
    <cellStyle name="Linked Cell 14 2 3 2 10 2" xfId="15586" xr:uid="{FEB7E845-FBA3-4439-97F7-4844C2FBC3AE}"/>
    <cellStyle name="Linked Cell 14 2 3 2 10 2 2" xfId="15587" xr:uid="{F3D9906A-9C17-4074-8020-A50BCE260D62}"/>
    <cellStyle name="Linked Cell 14 2 3 2 10 3" xfId="15588" xr:uid="{757F9829-7D64-4383-A598-1D415982A3DF}"/>
    <cellStyle name="Linked Cell 14 2 3 2 11" xfId="15589" xr:uid="{CF304FB4-5C9D-43FC-B486-6193D63D5A13}"/>
    <cellStyle name="Linked Cell 14 2 3 2 11 2" xfId="15590" xr:uid="{2C0680AC-2E51-4ECF-A01C-F4219BCDF876}"/>
    <cellStyle name="Linked Cell 14 2 3 2 12" xfId="15591" xr:uid="{A3FF67BB-FC8E-4A3B-A01E-73234099F19B}"/>
    <cellStyle name="Linked Cell 14 2 3 2 2" xfId="15592" xr:uid="{4D1AB9D5-2EEC-4910-BF76-C94648D3CB73}"/>
    <cellStyle name="Linked Cell 14 2 3 2 2 2" xfId="15593" xr:uid="{4C2BE8BC-84CB-4974-B6E8-AD29C527C192}"/>
    <cellStyle name="Linked Cell 14 2 3 2 2 2 2" xfId="15594" xr:uid="{B7FDE468-F34C-46AC-B16C-0C507C718C5D}"/>
    <cellStyle name="Linked Cell 14 2 3 2 2 3" xfId="15595" xr:uid="{96D16E7A-1873-44DC-9C04-511962FD3EDF}"/>
    <cellStyle name="Linked Cell 14 2 3 2 3" xfId="15596" xr:uid="{DA79CB97-8582-42DC-8BEE-5AA2F7CD3499}"/>
    <cellStyle name="Linked Cell 14 2 3 2 3 2" xfId="15597" xr:uid="{996D4CFF-6A6F-4520-9DDA-29199B8BC6A3}"/>
    <cellStyle name="Linked Cell 14 2 3 2 3 2 2" xfId="15598" xr:uid="{1BBD333F-E47B-426A-9F22-284AC13CF180}"/>
    <cellStyle name="Linked Cell 14 2 3 2 3 3" xfId="15599" xr:uid="{546AFA69-0C15-4869-99E6-55ABA8936587}"/>
    <cellStyle name="Linked Cell 14 2 3 2 4" xfId="15600" xr:uid="{D3B214A7-9B5F-432F-A52F-49E9A1B8E03F}"/>
    <cellStyle name="Linked Cell 14 2 3 2 4 2" xfId="15601" xr:uid="{E80D243F-D41E-4641-AEFF-17AA6F243FFD}"/>
    <cellStyle name="Linked Cell 14 2 3 2 4 2 2" xfId="15602" xr:uid="{9EB3F449-041B-400B-8D92-1F1233117A7B}"/>
    <cellStyle name="Linked Cell 14 2 3 2 4 3" xfId="15603" xr:uid="{0D48A36F-D656-43CE-9DCC-CF8F20566DF3}"/>
    <cellStyle name="Linked Cell 14 2 3 2 5" xfId="15604" xr:uid="{481E0A92-E353-48DF-B1D7-F62494CD71ED}"/>
    <cellStyle name="Linked Cell 14 2 3 2 5 2" xfId="15605" xr:uid="{3ACD72CC-3265-42E7-B9D0-2CB7230913B4}"/>
    <cellStyle name="Linked Cell 14 2 3 2 5 2 2" xfId="15606" xr:uid="{809BD104-A974-4957-8F97-1EDED36936CD}"/>
    <cellStyle name="Linked Cell 14 2 3 2 5 3" xfId="15607" xr:uid="{C0AACCDE-E42F-4FA5-9D0F-4B0EC74714EA}"/>
    <cellStyle name="Linked Cell 14 2 3 2 6" xfId="15608" xr:uid="{5E643499-DD2E-4C6A-B495-E91AB076CDE7}"/>
    <cellStyle name="Linked Cell 14 2 3 2 6 2" xfId="15609" xr:uid="{6033C3CB-AAF4-425C-A66A-DBCC19DE6579}"/>
    <cellStyle name="Linked Cell 14 2 3 2 6 2 2" xfId="15610" xr:uid="{287AB0D3-494E-465F-AB56-EDE11336A2D1}"/>
    <cellStyle name="Linked Cell 14 2 3 2 6 3" xfId="15611" xr:uid="{85870839-65F9-4D3F-ACAD-7DDEBA3D19CA}"/>
    <cellStyle name="Linked Cell 14 2 3 2 7" xfId="15612" xr:uid="{94FFE45D-8B98-4B4A-AEF0-CA95FB074C5B}"/>
    <cellStyle name="Linked Cell 14 2 3 2 7 2" xfId="15613" xr:uid="{871C84FC-386C-4CDA-905B-1D10655C7EE3}"/>
    <cellStyle name="Linked Cell 14 2 3 2 7 2 2" xfId="15614" xr:uid="{922B9473-20AF-4C60-8D42-0E670519AB0B}"/>
    <cellStyle name="Linked Cell 14 2 3 2 7 3" xfId="15615" xr:uid="{69E30CAC-FD4E-4DDB-A8BE-4C45A0CF814E}"/>
    <cellStyle name="Linked Cell 14 2 3 2 8" xfId="15616" xr:uid="{19D68330-9189-4950-B694-AC24C89BE914}"/>
    <cellStyle name="Linked Cell 14 2 3 2 8 2" xfId="15617" xr:uid="{31810B28-A6B9-4D3F-81F3-9DDBD1C468DF}"/>
    <cellStyle name="Linked Cell 14 2 3 2 8 2 2" xfId="15618" xr:uid="{31DD3C9F-04E5-47FD-A99C-ECD598DAB729}"/>
    <cellStyle name="Linked Cell 14 2 3 2 8 3" xfId="15619" xr:uid="{940B7AB6-C47C-4A54-9828-F4CB138BB963}"/>
    <cellStyle name="Linked Cell 14 2 3 2 9" xfId="15620" xr:uid="{01522644-5CC6-4DC1-98BB-B042073B527E}"/>
    <cellStyle name="Linked Cell 14 2 3 2 9 2" xfId="15621" xr:uid="{B4C86188-9E73-462E-AA75-C959B8431540}"/>
    <cellStyle name="Linked Cell 14 2 3 2 9 2 2" xfId="15622" xr:uid="{4F1F64EA-5B92-45E1-A8D6-7AB3D66523AA}"/>
    <cellStyle name="Linked Cell 14 2 3 2 9 3" xfId="15623" xr:uid="{6F66061D-D522-42E4-AB11-E4EEBF9E0666}"/>
    <cellStyle name="Linked Cell 14 2 3 3" xfId="15624" xr:uid="{3616C381-2423-43F0-B52C-155E9C4DA98D}"/>
    <cellStyle name="Linked Cell 14 2 3 3 10" xfId="15625" xr:uid="{D9D1A3CC-9939-4637-9256-83D65FDE817A}"/>
    <cellStyle name="Linked Cell 14 2 3 3 10 2" xfId="15626" xr:uid="{529D74A5-6DA1-4655-BD1C-D71E33DDA15E}"/>
    <cellStyle name="Linked Cell 14 2 3 3 11" xfId="15627" xr:uid="{4C1DDB54-BC7F-472C-B208-B62C0A101BB1}"/>
    <cellStyle name="Linked Cell 14 2 3 3 2" xfId="15628" xr:uid="{FB2C49D7-21BC-422B-A102-2D14BE4FF2E3}"/>
    <cellStyle name="Linked Cell 14 2 3 3 2 2" xfId="15629" xr:uid="{576954C4-309A-4139-828E-99B7D151BD10}"/>
    <cellStyle name="Linked Cell 14 2 3 3 2 2 2" xfId="15630" xr:uid="{3CE04B81-8FA2-4B5F-9F0E-FC99BAE31597}"/>
    <cellStyle name="Linked Cell 14 2 3 3 2 3" xfId="15631" xr:uid="{6819998B-8BB9-4205-843C-602F5744B1EB}"/>
    <cellStyle name="Linked Cell 14 2 3 3 3" xfId="15632" xr:uid="{730BA84E-CEF2-419F-9469-538B615AF71C}"/>
    <cellStyle name="Linked Cell 14 2 3 3 3 2" xfId="15633" xr:uid="{8357B577-3A37-4594-92E8-E97610419249}"/>
    <cellStyle name="Linked Cell 14 2 3 3 3 2 2" xfId="15634" xr:uid="{E536B921-116C-4131-9D52-AA954FFEAAD5}"/>
    <cellStyle name="Linked Cell 14 2 3 3 3 3" xfId="15635" xr:uid="{6DB6B083-0634-4ED1-B2A4-3CAFEFFB27F7}"/>
    <cellStyle name="Linked Cell 14 2 3 3 4" xfId="15636" xr:uid="{AB35049D-73F8-4FF5-A1EE-4D175E74CA0A}"/>
    <cellStyle name="Linked Cell 14 2 3 3 4 2" xfId="15637" xr:uid="{979910C9-F52C-4F3B-8755-A8B25AA91E2F}"/>
    <cellStyle name="Linked Cell 14 2 3 3 4 2 2" xfId="15638" xr:uid="{8BDD9C36-CEE5-40CC-9FD2-BFB315D16DFC}"/>
    <cellStyle name="Linked Cell 14 2 3 3 4 3" xfId="15639" xr:uid="{E95AACF9-BFD3-41F5-9104-205018D8F356}"/>
    <cellStyle name="Linked Cell 14 2 3 3 5" xfId="15640" xr:uid="{64DC0CEE-40CE-43A5-BB97-424095FF41CD}"/>
    <cellStyle name="Linked Cell 14 2 3 3 5 2" xfId="15641" xr:uid="{43437E91-87F6-4150-9EDB-0B9B7E98467D}"/>
    <cellStyle name="Linked Cell 14 2 3 3 5 2 2" xfId="15642" xr:uid="{01A85A34-C333-4F41-8130-6F1BF37F488B}"/>
    <cellStyle name="Linked Cell 14 2 3 3 5 3" xfId="15643" xr:uid="{869AE306-8A36-414A-8F02-A1B4973775E5}"/>
    <cellStyle name="Linked Cell 14 2 3 3 6" xfId="15644" xr:uid="{624CDF21-D934-4907-833E-E381345E6573}"/>
    <cellStyle name="Linked Cell 14 2 3 3 6 2" xfId="15645" xr:uid="{409B2FFD-9817-40B1-842E-055CFE7969A5}"/>
    <cellStyle name="Linked Cell 14 2 3 3 6 2 2" xfId="15646" xr:uid="{F65E0086-C43F-40D7-90C9-80A3DE9C5597}"/>
    <cellStyle name="Linked Cell 14 2 3 3 6 3" xfId="15647" xr:uid="{8E2A2DAB-47CD-4439-B398-7F77638CBB65}"/>
    <cellStyle name="Linked Cell 14 2 3 3 7" xfId="15648" xr:uid="{B2E58722-C951-4D51-BDE8-830AFA5E686C}"/>
    <cellStyle name="Linked Cell 14 2 3 3 7 2" xfId="15649" xr:uid="{5980B944-90FA-4512-B5E7-144BF29E40D6}"/>
    <cellStyle name="Linked Cell 14 2 3 3 7 2 2" xfId="15650" xr:uid="{3D9E9515-505D-4AB1-A972-3B38040B0229}"/>
    <cellStyle name="Linked Cell 14 2 3 3 7 3" xfId="15651" xr:uid="{7E883BF5-3D09-4B38-909A-792C1E7F58E1}"/>
    <cellStyle name="Linked Cell 14 2 3 3 8" xfId="15652" xr:uid="{B58D33E9-939A-450A-A66B-50BD1955826C}"/>
    <cellStyle name="Linked Cell 14 2 3 3 8 2" xfId="15653" xr:uid="{3128028D-CF18-478C-8FC9-0F4E045A28D1}"/>
    <cellStyle name="Linked Cell 14 2 3 3 8 2 2" xfId="15654" xr:uid="{9069A50D-CC6D-4A55-A81E-299E3073B1E5}"/>
    <cellStyle name="Linked Cell 14 2 3 3 8 3" xfId="15655" xr:uid="{F73661E6-409A-434C-AAA2-17123C072E10}"/>
    <cellStyle name="Linked Cell 14 2 3 3 9" xfId="15656" xr:uid="{96AA3E1A-B7C2-4544-A6A7-DF12BA36D621}"/>
    <cellStyle name="Linked Cell 14 2 3 3 9 2" xfId="15657" xr:uid="{28F034F7-AE83-4DE9-B2C2-0FE6D9BCD4E0}"/>
    <cellStyle name="Linked Cell 14 2 3 3 9 2 2" xfId="15658" xr:uid="{01D33D66-8508-4499-9629-E0A079EEAEEC}"/>
    <cellStyle name="Linked Cell 14 2 3 3 9 3" xfId="15659" xr:uid="{8517BA3D-C44A-4CFE-9EB5-E577FAB7DF38}"/>
    <cellStyle name="Linked Cell 14 2 3 4" xfId="15660" xr:uid="{8CE769E7-A773-4956-92BF-68A4F46C081B}"/>
    <cellStyle name="Linked Cell 14 2 3 4 2" xfId="15661" xr:uid="{E97AEFE3-C18E-483A-BD3B-0BAF3E15348E}"/>
    <cellStyle name="Linked Cell 14 2 3 4 2 2" xfId="15662" xr:uid="{ECDCC675-754D-49F8-BB7A-84D133E6A7B9}"/>
    <cellStyle name="Linked Cell 14 2 3 4 3" xfId="15663" xr:uid="{9FB2EDB5-035C-44D8-AB51-72C13237C6F8}"/>
    <cellStyle name="Linked Cell 14 2 3 5" xfId="15664" xr:uid="{4E262494-583C-4045-8D60-C92FD493FC44}"/>
    <cellStyle name="Linked Cell 14 2 3 5 2" xfId="15665" xr:uid="{F9DD310D-FB4C-4CE9-B74E-AD759B5501E9}"/>
    <cellStyle name="Linked Cell 14 2 3 5 2 2" xfId="15666" xr:uid="{2A62BAD9-34BD-454A-9DF7-D76767EC042E}"/>
    <cellStyle name="Linked Cell 14 2 3 5 3" xfId="15667" xr:uid="{5E01DCEB-ABCF-4403-9188-7929FDBDE616}"/>
    <cellStyle name="Linked Cell 14 2 3 6" xfId="15668" xr:uid="{86F4CD57-F05F-4880-B2E0-DE9D1FE659A1}"/>
    <cellStyle name="Linked Cell 14 2 3 6 2" xfId="15669" xr:uid="{086CAB3E-48A8-4E25-8932-458B1A91F6BE}"/>
    <cellStyle name="Linked Cell 14 2 3 6 2 2" xfId="15670" xr:uid="{C5765127-BE65-4904-9C03-F5E8F51CFCCE}"/>
    <cellStyle name="Linked Cell 14 2 3 6 3" xfId="15671" xr:uid="{7DB907EE-7AA5-4A21-BB84-C96007B7A12B}"/>
    <cellStyle name="Linked Cell 14 2 3 7" xfId="15672" xr:uid="{105676BE-F110-4F64-BDE1-D876F42AB723}"/>
    <cellStyle name="Linked Cell 14 2 3 7 2" xfId="15673" xr:uid="{6B080561-29AC-4A01-A5BC-F689A6D52DEA}"/>
    <cellStyle name="Linked Cell 14 2 3 7 2 2" xfId="15674" xr:uid="{3E121A0B-AAA1-4CFA-8C63-B9E11A800B76}"/>
    <cellStyle name="Linked Cell 14 2 3 7 3" xfId="15675" xr:uid="{3F8CCDA2-C6C2-4E34-9FDA-2ECDF56468C0}"/>
    <cellStyle name="Linked Cell 14 2 3 8" xfId="15676" xr:uid="{88DF8D70-0C82-4FD4-AC9B-9D2D08BB286C}"/>
    <cellStyle name="Linked Cell 14 2 3 8 2" xfId="15677" xr:uid="{5874FB54-A6E1-4D11-BF4B-2F8577B4F5EE}"/>
    <cellStyle name="Linked Cell 14 2 3 8 2 2" xfId="15678" xr:uid="{7B6A078C-CB10-4DC9-8BBC-4C257C6D882C}"/>
    <cellStyle name="Linked Cell 14 2 3 8 3" xfId="15679" xr:uid="{E3C83A4B-52E4-4640-9FD4-A8FA7418CCE5}"/>
    <cellStyle name="Linked Cell 14 2 3 9" xfId="15680" xr:uid="{C50332DC-18E7-4146-9BA7-741C2E52F9A0}"/>
    <cellStyle name="Linked Cell 14 2 3 9 2" xfId="15681" xr:uid="{061C3007-4A85-471D-B982-2C71C7C6D16A}"/>
    <cellStyle name="Linked Cell 14 2 3 9 2 2" xfId="15682" xr:uid="{074CEBB4-D3AC-4D00-A39C-41D96965F761}"/>
    <cellStyle name="Linked Cell 14 2 3 9 3" xfId="15683" xr:uid="{7F7804C6-6EA8-4294-9D2C-3F1A29080751}"/>
    <cellStyle name="Linked Cell 14 2 4" xfId="15684" xr:uid="{F92F5FDD-63D3-4FFC-91B7-6892F76C02B3}"/>
    <cellStyle name="Linked Cell 14 2 4 10" xfId="15685" xr:uid="{C9821929-11A6-457A-AA76-63D044B480C9}"/>
    <cellStyle name="Linked Cell 14 2 4 10 2" xfId="15686" xr:uid="{F2AD5F74-35A3-4A02-A4B4-9C76DEEE4549}"/>
    <cellStyle name="Linked Cell 14 2 4 10 2 2" xfId="15687" xr:uid="{ED19E14D-AA3A-444D-8697-B6E2AC3B0463}"/>
    <cellStyle name="Linked Cell 14 2 4 10 3" xfId="15688" xr:uid="{B4FB53F1-48EF-404B-84E0-E6ADB314A7B9}"/>
    <cellStyle name="Linked Cell 14 2 4 11" xfId="15689" xr:uid="{F9B4B4FD-6DFE-4678-A7EF-4FA22F1F6F32}"/>
    <cellStyle name="Linked Cell 14 2 4 11 2" xfId="15690" xr:uid="{DF35FB30-16DD-4ED7-B8ED-F86E5E6729F4}"/>
    <cellStyle name="Linked Cell 14 2 4 12" xfId="15691" xr:uid="{34F739D6-C5D5-45D5-9FCD-21A2595E1AAF}"/>
    <cellStyle name="Linked Cell 14 2 4 2" xfId="15692" xr:uid="{9F156CF4-B76A-4131-8D64-F0C47031B580}"/>
    <cellStyle name="Linked Cell 14 2 4 2 10" xfId="15693" xr:uid="{94612574-26A2-49AA-82BD-3A43CDB8A1D2}"/>
    <cellStyle name="Linked Cell 14 2 4 2 10 2" xfId="15694" xr:uid="{84BAE7E4-4633-43FE-BDE1-C5853F813B4F}"/>
    <cellStyle name="Linked Cell 14 2 4 2 11" xfId="15695" xr:uid="{38056636-49EF-4CE3-B596-0EA75B64F672}"/>
    <cellStyle name="Linked Cell 14 2 4 2 2" xfId="15696" xr:uid="{878D0D45-C5D0-462B-BEC5-046F5794A9C9}"/>
    <cellStyle name="Linked Cell 14 2 4 2 2 2" xfId="15697" xr:uid="{B949514F-7144-4307-890B-90AFD504D910}"/>
    <cellStyle name="Linked Cell 14 2 4 2 2 2 2" xfId="15698" xr:uid="{EEB9BD2F-6A8D-498E-82F7-293ECC441EEE}"/>
    <cellStyle name="Linked Cell 14 2 4 2 2 3" xfId="15699" xr:uid="{16AA9A0E-3B1B-470B-B97A-9E2E7AF09D1A}"/>
    <cellStyle name="Linked Cell 14 2 4 2 3" xfId="15700" xr:uid="{8303D8B0-B60D-4ED9-8273-47ADBB0024D9}"/>
    <cellStyle name="Linked Cell 14 2 4 2 3 2" xfId="15701" xr:uid="{F254FFF8-E015-4872-ADB8-B5426AD41829}"/>
    <cellStyle name="Linked Cell 14 2 4 2 3 2 2" xfId="15702" xr:uid="{65C1ED02-BC4D-4817-936B-52937DF15016}"/>
    <cellStyle name="Linked Cell 14 2 4 2 3 3" xfId="15703" xr:uid="{9ABE9BA1-3399-47F8-9195-DE7C1179BB27}"/>
    <cellStyle name="Linked Cell 14 2 4 2 4" xfId="15704" xr:uid="{37B12D28-7E33-4A13-8C16-882BAC91E520}"/>
    <cellStyle name="Linked Cell 14 2 4 2 4 2" xfId="15705" xr:uid="{1C5F0DE7-26EC-42BC-9268-1E4FDCE97743}"/>
    <cellStyle name="Linked Cell 14 2 4 2 4 2 2" xfId="15706" xr:uid="{805795CE-1EF6-4128-9988-C9A80887C1AB}"/>
    <cellStyle name="Linked Cell 14 2 4 2 4 3" xfId="15707" xr:uid="{EBBC9C9A-EA4A-4116-9A9E-D98E0A6FB829}"/>
    <cellStyle name="Linked Cell 14 2 4 2 5" xfId="15708" xr:uid="{EFCE1989-B977-47E3-9698-71A9B4F6122C}"/>
    <cellStyle name="Linked Cell 14 2 4 2 5 2" xfId="15709" xr:uid="{EE7CD356-E1FA-4B18-8D08-C33446CF0F60}"/>
    <cellStyle name="Linked Cell 14 2 4 2 5 2 2" xfId="15710" xr:uid="{2D9B3DB0-4736-4FD9-9DA3-0DCFEFA53DFF}"/>
    <cellStyle name="Linked Cell 14 2 4 2 5 3" xfId="15711" xr:uid="{B7F69409-A7D6-4915-849D-857958A0AB40}"/>
    <cellStyle name="Linked Cell 14 2 4 2 6" xfId="15712" xr:uid="{5A626E26-CFD4-4719-84E3-DA7A9F0B6CEA}"/>
    <cellStyle name="Linked Cell 14 2 4 2 6 2" xfId="15713" xr:uid="{71DC7561-36E4-4E37-A776-F225783C7747}"/>
    <cellStyle name="Linked Cell 14 2 4 2 6 2 2" xfId="15714" xr:uid="{15DF7D7A-4F3C-4751-A903-F25469D07DA2}"/>
    <cellStyle name="Linked Cell 14 2 4 2 6 3" xfId="15715" xr:uid="{F0596ED5-EAA8-4462-B551-2700ADF2D3A3}"/>
    <cellStyle name="Linked Cell 14 2 4 2 7" xfId="15716" xr:uid="{B3F4E1AE-0354-490E-8E2C-A8CE704C369B}"/>
    <cellStyle name="Linked Cell 14 2 4 2 7 2" xfId="15717" xr:uid="{2A45FC55-0FCD-4CB1-8335-637D5B37B9AE}"/>
    <cellStyle name="Linked Cell 14 2 4 2 7 2 2" xfId="15718" xr:uid="{EDBE5C8F-60F3-44E7-9CBD-1330AADFBED5}"/>
    <cellStyle name="Linked Cell 14 2 4 2 7 3" xfId="15719" xr:uid="{D5371AA8-B80F-45CC-9B99-CD35EC11D68D}"/>
    <cellStyle name="Linked Cell 14 2 4 2 8" xfId="15720" xr:uid="{11469386-EB6A-49A1-B944-9CAA196D5D5C}"/>
    <cellStyle name="Linked Cell 14 2 4 2 8 2" xfId="15721" xr:uid="{D745733D-90E8-4CA3-9624-8A14E3B5E252}"/>
    <cellStyle name="Linked Cell 14 2 4 2 8 2 2" xfId="15722" xr:uid="{269864A1-7E9F-4A88-92F7-D7464BC9033C}"/>
    <cellStyle name="Linked Cell 14 2 4 2 8 3" xfId="15723" xr:uid="{E3EF5D05-2581-4FF6-8F0B-3964A867D799}"/>
    <cellStyle name="Linked Cell 14 2 4 2 9" xfId="15724" xr:uid="{6A09069E-80EC-40DA-9AF3-1DCCE4F9D1C8}"/>
    <cellStyle name="Linked Cell 14 2 4 2 9 2" xfId="15725" xr:uid="{2C398E2B-6D20-48A8-A6CD-ABB9503B92B6}"/>
    <cellStyle name="Linked Cell 14 2 4 2 9 2 2" xfId="15726" xr:uid="{792AAFE7-374E-408A-9B7A-020F353437DE}"/>
    <cellStyle name="Linked Cell 14 2 4 2 9 3" xfId="15727" xr:uid="{D37E9E9B-0824-40EA-8E81-E92B6EBBAE7C}"/>
    <cellStyle name="Linked Cell 14 2 4 3" xfId="15728" xr:uid="{05BA2DCD-D87B-43FB-BFE0-090B293CB764}"/>
    <cellStyle name="Linked Cell 14 2 4 3 2" xfId="15729" xr:uid="{1CA78DEB-703B-4C84-B8E6-0EB685D10363}"/>
    <cellStyle name="Linked Cell 14 2 4 3 2 2" xfId="15730" xr:uid="{DFAE936B-E309-4464-A710-3C1C9D172F8A}"/>
    <cellStyle name="Linked Cell 14 2 4 3 3" xfId="15731" xr:uid="{604DB694-70DF-4959-9FEE-8B5B05E04DC3}"/>
    <cellStyle name="Linked Cell 14 2 4 4" xfId="15732" xr:uid="{070D278E-1220-434A-9734-417F249A704E}"/>
    <cellStyle name="Linked Cell 14 2 4 4 2" xfId="15733" xr:uid="{CF33DD24-72FC-40EA-8584-82B32F076BD8}"/>
    <cellStyle name="Linked Cell 14 2 4 4 2 2" xfId="15734" xr:uid="{9DE7D299-DD04-46F9-89F5-C898D60F817C}"/>
    <cellStyle name="Linked Cell 14 2 4 4 3" xfId="15735" xr:uid="{68709370-F208-4830-B439-4A101F4188C3}"/>
    <cellStyle name="Linked Cell 14 2 4 5" xfId="15736" xr:uid="{F93964C8-E199-41BA-95E3-FC055EBE2BA0}"/>
    <cellStyle name="Linked Cell 14 2 4 5 2" xfId="15737" xr:uid="{2D222D2F-A184-4699-840A-45B151A78F7E}"/>
    <cellStyle name="Linked Cell 14 2 4 5 2 2" xfId="15738" xr:uid="{176E2B77-917D-48AE-AFB1-8E67E3810637}"/>
    <cellStyle name="Linked Cell 14 2 4 5 3" xfId="15739" xr:uid="{F963C2EB-DE3A-49A4-9244-76144E9334A8}"/>
    <cellStyle name="Linked Cell 14 2 4 6" xfId="15740" xr:uid="{24AEF66B-B805-4E33-AD30-2A522D948CB0}"/>
    <cellStyle name="Linked Cell 14 2 4 6 2" xfId="15741" xr:uid="{781D69D6-7BFA-49F3-955D-22231E2A783D}"/>
    <cellStyle name="Linked Cell 14 2 4 6 2 2" xfId="15742" xr:uid="{E9B40075-6610-4960-8AD5-82B6903A8915}"/>
    <cellStyle name="Linked Cell 14 2 4 6 3" xfId="15743" xr:uid="{31C4F311-3555-4D8D-AD8F-5999B7E833F6}"/>
    <cellStyle name="Linked Cell 14 2 4 7" xfId="15744" xr:uid="{FAC11DAF-9FAB-4B5F-B43B-514B93CC1DE5}"/>
    <cellStyle name="Linked Cell 14 2 4 7 2" xfId="15745" xr:uid="{E0F5D9B2-2416-4DDA-B6BB-EC8BC9A5F7CC}"/>
    <cellStyle name="Linked Cell 14 2 4 7 2 2" xfId="15746" xr:uid="{B1B0D0EF-87E1-46D6-B720-3F79F98A9E58}"/>
    <cellStyle name="Linked Cell 14 2 4 7 3" xfId="15747" xr:uid="{9A063BE4-E887-4033-A8FB-5BB97BB25D83}"/>
    <cellStyle name="Linked Cell 14 2 4 8" xfId="15748" xr:uid="{25CD9B4D-0080-4512-AD13-8A0308102FC6}"/>
    <cellStyle name="Linked Cell 14 2 4 8 2" xfId="15749" xr:uid="{A6BE80C3-E44C-4209-AA19-836ABEA6C2C1}"/>
    <cellStyle name="Linked Cell 14 2 4 8 2 2" xfId="15750" xr:uid="{E43D72D5-7E73-4EBA-A9B6-B45713364C20}"/>
    <cellStyle name="Linked Cell 14 2 4 8 3" xfId="15751" xr:uid="{BD9FB633-7D21-4A7A-AE20-91CBB53CA3B8}"/>
    <cellStyle name="Linked Cell 14 2 4 9" xfId="15752" xr:uid="{FCB49212-E433-4A2D-932B-8BE6CFA2C546}"/>
    <cellStyle name="Linked Cell 14 2 4 9 2" xfId="15753" xr:uid="{3A96A0BD-797B-46B5-82E3-6D29936EFC23}"/>
    <cellStyle name="Linked Cell 14 2 4 9 2 2" xfId="15754" xr:uid="{76ADCED7-2964-4EBC-85DF-CD7FC51005F4}"/>
    <cellStyle name="Linked Cell 14 2 4 9 3" xfId="15755" xr:uid="{88EEDF95-96EB-4D5F-B932-DB180A622BDD}"/>
    <cellStyle name="Linked Cell 14 2 5" xfId="15756" xr:uid="{D3F4BD8D-42E8-4D6B-BCE7-492E235FDEC3}"/>
    <cellStyle name="Linked Cell 14 2 5 10" xfId="15757" xr:uid="{AB40AF97-0790-4003-9F4F-84369C8E2658}"/>
    <cellStyle name="Linked Cell 14 2 5 10 2" xfId="15758" xr:uid="{A0CC720A-8A83-4A3C-BDEB-81CFC79E9731}"/>
    <cellStyle name="Linked Cell 14 2 5 11" xfId="15759" xr:uid="{98FC2AC6-8565-4574-8A7C-3C6EA4EF637B}"/>
    <cellStyle name="Linked Cell 14 2 5 2" xfId="15760" xr:uid="{9469F952-75E1-46B3-9687-E6A7474520B8}"/>
    <cellStyle name="Linked Cell 14 2 5 2 2" xfId="15761" xr:uid="{006B694B-C69E-4098-9D92-11C5F4790CEA}"/>
    <cellStyle name="Linked Cell 14 2 5 2 2 2" xfId="15762" xr:uid="{9CF4BF96-FEE4-4105-A73A-89BC36B8B9EB}"/>
    <cellStyle name="Linked Cell 14 2 5 2 3" xfId="15763" xr:uid="{CD52A8E8-D22C-4436-BF94-65E1E7CE9658}"/>
    <cellStyle name="Linked Cell 14 2 5 3" xfId="15764" xr:uid="{B2313245-2141-482E-BB32-F7022B02EDE4}"/>
    <cellStyle name="Linked Cell 14 2 5 3 2" xfId="15765" xr:uid="{F457D831-5A9A-4EE2-B1B9-F4063F6CBCB8}"/>
    <cellStyle name="Linked Cell 14 2 5 3 2 2" xfId="15766" xr:uid="{0C9F5A34-8F09-4EFB-8F47-6534DDEB6908}"/>
    <cellStyle name="Linked Cell 14 2 5 3 3" xfId="15767" xr:uid="{CFFEF314-FA00-4656-BA30-7980505E8798}"/>
    <cellStyle name="Linked Cell 14 2 5 4" xfId="15768" xr:uid="{50E1A532-3473-4460-B014-69A9743C8286}"/>
    <cellStyle name="Linked Cell 14 2 5 4 2" xfId="15769" xr:uid="{7CB47CE7-7E96-48CA-A214-BBCBE51ED9A1}"/>
    <cellStyle name="Linked Cell 14 2 5 4 2 2" xfId="15770" xr:uid="{C44BACB6-F82A-4E68-9210-F9CCBBEC4FA2}"/>
    <cellStyle name="Linked Cell 14 2 5 4 3" xfId="15771" xr:uid="{59F66DD4-611E-4C89-BB8C-CDEA88F09461}"/>
    <cellStyle name="Linked Cell 14 2 5 5" xfId="15772" xr:uid="{D27ACE1A-4E6F-4581-8AC4-5999504288B0}"/>
    <cellStyle name="Linked Cell 14 2 5 5 2" xfId="15773" xr:uid="{C6B87860-6D4B-4EF3-84CB-4434CCE1ABC1}"/>
    <cellStyle name="Linked Cell 14 2 5 5 2 2" xfId="15774" xr:uid="{110E5DF2-CA1B-4B2F-8A58-FE76325EF18E}"/>
    <cellStyle name="Linked Cell 14 2 5 5 3" xfId="15775" xr:uid="{DB0C5E06-B9F2-4C7E-8C41-1550A32841B2}"/>
    <cellStyle name="Linked Cell 14 2 5 6" xfId="15776" xr:uid="{0A43C147-51E7-4E58-BCCF-40178076237B}"/>
    <cellStyle name="Linked Cell 14 2 5 6 2" xfId="15777" xr:uid="{6AEFB748-6CCA-47B7-93A9-F585395AE982}"/>
    <cellStyle name="Linked Cell 14 2 5 6 2 2" xfId="15778" xr:uid="{56705AA6-1B06-4585-A4E8-EBA69338970C}"/>
    <cellStyle name="Linked Cell 14 2 5 6 3" xfId="15779" xr:uid="{0CE904F8-397B-4331-879B-E88033915FA9}"/>
    <cellStyle name="Linked Cell 14 2 5 7" xfId="15780" xr:uid="{BDEE6CB8-BE36-4B50-9CBB-E88ED1E32838}"/>
    <cellStyle name="Linked Cell 14 2 5 7 2" xfId="15781" xr:uid="{FFEED7F3-2AC1-4BBB-A886-40FBF4C489D2}"/>
    <cellStyle name="Linked Cell 14 2 5 7 2 2" xfId="15782" xr:uid="{39A655FF-B5E2-4645-85CA-E61DC82FBAC6}"/>
    <cellStyle name="Linked Cell 14 2 5 7 3" xfId="15783" xr:uid="{FC0C304D-97F9-46CC-B32D-857431487B79}"/>
    <cellStyle name="Linked Cell 14 2 5 8" xfId="15784" xr:uid="{2B6E01C4-A6A3-4633-9CF7-C4754025F7A9}"/>
    <cellStyle name="Linked Cell 14 2 5 8 2" xfId="15785" xr:uid="{D8662A3C-2F12-4AC0-AA89-4C68B8E9B250}"/>
    <cellStyle name="Linked Cell 14 2 5 8 2 2" xfId="15786" xr:uid="{431303CD-18AD-47DD-90B7-DF13FF26AD47}"/>
    <cellStyle name="Linked Cell 14 2 5 8 3" xfId="15787" xr:uid="{C1748D95-D834-4B36-84D2-0B0B42D89078}"/>
    <cellStyle name="Linked Cell 14 2 5 9" xfId="15788" xr:uid="{835213CE-DB1E-4546-BD06-C262B0BF851F}"/>
    <cellStyle name="Linked Cell 14 2 5 9 2" xfId="15789" xr:uid="{21694239-CCD2-4813-A0C2-5AC9C2799DCE}"/>
    <cellStyle name="Linked Cell 14 2 5 9 2 2" xfId="15790" xr:uid="{8E2E8D64-E28D-4A0F-A470-B32C5884251D}"/>
    <cellStyle name="Linked Cell 14 2 5 9 3" xfId="15791" xr:uid="{6E25ABAE-8DA2-4396-9C93-8F9840ED7289}"/>
    <cellStyle name="Linked Cell 14 2 6" xfId="15792" xr:uid="{13761157-B766-4EB4-B1ED-F8E97B2DC28F}"/>
    <cellStyle name="Linked Cell 14 2 6 2" xfId="15793" xr:uid="{C1B4B530-5A49-4E84-B577-B1DC64424F8B}"/>
    <cellStyle name="Linked Cell 14 2 6 2 2" xfId="15794" xr:uid="{53E4FCDE-FC7F-4B65-8F7D-A26730BD9D8C}"/>
    <cellStyle name="Linked Cell 14 2 6 3" xfId="15795" xr:uid="{FB319C87-C86C-4950-856F-0E3246850ED0}"/>
    <cellStyle name="Linked Cell 14 2 7" xfId="15796" xr:uid="{BDE677C3-538D-4865-99C7-6F4E7E1827E4}"/>
    <cellStyle name="Linked Cell 14 2 7 2" xfId="15797" xr:uid="{82529405-81CA-4C61-9D7E-A5B597DC1E08}"/>
    <cellStyle name="Linked Cell 14 2 7 2 2" xfId="15798" xr:uid="{9E7C0FA2-FC85-4AAA-B3CA-9FEC8D49A4CC}"/>
    <cellStyle name="Linked Cell 14 2 7 3" xfId="15799" xr:uid="{F9BA88E8-A4FE-4817-BB86-08BF5D604F2B}"/>
    <cellStyle name="Linked Cell 14 2 8" xfId="15800" xr:uid="{0AB0D9C9-541E-4013-91B1-A5FC189DCC80}"/>
    <cellStyle name="Linked Cell 14 2 8 2" xfId="15801" xr:uid="{1906F338-2B93-467A-8E01-9B56B50FCE7B}"/>
    <cellStyle name="Linked Cell 14 2 8 2 2" xfId="15802" xr:uid="{04539EED-8364-4CF1-91D6-90ABCF1C51F2}"/>
    <cellStyle name="Linked Cell 14 2 8 3" xfId="15803" xr:uid="{8670C30D-258D-4A52-8C38-BE8E999F3B95}"/>
    <cellStyle name="Linked Cell 14 2 9" xfId="15804" xr:uid="{82EA7E64-4818-44A8-8EF7-D4E44EA5F413}"/>
    <cellStyle name="Linked Cell 14 2 9 2" xfId="15805" xr:uid="{9DED5C16-3AAC-4E6B-8D76-25F86F0E1960}"/>
    <cellStyle name="Linked Cell 14 2 9 2 2" xfId="15806" xr:uid="{BE77AF8C-A09B-418D-80C4-F154C0CEEF35}"/>
    <cellStyle name="Linked Cell 14 2 9 3" xfId="15807" xr:uid="{787DC727-3105-4960-BB2C-7608CAB4E490}"/>
    <cellStyle name="Linked Cell 14 3" xfId="15808" xr:uid="{B8F58E46-608C-465F-B057-9BF983C320E7}"/>
    <cellStyle name="Linked Cell 14 3 10" xfId="15809" xr:uid="{A9E4DF51-84E1-45CC-960D-88DA9BDFBF34}"/>
    <cellStyle name="Linked Cell 14 3 10 2" xfId="15810" xr:uid="{0C07F070-5C2F-4D16-9E11-5C0F9C637BC0}"/>
    <cellStyle name="Linked Cell 14 3 10 2 2" xfId="15811" xr:uid="{2CDA4781-FED3-400D-9475-A659C393F04A}"/>
    <cellStyle name="Linked Cell 14 3 10 3" xfId="15812" xr:uid="{2057FB0B-8BE9-4BD1-BCD4-8D6479F4DE94}"/>
    <cellStyle name="Linked Cell 14 3 11" xfId="15813" xr:uid="{BD8C474D-B483-476F-B8D3-67B6CCB182A4}"/>
    <cellStyle name="Linked Cell 14 3 11 2" xfId="15814" xr:uid="{81219B86-0943-44DE-B802-2D9543B821B2}"/>
    <cellStyle name="Linked Cell 14 3 11 2 2" xfId="15815" xr:uid="{78BA3A1E-4387-436A-B3F1-6FC82BF7A98D}"/>
    <cellStyle name="Linked Cell 14 3 11 3" xfId="15816" xr:uid="{80C5399C-78D9-473D-AD7F-7A3297A37BCA}"/>
    <cellStyle name="Linked Cell 14 3 12" xfId="15817" xr:uid="{967165E8-205D-4563-84BC-705275412CB4}"/>
    <cellStyle name="Linked Cell 14 3 12 2" xfId="15818" xr:uid="{18C9744B-2B74-46AF-AAAF-459113548DD6}"/>
    <cellStyle name="Linked Cell 14 3 12 2 2" xfId="15819" xr:uid="{F45054CB-4AD9-42CF-B3AB-B7EF26B683D8}"/>
    <cellStyle name="Linked Cell 14 3 12 3" xfId="15820" xr:uid="{F3ED7761-C620-4CF7-AB52-63AE2F3B5671}"/>
    <cellStyle name="Linked Cell 14 3 13" xfId="15821" xr:uid="{49E6C31C-CCF2-4ABA-8F29-3A18CA6ED60B}"/>
    <cellStyle name="Linked Cell 14 3 13 2" xfId="15822" xr:uid="{726087B7-5EF8-402D-A4FC-FC06DA7C5EAF}"/>
    <cellStyle name="Linked Cell 14 3 14" xfId="15823" xr:uid="{1E2CA7C4-945F-4C12-90A1-E905600CE3C9}"/>
    <cellStyle name="Linked Cell 14 3 2" xfId="15824" xr:uid="{0E1F898E-15D2-4E23-B81D-5C50AF7E1E83}"/>
    <cellStyle name="Linked Cell 14 3 2 10" xfId="15825" xr:uid="{65F39F01-D306-4E91-B03F-4540980ECB8A}"/>
    <cellStyle name="Linked Cell 14 3 2 10 2" xfId="15826" xr:uid="{46512958-2F05-48DE-839A-90FDEE99F41E}"/>
    <cellStyle name="Linked Cell 14 3 2 10 2 2" xfId="15827" xr:uid="{820FE2FA-0908-426D-8EEC-3E3B67ED9D2F}"/>
    <cellStyle name="Linked Cell 14 3 2 10 3" xfId="15828" xr:uid="{C6BC3F01-A519-4815-8B6A-10A69FC4D38E}"/>
    <cellStyle name="Linked Cell 14 3 2 11" xfId="15829" xr:uid="{FF37DD85-8F2E-4968-A83F-361F7A35B2B1}"/>
    <cellStyle name="Linked Cell 14 3 2 11 2" xfId="15830" xr:uid="{2D3792A0-D7CA-407F-90E8-B95E226BCD90}"/>
    <cellStyle name="Linked Cell 14 3 2 11 2 2" xfId="15831" xr:uid="{E7CD2C57-1D6E-4290-87BB-E4C905F5B3DD}"/>
    <cellStyle name="Linked Cell 14 3 2 11 3" xfId="15832" xr:uid="{D3E8C0B3-76EB-4C9A-9513-447876FB8FE4}"/>
    <cellStyle name="Linked Cell 14 3 2 12" xfId="15833" xr:uid="{6E8BE185-8DCB-4CB0-A23C-9F1ADD80AE69}"/>
    <cellStyle name="Linked Cell 14 3 2 12 2" xfId="15834" xr:uid="{D5E6ECA9-1CAB-426A-AB6D-669BEE749E74}"/>
    <cellStyle name="Linked Cell 14 3 2 13" xfId="15835" xr:uid="{6A8A95AF-D95E-420B-ABCC-599BF24AA924}"/>
    <cellStyle name="Linked Cell 14 3 2 2" xfId="15836" xr:uid="{65D783F2-82B4-4F18-B7F0-388DE1DC9D49}"/>
    <cellStyle name="Linked Cell 14 3 2 2 10" xfId="15837" xr:uid="{AEBDB051-B252-45DF-B141-66DD73615F20}"/>
    <cellStyle name="Linked Cell 14 3 2 2 10 2" xfId="15838" xr:uid="{AC698B23-935B-49A6-A31E-77164BFF0E7C}"/>
    <cellStyle name="Linked Cell 14 3 2 2 10 2 2" xfId="15839" xr:uid="{4690E031-ED8D-4CDA-AAA2-F83A464B8998}"/>
    <cellStyle name="Linked Cell 14 3 2 2 10 3" xfId="15840" xr:uid="{61407ECA-92FF-4DCB-930D-44A27E1D95E2}"/>
    <cellStyle name="Linked Cell 14 3 2 2 11" xfId="15841" xr:uid="{95F0EEA6-2F27-4CFD-86AE-7F8719514759}"/>
    <cellStyle name="Linked Cell 14 3 2 2 11 2" xfId="15842" xr:uid="{EB7ACB6F-540A-4A7B-A727-5FABAD3551FB}"/>
    <cellStyle name="Linked Cell 14 3 2 2 12" xfId="15843" xr:uid="{D7D89744-55EC-419C-ADB4-A1DC2DAD3C9E}"/>
    <cellStyle name="Linked Cell 14 3 2 2 2" xfId="15844" xr:uid="{47999FF0-3D93-45D8-9240-CAF4ACB32399}"/>
    <cellStyle name="Linked Cell 14 3 2 2 2 2" xfId="15845" xr:uid="{69C2AB50-D5D3-4DE8-BD77-E6981E8503B4}"/>
    <cellStyle name="Linked Cell 14 3 2 2 2 2 2" xfId="15846" xr:uid="{FABFE189-FD9B-405A-924C-C220621FD7F5}"/>
    <cellStyle name="Linked Cell 14 3 2 2 2 3" xfId="15847" xr:uid="{49AB04BB-2160-453C-AFCD-8524B5605D37}"/>
    <cellStyle name="Linked Cell 14 3 2 2 3" xfId="15848" xr:uid="{82642FFA-4379-4BCA-AE66-A329C8CB683A}"/>
    <cellStyle name="Linked Cell 14 3 2 2 3 2" xfId="15849" xr:uid="{E482B657-9D9E-45D8-81E0-3E7F05C5C4A5}"/>
    <cellStyle name="Linked Cell 14 3 2 2 3 2 2" xfId="15850" xr:uid="{115BDC61-AAD7-45D3-8230-299615B0244F}"/>
    <cellStyle name="Linked Cell 14 3 2 2 3 3" xfId="15851" xr:uid="{A1CE0005-8A97-4BB1-AEE0-E8E86B1D78CE}"/>
    <cellStyle name="Linked Cell 14 3 2 2 4" xfId="15852" xr:uid="{9791A19C-9AC7-4548-8280-4E67209351A4}"/>
    <cellStyle name="Linked Cell 14 3 2 2 4 2" xfId="15853" xr:uid="{4A108BD6-EEC1-4867-B806-1F1DA7ACAA07}"/>
    <cellStyle name="Linked Cell 14 3 2 2 4 2 2" xfId="15854" xr:uid="{A2A65763-7897-4F99-9F7F-B43E0E93FFBC}"/>
    <cellStyle name="Linked Cell 14 3 2 2 4 3" xfId="15855" xr:uid="{A08BA373-A7DD-41ED-A713-C33F829B7DFA}"/>
    <cellStyle name="Linked Cell 14 3 2 2 5" xfId="15856" xr:uid="{A32FE7AB-BAD0-40B4-9FEE-087C56D9ECB5}"/>
    <cellStyle name="Linked Cell 14 3 2 2 5 2" xfId="15857" xr:uid="{871721C6-52AA-4056-A169-7BC4D78F30AD}"/>
    <cellStyle name="Linked Cell 14 3 2 2 5 2 2" xfId="15858" xr:uid="{A0664CBA-15F3-4758-A306-68BC3D476AB7}"/>
    <cellStyle name="Linked Cell 14 3 2 2 5 3" xfId="15859" xr:uid="{C440CB3A-B78D-4A42-AF35-B02201889790}"/>
    <cellStyle name="Linked Cell 14 3 2 2 6" xfId="15860" xr:uid="{18F301B5-0B63-4578-AC63-89A2DD74C6B2}"/>
    <cellStyle name="Linked Cell 14 3 2 2 6 2" xfId="15861" xr:uid="{248977C7-B0FE-4E3B-8998-6716F7C93725}"/>
    <cellStyle name="Linked Cell 14 3 2 2 6 2 2" xfId="15862" xr:uid="{29C9F913-0309-4FA8-BA36-76B5BCA03158}"/>
    <cellStyle name="Linked Cell 14 3 2 2 6 3" xfId="15863" xr:uid="{D20F410C-BF08-4CFA-872F-31EEEB9A0FBC}"/>
    <cellStyle name="Linked Cell 14 3 2 2 7" xfId="15864" xr:uid="{16A07794-4D30-4BDC-9D1E-611A22FBE0B8}"/>
    <cellStyle name="Linked Cell 14 3 2 2 7 2" xfId="15865" xr:uid="{A2F22FB2-3C7E-433D-B0DE-011624DCE22B}"/>
    <cellStyle name="Linked Cell 14 3 2 2 7 2 2" xfId="15866" xr:uid="{BF187799-8B9B-4009-82D8-A21A7DF2EC93}"/>
    <cellStyle name="Linked Cell 14 3 2 2 7 3" xfId="15867" xr:uid="{0D984B2E-5F39-4506-9FCB-DCB861CF5A1A}"/>
    <cellStyle name="Linked Cell 14 3 2 2 8" xfId="15868" xr:uid="{95D8BDA1-DBC6-4A05-8EDB-DA6BE569FC04}"/>
    <cellStyle name="Linked Cell 14 3 2 2 8 2" xfId="15869" xr:uid="{D270208A-8D5A-4DE3-8F6A-DAE7E9C3A818}"/>
    <cellStyle name="Linked Cell 14 3 2 2 8 2 2" xfId="15870" xr:uid="{FEC67A70-147F-42BB-8716-F2D22EAFE58D}"/>
    <cellStyle name="Linked Cell 14 3 2 2 8 3" xfId="15871" xr:uid="{2B1F6931-ECF1-4939-9638-864802B4891C}"/>
    <cellStyle name="Linked Cell 14 3 2 2 9" xfId="15872" xr:uid="{A4EA8FE3-7EC5-4F03-87B4-5CE55426696D}"/>
    <cellStyle name="Linked Cell 14 3 2 2 9 2" xfId="15873" xr:uid="{80398804-F853-4DF8-8A18-1C08BC793575}"/>
    <cellStyle name="Linked Cell 14 3 2 2 9 2 2" xfId="15874" xr:uid="{95AFF0E4-59F3-4EDC-8E72-99EC3A38903A}"/>
    <cellStyle name="Linked Cell 14 3 2 2 9 3" xfId="15875" xr:uid="{D503EA6A-E509-4EA7-A78B-9F7465C52CE1}"/>
    <cellStyle name="Linked Cell 14 3 2 3" xfId="15876" xr:uid="{53477962-E0F4-4613-B62E-3571BA122F36}"/>
    <cellStyle name="Linked Cell 14 3 2 3 10" xfId="15877" xr:uid="{A2075D20-8B3E-4E99-9814-3BB4FBBDE859}"/>
    <cellStyle name="Linked Cell 14 3 2 3 10 2" xfId="15878" xr:uid="{9125824A-AC1B-4396-9427-044E85FC7258}"/>
    <cellStyle name="Linked Cell 14 3 2 3 11" xfId="15879" xr:uid="{B0229E2B-B3B6-47D4-A472-750914ED2580}"/>
    <cellStyle name="Linked Cell 14 3 2 3 2" xfId="15880" xr:uid="{1D60D776-9C32-473F-94B0-E75FA862CCA9}"/>
    <cellStyle name="Linked Cell 14 3 2 3 2 2" xfId="15881" xr:uid="{8EA19781-5019-448A-9733-51522FC78F30}"/>
    <cellStyle name="Linked Cell 14 3 2 3 2 2 2" xfId="15882" xr:uid="{D0FB88CF-0198-4429-91D9-94560D363AD2}"/>
    <cellStyle name="Linked Cell 14 3 2 3 2 3" xfId="15883" xr:uid="{429F9820-AEBA-4267-AA74-CBD9CB2948FA}"/>
    <cellStyle name="Linked Cell 14 3 2 3 3" xfId="15884" xr:uid="{ACC67B72-C753-4D33-8522-FC0C8E70C108}"/>
    <cellStyle name="Linked Cell 14 3 2 3 3 2" xfId="15885" xr:uid="{02E87C6E-6535-4265-A8BC-53F53CADE498}"/>
    <cellStyle name="Linked Cell 14 3 2 3 3 2 2" xfId="15886" xr:uid="{D2A25153-D6C8-4BE2-865B-29C27DE226E8}"/>
    <cellStyle name="Linked Cell 14 3 2 3 3 3" xfId="15887" xr:uid="{D1516C11-F34E-44EC-A9AE-C42A1AC1269D}"/>
    <cellStyle name="Linked Cell 14 3 2 3 4" xfId="15888" xr:uid="{AB75BA25-C9CE-40E2-80AE-276AA59259C3}"/>
    <cellStyle name="Linked Cell 14 3 2 3 4 2" xfId="15889" xr:uid="{8C3A8B47-F7FA-4193-BA2B-8BD936A25982}"/>
    <cellStyle name="Linked Cell 14 3 2 3 4 2 2" xfId="15890" xr:uid="{B2F70F2D-43B1-460F-834B-546587341C66}"/>
    <cellStyle name="Linked Cell 14 3 2 3 4 3" xfId="15891" xr:uid="{AFF26DB2-89C9-490F-9117-125F5A279293}"/>
    <cellStyle name="Linked Cell 14 3 2 3 5" xfId="15892" xr:uid="{3E4A6BDC-E4E0-4823-9235-89AD181C09F4}"/>
    <cellStyle name="Linked Cell 14 3 2 3 5 2" xfId="15893" xr:uid="{CF552FCB-CC46-4944-950A-87C9CD22E4DF}"/>
    <cellStyle name="Linked Cell 14 3 2 3 5 2 2" xfId="15894" xr:uid="{BC02FF66-A36A-4C85-A2D9-DB413CB58C8A}"/>
    <cellStyle name="Linked Cell 14 3 2 3 5 3" xfId="15895" xr:uid="{BDA2F049-CB50-4EFD-B083-079940B23479}"/>
    <cellStyle name="Linked Cell 14 3 2 3 6" xfId="15896" xr:uid="{F61745CF-2EC0-432E-937D-369B10CD1D39}"/>
    <cellStyle name="Linked Cell 14 3 2 3 6 2" xfId="15897" xr:uid="{3DFC0539-89AA-433B-AD2D-44B96BBA8429}"/>
    <cellStyle name="Linked Cell 14 3 2 3 6 2 2" xfId="15898" xr:uid="{965A9167-CD87-438C-A111-88234D33A1F5}"/>
    <cellStyle name="Linked Cell 14 3 2 3 6 3" xfId="15899" xr:uid="{642DEE7A-BC2E-4908-BD37-D56822CDA056}"/>
    <cellStyle name="Linked Cell 14 3 2 3 7" xfId="15900" xr:uid="{EA70D444-960F-4999-A314-5FCADE71D40F}"/>
    <cellStyle name="Linked Cell 14 3 2 3 7 2" xfId="15901" xr:uid="{52669630-BAC2-42DF-9C60-EEA37BB6F452}"/>
    <cellStyle name="Linked Cell 14 3 2 3 7 2 2" xfId="15902" xr:uid="{B4EDBEAF-16E0-4A18-9582-D18A2D888404}"/>
    <cellStyle name="Linked Cell 14 3 2 3 7 3" xfId="15903" xr:uid="{315EEB5F-0192-47A0-B408-47C48FF650D2}"/>
    <cellStyle name="Linked Cell 14 3 2 3 8" xfId="15904" xr:uid="{92A0B7E9-54AF-4EB2-A171-6EF74CE6DE5D}"/>
    <cellStyle name="Linked Cell 14 3 2 3 8 2" xfId="15905" xr:uid="{6B86D289-B26B-45F5-BDCC-9FF1D0F1813D}"/>
    <cellStyle name="Linked Cell 14 3 2 3 8 2 2" xfId="15906" xr:uid="{522FE745-CC5A-430F-8749-B2B7BC7EDDBB}"/>
    <cellStyle name="Linked Cell 14 3 2 3 8 3" xfId="15907" xr:uid="{DD80B7EF-728E-4A4D-AA19-02928056F95C}"/>
    <cellStyle name="Linked Cell 14 3 2 3 9" xfId="15908" xr:uid="{3700510A-70EF-4F94-BC96-5B600D4B0D83}"/>
    <cellStyle name="Linked Cell 14 3 2 3 9 2" xfId="15909" xr:uid="{602B04DD-5C9C-481D-A78F-2B19093973C6}"/>
    <cellStyle name="Linked Cell 14 3 2 3 9 2 2" xfId="15910" xr:uid="{2FD50711-3882-4B11-8C48-E31EC8BD8531}"/>
    <cellStyle name="Linked Cell 14 3 2 3 9 3" xfId="15911" xr:uid="{B176662B-17F7-494B-8D7F-30094832485F}"/>
    <cellStyle name="Linked Cell 14 3 2 4" xfId="15912" xr:uid="{D8C2F486-80E8-472C-B164-BB9076393718}"/>
    <cellStyle name="Linked Cell 14 3 2 4 2" xfId="15913" xr:uid="{34395B8D-01D3-4643-AEF3-D009CAF041DC}"/>
    <cellStyle name="Linked Cell 14 3 2 4 2 2" xfId="15914" xr:uid="{45F65171-CE83-4204-9740-5FDE229283A1}"/>
    <cellStyle name="Linked Cell 14 3 2 4 3" xfId="15915" xr:uid="{C2D9EAF8-F739-4114-93CC-6DE4D2B53D9B}"/>
    <cellStyle name="Linked Cell 14 3 2 5" xfId="15916" xr:uid="{332F08C1-D950-4FE3-86C4-3156EC98471D}"/>
    <cellStyle name="Linked Cell 14 3 2 5 2" xfId="15917" xr:uid="{F43C652A-E337-4EC0-892B-B401D45398AB}"/>
    <cellStyle name="Linked Cell 14 3 2 5 2 2" xfId="15918" xr:uid="{1F4F98A4-7226-4AE7-B0A7-B3D510FA58DA}"/>
    <cellStyle name="Linked Cell 14 3 2 5 3" xfId="15919" xr:uid="{76E65E38-D48C-4FFE-BC36-C858E8D51FBE}"/>
    <cellStyle name="Linked Cell 14 3 2 6" xfId="15920" xr:uid="{2BDE009F-DBB6-40A9-BA30-C833F8BF6CB5}"/>
    <cellStyle name="Linked Cell 14 3 2 6 2" xfId="15921" xr:uid="{11A342B4-C5DD-4EC8-8D34-9BD44B964AAA}"/>
    <cellStyle name="Linked Cell 14 3 2 6 2 2" xfId="15922" xr:uid="{8CBD4284-EB2F-479B-8CEC-650477FDB226}"/>
    <cellStyle name="Linked Cell 14 3 2 6 3" xfId="15923" xr:uid="{D85EE49F-8BC7-427E-AAB6-7FF5979181AD}"/>
    <cellStyle name="Linked Cell 14 3 2 7" xfId="15924" xr:uid="{986A9DE0-B794-4A62-B084-6DD0A62D2096}"/>
    <cellStyle name="Linked Cell 14 3 2 7 2" xfId="15925" xr:uid="{FEB51BC0-3E30-448F-B252-900D49C0E81D}"/>
    <cellStyle name="Linked Cell 14 3 2 7 2 2" xfId="15926" xr:uid="{A8CAC43C-6350-42B7-8153-2CC02248F93D}"/>
    <cellStyle name="Linked Cell 14 3 2 7 3" xfId="15927" xr:uid="{4ED23292-1BF0-4173-B6A7-5DBF5593FCCB}"/>
    <cellStyle name="Linked Cell 14 3 2 8" xfId="15928" xr:uid="{10F531D0-44F4-458B-941F-3C300CD650D2}"/>
    <cellStyle name="Linked Cell 14 3 2 8 2" xfId="15929" xr:uid="{D5240150-B9B4-494F-98D9-C661BE7F3E40}"/>
    <cellStyle name="Linked Cell 14 3 2 8 2 2" xfId="15930" xr:uid="{4D75715B-CDF8-45E8-BD8A-60010B11218C}"/>
    <cellStyle name="Linked Cell 14 3 2 8 3" xfId="15931" xr:uid="{71351406-0B25-41BA-911A-AE4916DE533C}"/>
    <cellStyle name="Linked Cell 14 3 2 9" xfId="15932" xr:uid="{F51DD68C-91C0-43EE-B432-BE811A2F2607}"/>
    <cellStyle name="Linked Cell 14 3 2 9 2" xfId="15933" xr:uid="{BC92B0C7-71C6-4A90-97BD-844968115140}"/>
    <cellStyle name="Linked Cell 14 3 2 9 2 2" xfId="15934" xr:uid="{8C15608A-1592-444F-B0F2-BB9F74F19543}"/>
    <cellStyle name="Linked Cell 14 3 2 9 3" xfId="15935" xr:uid="{3D83BCD0-7177-492F-AE81-464704126211}"/>
    <cellStyle name="Linked Cell 14 3 3" xfId="15936" xr:uid="{84937DB1-D16D-4B6C-B8BC-3D7E46B50370}"/>
    <cellStyle name="Linked Cell 14 3 3 10" xfId="15937" xr:uid="{7E92CA08-235B-4EE4-98C5-AE70F4F8C1A2}"/>
    <cellStyle name="Linked Cell 14 3 3 10 2" xfId="15938" xr:uid="{A9249E67-D701-47B8-A07B-52ABFC9BEC75}"/>
    <cellStyle name="Linked Cell 14 3 3 10 2 2" xfId="15939" xr:uid="{8BF46334-99E9-4241-BEC6-2E547CFAB140}"/>
    <cellStyle name="Linked Cell 14 3 3 10 3" xfId="15940" xr:uid="{57B24385-A29A-4131-91F0-72E82BB5B748}"/>
    <cellStyle name="Linked Cell 14 3 3 11" xfId="15941" xr:uid="{0603EB58-8CB1-409B-9AFC-98B9D8D6EE14}"/>
    <cellStyle name="Linked Cell 14 3 3 11 2" xfId="15942" xr:uid="{44CB3A5C-7967-4CC4-8930-C8D7194CEA74}"/>
    <cellStyle name="Linked Cell 14 3 3 12" xfId="15943" xr:uid="{2AE3F9A1-B8FE-4E83-A21D-D616F9B107F8}"/>
    <cellStyle name="Linked Cell 14 3 3 2" xfId="15944" xr:uid="{48B91494-D425-47BD-9A0A-6274BAEA9068}"/>
    <cellStyle name="Linked Cell 14 3 3 2 10" xfId="15945" xr:uid="{8C8EC4D5-1C95-417C-9FAE-14BA4B6B0B2F}"/>
    <cellStyle name="Linked Cell 14 3 3 2 10 2" xfId="15946" xr:uid="{6787FAB0-41F1-4073-89FE-193BA2868456}"/>
    <cellStyle name="Linked Cell 14 3 3 2 11" xfId="15947" xr:uid="{E23F8B82-2BF7-4DA9-AA4A-46406DADC153}"/>
    <cellStyle name="Linked Cell 14 3 3 2 2" xfId="15948" xr:uid="{A165568C-E3EA-4BC1-99D9-0FA36461964E}"/>
    <cellStyle name="Linked Cell 14 3 3 2 2 2" xfId="15949" xr:uid="{3A2512C4-FEF9-4A5B-A742-18F793E851B8}"/>
    <cellStyle name="Linked Cell 14 3 3 2 2 2 2" xfId="15950" xr:uid="{F35C21A8-C814-45ED-88CC-141830CDD244}"/>
    <cellStyle name="Linked Cell 14 3 3 2 2 3" xfId="15951" xr:uid="{2F38109A-CB68-4146-A8A5-D62851BC3EC6}"/>
    <cellStyle name="Linked Cell 14 3 3 2 3" xfId="15952" xr:uid="{582223DE-6339-41FD-81E2-1DA9A4F84813}"/>
    <cellStyle name="Linked Cell 14 3 3 2 3 2" xfId="15953" xr:uid="{A40B6DBF-A057-4F02-8950-58155A5761D7}"/>
    <cellStyle name="Linked Cell 14 3 3 2 3 2 2" xfId="15954" xr:uid="{689A030B-78CA-4374-8D61-C1AF97B96546}"/>
    <cellStyle name="Linked Cell 14 3 3 2 3 3" xfId="15955" xr:uid="{07F8C527-61BA-48BA-B6D5-68308756E139}"/>
    <cellStyle name="Linked Cell 14 3 3 2 4" xfId="15956" xr:uid="{E648A565-AAAE-48B5-B864-D2B46B06FE24}"/>
    <cellStyle name="Linked Cell 14 3 3 2 4 2" xfId="15957" xr:uid="{F766515C-B446-4A89-9E3C-466763D67F5D}"/>
    <cellStyle name="Linked Cell 14 3 3 2 4 2 2" xfId="15958" xr:uid="{AFD40AC1-27C1-42E3-AD0E-5E04F47D9828}"/>
    <cellStyle name="Linked Cell 14 3 3 2 4 3" xfId="15959" xr:uid="{67EC60B7-AE00-4952-A3F2-5CC48086A316}"/>
    <cellStyle name="Linked Cell 14 3 3 2 5" xfId="15960" xr:uid="{F72BA1BD-F795-4E2D-9779-E29835DB0B45}"/>
    <cellStyle name="Linked Cell 14 3 3 2 5 2" xfId="15961" xr:uid="{5D055DEC-58F0-4732-B172-687F38AA9DB5}"/>
    <cellStyle name="Linked Cell 14 3 3 2 5 2 2" xfId="15962" xr:uid="{3F071468-0C37-4F07-9528-857556774D84}"/>
    <cellStyle name="Linked Cell 14 3 3 2 5 3" xfId="15963" xr:uid="{FE524DA2-7B7C-49E0-80CA-B5394BC767AB}"/>
    <cellStyle name="Linked Cell 14 3 3 2 6" xfId="15964" xr:uid="{57780D17-1673-4820-AA2D-6233BEFAA072}"/>
    <cellStyle name="Linked Cell 14 3 3 2 6 2" xfId="15965" xr:uid="{17E496EC-B66D-427D-9B4A-BB7B4EA3AA53}"/>
    <cellStyle name="Linked Cell 14 3 3 2 6 2 2" xfId="15966" xr:uid="{D21992FE-B5C3-4852-83D5-B537AB5DCCF3}"/>
    <cellStyle name="Linked Cell 14 3 3 2 6 3" xfId="15967" xr:uid="{D14B97F3-4A29-4C1E-A1F7-08FBE3F9D32C}"/>
    <cellStyle name="Linked Cell 14 3 3 2 7" xfId="15968" xr:uid="{A276A5F7-0564-47F0-BE67-32C8A98ED3A9}"/>
    <cellStyle name="Linked Cell 14 3 3 2 7 2" xfId="15969" xr:uid="{E523A952-9D2C-4554-A40C-3298B6B00135}"/>
    <cellStyle name="Linked Cell 14 3 3 2 7 2 2" xfId="15970" xr:uid="{D121BC60-8120-46D7-872E-F637CDEB1D50}"/>
    <cellStyle name="Linked Cell 14 3 3 2 7 3" xfId="15971" xr:uid="{FF0FE3F7-31A8-456B-AB4F-188F78568FBE}"/>
    <cellStyle name="Linked Cell 14 3 3 2 8" xfId="15972" xr:uid="{D13BE786-23F2-4D17-9421-ED2059A436DC}"/>
    <cellStyle name="Linked Cell 14 3 3 2 8 2" xfId="15973" xr:uid="{BA8AE51F-0F83-4C92-9FBE-E3E9B7596086}"/>
    <cellStyle name="Linked Cell 14 3 3 2 8 2 2" xfId="15974" xr:uid="{B6B7939B-282B-4076-94BA-9BD5F4E8450B}"/>
    <cellStyle name="Linked Cell 14 3 3 2 8 3" xfId="15975" xr:uid="{3E24901A-8E80-471A-86E8-B5AB01B69ADA}"/>
    <cellStyle name="Linked Cell 14 3 3 2 9" xfId="15976" xr:uid="{A5F074DF-E2E1-471D-803F-9790EEEFE0BB}"/>
    <cellStyle name="Linked Cell 14 3 3 2 9 2" xfId="15977" xr:uid="{580F3A60-1399-40C6-96BC-B8C3E563983C}"/>
    <cellStyle name="Linked Cell 14 3 3 2 9 2 2" xfId="15978" xr:uid="{9FB948C1-C453-4670-97C6-FF4012B3CF22}"/>
    <cellStyle name="Linked Cell 14 3 3 2 9 3" xfId="15979" xr:uid="{A42E7CDD-D10F-43C1-892B-328AE78F33A7}"/>
    <cellStyle name="Linked Cell 14 3 3 3" xfId="15980" xr:uid="{71B582AC-22BB-4F2B-B9BB-CC14EBB1AD6D}"/>
    <cellStyle name="Linked Cell 14 3 3 3 2" xfId="15981" xr:uid="{24CDA37A-BD01-499D-954E-F5FA13399C46}"/>
    <cellStyle name="Linked Cell 14 3 3 3 2 2" xfId="15982" xr:uid="{CD06592D-2ACB-471B-9105-159E25CCA288}"/>
    <cellStyle name="Linked Cell 14 3 3 3 3" xfId="15983" xr:uid="{2FB0F537-197C-43F5-8C42-16B63D834B36}"/>
    <cellStyle name="Linked Cell 14 3 3 4" xfId="15984" xr:uid="{A5D30684-CC30-4FB1-B65B-33920BBA5C02}"/>
    <cellStyle name="Linked Cell 14 3 3 4 2" xfId="15985" xr:uid="{A7F486F9-ECAA-40E1-BE5E-B69CB9D49FDA}"/>
    <cellStyle name="Linked Cell 14 3 3 4 2 2" xfId="15986" xr:uid="{195EB81A-A63D-4A89-A7FA-58B8495F00A9}"/>
    <cellStyle name="Linked Cell 14 3 3 4 3" xfId="15987" xr:uid="{0DB7124B-8242-4D28-8642-A76BD8BCF7BB}"/>
    <cellStyle name="Linked Cell 14 3 3 5" xfId="15988" xr:uid="{245B4E07-926F-4BD4-90EF-060BE8C917A4}"/>
    <cellStyle name="Linked Cell 14 3 3 5 2" xfId="15989" xr:uid="{F43F8C74-E547-4E5E-B4BD-0AF3CCE2B14E}"/>
    <cellStyle name="Linked Cell 14 3 3 5 2 2" xfId="15990" xr:uid="{0FDB3009-D73B-450A-B075-264648879DEA}"/>
    <cellStyle name="Linked Cell 14 3 3 5 3" xfId="15991" xr:uid="{A743E2AF-04F7-4CB7-8548-720C2710015E}"/>
    <cellStyle name="Linked Cell 14 3 3 6" xfId="15992" xr:uid="{EAE4623B-2DF6-47A9-B5BA-01467126EEA0}"/>
    <cellStyle name="Linked Cell 14 3 3 6 2" xfId="15993" xr:uid="{02BF1F6B-4914-4B61-838C-65C3CD2261D3}"/>
    <cellStyle name="Linked Cell 14 3 3 6 2 2" xfId="15994" xr:uid="{DE6C1975-3447-43CB-9374-80785F3490BB}"/>
    <cellStyle name="Linked Cell 14 3 3 6 3" xfId="15995" xr:uid="{63BB656D-FCA0-468C-99FE-B48FBA463FE7}"/>
    <cellStyle name="Linked Cell 14 3 3 7" xfId="15996" xr:uid="{F69AF57B-7ED1-4E34-9B19-86CD2BC5C902}"/>
    <cellStyle name="Linked Cell 14 3 3 7 2" xfId="15997" xr:uid="{869A2E6B-9075-4D63-BEF3-E3E1C1B26F4C}"/>
    <cellStyle name="Linked Cell 14 3 3 7 2 2" xfId="15998" xr:uid="{889E8B79-98AA-4424-B112-C386C3AA3DF7}"/>
    <cellStyle name="Linked Cell 14 3 3 7 3" xfId="15999" xr:uid="{0743B3C6-D08A-4CE2-8622-37C8133C5BA9}"/>
    <cellStyle name="Linked Cell 14 3 3 8" xfId="16000" xr:uid="{8E6D0908-E764-41EB-9450-0634B77FEA8F}"/>
    <cellStyle name="Linked Cell 14 3 3 8 2" xfId="16001" xr:uid="{F2B48C80-EF5B-4698-9670-A11FC2311F3B}"/>
    <cellStyle name="Linked Cell 14 3 3 8 2 2" xfId="16002" xr:uid="{8CDD3011-5A20-42EF-8EF5-F4AE420762A0}"/>
    <cellStyle name="Linked Cell 14 3 3 8 3" xfId="16003" xr:uid="{460BAB23-FEF4-4409-8913-A7105AA0356F}"/>
    <cellStyle name="Linked Cell 14 3 3 9" xfId="16004" xr:uid="{E47658E8-D13C-46C9-91FF-21DBF502CDC4}"/>
    <cellStyle name="Linked Cell 14 3 3 9 2" xfId="16005" xr:uid="{8426FBE6-AF8A-47AE-87A8-EA76E6513808}"/>
    <cellStyle name="Linked Cell 14 3 3 9 2 2" xfId="16006" xr:uid="{AE4D42AE-744B-4908-BFE0-A05FE1730B07}"/>
    <cellStyle name="Linked Cell 14 3 3 9 3" xfId="16007" xr:uid="{42373256-CBE4-43AE-AB8C-2DD77508A468}"/>
    <cellStyle name="Linked Cell 14 3 4" xfId="16008" xr:uid="{A1448C36-F6AF-409C-8FA0-27BC8C72A2F8}"/>
    <cellStyle name="Linked Cell 14 3 4 10" xfId="16009" xr:uid="{FCDBEC1B-6102-4CBB-8814-612FBF5325E5}"/>
    <cellStyle name="Linked Cell 14 3 4 10 2" xfId="16010" xr:uid="{E5C453F6-BFC8-4585-9642-5EB0AF0B77BB}"/>
    <cellStyle name="Linked Cell 14 3 4 11" xfId="16011" xr:uid="{5D6CCF5E-5B7C-46F3-8C2D-913C86518D12}"/>
    <cellStyle name="Linked Cell 14 3 4 2" xfId="16012" xr:uid="{52D569F5-8C87-44A2-B1B2-A7D8DC8795B2}"/>
    <cellStyle name="Linked Cell 14 3 4 2 2" xfId="16013" xr:uid="{59CC2563-8C77-4EC0-BC4A-3BE7272BD0BC}"/>
    <cellStyle name="Linked Cell 14 3 4 2 2 2" xfId="16014" xr:uid="{5B95BBD6-609C-48A3-BE90-6121B98651A9}"/>
    <cellStyle name="Linked Cell 14 3 4 2 3" xfId="16015" xr:uid="{6E59B893-D36F-4C18-BBFB-33C775368F31}"/>
    <cellStyle name="Linked Cell 14 3 4 3" xfId="16016" xr:uid="{B7E9EFDD-3A8B-4D1A-A4F1-A363F8F1EDF6}"/>
    <cellStyle name="Linked Cell 14 3 4 3 2" xfId="16017" xr:uid="{CCF31DF7-5AC3-4F7E-AE89-5CB4632FD3FC}"/>
    <cellStyle name="Linked Cell 14 3 4 3 2 2" xfId="16018" xr:uid="{9D8DBB1C-58E9-4FE7-82D0-B2FD5E5C9619}"/>
    <cellStyle name="Linked Cell 14 3 4 3 3" xfId="16019" xr:uid="{5AA3A8E7-11D9-4FC1-85C8-0DF0CCDA363F}"/>
    <cellStyle name="Linked Cell 14 3 4 4" xfId="16020" xr:uid="{FF5D62DE-876B-4C0A-A23F-ECD72DD2B180}"/>
    <cellStyle name="Linked Cell 14 3 4 4 2" xfId="16021" xr:uid="{25D9372D-51A8-448D-BC80-BC3E430AD9D6}"/>
    <cellStyle name="Linked Cell 14 3 4 4 2 2" xfId="16022" xr:uid="{7FCC49AD-0FFC-44AB-8C47-4ED31BDEFB22}"/>
    <cellStyle name="Linked Cell 14 3 4 4 3" xfId="16023" xr:uid="{A823D8FE-B655-4795-B236-82C4F30A937A}"/>
    <cellStyle name="Linked Cell 14 3 4 5" xfId="16024" xr:uid="{F7F3FC22-B9D2-43D3-A2EF-1BACF083E108}"/>
    <cellStyle name="Linked Cell 14 3 4 5 2" xfId="16025" xr:uid="{5A976B87-D205-4618-A97A-F6BB05193312}"/>
    <cellStyle name="Linked Cell 14 3 4 5 2 2" xfId="16026" xr:uid="{0F505FF6-4510-437D-B8F4-BA0F0BC4EC9F}"/>
    <cellStyle name="Linked Cell 14 3 4 5 3" xfId="16027" xr:uid="{A82E2353-EACE-4C65-87BC-0307A226ECA3}"/>
    <cellStyle name="Linked Cell 14 3 4 6" xfId="16028" xr:uid="{659C9A52-5C2C-43D3-AE43-6B1E62FEAEE2}"/>
    <cellStyle name="Linked Cell 14 3 4 6 2" xfId="16029" xr:uid="{3B71CD37-9C5C-4AE4-AE06-93CB2AF939D3}"/>
    <cellStyle name="Linked Cell 14 3 4 6 2 2" xfId="16030" xr:uid="{80005FD6-567B-42F8-B07A-17D92DDE13B7}"/>
    <cellStyle name="Linked Cell 14 3 4 6 3" xfId="16031" xr:uid="{DC1A1137-B4BF-472B-B88E-DD153753A34C}"/>
    <cellStyle name="Linked Cell 14 3 4 7" xfId="16032" xr:uid="{5E17EA7A-2BAC-4999-9CFA-1E22067B921C}"/>
    <cellStyle name="Linked Cell 14 3 4 7 2" xfId="16033" xr:uid="{74CB4F5C-51F4-4FE7-B41A-28D6F5A94F8B}"/>
    <cellStyle name="Linked Cell 14 3 4 7 2 2" xfId="16034" xr:uid="{507816D3-7A3D-4DA7-9C5F-CBCC4F549309}"/>
    <cellStyle name="Linked Cell 14 3 4 7 3" xfId="16035" xr:uid="{29B566A3-4E6F-43F1-AE3D-63F4D90A1D21}"/>
    <cellStyle name="Linked Cell 14 3 4 8" xfId="16036" xr:uid="{F65EAB38-7D52-497A-8BBA-71CBBFC8D2F3}"/>
    <cellStyle name="Linked Cell 14 3 4 8 2" xfId="16037" xr:uid="{7A4E270F-2350-4E75-9375-E072805C140F}"/>
    <cellStyle name="Linked Cell 14 3 4 8 2 2" xfId="16038" xr:uid="{37AF36A4-0498-450B-B68D-E5C6BB200E66}"/>
    <cellStyle name="Linked Cell 14 3 4 8 3" xfId="16039" xr:uid="{05E2BA6E-6927-49C3-9DF2-157D35C52633}"/>
    <cellStyle name="Linked Cell 14 3 4 9" xfId="16040" xr:uid="{AC3926B0-B941-452D-AC92-2926B2BDA0AB}"/>
    <cellStyle name="Linked Cell 14 3 4 9 2" xfId="16041" xr:uid="{846D217A-619F-402F-8922-D9148E802D33}"/>
    <cellStyle name="Linked Cell 14 3 4 9 2 2" xfId="16042" xr:uid="{3D5D13FF-6934-4040-8F94-CEDE60BEF656}"/>
    <cellStyle name="Linked Cell 14 3 4 9 3" xfId="16043" xr:uid="{67D2FD06-9157-44FE-AB8B-A841680FEF28}"/>
    <cellStyle name="Linked Cell 14 3 5" xfId="16044" xr:uid="{91AA02B3-78AC-4B1C-8811-617C6E4AA640}"/>
    <cellStyle name="Linked Cell 14 3 5 2" xfId="16045" xr:uid="{68C3C8B8-335A-46D3-ADF5-28754ACC74C3}"/>
    <cellStyle name="Linked Cell 14 3 5 2 2" xfId="16046" xr:uid="{78375196-D4DD-4F7F-A188-D2DD048532A8}"/>
    <cellStyle name="Linked Cell 14 3 5 3" xfId="16047" xr:uid="{4483DFA4-25CF-4547-A564-24BDFBEF8EB4}"/>
    <cellStyle name="Linked Cell 14 3 6" xfId="16048" xr:uid="{85C28877-7A55-431D-9B17-A39D4E95D2DE}"/>
    <cellStyle name="Linked Cell 14 3 6 2" xfId="16049" xr:uid="{20B6FC8B-243A-40FE-B89E-E2AD6FB86F93}"/>
    <cellStyle name="Linked Cell 14 3 6 2 2" xfId="16050" xr:uid="{E9A187F9-A74D-4018-AC8B-28446C466843}"/>
    <cellStyle name="Linked Cell 14 3 6 3" xfId="16051" xr:uid="{F1AB7B72-D09C-48BA-B3BE-B0814645F6EE}"/>
    <cellStyle name="Linked Cell 14 3 7" xfId="16052" xr:uid="{240E7E21-320B-49BB-83A0-ECD2189609B9}"/>
    <cellStyle name="Linked Cell 14 3 7 2" xfId="16053" xr:uid="{2B0C7440-8716-4EDC-8D7A-F2ADED931BFD}"/>
    <cellStyle name="Linked Cell 14 3 7 2 2" xfId="16054" xr:uid="{1D5EA461-4FB8-4718-8336-9B506605B065}"/>
    <cellStyle name="Linked Cell 14 3 7 3" xfId="16055" xr:uid="{DEBB44D7-0545-460E-925B-2CDDB8DFDDA6}"/>
    <cellStyle name="Linked Cell 14 3 8" xfId="16056" xr:uid="{CFE46203-EE17-4B57-A597-99616A77DD91}"/>
    <cellStyle name="Linked Cell 14 3 8 2" xfId="16057" xr:uid="{173FA792-FDF8-49B6-8713-B17BD82363D3}"/>
    <cellStyle name="Linked Cell 14 3 8 2 2" xfId="16058" xr:uid="{36B20F2A-132C-49A0-820B-9D9BB0D8DE20}"/>
    <cellStyle name="Linked Cell 14 3 8 3" xfId="16059" xr:uid="{2A9ADAEA-B0E9-45A9-91AF-6EB58E563066}"/>
    <cellStyle name="Linked Cell 14 3 9" xfId="16060" xr:uid="{1C5E5551-1F6D-4CA5-A99B-AB68688C0EAD}"/>
    <cellStyle name="Linked Cell 14 3 9 2" xfId="16061" xr:uid="{3D9209BC-36CC-40FD-ABDE-DB956F914B72}"/>
    <cellStyle name="Linked Cell 14 3 9 2 2" xfId="16062" xr:uid="{CA618673-D8E4-4E1F-9CFF-82BB2F89C018}"/>
    <cellStyle name="Linked Cell 14 3 9 3" xfId="16063" xr:uid="{BA2EAE92-190B-4BD5-8229-01D7D46AE60C}"/>
    <cellStyle name="Linked Cell 14 4" xfId="16064" xr:uid="{75DF221C-53BA-4DAF-A725-04D057D803E7}"/>
    <cellStyle name="Linked Cell 14 4 10" xfId="16065" xr:uid="{4A5CDA89-C9FD-459B-B11A-CC0721CF4F52}"/>
    <cellStyle name="Linked Cell 14 4 10 2" xfId="16066" xr:uid="{99FE6D90-E39D-43B4-BCD1-14E677160A4E}"/>
    <cellStyle name="Linked Cell 14 4 10 2 2" xfId="16067" xr:uid="{D4166A67-F1B7-4E20-A2F1-678A6A76B303}"/>
    <cellStyle name="Linked Cell 14 4 10 3" xfId="16068" xr:uid="{D3883203-DCC9-43C2-A264-3B2586A1AD39}"/>
    <cellStyle name="Linked Cell 14 4 11" xfId="16069" xr:uid="{571CDF06-A905-436F-8D6F-E05DFE581A3B}"/>
    <cellStyle name="Linked Cell 14 4 11 2" xfId="16070" xr:uid="{1169FCE9-3D3A-4BDC-A196-2346706AADE2}"/>
    <cellStyle name="Linked Cell 14 4 11 2 2" xfId="16071" xr:uid="{D0AE3D39-227C-4A07-B088-F3243D2DA908}"/>
    <cellStyle name="Linked Cell 14 4 11 3" xfId="16072" xr:uid="{E0056BE5-E075-4840-9551-C9C55DDF529B}"/>
    <cellStyle name="Linked Cell 14 4 12" xfId="16073" xr:uid="{37338A48-70D4-49AF-B328-5CE1F6B475EA}"/>
    <cellStyle name="Linked Cell 14 4 12 2" xfId="16074" xr:uid="{4C618A72-1BC5-4E42-84FC-BFAAD305DB97}"/>
    <cellStyle name="Linked Cell 14 4 13" xfId="16075" xr:uid="{3D5F6DE3-EC6B-4CAD-BC23-D4AF72E02003}"/>
    <cellStyle name="Linked Cell 14 4 2" xfId="16076" xr:uid="{65B70699-BC27-436B-A7C3-40A5D6B86C26}"/>
    <cellStyle name="Linked Cell 14 4 2 10" xfId="16077" xr:uid="{5D04D26F-280B-49D1-B830-7E522261CEC5}"/>
    <cellStyle name="Linked Cell 14 4 2 10 2" xfId="16078" xr:uid="{EA8B406F-D5BE-4077-904E-38571D4494ED}"/>
    <cellStyle name="Linked Cell 14 4 2 10 2 2" xfId="16079" xr:uid="{E31E46B2-9573-47E9-A140-EDE224BE3171}"/>
    <cellStyle name="Linked Cell 14 4 2 10 3" xfId="16080" xr:uid="{B01A8640-ACB7-411F-86BF-47B3C15E26CA}"/>
    <cellStyle name="Linked Cell 14 4 2 11" xfId="16081" xr:uid="{F5500056-75E3-4894-8340-E0B6D2A3400B}"/>
    <cellStyle name="Linked Cell 14 4 2 11 2" xfId="16082" xr:uid="{AD7D2B8D-9A86-4038-8143-64C5C3EB3AC0}"/>
    <cellStyle name="Linked Cell 14 4 2 12" xfId="16083" xr:uid="{62F7165A-546B-42A7-96E5-D59749E747BF}"/>
    <cellStyle name="Linked Cell 14 4 2 2" xfId="16084" xr:uid="{5EAA9F84-40F5-4996-B9C5-5F694C1305B4}"/>
    <cellStyle name="Linked Cell 14 4 2 2 2" xfId="16085" xr:uid="{C6D9B245-4054-4B07-9076-87612F7191BF}"/>
    <cellStyle name="Linked Cell 14 4 2 2 2 2" xfId="16086" xr:uid="{58E04440-766E-44AF-9F75-4B9D269CD775}"/>
    <cellStyle name="Linked Cell 14 4 2 2 3" xfId="16087" xr:uid="{438BCACB-5D01-4466-9A70-D11C31A50B5D}"/>
    <cellStyle name="Linked Cell 14 4 2 3" xfId="16088" xr:uid="{D009B5E2-5DED-4097-8614-2D6C3FE0BB66}"/>
    <cellStyle name="Linked Cell 14 4 2 3 2" xfId="16089" xr:uid="{CF8A0128-4276-4A26-B626-64A0F01DE0D0}"/>
    <cellStyle name="Linked Cell 14 4 2 3 2 2" xfId="16090" xr:uid="{38B16E35-C50E-4C80-912D-FD787027BA70}"/>
    <cellStyle name="Linked Cell 14 4 2 3 3" xfId="16091" xr:uid="{BEBCBCB8-971C-4774-8665-91C5DB861139}"/>
    <cellStyle name="Linked Cell 14 4 2 4" xfId="16092" xr:uid="{AC722603-A0D2-425A-B33A-2F4282B3F210}"/>
    <cellStyle name="Linked Cell 14 4 2 4 2" xfId="16093" xr:uid="{475391B8-24AD-47D0-AC08-8B0ADE8C87F3}"/>
    <cellStyle name="Linked Cell 14 4 2 4 2 2" xfId="16094" xr:uid="{A9A02054-055E-496D-AF40-D79C80695491}"/>
    <cellStyle name="Linked Cell 14 4 2 4 3" xfId="16095" xr:uid="{D0F836D6-FA56-4128-9EB7-3F10E1ED11F3}"/>
    <cellStyle name="Linked Cell 14 4 2 5" xfId="16096" xr:uid="{8893FD72-FA80-4E22-A619-E14819204D7D}"/>
    <cellStyle name="Linked Cell 14 4 2 5 2" xfId="16097" xr:uid="{D1B635E1-649B-45E1-95FC-25867CF8AC42}"/>
    <cellStyle name="Linked Cell 14 4 2 5 2 2" xfId="16098" xr:uid="{A78DB150-6245-412A-834A-FAB2B9D4F45D}"/>
    <cellStyle name="Linked Cell 14 4 2 5 3" xfId="16099" xr:uid="{7E0DC289-AB18-4A10-931C-FB03BC8E160C}"/>
    <cellStyle name="Linked Cell 14 4 2 6" xfId="16100" xr:uid="{0BC8C2E1-ACA7-4360-90D6-6586058CC48A}"/>
    <cellStyle name="Linked Cell 14 4 2 6 2" xfId="16101" xr:uid="{2ABC73B8-E2A7-4293-A814-C7AAE57FDCC6}"/>
    <cellStyle name="Linked Cell 14 4 2 6 2 2" xfId="16102" xr:uid="{7F7E8FB6-E773-45B6-84B8-00D7989A93D2}"/>
    <cellStyle name="Linked Cell 14 4 2 6 3" xfId="16103" xr:uid="{42B9ACB7-B66E-4115-93AB-DBFF9DADD18C}"/>
    <cellStyle name="Linked Cell 14 4 2 7" xfId="16104" xr:uid="{B5C024C6-8C3E-4980-BC80-3CF2F651EB1D}"/>
    <cellStyle name="Linked Cell 14 4 2 7 2" xfId="16105" xr:uid="{3ED99F0E-BAF5-4485-817F-87A05E321B69}"/>
    <cellStyle name="Linked Cell 14 4 2 7 2 2" xfId="16106" xr:uid="{11C2BAE9-4737-42BA-B414-20C12128485A}"/>
    <cellStyle name="Linked Cell 14 4 2 7 3" xfId="16107" xr:uid="{3B097BEF-FE44-4AEC-AD04-36006CC4A992}"/>
    <cellStyle name="Linked Cell 14 4 2 8" xfId="16108" xr:uid="{2B1F5D90-D815-4446-8B43-0E83BBDE45C2}"/>
    <cellStyle name="Linked Cell 14 4 2 8 2" xfId="16109" xr:uid="{4E7349DD-5816-49CB-AE2A-16F0D3AA6C88}"/>
    <cellStyle name="Linked Cell 14 4 2 8 2 2" xfId="16110" xr:uid="{4F3A3DFA-A662-4E96-BFDF-EAD3E23E18BC}"/>
    <cellStyle name="Linked Cell 14 4 2 8 3" xfId="16111" xr:uid="{420B9480-86D3-454B-81B5-4BD2A00985EB}"/>
    <cellStyle name="Linked Cell 14 4 2 9" xfId="16112" xr:uid="{BBB456FB-30A2-46E2-BC0C-430E2706E353}"/>
    <cellStyle name="Linked Cell 14 4 2 9 2" xfId="16113" xr:uid="{63375F7A-FC2A-448E-BC67-1D8ED83C18CD}"/>
    <cellStyle name="Linked Cell 14 4 2 9 2 2" xfId="16114" xr:uid="{58FF3014-1A2F-4D91-8B86-A61DC4DB200F}"/>
    <cellStyle name="Linked Cell 14 4 2 9 3" xfId="16115" xr:uid="{618B2F88-2A11-4FC2-AD0C-D6F0EED24404}"/>
    <cellStyle name="Linked Cell 14 4 3" xfId="16116" xr:uid="{7E9C4A7E-06DC-4C82-AC50-467093AF7FC4}"/>
    <cellStyle name="Linked Cell 14 4 3 10" xfId="16117" xr:uid="{67F133C1-6C44-4B73-9DE3-363648E6AD10}"/>
    <cellStyle name="Linked Cell 14 4 3 10 2" xfId="16118" xr:uid="{A3A0BC61-2DF3-484E-9FAF-72703AF967CA}"/>
    <cellStyle name="Linked Cell 14 4 3 11" xfId="16119" xr:uid="{6D1965E2-8BA0-4DB6-B982-80284869A573}"/>
    <cellStyle name="Linked Cell 14 4 3 2" xfId="16120" xr:uid="{2DA39B65-1534-484B-8ECE-4C0569F4E3AE}"/>
    <cellStyle name="Linked Cell 14 4 3 2 2" xfId="16121" xr:uid="{A5C751D7-4CB6-4E53-B91B-A523987CA6AB}"/>
    <cellStyle name="Linked Cell 14 4 3 2 2 2" xfId="16122" xr:uid="{E253822C-AE19-4560-8D76-A6185A0ECC90}"/>
    <cellStyle name="Linked Cell 14 4 3 2 3" xfId="16123" xr:uid="{179BB779-F521-4C3F-ADD3-4E9ED946042A}"/>
    <cellStyle name="Linked Cell 14 4 3 3" xfId="16124" xr:uid="{745D3D5B-B601-4360-8478-5F640BC669B2}"/>
    <cellStyle name="Linked Cell 14 4 3 3 2" xfId="16125" xr:uid="{FFC1E24E-07CF-485A-BC95-DAA2C8EF57D1}"/>
    <cellStyle name="Linked Cell 14 4 3 3 2 2" xfId="16126" xr:uid="{92E5DFCC-28F7-41E8-8043-2A88E86275B8}"/>
    <cellStyle name="Linked Cell 14 4 3 3 3" xfId="16127" xr:uid="{9FA72B75-7FC8-4B3F-A7B4-29BA9D4FF036}"/>
    <cellStyle name="Linked Cell 14 4 3 4" xfId="16128" xr:uid="{72F0A156-6EFF-4615-B16B-EB16EB97620E}"/>
    <cellStyle name="Linked Cell 14 4 3 4 2" xfId="16129" xr:uid="{53A5EE3B-C5A5-4A72-852F-71FA46AB8454}"/>
    <cellStyle name="Linked Cell 14 4 3 4 2 2" xfId="16130" xr:uid="{D3D429C7-E4BC-4B95-948B-7F1464BC8E4C}"/>
    <cellStyle name="Linked Cell 14 4 3 4 3" xfId="16131" xr:uid="{A8620CA0-4A50-4510-9C15-C687201F634F}"/>
    <cellStyle name="Linked Cell 14 4 3 5" xfId="16132" xr:uid="{379A381D-7B36-419E-B31F-AFD6D4BFBA1A}"/>
    <cellStyle name="Linked Cell 14 4 3 5 2" xfId="16133" xr:uid="{9FCDC49B-B016-4B3C-957D-161E1A0E1CE2}"/>
    <cellStyle name="Linked Cell 14 4 3 5 2 2" xfId="16134" xr:uid="{9378BA35-2AF7-4FBD-A54A-84B0E5EA29A3}"/>
    <cellStyle name="Linked Cell 14 4 3 5 3" xfId="16135" xr:uid="{0F6D4232-EBC7-43B0-8B9C-195698575C5D}"/>
    <cellStyle name="Linked Cell 14 4 3 6" xfId="16136" xr:uid="{523C926D-3057-4EFA-BCFB-BF7B655FC3EA}"/>
    <cellStyle name="Linked Cell 14 4 3 6 2" xfId="16137" xr:uid="{B80E7DCA-86BD-4E98-B70D-F7CE726FC832}"/>
    <cellStyle name="Linked Cell 14 4 3 6 2 2" xfId="16138" xr:uid="{E061DA0D-A629-4E91-A1D3-C33E3BA40A0D}"/>
    <cellStyle name="Linked Cell 14 4 3 6 3" xfId="16139" xr:uid="{5EFE5E3D-B0D3-4B85-B91C-F6803A86076C}"/>
    <cellStyle name="Linked Cell 14 4 3 7" xfId="16140" xr:uid="{2D09A3C1-1A22-4485-98D8-12AA02ACFA07}"/>
    <cellStyle name="Linked Cell 14 4 3 7 2" xfId="16141" xr:uid="{BD096C3E-5CB5-4974-9C66-EE4F95CEE0E0}"/>
    <cellStyle name="Linked Cell 14 4 3 7 2 2" xfId="16142" xr:uid="{1C70CECF-7CA4-4379-81C1-2D25BF8AC10C}"/>
    <cellStyle name="Linked Cell 14 4 3 7 3" xfId="16143" xr:uid="{D21DA168-37E7-45EF-B555-767C33C954DE}"/>
    <cellStyle name="Linked Cell 14 4 3 8" xfId="16144" xr:uid="{9BB37BB4-60F5-4999-A900-FEB8E7B7DDF3}"/>
    <cellStyle name="Linked Cell 14 4 3 8 2" xfId="16145" xr:uid="{DE03A119-8380-4A51-9B3B-CFADDB7F1330}"/>
    <cellStyle name="Linked Cell 14 4 3 8 2 2" xfId="16146" xr:uid="{2FC35E98-D57E-402F-A15F-61CE17E85610}"/>
    <cellStyle name="Linked Cell 14 4 3 8 3" xfId="16147" xr:uid="{E34F376D-F00E-4AEB-9FE4-7F2B3779F878}"/>
    <cellStyle name="Linked Cell 14 4 3 9" xfId="16148" xr:uid="{FA64B224-077C-4BFE-AA44-2B262A638CB7}"/>
    <cellStyle name="Linked Cell 14 4 3 9 2" xfId="16149" xr:uid="{A264A367-AFAB-42A0-AA5F-07B18E7D4CAC}"/>
    <cellStyle name="Linked Cell 14 4 3 9 2 2" xfId="16150" xr:uid="{78CD6DDF-AB8E-44DA-BE98-438AD7AEEE78}"/>
    <cellStyle name="Linked Cell 14 4 3 9 3" xfId="16151" xr:uid="{9DFF1809-375C-4CEC-B37F-0543B7260F7F}"/>
    <cellStyle name="Linked Cell 14 4 4" xfId="16152" xr:uid="{2A7E730D-54C5-4D1A-859D-A0BB56B645D1}"/>
    <cellStyle name="Linked Cell 14 4 4 2" xfId="16153" xr:uid="{A578A0AC-0C0D-4D22-9E05-7454C7713747}"/>
    <cellStyle name="Linked Cell 14 4 4 2 2" xfId="16154" xr:uid="{C67BB189-C22A-424F-B3DB-F8571518B7EB}"/>
    <cellStyle name="Linked Cell 14 4 4 3" xfId="16155" xr:uid="{F29C4E27-8D6A-4006-9F8C-25431B535678}"/>
    <cellStyle name="Linked Cell 14 4 5" xfId="16156" xr:uid="{24993732-AB4D-4CE8-9A98-866CF571F014}"/>
    <cellStyle name="Linked Cell 14 4 5 2" xfId="16157" xr:uid="{71D69903-03F3-41FD-95A5-B65BD8788867}"/>
    <cellStyle name="Linked Cell 14 4 5 2 2" xfId="16158" xr:uid="{8980F692-B2EC-4C1C-896E-1417C33025DB}"/>
    <cellStyle name="Linked Cell 14 4 5 3" xfId="16159" xr:uid="{DFC9DC89-7911-4882-9AD1-FE600333CFA9}"/>
    <cellStyle name="Linked Cell 14 4 6" xfId="16160" xr:uid="{FA8BC6E8-02CF-4072-AC76-CDA99464E202}"/>
    <cellStyle name="Linked Cell 14 4 6 2" xfId="16161" xr:uid="{6DA7D78E-FF82-4059-8B85-9AEF1D61C3B0}"/>
    <cellStyle name="Linked Cell 14 4 6 2 2" xfId="16162" xr:uid="{0B549205-803F-4A8A-B4BE-749A64060847}"/>
    <cellStyle name="Linked Cell 14 4 6 3" xfId="16163" xr:uid="{D9228AD9-3094-4EDF-BA2C-FD9E3D9BF364}"/>
    <cellStyle name="Linked Cell 14 4 7" xfId="16164" xr:uid="{77D66493-604C-461F-9B19-90482C907644}"/>
    <cellStyle name="Linked Cell 14 4 7 2" xfId="16165" xr:uid="{08A3544D-8671-464A-9930-BDDC73FA2186}"/>
    <cellStyle name="Linked Cell 14 4 7 2 2" xfId="16166" xr:uid="{C1720B15-C0C0-4AE4-884F-91D827A2B9C0}"/>
    <cellStyle name="Linked Cell 14 4 7 3" xfId="16167" xr:uid="{356839FF-77BB-4024-B85E-65302D1BA99D}"/>
    <cellStyle name="Linked Cell 14 4 8" xfId="16168" xr:uid="{A115EE16-B4DA-4CA4-8023-AE73632941DA}"/>
    <cellStyle name="Linked Cell 14 4 8 2" xfId="16169" xr:uid="{3AEA28CF-08E5-48DB-AB1E-2497C32D168B}"/>
    <cellStyle name="Linked Cell 14 4 8 2 2" xfId="16170" xr:uid="{1A4F3ECA-5609-44AA-B2BB-78CE6B2167A1}"/>
    <cellStyle name="Linked Cell 14 4 8 3" xfId="16171" xr:uid="{79503DC5-3FA2-45B0-80F0-7DE27433373A}"/>
    <cellStyle name="Linked Cell 14 4 9" xfId="16172" xr:uid="{6EF1065B-5AED-4D24-8481-55ADB5015F93}"/>
    <cellStyle name="Linked Cell 14 4 9 2" xfId="16173" xr:uid="{33F19201-0290-4508-BDF9-102932955F0F}"/>
    <cellStyle name="Linked Cell 14 4 9 2 2" xfId="16174" xr:uid="{2A437025-001E-4BCB-89F2-887DD9E0B464}"/>
    <cellStyle name="Linked Cell 14 4 9 3" xfId="16175" xr:uid="{93F8A403-BF34-4277-BE4D-2274948971F0}"/>
    <cellStyle name="Linked Cell 15" xfId="16176" xr:uid="{E63DD67F-DD2A-4213-B18D-457602712CDE}"/>
    <cellStyle name="Linked Cell 15 2" xfId="16177" xr:uid="{2C8255A9-C92F-41F6-86A0-1A5FF7A1E44F}"/>
    <cellStyle name="Linked Cell 15 2 10" xfId="16178" xr:uid="{9D083002-E2CC-448D-932D-71E60E2B9318}"/>
    <cellStyle name="Linked Cell 15 2 10 2" xfId="16179" xr:uid="{C4231B74-FBB8-4C1E-B576-87849A79673C}"/>
    <cellStyle name="Linked Cell 15 2 10 2 2" xfId="16180" xr:uid="{68A0A036-B836-4CA5-B524-B80EEDF24D91}"/>
    <cellStyle name="Linked Cell 15 2 10 3" xfId="16181" xr:uid="{58F9F19A-B516-4D0B-9EA9-1B59CF788589}"/>
    <cellStyle name="Linked Cell 15 2 11" xfId="16182" xr:uid="{F90FD6DD-BDBC-4F2A-97A2-50408050AC49}"/>
    <cellStyle name="Linked Cell 15 2 11 2" xfId="16183" xr:uid="{9BFE7CF5-3D2B-4BB4-AEAB-0C777E77B68A}"/>
    <cellStyle name="Linked Cell 15 2 11 2 2" xfId="16184" xr:uid="{DC611298-1354-4F19-B54B-DE638BFF7CF0}"/>
    <cellStyle name="Linked Cell 15 2 11 3" xfId="16185" xr:uid="{66BA3C79-057D-4C85-97BF-94F25531F477}"/>
    <cellStyle name="Linked Cell 15 2 12" xfId="16186" xr:uid="{43576206-C4FE-449B-BB58-90518338BC75}"/>
    <cellStyle name="Linked Cell 15 2 12 2" xfId="16187" xr:uid="{D8FE0381-0781-43C8-AF34-99D382F27715}"/>
    <cellStyle name="Linked Cell 15 2 12 2 2" xfId="16188" xr:uid="{F7D202E1-498A-43B9-9A26-E79D8A83D550}"/>
    <cellStyle name="Linked Cell 15 2 12 3" xfId="16189" xr:uid="{2A3D8130-D25F-45CA-A09F-CD85417AA87A}"/>
    <cellStyle name="Linked Cell 15 2 13" xfId="16190" xr:uid="{48911201-D9D8-4C17-8BBF-BD80898727C8}"/>
    <cellStyle name="Linked Cell 15 2 13 2" xfId="16191" xr:uid="{25BF17D9-0521-4CF6-8AA5-4C75BD4B3B75}"/>
    <cellStyle name="Linked Cell 15 2 13 2 2" xfId="16192" xr:uid="{747F3350-FA6B-4347-A66F-28D2E6EACB6B}"/>
    <cellStyle name="Linked Cell 15 2 13 3" xfId="16193" xr:uid="{F7BCF1C2-4DCD-4BC8-AF38-7B5B945D330A}"/>
    <cellStyle name="Linked Cell 15 2 14" xfId="16194" xr:uid="{28C62353-A5F6-42B0-9E6E-56D2B5B793C6}"/>
    <cellStyle name="Linked Cell 15 2 14 2" xfId="16195" xr:uid="{F4CD1B85-7BDA-4A67-A294-94954A4D29BC}"/>
    <cellStyle name="Linked Cell 15 2 15" xfId="16196" xr:uid="{5C70445C-01B0-4367-BCA0-EF5AA5FC5280}"/>
    <cellStyle name="Linked Cell 15 2 2" xfId="16197" xr:uid="{66B5CC78-7770-40FD-8DC2-D2D0F0052219}"/>
    <cellStyle name="Linked Cell 15 2 2 10" xfId="16198" xr:uid="{39B704A4-C313-4E24-B7C8-E2978009FB75}"/>
    <cellStyle name="Linked Cell 15 2 2 10 2" xfId="16199" xr:uid="{E825AFA6-D243-4D55-BC1C-268788BE479D}"/>
    <cellStyle name="Linked Cell 15 2 2 10 2 2" xfId="16200" xr:uid="{32843F77-D048-4A6D-B355-940234278CF8}"/>
    <cellStyle name="Linked Cell 15 2 2 10 3" xfId="16201" xr:uid="{343CBDCE-3D0C-4634-BF19-F16EA266821F}"/>
    <cellStyle name="Linked Cell 15 2 2 11" xfId="16202" xr:uid="{9C56EE53-CDBA-4D45-9B60-EA9983A76CB8}"/>
    <cellStyle name="Linked Cell 15 2 2 11 2" xfId="16203" xr:uid="{6A893298-4A3E-4773-A4FA-87DB30DA212D}"/>
    <cellStyle name="Linked Cell 15 2 2 11 2 2" xfId="16204" xr:uid="{8CA1D6EE-C60E-427F-A365-54EFEBA492A9}"/>
    <cellStyle name="Linked Cell 15 2 2 11 3" xfId="16205" xr:uid="{DAF01E56-BA63-403E-82F8-D1A5DEB3EDAE}"/>
    <cellStyle name="Linked Cell 15 2 2 12" xfId="16206" xr:uid="{79EBC240-CFA4-455D-BC7D-94A5721C60B3}"/>
    <cellStyle name="Linked Cell 15 2 2 12 2" xfId="16207" xr:uid="{FB4C1AF2-5F64-4C0D-85FC-BAE5892D5BAD}"/>
    <cellStyle name="Linked Cell 15 2 2 12 2 2" xfId="16208" xr:uid="{46454211-5900-472B-B59F-E5E980659F69}"/>
    <cellStyle name="Linked Cell 15 2 2 12 3" xfId="16209" xr:uid="{B243F52A-7803-4AFE-A09F-0085B7CF72D3}"/>
    <cellStyle name="Linked Cell 15 2 2 13" xfId="16210" xr:uid="{1AF8719F-3B73-437E-91DC-A811C1152A22}"/>
    <cellStyle name="Linked Cell 15 2 2 13 2" xfId="16211" xr:uid="{7D1F0ED5-C2B9-40C3-AA05-9364FFFF425F}"/>
    <cellStyle name="Linked Cell 15 2 2 14" xfId="16212" xr:uid="{E92C62DF-472B-4A47-B0DA-CEA251CAEDAB}"/>
    <cellStyle name="Linked Cell 15 2 2 2" xfId="16213" xr:uid="{329D6DB0-7621-4DA8-8C3C-EDF857132FE4}"/>
    <cellStyle name="Linked Cell 15 2 2 2 10" xfId="16214" xr:uid="{10C96BCD-AE96-4181-9FE3-3D679B847254}"/>
    <cellStyle name="Linked Cell 15 2 2 2 10 2" xfId="16215" xr:uid="{29D722DA-09D3-4D44-B961-B27A819475FF}"/>
    <cellStyle name="Linked Cell 15 2 2 2 10 2 2" xfId="16216" xr:uid="{7C319C69-A5D8-4923-A1B7-D3D071DF26B1}"/>
    <cellStyle name="Linked Cell 15 2 2 2 10 3" xfId="16217" xr:uid="{E55776B7-24C1-413B-9B5B-2F1EFD7AA434}"/>
    <cellStyle name="Linked Cell 15 2 2 2 11" xfId="16218" xr:uid="{52DFC807-495F-4095-800A-8488AD7971D4}"/>
    <cellStyle name="Linked Cell 15 2 2 2 11 2" xfId="16219" xr:uid="{9DC1BD13-E3E8-40E3-9CA2-2F722D31878B}"/>
    <cellStyle name="Linked Cell 15 2 2 2 11 2 2" xfId="16220" xr:uid="{31B8DA72-40B7-45F0-9F76-6783CF7B3834}"/>
    <cellStyle name="Linked Cell 15 2 2 2 11 3" xfId="16221" xr:uid="{7C2EAAED-78B3-479D-AB0D-D880049FF30C}"/>
    <cellStyle name="Linked Cell 15 2 2 2 12" xfId="16222" xr:uid="{CBFC97FE-F5A6-4E66-8061-9311386BCE20}"/>
    <cellStyle name="Linked Cell 15 2 2 2 12 2" xfId="16223" xr:uid="{105C75B6-8434-48DF-81B9-DD4D844CDFB1}"/>
    <cellStyle name="Linked Cell 15 2 2 2 13" xfId="16224" xr:uid="{7591C10D-B418-4FCB-9E66-7D91BE07320C}"/>
    <cellStyle name="Linked Cell 15 2 2 2 2" xfId="16225" xr:uid="{53E069C9-9DA3-49FD-A767-673E9796AA1F}"/>
    <cellStyle name="Linked Cell 15 2 2 2 2 10" xfId="16226" xr:uid="{29D096A9-7D9E-4D5D-BE20-4200E5A8FE0B}"/>
    <cellStyle name="Linked Cell 15 2 2 2 2 10 2" xfId="16227" xr:uid="{A614E7BD-99A1-4011-85D3-C57A4056CF76}"/>
    <cellStyle name="Linked Cell 15 2 2 2 2 10 2 2" xfId="16228" xr:uid="{4C3DD44F-238E-4184-B5BF-27AB2385D2A6}"/>
    <cellStyle name="Linked Cell 15 2 2 2 2 10 3" xfId="16229" xr:uid="{6806F210-8841-4806-BFD5-BFCC43364D11}"/>
    <cellStyle name="Linked Cell 15 2 2 2 2 11" xfId="16230" xr:uid="{FB1D9807-41C4-4C6D-87F9-FD029619B3A4}"/>
    <cellStyle name="Linked Cell 15 2 2 2 2 11 2" xfId="16231" xr:uid="{A3FD952E-B09E-4EF2-A02D-DBB67E9F9BAE}"/>
    <cellStyle name="Linked Cell 15 2 2 2 2 12" xfId="16232" xr:uid="{E7DE1028-EC6F-4F8E-9AB8-DAF111F9004A}"/>
    <cellStyle name="Linked Cell 15 2 2 2 2 2" xfId="16233" xr:uid="{C39B74CC-61C1-4BE8-8C77-70CCE1B790EA}"/>
    <cellStyle name="Linked Cell 15 2 2 2 2 2 2" xfId="16234" xr:uid="{3BCF118C-34C5-4B1B-B963-E3B7FA0C7226}"/>
    <cellStyle name="Linked Cell 15 2 2 2 2 2 2 2" xfId="16235" xr:uid="{ADCCCD33-BDE6-4625-BC2E-80E602518180}"/>
    <cellStyle name="Linked Cell 15 2 2 2 2 2 3" xfId="16236" xr:uid="{D42096ED-FB72-417C-9385-F950061F85F8}"/>
    <cellStyle name="Linked Cell 15 2 2 2 2 3" xfId="16237" xr:uid="{7F38A4D1-EF47-4091-A045-2D6F9CB3A690}"/>
    <cellStyle name="Linked Cell 15 2 2 2 2 3 2" xfId="16238" xr:uid="{B3BC111E-F885-4E97-8B9C-89B5C5ECB228}"/>
    <cellStyle name="Linked Cell 15 2 2 2 2 3 2 2" xfId="16239" xr:uid="{318A863D-52AD-4628-9CF0-4B695838192D}"/>
    <cellStyle name="Linked Cell 15 2 2 2 2 3 3" xfId="16240" xr:uid="{3514F7D3-F8C4-4B8B-A30A-586BB3A37415}"/>
    <cellStyle name="Linked Cell 15 2 2 2 2 4" xfId="16241" xr:uid="{C0951BA1-678C-4591-AA61-7A27A84DBAD7}"/>
    <cellStyle name="Linked Cell 15 2 2 2 2 4 2" xfId="16242" xr:uid="{BE30A2F0-5F73-4BE9-A327-EEC1BEBA1551}"/>
    <cellStyle name="Linked Cell 15 2 2 2 2 4 2 2" xfId="16243" xr:uid="{993564BA-8D76-4C24-B4FE-98DD42D0B04A}"/>
    <cellStyle name="Linked Cell 15 2 2 2 2 4 3" xfId="16244" xr:uid="{8F677064-2599-4308-93F4-B2F85AAFA7A5}"/>
    <cellStyle name="Linked Cell 15 2 2 2 2 5" xfId="16245" xr:uid="{3DDCA0BA-174F-413B-B28E-38B202F48774}"/>
    <cellStyle name="Linked Cell 15 2 2 2 2 5 2" xfId="16246" xr:uid="{953079CC-0ED3-4609-B972-0B2E94F75128}"/>
    <cellStyle name="Linked Cell 15 2 2 2 2 5 2 2" xfId="16247" xr:uid="{7189AD44-BAF4-4BE2-BE62-78510CEF08E5}"/>
    <cellStyle name="Linked Cell 15 2 2 2 2 5 3" xfId="16248" xr:uid="{6D1C0C56-BF6C-43E9-9DEB-F6246EED821B}"/>
    <cellStyle name="Linked Cell 15 2 2 2 2 6" xfId="16249" xr:uid="{248057A9-1413-40E6-97E1-0E79D018EC12}"/>
    <cellStyle name="Linked Cell 15 2 2 2 2 6 2" xfId="16250" xr:uid="{F494E26C-7CC9-4F48-98EF-457392FFE842}"/>
    <cellStyle name="Linked Cell 15 2 2 2 2 6 2 2" xfId="16251" xr:uid="{E1A5CB88-E925-4ACD-81D3-EF86A321A317}"/>
    <cellStyle name="Linked Cell 15 2 2 2 2 6 3" xfId="16252" xr:uid="{B202FA50-3822-420C-BAD8-8DD1D0CC9C00}"/>
    <cellStyle name="Linked Cell 15 2 2 2 2 7" xfId="16253" xr:uid="{36A589CB-4843-4D43-9C1F-6D13D0F2E8E4}"/>
    <cellStyle name="Linked Cell 15 2 2 2 2 7 2" xfId="16254" xr:uid="{DCDB9831-DD0C-4077-953F-750958C6B284}"/>
    <cellStyle name="Linked Cell 15 2 2 2 2 7 2 2" xfId="16255" xr:uid="{643EC671-438B-4269-B1CB-3C398BD8BB86}"/>
    <cellStyle name="Linked Cell 15 2 2 2 2 7 3" xfId="16256" xr:uid="{CA608C7C-DCD1-405E-A0F3-2479F0F35A51}"/>
    <cellStyle name="Linked Cell 15 2 2 2 2 8" xfId="16257" xr:uid="{15354ADD-E48C-447C-88A0-386894CBAB32}"/>
    <cellStyle name="Linked Cell 15 2 2 2 2 8 2" xfId="16258" xr:uid="{4581E138-229A-4EB3-93D0-514CF2482EE1}"/>
    <cellStyle name="Linked Cell 15 2 2 2 2 8 2 2" xfId="16259" xr:uid="{C8696029-8361-428E-B7F2-AAB1B0460E9E}"/>
    <cellStyle name="Linked Cell 15 2 2 2 2 8 3" xfId="16260" xr:uid="{1D2E7825-13BC-4EB7-BBD6-FF06A1FAB8D7}"/>
    <cellStyle name="Linked Cell 15 2 2 2 2 9" xfId="16261" xr:uid="{5A5147A1-F256-4CD0-AC88-89B3DCFB0F8A}"/>
    <cellStyle name="Linked Cell 15 2 2 2 2 9 2" xfId="16262" xr:uid="{143FE560-7F98-4C73-8617-BD8E0CD0548C}"/>
    <cellStyle name="Linked Cell 15 2 2 2 2 9 2 2" xfId="16263" xr:uid="{0748D640-C21A-4D0A-8383-233AB99B12AC}"/>
    <cellStyle name="Linked Cell 15 2 2 2 2 9 3" xfId="16264" xr:uid="{FA07AF36-4F64-4538-BE5A-39EE1D9D83D0}"/>
    <cellStyle name="Linked Cell 15 2 2 2 3" xfId="16265" xr:uid="{015DFC72-C81B-48ED-AEB9-8B02640A6C28}"/>
    <cellStyle name="Linked Cell 15 2 2 2 3 10" xfId="16266" xr:uid="{C2EEC953-1A6C-443D-ADCA-66DC171B4E30}"/>
    <cellStyle name="Linked Cell 15 2 2 2 3 10 2" xfId="16267" xr:uid="{5F3FEC9F-582A-4CA5-8AF6-8A1A1BB847CE}"/>
    <cellStyle name="Linked Cell 15 2 2 2 3 11" xfId="16268" xr:uid="{38134DCC-8182-485B-AAFC-992868F71346}"/>
    <cellStyle name="Linked Cell 15 2 2 2 3 2" xfId="16269" xr:uid="{C0736564-E23D-4DAE-A758-08104762AECA}"/>
    <cellStyle name="Linked Cell 15 2 2 2 3 2 2" xfId="16270" xr:uid="{0FCCB200-147D-4214-B0EA-C2DE568727E6}"/>
    <cellStyle name="Linked Cell 15 2 2 2 3 2 2 2" xfId="16271" xr:uid="{2E781916-48B5-4E08-B83D-9DE892C5EE0F}"/>
    <cellStyle name="Linked Cell 15 2 2 2 3 2 3" xfId="16272" xr:uid="{FC265E9D-0034-4B5C-8FF5-642F82480002}"/>
    <cellStyle name="Linked Cell 15 2 2 2 3 3" xfId="16273" xr:uid="{94EA086D-3365-4C51-966D-7F0EDFE84256}"/>
    <cellStyle name="Linked Cell 15 2 2 2 3 3 2" xfId="16274" xr:uid="{848063E9-165F-46C3-A6EC-609C48496DA2}"/>
    <cellStyle name="Linked Cell 15 2 2 2 3 3 2 2" xfId="16275" xr:uid="{6A1C040F-88AC-4F98-A364-CDFC940A32CD}"/>
    <cellStyle name="Linked Cell 15 2 2 2 3 3 3" xfId="16276" xr:uid="{0105A250-465C-422E-BA21-4F816C16CA4C}"/>
    <cellStyle name="Linked Cell 15 2 2 2 3 4" xfId="16277" xr:uid="{2F946CDB-8388-46B2-80A7-9B2586CD1B18}"/>
    <cellStyle name="Linked Cell 15 2 2 2 3 4 2" xfId="16278" xr:uid="{62328689-9D94-4BE7-A08C-601AC389DE53}"/>
    <cellStyle name="Linked Cell 15 2 2 2 3 4 2 2" xfId="16279" xr:uid="{5BADDF01-8E35-4BC6-98B0-73A1BBE736E7}"/>
    <cellStyle name="Linked Cell 15 2 2 2 3 4 3" xfId="16280" xr:uid="{3DAD0C81-C9B4-46FE-93C0-FD5700CD6348}"/>
    <cellStyle name="Linked Cell 15 2 2 2 3 5" xfId="16281" xr:uid="{015BAC0E-5717-43C9-AA4F-392AB0E815CD}"/>
    <cellStyle name="Linked Cell 15 2 2 2 3 5 2" xfId="16282" xr:uid="{CF8E834D-85D3-41BD-906B-CA85B6C4A0E1}"/>
    <cellStyle name="Linked Cell 15 2 2 2 3 5 2 2" xfId="16283" xr:uid="{A4039CF6-3E46-4BFB-A4CF-FC0194B4D3EE}"/>
    <cellStyle name="Linked Cell 15 2 2 2 3 5 3" xfId="16284" xr:uid="{C94D1C14-9CBB-4705-A839-4467DF0A9889}"/>
    <cellStyle name="Linked Cell 15 2 2 2 3 6" xfId="16285" xr:uid="{27801903-E91C-4308-AAB6-6E2CA266501E}"/>
    <cellStyle name="Linked Cell 15 2 2 2 3 6 2" xfId="16286" xr:uid="{88EF3017-899B-404B-9980-CD094FCE22F9}"/>
    <cellStyle name="Linked Cell 15 2 2 2 3 6 2 2" xfId="16287" xr:uid="{0EE84EF1-06C5-4156-A7A8-13E5AF65637F}"/>
    <cellStyle name="Linked Cell 15 2 2 2 3 6 3" xfId="16288" xr:uid="{E7134275-66DC-403C-B0F3-E5664F7A1006}"/>
    <cellStyle name="Linked Cell 15 2 2 2 3 7" xfId="16289" xr:uid="{7B2DCCDB-0772-454F-AFBA-AF079F4641B9}"/>
    <cellStyle name="Linked Cell 15 2 2 2 3 7 2" xfId="16290" xr:uid="{8F5C45D9-FC22-41CB-84B2-668CB250FE57}"/>
    <cellStyle name="Linked Cell 15 2 2 2 3 7 2 2" xfId="16291" xr:uid="{F80471DA-52CE-46EE-84CD-F35063D408FD}"/>
    <cellStyle name="Linked Cell 15 2 2 2 3 7 3" xfId="16292" xr:uid="{999372F9-91E6-4BB7-8CC8-C1C4F991F4C3}"/>
    <cellStyle name="Linked Cell 15 2 2 2 3 8" xfId="16293" xr:uid="{81D23E41-1A43-4A4A-A664-236B9D760473}"/>
    <cellStyle name="Linked Cell 15 2 2 2 3 8 2" xfId="16294" xr:uid="{9B19D278-0E5B-48CF-8AD9-A2ECDF2B5739}"/>
    <cellStyle name="Linked Cell 15 2 2 2 3 8 2 2" xfId="16295" xr:uid="{F9F50470-22F2-4A01-B632-889BCD608DAD}"/>
    <cellStyle name="Linked Cell 15 2 2 2 3 8 3" xfId="16296" xr:uid="{1D75B957-2414-43DB-ADB3-19E95346C168}"/>
    <cellStyle name="Linked Cell 15 2 2 2 3 9" xfId="16297" xr:uid="{8D0E766E-923E-4C77-A1F1-CBEA058B7975}"/>
    <cellStyle name="Linked Cell 15 2 2 2 3 9 2" xfId="16298" xr:uid="{8F6F2AD8-6594-4766-8962-6B441B63BE9B}"/>
    <cellStyle name="Linked Cell 15 2 2 2 3 9 2 2" xfId="16299" xr:uid="{EE9C0A60-47AC-4E8C-8721-2D8653EE797D}"/>
    <cellStyle name="Linked Cell 15 2 2 2 3 9 3" xfId="16300" xr:uid="{D7EBC391-B2CE-496A-859D-89B01725C95B}"/>
    <cellStyle name="Linked Cell 15 2 2 2 4" xfId="16301" xr:uid="{8078D003-2364-4A73-92BD-FC704E7C7DD2}"/>
    <cellStyle name="Linked Cell 15 2 2 2 4 2" xfId="16302" xr:uid="{53C15A61-98E3-4550-8B51-96745A16288D}"/>
    <cellStyle name="Linked Cell 15 2 2 2 4 2 2" xfId="16303" xr:uid="{53244700-4019-4EC9-8BEC-56B1FD50F07D}"/>
    <cellStyle name="Linked Cell 15 2 2 2 4 3" xfId="16304" xr:uid="{7F2B927C-1570-42EA-8C00-556CC3B68082}"/>
    <cellStyle name="Linked Cell 15 2 2 2 5" xfId="16305" xr:uid="{94255BB6-1060-4A38-B4C3-7839261EEFA2}"/>
    <cellStyle name="Linked Cell 15 2 2 2 5 2" xfId="16306" xr:uid="{05A66182-16CA-4AB3-A3AE-A67A62828D03}"/>
    <cellStyle name="Linked Cell 15 2 2 2 5 2 2" xfId="16307" xr:uid="{B7BA0174-7D33-4247-8898-F7E5AC3847A1}"/>
    <cellStyle name="Linked Cell 15 2 2 2 5 3" xfId="16308" xr:uid="{50B0FBEE-2402-48F5-AE89-028110807F77}"/>
    <cellStyle name="Linked Cell 15 2 2 2 6" xfId="16309" xr:uid="{8A7CBD84-E852-4D0B-80DD-D23AF300AC06}"/>
    <cellStyle name="Linked Cell 15 2 2 2 6 2" xfId="16310" xr:uid="{FE72F405-046A-4BA9-8F00-B7C4F367FE1A}"/>
    <cellStyle name="Linked Cell 15 2 2 2 6 2 2" xfId="16311" xr:uid="{7CE7E147-5833-4A96-A83F-D953234905C7}"/>
    <cellStyle name="Linked Cell 15 2 2 2 6 3" xfId="16312" xr:uid="{FC355938-D4AE-4466-854C-7CBC4BD3A267}"/>
    <cellStyle name="Linked Cell 15 2 2 2 7" xfId="16313" xr:uid="{17F3AA1A-9561-4142-B49E-B8E782512E6F}"/>
    <cellStyle name="Linked Cell 15 2 2 2 7 2" xfId="16314" xr:uid="{830E6E5B-AEEB-44FC-BC09-D7B7DFA87993}"/>
    <cellStyle name="Linked Cell 15 2 2 2 7 2 2" xfId="16315" xr:uid="{800E2991-2E5A-4CE3-8B5E-817E902E3974}"/>
    <cellStyle name="Linked Cell 15 2 2 2 7 3" xfId="16316" xr:uid="{E4CBF3A3-98CB-4AF0-A80E-1187179547DB}"/>
    <cellStyle name="Linked Cell 15 2 2 2 8" xfId="16317" xr:uid="{9F95E9CF-AC9E-4533-8A10-B4ABD1C125EE}"/>
    <cellStyle name="Linked Cell 15 2 2 2 8 2" xfId="16318" xr:uid="{FC635DBE-2338-41FE-9DB2-E88317FC9FC1}"/>
    <cellStyle name="Linked Cell 15 2 2 2 8 2 2" xfId="16319" xr:uid="{08283F94-02A9-4E7B-A30F-BF4434558AF5}"/>
    <cellStyle name="Linked Cell 15 2 2 2 8 3" xfId="16320" xr:uid="{27F42D60-1081-4915-8855-A1EEBE0BBEB4}"/>
    <cellStyle name="Linked Cell 15 2 2 2 9" xfId="16321" xr:uid="{1E29476E-D7DE-4A84-8E24-FF7098889C67}"/>
    <cellStyle name="Linked Cell 15 2 2 2 9 2" xfId="16322" xr:uid="{2A61ACC2-C7E7-4FFB-A806-506B8C61F7C5}"/>
    <cellStyle name="Linked Cell 15 2 2 2 9 2 2" xfId="16323" xr:uid="{EC928023-AFC9-4CDF-9F6D-3977702AF9EF}"/>
    <cellStyle name="Linked Cell 15 2 2 2 9 3" xfId="16324" xr:uid="{B6B88AE6-4E47-4DB3-B5C3-26D815339C1B}"/>
    <cellStyle name="Linked Cell 15 2 2 3" xfId="16325" xr:uid="{09329EFB-A885-4889-881F-756F3D8D4223}"/>
    <cellStyle name="Linked Cell 15 2 2 3 10" xfId="16326" xr:uid="{F2BAC477-F072-47F3-9769-9F34C63820D0}"/>
    <cellStyle name="Linked Cell 15 2 2 3 10 2" xfId="16327" xr:uid="{D59ED09B-4BEF-474E-BD0F-675A3520ECF1}"/>
    <cellStyle name="Linked Cell 15 2 2 3 10 2 2" xfId="16328" xr:uid="{7E3414FB-6639-4110-AD45-E38F898BC414}"/>
    <cellStyle name="Linked Cell 15 2 2 3 10 3" xfId="16329" xr:uid="{B83D3C84-CDA6-40CE-B970-F26D3006E655}"/>
    <cellStyle name="Linked Cell 15 2 2 3 11" xfId="16330" xr:uid="{A2996255-472D-4F6F-9990-94EE1CD83B8B}"/>
    <cellStyle name="Linked Cell 15 2 2 3 11 2" xfId="16331" xr:uid="{198FD123-FFFF-4A8F-BFB0-012E9122911E}"/>
    <cellStyle name="Linked Cell 15 2 2 3 12" xfId="16332" xr:uid="{AA4490BB-E567-4C3D-8E90-F1B56ED531F0}"/>
    <cellStyle name="Linked Cell 15 2 2 3 2" xfId="16333" xr:uid="{CD7CC739-00CE-4946-BA6D-31C76277A18D}"/>
    <cellStyle name="Linked Cell 15 2 2 3 2 10" xfId="16334" xr:uid="{2C972881-11B2-4755-8A17-7CB6258A8C47}"/>
    <cellStyle name="Linked Cell 15 2 2 3 2 10 2" xfId="16335" xr:uid="{72BA4158-2B0A-4042-8B5D-15E3830E4355}"/>
    <cellStyle name="Linked Cell 15 2 2 3 2 11" xfId="16336" xr:uid="{65495464-10CA-4356-AE68-F7DDD1C33661}"/>
    <cellStyle name="Linked Cell 15 2 2 3 2 2" xfId="16337" xr:uid="{C46730D3-9379-4BDD-9064-E463D9BB74F0}"/>
    <cellStyle name="Linked Cell 15 2 2 3 2 2 2" xfId="16338" xr:uid="{3EFAD3BE-1A85-4744-9FD3-8A7513046902}"/>
    <cellStyle name="Linked Cell 15 2 2 3 2 2 2 2" xfId="16339" xr:uid="{78B98BE7-7EF9-4B4A-9D16-536F1C02062B}"/>
    <cellStyle name="Linked Cell 15 2 2 3 2 2 3" xfId="16340" xr:uid="{975A049E-DBEE-4C84-8888-A5D8779D3171}"/>
    <cellStyle name="Linked Cell 15 2 2 3 2 3" xfId="16341" xr:uid="{A8D9F166-77B7-4FD4-B526-27CBE130B43F}"/>
    <cellStyle name="Linked Cell 15 2 2 3 2 3 2" xfId="16342" xr:uid="{BD5446BB-58DA-4941-9153-62F5A2A53E02}"/>
    <cellStyle name="Linked Cell 15 2 2 3 2 3 2 2" xfId="16343" xr:uid="{83E67508-EF6A-4C72-8D7F-EC4AB7FE223F}"/>
    <cellStyle name="Linked Cell 15 2 2 3 2 3 3" xfId="16344" xr:uid="{13BFB671-79D4-41E0-836A-6A1A99E647EA}"/>
    <cellStyle name="Linked Cell 15 2 2 3 2 4" xfId="16345" xr:uid="{3761F38A-50B2-4F5F-9E8B-F8F1DAADD08D}"/>
    <cellStyle name="Linked Cell 15 2 2 3 2 4 2" xfId="16346" xr:uid="{7143E56D-5844-488A-9B9A-14AA5CEB3492}"/>
    <cellStyle name="Linked Cell 15 2 2 3 2 4 2 2" xfId="16347" xr:uid="{DDAF4A35-CC4C-47F9-853D-CA883F92FA31}"/>
    <cellStyle name="Linked Cell 15 2 2 3 2 4 3" xfId="16348" xr:uid="{EBE3B91E-A9A6-4896-AA32-36B0D006E198}"/>
    <cellStyle name="Linked Cell 15 2 2 3 2 5" xfId="16349" xr:uid="{082045CD-6CC7-4D28-9B02-7328516F097E}"/>
    <cellStyle name="Linked Cell 15 2 2 3 2 5 2" xfId="16350" xr:uid="{AB7D24D0-6974-42C2-B551-FA368AD061D7}"/>
    <cellStyle name="Linked Cell 15 2 2 3 2 5 2 2" xfId="16351" xr:uid="{67A36409-B5EB-4536-852A-5B0C3F5FC640}"/>
    <cellStyle name="Linked Cell 15 2 2 3 2 5 3" xfId="16352" xr:uid="{295FB6F9-32F3-444E-B01A-97B685367935}"/>
    <cellStyle name="Linked Cell 15 2 2 3 2 6" xfId="16353" xr:uid="{EE9BB5EA-9132-46BC-A7F7-3F75A60DA4FB}"/>
    <cellStyle name="Linked Cell 15 2 2 3 2 6 2" xfId="16354" xr:uid="{82AE34CB-BC0D-4CEA-8AA6-9D976A906521}"/>
    <cellStyle name="Linked Cell 15 2 2 3 2 6 2 2" xfId="16355" xr:uid="{B9E678E9-3DA4-47E9-839E-EADF90F0F0D8}"/>
    <cellStyle name="Linked Cell 15 2 2 3 2 6 3" xfId="16356" xr:uid="{84043828-23E0-492B-B7E5-B8CE394AFF4A}"/>
    <cellStyle name="Linked Cell 15 2 2 3 2 7" xfId="16357" xr:uid="{33451A5B-7FB5-4792-9473-44E30EB30855}"/>
    <cellStyle name="Linked Cell 15 2 2 3 2 7 2" xfId="16358" xr:uid="{A24D863E-11A8-4D4B-AD0B-277DF0E67EA8}"/>
    <cellStyle name="Linked Cell 15 2 2 3 2 7 2 2" xfId="16359" xr:uid="{4A85A52A-EC45-4BEC-B521-1444AC9854D8}"/>
    <cellStyle name="Linked Cell 15 2 2 3 2 7 3" xfId="16360" xr:uid="{D20A54BE-E4FD-4461-80C1-54FF6E246989}"/>
    <cellStyle name="Linked Cell 15 2 2 3 2 8" xfId="16361" xr:uid="{5636E171-F73C-4F80-A51C-98B97D8EDD2F}"/>
    <cellStyle name="Linked Cell 15 2 2 3 2 8 2" xfId="16362" xr:uid="{B869B367-83C0-4641-ACE0-30A02EBE8053}"/>
    <cellStyle name="Linked Cell 15 2 2 3 2 8 2 2" xfId="16363" xr:uid="{5BA10F1C-4917-4A8A-B5DE-A2C3BFA5A7DE}"/>
    <cellStyle name="Linked Cell 15 2 2 3 2 8 3" xfId="16364" xr:uid="{D00E4506-ED14-47E2-8225-7A0BB4DB2760}"/>
    <cellStyle name="Linked Cell 15 2 2 3 2 9" xfId="16365" xr:uid="{780C600B-75ED-4694-9AC1-9D641CF6E3B9}"/>
    <cellStyle name="Linked Cell 15 2 2 3 2 9 2" xfId="16366" xr:uid="{0EE82DEF-6107-435C-872C-A5EB1A90AE7E}"/>
    <cellStyle name="Linked Cell 15 2 2 3 2 9 2 2" xfId="16367" xr:uid="{A666CCAC-4671-4A8B-AE3A-917D0D25D361}"/>
    <cellStyle name="Linked Cell 15 2 2 3 2 9 3" xfId="16368" xr:uid="{89A76AFA-531D-41D3-BAE2-A901AFDD6511}"/>
    <cellStyle name="Linked Cell 15 2 2 3 3" xfId="16369" xr:uid="{920FDAD4-DAE5-414B-9DC2-07A628735520}"/>
    <cellStyle name="Linked Cell 15 2 2 3 3 2" xfId="16370" xr:uid="{6376E571-CD1B-4C7D-81C2-55BF37BBE161}"/>
    <cellStyle name="Linked Cell 15 2 2 3 3 2 2" xfId="16371" xr:uid="{D36C3538-F684-4966-A14C-B000A02D6888}"/>
    <cellStyle name="Linked Cell 15 2 2 3 3 3" xfId="16372" xr:uid="{0604A351-CA56-4B38-899C-6DDB5B66C132}"/>
    <cellStyle name="Linked Cell 15 2 2 3 4" xfId="16373" xr:uid="{3E389D53-A7E1-42CD-8DF1-8C4E5B95F45C}"/>
    <cellStyle name="Linked Cell 15 2 2 3 4 2" xfId="16374" xr:uid="{91724EC9-64F0-49A0-9804-6FA0F98CC0C3}"/>
    <cellStyle name="Linked Cell 15 2 2 3 4 2 2" xfId="16375" xr:uid="{91AF957C-33D6-49B7-A409-923C5788D3EB}"/>
    <cellStyle name="Linked Cell 15 2 2 3 4 3" xfId="16376" xr:uid="{DAA7E748-B804-4067-9B29-12B146CB2678}"/>
    <cellStyle name="Linked Cell 15 2 2 3 5" xfId="16377" xr:uid="{5E6BC85B-AAAE-4176-A60D-A0D9D86FF133}"/>
    <cellStyle name="Linked Cell 15 2 2 3 5 2" xfId="16378" xr:uid="{25A91596-61CB-45AC-B294-81C5FDBDD74D}"/>
    <cellStyle name="Linked Cell 15 2 2 3 5 2 2" xfId="16379" xr:uid="{859F8D02-E06D-4C4D-9E3D-3CFE7FA54B06}"/>
    <cellStyle name="Linked Cell 15 2 2 3 5 3" xfId="16380" xr:uid="{84629977-ED59-436B-9309-998B4C89BDC1}"/>
    <cellStyle name="Linked Cell 15 2 2 3 6" xfId="16381" xr:uid="{B1565E48-793A-4FA4-9561-B17E33D5DB18}"/>
    <cellStyle name="Linked Cell 15 2 2 3 6 2" xfId="16382" xr:uid="{22EE7C08-BB4D-4097-96A8-C9812C22D070}"/>
    <cellStyle name="Linked Cell 15 2 2 3 6 2 2" xfId="16383" xr:uid="{21FAC2E2-0B7C-4D29-9DF5-28F8480EE4AF}"/>
    <cellStyle name="Linked Cell 15 2 2 3 6 3" xfId="16384" xr:uid="{8D038891-46E2-4BFD-8EF8-872D937DD887}"/>
    <cellStyle name="Linked Cell 15 2 2 3 7" xfId="16385" xr:uid="{6030F179-07ED-4373-86ED-E5F8766E3E98}"/>
    <cellStyle name="Linked Cell 15 2 2 3 7 2" xfId="16386" xr:uid="{2BA12434-C91A-4068-A08D-266772A6060C}"/>
    <cellStyle name="Linked Cell 15 2 2 3 7 2 2" xfId="16387" xr:uid="{4DB68A89-64EB-43CE-B7D5-499E3F90643C}"/>
    <cellStyle name="Linked Cell 15 2 2 3 7 3" xfId="16388" xr:uid="{856CD516-480C-4079-9977-4F2FB2B17BB4}"/>
    <cellStyle name="Linked Cell 15 2 2 3 8" xfId="16389" xr:uid="{CD3205AE-2BCE-4A72-A99E-BFC8DB735087}"/>
    <cellStyle name="Linked Cell 15 2 2 3 8 2" xfId="16390" xr:uid="{11AF37EF-46B2-4483-AAB4-AED769E7A1C7}"/>
    <cellStyle name="Linked Cell 15 2 2 3 8 2 2" xfId="16391" xr:uid="{3355C598-D16E-4AB6-9EA3-FB9797172237}"/>
    <cellStyle name="Linked Cell 15 2 2 3 8 3" xfId="16392" xr:uid="{86C3FBA4-D955-455E-96CC-96BF5787EDDC}"/>
    <cellStyle name="Linked Cell 15 2 2 3 9" xfId="16393" xr:uid="{541BB35C-57EA-476F-A21D-BAB408DD2308}"/>
    <cellStyle name="Linked Cell 15 2 2 3 9 2" xfId="16394" xr:uid="{B431D373-BDB3-4A05-B91F-B96876DFECE5}"/>
    <cellStyle name="Linked Cell 15 2 2 3 9 2 2" xfId="16395" xr:uid="{D91930DA-62BB-403A-8EB2-6A5FE7EDB631}"/>
    <cellStyle name="Linked Cell 15 2 2 3 9 3" xfId="16396" xr:uid="{50DB5B35-B5C0-4C8C-ABAB-1D5BE77A95AB}"/>
    <cellStyle name="Linked Cell 15 2 2 4" xfId="16397" xr:uid="{437590FF-4B2A-462C-99D4-3F397DB1A0B3}"/>
    <cellStyle name="Linked Cell 15 2 2 4 10" xfId="16398" xr:uid="{867A975D-36F9-4654-950F-B9053E0A8D0A}"/>
    <cellStyle name="Linked Cell 15 2 2 4 10 2" xfId="16399" xr:uid="{433C5CD8-7495-4450-A3B5-9C0068341C18}"/>
    <cellStyle name="Linked Cell 15 2 2 4 11" xfId="16400" xr:uid="{8694A656-C143-43A0-87B7-4107F65BB45C}"/>
    <cellStyle name="Linked Cell 15 2 2 4 2" xfId="16401" xr:uid="{8C832CED-723F-426E-89A8-4E5C374C483D}"/>
    <cellStyle name="Linked Cell 15 2 2 4 2 2" xfId="16402" xr:uid="{37E02FC8-6D0B-4DFA-8C6E-595F6EF3A5F7}"/>
    <cellStyle name="Linked Cell 15 2 2 4 2 2 2" xfId="16403" xr:uid="{593B5ABC-03ED-4437-9E62-94632FC78613}"/>
    <cellStyle name="Linked Cell 15 2 2 4 2 3" xfId="16404" xr:uid="{C168B779-8F10-43B4-8961-5D1BC543F272}"/>
    <cellStyle name="Linked Cell 15 2 2 4 3" xfId="16405" xr:uid="{78DF1C78-1080-4492-BC72-E5A10A7C6667}"/>
    <cellStyle name="Linked Cell 15 2 2 4 3 2" xfId="16406" xr:uid="{7B77DC6A-0632-48F2-AF4F-ED0EE82F27B0}"/>
    <cellStyle name="Linked Cell 15 2 2 4 3 2 2" xfId="16407" xr:uid="{B980520A-2C50-4CD8-A76A-E763E60C19AD}"/>
    <cellStyle name="Linked Cell 15 2 2 4 3 3" xfId="16408" xr:uid="{25C16855-34D7-4B02-9984-329F3A640B47}"/>
    <cellStyle name="Linked Cell 15 2 2 4 4" xfId="16409" xr:uid="{2F0FE3FF-6220-493A-84B9-7ABEC13C352D}"/>
    <cellStyle name="Linked Cell 15 2 2 4 4 2" xfId="16410" xr:uid="{F3E897E6-4353-4960-9A27-E4E8E6A4CF12}"/>
    <cellStyle name="Linked Cell 15 2 2 4 4 2 2" xfId="16411" xr:uid="{82A28974-B329-44BD-8D08-EA6DAFC75E56}"/>
    <cellStyle name="Linked Cell 15 2 2 4 4 3" xfId="16412" xr:uid="{C0F101C7-C961-420B-9968-C76A4E07FE3C}"/>
    <cellStyle name="Linked Cell 15 2 2 4 5" xfId="16413" xr:uid="{EC9C408A-A1B8-4DB8-9EF2-9A878BBADD44}"/>
    <cellStyle name="Linked Cell 15 2 2 4 5 2" xfId="16414" xr:uid="{2300DC2C-1027-458A-85C5-1E42C3C85E80}"/>
    <cellStyle name="Linked Cell 15 2 2 4 5 2 2" xfId="16415" xr:uid="{51CF1F27-6FE7-47D6-AF2E-18832CF1FD7C}"/>
    <cellStyle name="Linked Cell 15 2 2 4 5 3" xfId="16416" xr:uid="{5CB29551-452D-40F2-9C21-162F6DA3EABE}"/>
    <cellStyle name="Linked Cell 15 2 2 4 6" xfId="16417" xr:uid="{2B06C40F-FDAA-40D4-95B8-BCB0587BFEE3}"/>
    <cellStyle name="Linked Cell 15 2 2 4 6 2" xfId="16418" xr:uid="{F0D159D0-0F1A-4405-9E67-6159B80ADEAE}"/>
    <cellStyle name="Linked Cell 15 2 2 4 6 2 2" xfId="16419" xr:uid="{C9949E33-0AD2-46A8-B03A-145AF158937D}"/>
    <cellStyle name="Linked Cell 15 2 2 4 6 3" xfId="16420" xr:uid="{7F3BA69D-8420-458C-8F02-3ACE0D834827}"/>
    <cellStyle name="Linked Cell 15 2 2 4 7" xfId="16421" xr:uid="{2A93D7A2-F6DC-4BF8-BBE8-2002A8801D84}"/>
    <cellStyle name="Linked Cell 15 2 2 4 7 2" xfId="16422" xr:uid="{F9546259-F60E-4A40-9F42-148C2DD8F42B}"/>
    <cellStyle name="Linked Cell 15 2 2 4 7 2 2" xfId="16423" xr:uid="{349C3FC4-FF3F-4C38-A466-7E1AF17272E0}"/>
    <cellStyle name="Linked Cell 15 2 2 4 7 3" xfId="16424" xr:uid="{365A6699-3A02-4AB5-A5C6-3057DC8BC365}"/>
    <cellStyle name="Linked Cell 15 2 2 4 8" xfId="16425" xr:uid="{C857434C-362C-41ED-9747-6F65514D5304}"/>
    <cellStyle name="Linked Cell 15 2 2 4 8 2" xfId="16426" xr:uid="{57D12D70-2961-4BCA-B5BF-6B3894B5C437}"/>
    <cellStyle name="Linked Cell 15 2 2 4 8 2 2" xfId="16427" xr:uid="{7C6D9525-A042-4358-AA91-970804AFD798}"/>
    <cellStyle name="Linked Cell 15 2 2 4 8 3" xfId="16428" xr:uid="{103BE726-5004-4F37-BD9B-C7F2184E6989}"/>
    <cellStyle name="Linked Cell 15 2 2 4 9" xfId="16429" xr:uid="{FBF3F5BE-267E-4892-9D13-15332D5FFCC4}"/>
    <cellStyle name="Linked Cell 15 2 2 4 9 2" xfId="16430" xr:uid="{CC426234-49E9-4C93-94DB-2935FA288E5D}"/>
    <cellStyle name="Linked Cell 15 2 2 4 9 2 2" xfId="16431" xr:uid="{AA67D035-81BE-41F8-B2E0-22BA7B97035D}"/>
    <cellStyle name="Linked Cell 15 2 2 4 9 3" xfId="16432" xr:uid="{11159534-42B6-4E37-A405-8A6635E7C552}"/>
    <cellStyle name="Linked Cell 15 2 2 5" xfId="16433" xr:uid="{F1141E9F-EDD4-42B5-851B-DF2A5C541E18}"/>
    <cellStyle name="Linked Cell 15 2 2 5 2" xfId="16434" xr:uid="{2CEE45A3-9FDE-40F3-928A-377B2B699D9F}"/>
    <cellStyle name="Linked Cell 15 2 2 5 2 2" xfId="16435" xr:uid="{DD17879A-1949-4C6B-8A57-31F45E6CAB12}"/>
    <cellStyle name="Linked Cell 15 2 2 5 3" xfId="16436" xr:uid="{EDDA65FC-4035-4ADF-8C3A-5F1B580A564B}"/>
    <cellStyle name="Linked Cell 15 2 2 6" xfId="16437" xr:uid="{6478BCA4-29EF-4264-9F6C-2238A3D8BB95}"/>
    <cellStyle name="Linked Cell 15 2 2 6 2" xfId="16438" xr:uid="{57854BFB-99C3-4A2B-84CA-44DA3ECFF508}"/>
    <cellStyle name="Linked Cell 15 2 2 6 2 2" xfId="16439" xr:uid="{FCAC087E-7968-4009-AE83-60FD29345EC7}"/>
    <cellStyle name="Linked Cell 15 2 2 6 3" xfId="16440" xr:uid="{B6DF4512-C44D-4799-A1BB-67EB693C2817}"/>
    <cellStyle name="Linked Cell 15 2 2 7" xfId="16441" xr:uid="{D064D91E-D4E2-4F82-AE8F-ABA7F77F1698}"/>
    <cellStyle name="Linked Cell 15 2 2 7 2" xfId="16442" xr:uid="{70D65302-4C15-480D-ACE9-AAEBBBE6F1B8}"/>
    <cellStyle name="Linked Cell 15 2 2 7 2 2" xfId="16443" xr:uid="{FC19ECA0-0C49-4C4F-9007-1A6A416AF8BE}"/>
    <cellStyle name="Linked Cell 15 2 2 7 3" xfId="16444" xr:uid="{245937A0-E8F3-4237-8B33-CE72AB5CA6A8}"/>
    <cellStyle name="Linked Cell 15 2 2 8" xfId="16445" xr:uid="{FC41D334-2DAC-4F0B-A15C-72B60B54FB47}"/>
    <cellStyle name="Linked Cell 15 2 2 8 2" xfId="16446" xr:uid="{D5D0C5A1-CD0E-4283-93BE-D3DF639D5016}"/>
    <cellStyle name="Linked Cell 15 2 2 8 2 2" xfId="16447" xr:uid="{2B4000DE-9116-4EAA-8ACB-B35E6AC21E99}"/>
    <cellStyle name="Linked Cell 15 2 2 8 3" xfId="16448" xr:uid="{2ECEB3DE-7498-4367-8638-D7ACDDE49E8E}"/>
    <cellStyle name="Linked Cell 15 2 2 9" xfId="16449" xr:uid="{506DDCC9-271A-4C84-BBDB-B212D43D63E4}"/>
    <cellStyle name="Linked Cell 15 2 2 9 2" xfId="16450" xr:uid="{9A5E09DB-AF9A-4751-9262-38967E0D63DD}"/>
    <cellStyle name="Linked Cell 15 2 2 9 2 2" xfId="16451" xr:uid="{E31E3705-1DF3-4BEF-B47D-4EF1666536E9}"/>
    <cellStyle name="Linked Cell 15 2 2 9 3" xfId="16452" xr:uid="{87394EEF-F590-4393-B456-729D629B1ADD}"/>
    <cellStyle name="Linked Cell 15 2 3" xfId="16453" xr:uid="{39488661-9DD0-4CC4-A603-D1887835DB4C}"/>
    <cellStyle name="Linked Cell 15 2 3 10" xfId="16454" xr:uid="{83FC5213-EC82-477A-A9A5-18924094FB66}"/>
    <cellStyle name="Linked Cell 15 2 3 10 2" xfId="16455" xr:uid="{81D8F628-4652-47C0-8ACD-CDAA74AACCAE}"/>
    <cellStyle name="Linked Cell 15 2 3 10 2 2" xfId="16456" xr:uid="{0607C9C0-3BB3-4C65-8599-81FF34378E6A}"/>
    <cellStyle name="Linked Cell 15 2 3 10 3" xfId="16457" xr:uid="{9C0C49B8-4908-4FC0-BCEF-D4887EA84CE3}"/>
    <cellStyle name="Linked Cell 15 2 3 11" xfId="16458" xr:uid="{0356BAA6-AC09-49CC-8DD0-032EA3BE55C0}"/>
    <cellStyle name="Linked Cell 15 2 3 11 2" xfId="16459" xr:uid="{75D6FE43-DF2D-49AC-90FE-A7A248910E5D}"/>
    <cellStyle name="Linked Cell 15 2 3 11 2 2" xfId="16460" xr:uid="{DCD5D2F8-6CFB-4C89-A61D-A5AE0F9D1051}"/>
    <cellStyle name="Linked Cell 15 2 3 11 3" xfId="16461" xr:uid="{51E863BD-91A6-4B18-9319-96370B6ED5BE}"/>
    <cellStyle name="Linked Cell 15 2 3 12" xfId="16462" xr:uid="{335052D4-0A50-461D-9630-83B7FADC6F73}"/>
    <cellStyle name="Linked Cell 15 2 3 12 2" xfId="16463" xr:uid="{A8D62CE4-2B8A-425A-B9CC-C2CC6BEC608A}"/>
    <cellStyle name="Linked Cell 15 2 3 13" xfId="16464" xr:uid="{11929E7A-EA5B-46E9-8B2F-95B4DEA1D70F}"/>
    <cellStyle name="Linked Cell 15 2 3 2" xfId="16465" xr:uid="{D947E11C-05E5-4186-A4E3-AF135EDADB57}"/>
    <cellStyle name="Linked Cell 15 2 3 2 10" xfId="16466" xr:uid="{16F3F13C-73BD-4FFE-B654-EEF0CE561DAD}"/>
    <cellStyle name="Linked Cell 15 2 3 2 10 2" xfId="16467" xr:uid="{7902D4C3-FC8F-4732-8AAC-F8F18013CBDF}"/>
    <cellStyle name="Linked Cell 15 2 3 2 10 2 2" xfId="16468" xr:uid="{465E6B56-5A3A-4F9B-A34A-BBDA3905F91D}"/>
    <cellStyle name="Linked Cell 15 2 3 2 10 3" xfId="16469" xr:uid="{58A326CA-1EDC-4483-8701-37CAD396B760}"/>
    <cellStyle name="Linked Cell 15 2 3 2 11" xfId="16470" xr:uid="{4C88A09A-AE36-4376-A9B4-A3481F1664A7}"/>
    <cellStyle name="Linked Cell 15 2 3 2 11 2" xfId="16471" xr:uid="{7B8B8343-FF21-4AB7-98CF-C10438719BC3}"/>
    <cellStyle name="Linked Cell 15 2 3 2 12" xfId="16472" xr:uid="{4CE00370-8373-4AB3-8500-241FE9086710}"/>
    <cellStyle name="Linked Cell 15 2 3 2 2" xfId="16473" xr:uid="{B8F912C8-D22B-4B05-9DD2-F6400D0306C1}"/>
    <cellStyle name="Linked Cell 15 2 3 2 2 2" xfId="16474" xr:uid="{479D7A49-0115-4ED4-9CB0-0AFDBEB2A4E5}"/>
    <cellStyle name="Linked Cell 15 2 3 2 2 2 2" xfId="16475" xr:uid="{7770DF70-C1F4-4278-9CD6-E5359D12C2ED}"/>
    <cellStyle name="Linked Cell 15 2 3 2 2 3" xfId="16476" xr:uid="{241B9C6D-19A8-4122-A4FF-F8C5D6829E78}"/>
    <cellStyle name="Linked Cell 15 2 3 2 3" xfId="16477" xr:uid="{32674577-8C40-4413-8788-742A1BB9156C}"/>
    <cellStyle name="Linked Cell 15 2 3 2 3 2" xfId="16478" xr:uid="{CE34509B-84C6-49A4-85D5-76B2D190F034}"/>
    <cellStyle name="Linked Cell 15 2 3 2 3 2 2" xfId="16479" xr:uid="{3B3BC744-E855-4A68-9657-8CF62E7DB84D}"/>
    <cellStyle name="Linked Cell 15 2 3 2 3 3" xfId="16480" xr:uid="{F39878F8-5B87-41C1-B944-CB1009F02A73}"/>
    <cellStyle name="Linked Cell 15 2 3 2 4" xfId="16481" xr:uid="{0E3BB429-B46F-405D-9D2F-3AF8C38AEAC8}"/>
    <cellStyle name="Linked Cell 15 2 3 2 4 2" xfId="16482" xr:uid="{0B540956-F0F2-4272-9D75-BEE849C71249}"/>
    <cellStyle name="Linked Cell 15 2 3 2 4 2 2" xfId="16483" xr:uid="{384BF66A-E0FB-41BA-B11A-FE204908DA2C}"/>
    <cellStyle name="Linked Cell 15 2 3 2 4 3" xfId="16484" xr:uid="{6A41544C-3229-45C8-B2A8-8799C8B01734}"/>
    <cellStyle name="Linked Cell 15 2 3 2 5" xfId="16485" xr:uid="{C2E92D48-CFB2-46B3-ABFF-1ED86959584D}"/>
    <cellStyle name="Linked Cell 15 2 3 2 5 2" xfId="16486" xr:uid="{27797D1B-A920-4E3C-B372-B0B8EF7A5C57}"/>
    <cellStyle name="Linked Cell 15 2 3 2 5 2 2" xfId="16487" xr:uid="{3EE9B56D-0E1B-427D-BA31-BD17C93FF581}"/>
    <cellStyle name="Linked Cell 15 2 3 2 5 3" xfId="16488" xr:uid="{1900B976-2706-4CCA-B16A-D23F18C93A70}"/>
    <cellStyle name="Linked Cell 15 2 3 2 6" xfId="16489" xr:uid="{99F855F8-96BA-491A-A104-683FF6F1B6B4}"/>
    <cellStyle name="Linked Cell 15 2 3 2 6 2" xfId="16490" xr:uid="{E1618591-9F38-44BF-9F59-C7C5A78859C4}"/>
    <cellStyle name="Linked Cell 15 2 3 2 6 2 2" xfId="16491" xr:uid="{B87DD871-D917-4985-AB1D-4EAEEC53BB95}"/>
    <cellStyle name="Linked Cell 15 2 3 2 6 3" xfId="16492" xr:uid="{E2FF0439-E649-40D4-B616-1B93D9BB9BA5}"/>
    <cellStyle name="Linked Cell 15 2 3 2 7" xfId="16493" xr:uid="{C83ADBE5-97A6-4819-B4B1-EE81F53FCE48}"/>
    <cellStyle name="Linked Cell 15 2 3 2 7 2" xfId="16494" xr:uid="{AB358C63-89C9-4DF2-9BE8-D87E356ED4B3}"/>
    <cellStyle name="Linked Cell 15 2 3 2 7 2 2" xfId="16495" xr:uid="{4AF1C9E9-11CB-4E10-94FC-56D0E27B6130}"/>
    <cellStyle name="Linked Cell 15 2 3 2 7 3" xfId="16496" xr:uid="{7F8EA298-9FE5-4D8E-A6F2-DC7EADBAB625}"/>
    <cellStyle name="Linked Cell 15 2 3 2 8" xfId="16497" xr:uid="{83B106C9-ECBF-4795-9178-1322984E6F7E}"/>
    <cellStyle name="Linked Cell 15 2 3 2 8 2" xfId="16498" xr:uid="{10327C93-9476-49B2-BFA9-2B7602B4AB46}"/>
    <cellStyle name="Linked Cell 15 2 3 2 8 2 2" xfId="16499" xr:uid="{E34BF3A0-6F33-48D9-8B10-E9FF9548E126}"/>
    <cellStyle name="Linked Cell 15 2 3 2 8 3" xfId="16500" xr:uid="{734723BF-F286-4DF9-86D4-E2D374CA37E8}"/>
    <cellStyle name="Linked Cell 15 2 3 2 9" xfId="16501" xr:uid="{75CED103-9F4B-4E54-A7DE-95062A94ABA5}"/>
    <cellStyle name="Linked Cell 15 2 3 2 9 2" xfId="16502" xr:uid="{07FF00AD-425A-4C72-8278-36A9AA1A679E}"/>
    <cellStyle name="Linked Cell 15 2 3 2 9 2 2" xfId="16503" xr:uid="{CD3E326B-6A50-49A1-8326-4EB210CCDFF8}"/>
    <cellStyle name="Linked Cell 15 2 3 2 9 3" xfId="16504" xr:uid="{F90A38CB-B259-49AE-8019-79D689E022F4}"/>
    <cellStyle name="Linked Cell 15 2 3 3" xfId="16505" xr:uid="{B6D060E7-69FC-479C-959A-7F1CA5125EEE}"/>
    <cellStyle name="Linked Cell 15 2 3 3 10" xfId="16506" xr:uid="{1A28ED41-A026-4F1D-8890-21DD19D45650}"/>
    <cellStyle name="Linked Cell 15 2 3 3 10 2" xfId="16507" xr:uid="{530BAB05-0C10-4438-8112-5125D8A42971}"/>
    <cellStyle name="Linked Cell 15 2 3 3 11" xfId="16508" xr:uid="{B8FC06DE-083D-4512-A164-9CB0A17F94AB}"/>
    <cellStyle name="Linked Cell 15 2 3 3 2" xfId="16509" xr:uid="{FE61EA25-52B0-424B-B6F9-7BB939FFBFA6}"/>
    <cellStyle name="Linked Cell 15 2 3 3 2 2" xfId="16510" xr:uid="{89B290EC-0C84-45E1-8BB3-62C0747E8E68}"/>
    <cellStyle name="Linked Cell 15 2 3 3 2 2 2" xfId="16511" xr:uid="{EAA2D36A-40E1-4EE5-A17F-B7F25D567767}"/>
    <cellStyle name="Linked Cell 15 2 3 3 2 3" xfId="16512" xr:uid="{5BD624AC-2CCC-4467-B037-7EE8F02D1B1A}"/>
    <cellStyle name="Linked Cell 15 2 3 3 3" xfId="16513" xr:uid="{808D78E7-61C7-4DF8-8730-D94C6A216D41}"/>
    <cellStyle name="Linked Cell 15 2 3 3 3 2" xfId="16514" xr:uid="{3A66C922-0602-4CD8-83D8-6DA67D304FF1}"/>
    <cellStyle name="Linked Cell 15 2 3 3 3 2 2" xfId="16515" xr:uid="{C8225319-CD75-4DA6-A100-ECFA3E477AB8}"/>
    <cellStyle name="Linked Cell 15 2 3 3 3 3" xfId="16516" xr:uid="{46244D83-C9E4-420D-B1A1-07681F769890}"/>
    <cellStyle name="Linked Cell 15 2 3 3 4" xfId="16517" xr:uid="{D90C1705-304C-4BFE-99FF-DAFBF10D56E9}"/>
    <cellStyle name="Linked Cell 15 2 3 3 4 2" xfId="16518" xr:uid="{33E62CFB-19B5-451B-A446-C3933DB8EA6A}"/>
    <cellStyle name="Linked Cell 15 2 3 3 4 2 2" xfId="16519" xr:uid="{BD132A5E-CB7D-491C-8E62-4E2E65EF8916}"/>
    <cellStyle name="Linked Cell 15 2 3 3 4 3" xfId="16520" xr:uid="{DADB5AF3-29BD-4398-A141-8EF5F238FC21}"/>
    <cellStyle name="Linked Cell 15 2 3 3 5" xfId="16521" xr:uid="{A6CF3827-F797-4306-A330-2F5B6FB59AD2}"/>
    <cellStyle name="Linked Cell 15 2 3 3 5 2" xfId="16522" xr:uid="{E0F0D7A5-6A20-46D2-8CAE-5189C2C76394}"/>
    <cellStyle name="Linked Cell 15 2 3 3 5 2 2" xfId="16523" xr:uid="{88176D8A-0B65-46E2-B18E-C91F1C54D6EE}"/>
    <cellStyle name="Linked Cell 15 2 3 3 5 3" xfId="16524" xr:uid="{52199ED5-2E87-4DD0-A21B-1FE6E9231D9F}"/>
    <cellStyle name="Linked Cell 15 2 3 3 6" xfId="16525" xr:uid="{1F6CE3C2-A2DE-4285-B6DA-F60C29BF9C21}"/>
    <cellStyle name="Linked Cell 15 2 3 3 6 2" xfId="16526" xr:uid="{802A48E0-E88F-4C10-8D1B-B1FC2CBD7985}"/>
    <cellStyle name="Linked Cell 15 2 3 3 6 2 2" xfId="16527" xr:uid="{5BC7F9C5-3FF3-477E-B747-FDC4B927147A}"/>
    <cellStyle name="Linked Cell 15 2 3 3 6 3" xfId="16528" xr:uid="{8A10F3FA-0FA9-40C3-ABDE-410A85F5BB76}"/>
    <cellStyle name="Linked Cell 15 2 3 3 7" xfId="16529" xr:uid="{2D6D2F16-9208-43EB-80A1-8F143E77B8D1}"/>
    <cellStyle name="Linked Cell 15 2 3 3 7 2" xfId="16530" xr:uid="{3D5770F7-7E1E-4B0C-A990-D3C82A708EB4}"/>
    <cellStyle name="Linked Cell 15 2 3 3 7 2 2" xfId="16531" xr:uid="{EC583C74-F3BE-4814-AC66-01C826FF5AD0}"/>
    <cellStyle name="Linked Cell 15 2 3 3 7 3" xfId="16532" xr:uid="{B0C71500-BACE-4C6E-8828-B07D3A07AFDE}"/>
    <cellStyle name="Linked Cell 15 2 3 3 8" xfId="16533" xr:uid="{EC0A4C3D-DE4E-4FD1-88F8-C0C00D11506E}"/>
    <cellStyle name="Linked Cell 15 2 3 3 8 2" xfId="16534" xr:uid="{65519C5F-18A5-46D8-852F-65E395D9B44A}"/>
    <cellStyle name="Linked Cell 15 2 3 3 8 2 2" xfId="16535" xr:uid="{2057F5C1-51D8-4492-B75D-4A1113063149}"/>
    <cellStyle name="Linked Cell 15 2 3 3 8 3" xfId="16536" xr:uid="{4BF70EC5-DB0F-4311-98B9-E195C7B7E6C8}"/>
    <cellStyle name="Linked Cell 15 2 3 3 9" xfId="16537" xr:uid="{40502714-1CFD-4967-870B-73A07C7861E8}"/>
    <cellStyle name="Linked Cell 15 2 3 3 9 2" xfId="16538" xr:uid="{9204010B-EDBF-41E5-834D-D0161DD15C9C}"/>
    <cellStyle name="Linked Cell 15 2 3 3 9 2 2" xfId="16539" xr:uid="{9AAF3700-1860-469A-B091-B81F2E189599}"/>
    <cellStyle name="Linked Cell 15 2 3 3 9 3" xfId="16540" xr:uid="{E2C367DF-1B58-425F-80E2-B07022CDFB37}"/>
    <cellStyle name="Linked Cell 15 2 3 4" xfId="16541" xr:uid="{D0C4B5A5-A9A9-4CA0-A665-1B03AC055E5B}"/>
    <cellStyle name="Linked Cell 15 2 3 4 2" xfId="16542" xr:uid="{C2809CAC-7297-44CF-8FB7-EB00E4D818CC}"/>
    <cellStyle name="Linked Cell 15 2 3 4 2 2" xfId="16543" xr:uid="{FE4F1EA0-F678-4CD2-AC8D-97D1C247034D}"/>
    <cellStyle name="Linked Cell 15 2 3 4 3" xfId="16544" xr:uid="{DE261385-97B5-440A-8B20-0736A70B5F0E}"/>
    <cellStyle name="Linked Cell 15 2 3 5" xfId="16545" xr:uid="{32479D47-1ACE-4A66-878B-7A02C4F2CA5D}"/>
    <cellStyle name="Linked Cell 15 2 3 5 2" xfId="16546" xr:uid="{6F80898B-7B98-4E8F-9B6C-E323E4D891BC}"/>
    <cellStyle name="Linked Cell 15 2 3 5 2 2" xfId="16547" xr:uid="{041DD09C-B6A5-4665-A70E-DCE6F176820A}"/>
    <cellStyle name="Linked Cell 15 2 3 5 3" xfId="16548" xr:uid="{52186B01-1F41-48FA-B717-9AD2D7EC9CC0}"/>
    <cellStyle name="Linked Cell 15 2 3 6" xfId="16549" xr:uid="{5EBD120C-669F-4E0C-9221-5A618E3F904E}"/>
    <cellStyle name="Linked Cell 15 2 3 6 2" xfId="16550" xr:uid="{1BC72FB0-A75E-4573-9968-CCED347C6885}"/>
    <cellStyle name="Linked Cell 15 2 3 6 2 2" xfId="16551" xr:uid="{F9488831-8D2D-4319-BE09-CCFC66768D04}"/>
    <cellStyle name="Linked Cell 15 2 3 6 3" xfId="16552" xr:uid="{2E0DD046-7F90-4999-9E79-1B054A6E1068}"/>
    <cellStyle name="Linked Cell 15 2 3 7" xfId="16553" xr:uid="{0E994B25-1B23-421C-9383-5C192FD4B426}"/>
    <cellStyle name="Linked Cell 15 2 3 7 2" xfId="16554" xr:uid="{CADAD4D8-C182-4B26-85F0-707A254DF079}"/>
    <cellStyle name="Linked Cell 15 2 3 7 2 2" xfId="16555" xr:uid="{293E3D77-4AC7-459A-8508-170C442CB7A0}"/>
    <cellStyle name="Linked Cell 15 2 3 7 3" xfId="16556" xr:uid="{76456446-B854-4E52-B8E1-57D809C43BD2}"/>
    <cellStyle name="Linked Cell 15 2 3 8" xfId="16557" xr:uid="{B167A7A7-CFF6-4602-86A1-058585E350CE}"/>
    <cellStyle name="Linked Cell 15 2 3 8 2" xfId="16558" xr:uid="{E13D9D79-7B20-4C5B-B154-BE05B359D39E}"/>
    <cellStyle name="Linked Cell 15 2 3 8 2 2" xfId="16559" xr:uid="{78232B87-938A-4F0D-A6F6-5BE6E931F1B7}"/>
    <cellStyle name="Linked Cell 15 2 3 8 3" xfId="16560" xr:uid="{E6D272F1-20E1-4F97-A346-28FB49D2E638}"/>
    <cellStyle name="Linked Cell 15 2 3 9" xfId="16561" xr:uid="{4A840204-3BF9-4CEB-AD46-65BA53EFEED0}"/>
    <cellStyle name="Linked Cell 15 2 3 9 2" xfId="16562" xr:uid="{086FCB52-03B9-4695-9ABA-B332EAF9A247}"/>
    <cellStyle name="Linked Cell 15 2 3 9 2 2" xfId="16563" xr:uid="{BED768E5-0293-4C80-B074-05BA79C666AC}"/>
    <cellStyle name="Linked Cell 15 2 3 9 3" xfId="16564" xr:uid="{286A16BB-D6D3-4921-9C73-7889CAD869C5}"/>
    <cellStyle name="Linked Cell 15 2 4" xfId="16565" xr:uid="{F6EE1C03-6335-47B4-AB1F-FA0A4218FA8B}"/>
    <cellStyle name="Linked Cell 15 2 4 10" xfId="16566" xr:uid="{078D740B-4CAD-4417-9837-3037CA6C5117}"/>
    <cellStyle name="Linked Cell 15 2 4 10 2" xfId="16567" xr:uid="{C4AA85F3-78F7-4745-9E14-650493EF0B59}"/>
    <cellStyle name="Linked Cell 15 2 4 10 2 2" xfId="16568" xr:uid="{67DC2685-9E68-4309-A9B7-010BF0E3586F}"/>
    <cellStyle name="Linked Cell 15 2 4 10 3" xfId="16569" xr:uid="{4C6837EE-1187-4790-84E5-DD7EF238EC80}"/>
    <cellStyle name="Linked Cell 15 2 4 11" xfId="16570" xr:uid="{CF79D8E9-D459-418C-A349-5A4FCB924B34}"/>
    <cellStyle name="Linked Cell 15 2 4 11 2" xfId="16571" xr:uid="{486C565A-595F-4793-92A8-E484F930C004}"/>
    <cellStyle name="Linked Cell 15 2 4 12" xfId="16572" xr:uid="{EE618F10-2913-4BC3-AE15-056BCFEF5905}"/>
    <cellStyle name="Linked Cell 15 2 4 2" xfId="16573" xr:uid="{F0BC0D50-54F3-4310-A27A-512E2691D09D}"/>
    <cellStyle name="Linked Cell 15 2 4 2 10" xfId="16574" xr:uid="{14A9284B-6B69-4ECD-9618-C2BABC27221F}"/>
    <cellStyle name="Linked Cell 15 2 4 2 10 2" xfId="16575" xr:uid="{88E95C5A-2DC0-4613-A1A6-8EF59E57BB54}"/>
    <cellStyle name="Linked Cell 15 2 4 2 11" xfId="16576" xr:uid="{D69B1E96-9345-4C89-A69C-964585A1436B}"/>
    <cellStyle name="Linked Cell 15 2 4 2 2" xfId="16577" xr:uid="{8E1BDE81-2EA4-46CD-839C-C2E6279CD090}"/>
    <cellStyle name="Linked Cell 15 2 4 2 2 2" xfId="16578" xr:uid="{F9BBB0BF-1514-4F4F-A4B1-000E2E0C0DE5}"/>
    <cellStyle name="Linked Cell 15 2 4 2 2 2 2" xfId="16579" xr:uid="{EEA8671A-5954-48BD-BF87-43500926DCE2}"/>
    <cellStyle name="Linked Cell 15 2 4 2 2 3" xfId="16580" xr:uid="{B6F0B350-8204-4C6D-B7EE-8C7E2FEFF364}"/>
    <cellStyle name="Linked Cell 15 2 4 2 3" xfId="16581" xr:uid="{22745923-7761-4DA2-81F1-AFC2AFE7AF32}"/>
    <cellStyle name="Linked Cell 15 2 4 2 3 2" xfId="16582" xr:uid="{525A8B6A-F693-400B-8F58-BCB12D3D35EC}"/>
    <cellStyle name="Linked Cell 15 2 4 2 3 2 2" xfId="16583" xr:uid="{058F2286-2B60-4245-9E30-DFC815EC52B0}"/>
    <cellStyle name="Linked Cell 15 2 4 2 3 3" xfId="16584" xr:uid="{F344C0FB-5E99-4BBD-B408-9C78B579D7F6}"/>
    <cellStyle name="Linked Cell 15 2 4 2 4" xfId="16585" xr:uid="{BFCFAD39-746B-41BF-B340-B8CBC2578AC5}"/>
    <cellStyle name="Linked Cell 15 2 4 2 4 2" xfId="16586" xr:uid="{6C48E509-0B73-48F0-944C-E49094A3EA65}"/>
    <cellStyle name="Linked Cell 15 2 4 2 4 2 2" xfId="16587" xr:uid="{73B94B9C-10DC-44D8-9DC3-524F3455A810}"/>
    <cellStyle name="Linked Cell 15 2 4 2 4 3" xfId="16588" xr:uid="{1FAA221B-279E-4CCE-BC36-A65ACBC1C633}"/>
    <cellStyle name="Linked Cell 15 2 4 2 5" xfId="16589" xr:uid="{9B76BEF0-CEF8-416D-96AA-AD294A6DC49F}"/>
    <cellStyle name="Linked Cell 15 2 4 2 5 2" xfId="16590" xr:uid="{3E653514-B59C-4B37-BA15-B97BBFF61EBE}"/>
    <cellStyle name="Linked Cell 15 2 4 2 5 2 2" xfId="16591" xr:uid="{87212CCC-EA75-4E43-92F7-EB5339B0D2C1}"/>
    <cellStyle name="Linked Cell 15 2 4 2 5 3" xfId="16592" xr:uid="{04D729C4-A770-460B-B997-F13780F74C07}"/>
    <cellStyle name="Linked Cell 15 2 4 2 6" xfId="16593" xr:uid="{E34C6092-0006-479D-81BA-BBB565ED156D}"/>
    <cellStyle name="Linked Cell 15 2 4 2 6 2" xfId="16594" xr:uid="{CFEE60E0-375D-43AE-8A5C-C31F37310A32}"/>
    <cellStyle name="Linked Cell 15 2 4 2 6 2 2" xfId="16595" xr:uid="{0739FF77-EE71-46ED-86BE-08F25A90E11C}"/>
    <cellStyle name="Linked Cell 15 2 4 2 6 3" xfId="16596" xr:uid="{E2978807-7DB5-4B2E-A5FF-637188459FF9}"/>
    <cellStyle name="Linked Cell 15 2 4 2 7" xfId="16597" xr:uid="{AFDB2A85-AAB4-4FC0-A400-E43CA9273F95}"/>
    <cellStyle name="Linked Cell 15 2 4 2 7 2" xfId="16598" xr:uid="{29DE1126-3B6E-4805-896E-C50084AC2F73}"/>
    <cellStyle name="Linked Cell 15 2 4 2 7 2 2" xfId="16599" xr:uid="{3EB5AC0E-73C3-469A-90C5-76907DE5DCE7}"/>
    <cellStyle name="Linked Cell 15 2 4 2 7 3" xfId="16600" xr:uid="{A8C625F9-68FF-4625-A4D4-86D816B4FB34}"/>
    <cellStyle name="Linked Cell 15 2 4 2 8" xfId="16601" xr:uid="{BFEE7EC5-CCC2-41BD-8B83-EFB0A17F16BC}"/>
    <cellStyle name="Linked Cell 15 2 4 2 8 2" xfId="16602" xr:uid="{6B5F0543-A8C0-4A14-AABA-BF04F3319F61}"/>
    <cellStyle name="Linked Cell 15 2 4 2 8 2 2" xfId="16603" xr:uid="{D1785054-8390-445C-81F3-4D20DF70116D}"/>
    <cellStyle name="Linked Cell 15 2 4 2 8 3" xfId="16604" xr:uid="{0D3791C2-519C-45CA-9EE3-A978B9D6304F}"/>
    <cellStyle name="Linked Cell 15 2 4 2 9" xfId="16605" xr:uid="{6CBC287D-2399-4562-9EC8-17493040C294}"/>
    <cellStyle name="Linked Cell 15 2 4 2 9 2" xfId="16606" xr:uid="{BF56CC28-5B9B-484C-AAFA-8DF130C92F87}"/>
    <cellStyle name="Linked Cell 15 2 4 2 9 2 2" xfId="16607" xr:uid="{43610366-11CB-4047-B249-F8831841B4F3}"/>
    <cellStyle name="Linked Cell 15 2 4 2 9 3" xfId="16608" xr:uid="{3BAB1CCF-A00E-4530-9C9C-6C44936A5B30}"/>
    <cellStyle name="Linked Cell 15 2 4 3" xfId="16609" xr:uid="{0EA61EB9-E714-4586-A7E5-9573025C3ED7}"/>
    <cellStyle name="Linked Cell 15 2 4 3 2" xfId="16610" xr:uid="{F866F2D9-D7D6-4AA6-9673-08B15F34CF47}"/>
    <cellStyle name="Linked Cell 15 2 4 3 2 2" xfId="16611" xr:uid="{984611F3-4C1F-4358-A567-8067E6773694}"/>
    <cellStyle name="Linked Cell 15 2 4 3 3" xfId="16612" xr:uid="{C964EC36-2F45-4419-900B-A71A45D7B1B0}"/>
    <cellStyle name="Linked Cell 15 2 4 4" xfId="16613" xr:uid="{7897699B-3385-4086-AAEB-8B99DF682BBB}"/>
    <cellStyle name="Linked Cell 15 2 4 4 2" xfId="16614" xr:uid="{ABDE95F1-EF3C-444D-B0EB-1A8C3E6953BA}"/>
    <cellStyle name="Linked Cell 15 2 4 4 2 2" xfId="16615" xr:uid="{7A8BFE29-583D-4677-A00F-8ECA1E110689}"/>
    <cellStyle name="Linked Cell 15 2 4 4 3" xfId="16616" xr:uid="{6E84BD56-BAEB-4F29-8D3D-33A464116B61}"/>
    <cellStyle name="Linked Cell 15 2 4 5" xfId="16617" xr:uid="{D8901A14-1E73-40C0-9736-F236A0CE7016}"/>
    <cellStyle name="Linked Cell 15 2 4 5 2" xfId="16618" xr:uid="{2B5AF64B-F1BE-41EA-8121-AD51DE28AAD4}"/>
    <cellStyle name="Linked Cell 15 2 4 5 2 2" xfId="16619" xr:uid="{6CBACD30-2F83-4C30-961C-AADE5C930C6C}"/>
    <cellStyle name="Linked Cell 15 2 4 5 3" xfId="16620" xr:uid="{1522F3E5-21D9-4830-AC2D-C8120A0EAE3B}"/>
    <cellStyle name="Linked Cell 15 2 4 6" xfId="16621" xr:uid="{686D3855-7B1A-4FF0-B488-F3B1FDFE862A}"/>
    <cellStyle name="Linked Cell 15 2 4 6 2" xfId="16622" xr:uid="{A2C481F4-F2CB-4F66-BE4B-70A18E381957}"/>
    <cellStyle name="Linked Cell 15 2 4 6 2 2" xfId="16623" xr:uid="{EE4C11D8-48EB-45A2-97DB-4AD2FC9A162F}"/>
    <cellStyle name="Linked Cell 15 2 4 6 3" xfId="16624" xr:uid="{F1E5E3AF-DCCF-4891-A34E-C1FC2806D4D7}"/>
    <cellStyle name="Linked Cell 15 2 4 7" xfId="16625" xr:uid="{BCEB598C-21CB-44A9-9408-CBFDFD3C69CF}"/>
    <cellStyle name="Linked Cell 15 2 4 7 2" xfId="16626" xr:uid="{153B7929-CC65-4B57-80D0-7CF7CE24E300}"/>
    <cellStyle name="Linked Cell 15 2 4 7 2 2" xfId="16627" xr:uid="{974A65DF-ED67-4151-B39F-2F057C991612}"/>
    <cellStyle name="Linked Cell 15 2 4 7 3" xfId="16628" xr:uid="{6236784F-20D5-4CCE-9EDC-7DA7EE8094B1}"/>
    <cellStyle name="Linked Cell 15 2 4 8" xfId="16629" xr:uid="{4466D87F-9127-4ED7-B38A-F13A16F1C12C}"/>
    <cellStyle name="Linked Cell 15 2 4 8 2" xfId="16630" xr:uid="{E3B142E8-6980-4536-913B-9A348A036833}"/>
    <cellStyle name="Linked Cell 15 2 4 8 2 2" xfId="16631" xr:uid="{4D9C56CF-E6DD-455F-AD59-0C807125B811}"/>
    <cellStyle name="Linked Cell 15 2 4 8 3" xfId="16632" xr:uid="{1CF3A6FD-ACA4-4EF5-A941-3B258FFC11D8}"/>
    <cellStyle name="Linked Cell 15 2 4 9" xfId="16633" xr:uid="{5DC58EFF-FBEA-493F-B4A1-57700ED426FA}"/>
    <cellStyle name="Linked Cell 15 2 4 9 2" xfId="16634" xr:uid="{C078EDCA-D27B-445A-A705-5DA2F4A5944D}"/>
    <cellStyle name="Linked Cell 15 2 4 9 2 2" xfId="16635" xr:uid="{1A60B8FB-761E-4A06-A017-1D39930F91AF}"/>
    <cellStyle name="Linked Cell 15 2 4 9 3" xfId="16636" xr:uid="{20A8C9C2-DA10-41F2-A3AA-2E97877ECE2F}"/>
    <cellStyle name="Linked Cell 15 2 5" xfId="16637" xr:uid="{6716B3CD-F893-4A87-B486-71AC58B4F3BD}"/>
    <cellStyle name="Linked Cell 15 2 5 10" xfId="16638" xr:uid="{F0E07482-476A-412A-B24B-DED0B52CB976}"/>
    <cellStyle name="Linked Cell 15 2 5 10 2" xfId="16639" xr:uid="{9BF3AAEA-1DDE-4BF4-9570-52CAC4F8E269}"/>
    <cellStyle name="Linked Cell 15 2 5 11" xfId="16640" xr:uid="{A83EA62E-DCA3-44A7-8D3B-1A625A201E48}"/>
    <cellStyle name="Linked Cell 15 2 5 2" xfId="16641" xr:uid="{BA191D09-9972-4E32-8218-9E750F03C04E}"/>
    <cellStyle name="Linked Cell 15 2 5 2 2" xfId="16642" xr:uid="{7959D18A-DFDC-449C-A6E8-4C43AEBE875F}"/>
    <cellStyle name="Linked Cell 15 2 5 2 2 2" xfId="16643" xr:uid="{A0693404-8D47-4D25-A601-4651BB4FFB42}"/>
    <cellStyle name="Linked Cell 15 2 5 2 3" xfId="16644" xr:uid="{8E10F646-FA84-4E1A-8760-996472C02B3E}"/>
    <cellStyle name="Linked Cell 15 2 5 3" xfId="16645" xr:uid="{175F109F-44E3-4B83-9C70-50249BB17E5E}"/>
    <cellStyle name="Linked Cell 15 2 5 3 2" xfId="16646" xr:uid="{A3A32BC4-C905-4A90-859E-3C4395DEBAC2}"/>
    <cellStyle name="Linked Cell 15 2 5 3 2 2" xfId="16647" xr:uid="{209030E8-37B5-4C6B-8450-DBA1F1790D64}"/>
    <cellStyle name="Linked Cell 15 2 5 3 3" xfId="16648" xr:uid="{47CFCC97-4280-45BD-B4B5-09730E0D0034}"/>
    <cellStyle name="Linked Cell 15 2 5 4" xfId="16649" xr:uid="{B1C4AF4F-FBFA-4495-8E12-748E16EC8148}"/>
    <cellStyle name="Linked Cell 15 2 5 4 2" xfId="16650" xr:uid="{A5B965F5-90E3-4F60-A647-CEE555ECB99E}"/>
    <cellStyle name="Linked Cell 15 2 5 4 2 2" xfId="16651" xr:uid="{1058529B-B181-4FC4-B54B-F287FD094488}"/>
    <cellStyle name="Linked Cell 15 2 5 4 3" xfId="16652" xr:uid="{F3434E13-E1D1-4AFF-B984-45A2CB422C58}"/>
    <cellStyle name="Linked Cell 15 2 5 5" xfId="16653" xr:uid="{7255921A-7FF7-42E3-9801-49C7FFBADAE9}"/>
    <cellStyle name="Linked Cell 15 2 5 5 2" xfId="16654" xr:uid="{FBBF31CF-8FC0-41CF-AE2D-DCA81F3A258C}"/>
    <cellStyle name="Linked Cell 15 2 5 5 2 2" xfId="16655" xr:uid="{48EC7CE9-F316-4118-A2DC-6218339F61E1}"/>
    <cellStyle name="Linked Cell 15 2 5 5 3" xfId="16656" xr:uid="{CF58B595-BCC0-455D-8C9A-FDC619321447}"/>
    <cellStyle name="Linked Cell 15 2 5 6" xfId="16657" xr:uid="{31E438D0-9296-452F-AD4D-68C4DE5AF7FF}"/>
    <cellStyle name="Linked Cell 15 2 5 6 2" xfId="16658" xr:uid="{E4A72CAA-C9BA-40DD-B1B4-7633B2D386C0}"/>
    <cellStyle name="Linked Cell 15 2 5 6 2 2" xfId="16659" xr:uid="{571118A7-1571-4F35-9F3B-63C34EAFA1A6}"/>
    <cellStyle name="Linked Cell 15 2 5 6 3" xfId="16660" xr:uid="{5BF33E90-1ED0-4172-B4A1-514DBA391A7D}"/>
    <cellStyle name="Linked Cell 15 2 5 7" xfId="16661" xr:uid="{9779BE00-5F8D-47C6-9A85-59E2C831808F}"/>
    <cellStyle name="Linked Cell 15 2 5 7 2" xfId="16662" xr:uid="{6ED23779-A782-41F0-B6D6-64B73E2E0A24}"/>
    <cellStyle name="Linked Cell 15 2 5 7 2 2" xfId="16663" xr:uid="{0D83C7D6-188D-463F-A1C5-AEBBAB5CF590}"/>
    <cellStyle name="Linked Cell 15 2 5 7 3" xfId="16664" xr:uid="{DB0099C9-5CF3-4A8A-9415-79B8C3D458B2}"/>
    <cellStyle name="Linked Cell 15 2 5 8" xfId="16665" xr:uid="{6440F380-4632-494F-B9EB-F179A5EA91D3}"/>
    <cellStyle name="Linked Cell 15 2 5 8 2" xfId="16666" xr:uid="{08125B98-320B-418F-845A-4D33D973FFA2}"/>
    <cellStyle name="Linked Cell 15 2 5 8 2 2" xfId="16667" xr:uid="{AFEBF783-3D79-49B1-AC5B-A38271891959}"/>
    <cellStyle name="Linked Cell 15 2 5 8 3" xfId="16668" xr:uid="{DA496EBC-A8F2-4058-A935-2C9035AE5099}"/>
    <cellStyle name="Linked Cell 15 2 5 9" xfId="16669" xr:uid="{95E8CEBE-D44F-45E9-BA0A-FDE059B38A61}"/>
    <cellStyle name="Linked Cell 15 2 5 9 2" xfId="16670" xr:uid="{B2AC5BFA-FCF0-428A-BCCE-7AF94428D931}"/>
    <cellStyle name="Linked Cell 15 2 5 9 2 2" xfId="16671" xr:uid="{FFE4EEA9-026D-45D0-A5AE-387EADECEA64}"/>
    <cellStyle name="Linked Cell 15 2 5 9 3" xfId="16672" xr:uid="{79E1F894-3BAE-4208-8371-2F96048E5731}"/>
    <cellStyle name="Linked Cell 15 2 6" xfId="16673" xr:uid="{813521FC-8506-4720-A4FA-AB206CD85E69}"/>
    <cellStyle name="Linked Cell 15 2 6 2" xfId="16674" xr:uid="{571A4F90-8024-46A3-B9F9-050FD875142C}"/>
    <cellStyle name="Linked Cell 15 2 6 2 2" xfId="16675" xr:uid="{B57C19B7-DC08-4470-9FC3-552CAF2CFB01}"/>
    <cellStyle name="Linked Cell 15 2 6 3" xfId="16676" xr:uid="{4CD27AFA-BFB7-4945-83F5-5F827E646812}"/>
    <cellStyle name="Linked Cell 15 2 7" xfId="16677" xr:uid="{B762E691-BBB9-4ADD-AE05-46A39A5102FB}"/>
    <cellStyle name="Linked Cell 15 2 7 2" xfId="16678" xr:uid="{D46659E0-CF8B-4A3A-A739-BF437241D41A}"/>
    <cellStyle name="Linked Cell 15 2 7 2 2" xfId="16679" xr:uid="{818FF912-8393-4824-B7B6-3F5B4ED0DDA1}"/>
    <cellStyle name="Linked Cell 15 2 7 3" xfId="16680" xr:uid="{D59DCCE2-C78E-4703-8A08-8F3D4DBEA044}"/>
    <cellStyle name="Linked Cell 15 2 8" xfId="16681" xr:uid="{5FE8EB56-BAFE-47E3-B3EC-4C3A84BE513F}"/>
    <cellStyle name="Linked Cell 15 2 8 2" xfId="16682" xr:uid="{6B0ED0F5-E8E7-445E-99BA-A253B88C03B6}"/>
    <cellStyle name="Linked Cell 15 2 8 2 2" xfId="16683" xr:uid="{EB2B25F9-F5F3-451E-A019-6E9E3A226587}"/>
    <cellStyle name="Linked Cell 15 2 8 3" xfId="16684" xr:uid="{F4F079DE-05B8-460E-B71E-46A6824435C1}"/>
    <cellStyle name="Linked Cell 15 2 9" xfId="16685" xr:uid="{40BC83FC-F410-44B7-BA1C-EF8751AFCE8A}"/>
    <cellStyle name="Linked Cell 15 2 9 2" xfId="16686" xr:uid="{2D320939-7B3A-43B9-9713-60E8E9ABBF87}"/>
    <cellStyle name="Linked Cell 15 2 9 2 2" xfId="16687" xr:uid="{4B97448F-1734-4090-809F-29B6A3B4840F}"/>
    <cellStyle name="Linked Cell 15 2 9 3" xfId="16688" xr:uid="{8C9AA98F-B706-4AE4-B9F5-46F4C273B96E}"/>
    <cellStyle name="Linked Cell 15 3" xfId="16689" xr:uid="{B4A007DD-449C-4395-A66C-DBCFD7839790}"/>
    <cellStyle name="Linked Cell 15 3 10" xfId="16690" xr:uid="{96E04211-89CA-43CB-A3FC-9F71FB8DEAAC}"/>
    <cellStyle name="Linked Cell 15 3 10 2" xfId="16691" xr:uid="{51AAB4DC-0EF2-4831-8E35-C33EA7193B4E}"/>
    <cellStyle name="Linked Cell 15 3 10 2 2" xfId="16692" xr:uid="{C32696B4-D1C2-42BF-B853-CA6391C7F937}"/>
    <cellStyle name="Linked Cell 15 3 10 3" xfId="16693" xr:uid="{E3C8E554-6265-47BC-AFCC-767F1450D551}"/>
    <cellStyle name="Linked Cell 15 3 11" xfId="16694" xr:uid="{94DA1DF7-9682-4BBF-AFF9-AA685745D804}"/>
    <cellStyle name="Linked Cell 15 3 11 2" xfId="16695" xr:uid="{76433D66-E4ED-4263-B3E8-B0183CA803BF}"/>
    <cellStyle name="Linked Cell 15 3 11 2 2" xfId="16696" xr:uid="{255DE384-BDB8-45A5-92A7-36448A9E8FD7}"/>
    <cellStyle name="Linked Cell 15 3 11 3" xfId="16697" xr:uid="{4ED9F9A4-6048-4DB2-AA92-9BBDE4550876}"/>
    <cellStyle name="Linked Cell 15 3 12" xfId="16698" xr:uid="{97F4EABC-9C4F-460A-B53D-9035E4112F34}"/>
    <cellStyle name="Linked Cell 15 3 12 2" xfId="16699" xr:uid="{75719C01-DE3E-48BE-9308-FBA05E65104C}"/>
    <cellStyle name="Linked Cell 15 3 12 2 2" xfId="16700" xr:uid="{A6D8F081-8649-4326-93E0-1F498561CFEA}"/>
    <cellStyle name="Linked Cell 15 3 12 3" xfId="16701" xr:uid="{FB0D8BBF-8C22-4932-82D3-1D70A1291241}"/>
    <cellStyle name="Linked Cell 15 3 13" xfId="16702" xr:uid="{E2C764F7-5017-4125-8F7C-5A32C14FEE11}"/>
    <cellStyle name="Linked Cell 15 3 13 2" xfId="16703" xr:uid="{2B317A57-CCAC-45F1-A8B0-8CF2DE2BFC22}"/>
    <cellStyle name="Linked Cell 15 3 14" xfId="16704" xr:uid="{71072514-E9CF-42AB-8972-50B6A656531E}"/>
    <cellStyle name="Linked Cell 15 3 2" xfId="16705" xr:uid="{1C45E673-2D57-49AB-A931-3D2168BD311F}"/>
    <cellStyle name="Linked Cell 15 3 2 10" xfId="16706" xr:uid="{559FCBCA-9D43-44B2-B739-FF48DC610F2A}"/>
    <cellStyle name="Linked Cell 15 3 2 10 2" xfId="16707" xr:uid="{59D00B8D-A955-4A9A-BE6A-0B7E726599F5}"/>
    <cellStyle name="Linked Cell 15 3 2 10 2 2" xfId="16708" xr:uid="{58AA3551-FEF0-46E9-9476-3BDA34653B10}"/>
    <cellStyle name="Linked Cell 15 3 2 10 3" xfId="16709" xr:uid="{5C48F621-AD47-4ECF-9497-7EBAD0779745}"/>
    <cellStyle name="Linked Cell 15 3 2 11" xfId="16710" xr:uid="{21392CCB-8C7F-4285-93C0-45A44E23C1B6}"/>
    <cellStyle name="Linked Cell 15 3 2 11 2" xfId="16711" xr:uid="{2B3C6B90-88D3-43FA-AE3A-33DF4177A190}"/>
    <cellStyle name="Linked Cell 15 3 2 11 2 2" xfId="16712" xr:uid="{D12D4FC8-18D1-4C43-8179-36E2873D0D8A}"/>
    <cellStyle name="Linked Cell 15 3 2 11 3" xfId="16713" xr:uid="{03B75B46-853B-4EA3-AEB6-6D387D5CAE00}"/>
    <cellStyle name="Linked Cell 15 3 2 12" xfId="16714" xr:uid="{EA133AF1-6712-4F0D-8606-AFFB15A3220B}"/>
    <cellStyle name="Linked Cell 15 3 2 12 2" xfId="16715" xr:uid="{2C4F249B-3585-46C9-82B6-09B995D60ECF}"/>
    <cellStyle name="Linked Cell 15 3 2 13" xfId="16716" xr:uid="{FCD726FC-18EC-493D-856B-46A292112678}"/>
    <cellStyle name="Linked Cell 15 3 2 2" xfId="16717" xr:uid="{C5A3BA0C-7D57-49F2-B703-ECDB39C16584}"/>
    <cellStyle name="Linked Cell 15 3 2 2 10" xfId="16718" xr:uid="{409F9F29-13B7-4D8D-A0E5-3EBB22DB31BE}"/>
    <cellStyle name="Linked Cell 15 3 2 2 10 2" xfId="16719" xr:uid="{3CA53ACC-49FE-4182-B8AB-821859645CDE}"/>
    <cellStyle name="Linked Cell 15 3 2 2 10 2 2" xfId="16720" xr:uid="{B5BFDD14-3EE6-4A03-A4D0-EBD45C90BB8A}"/>
    <cellStyle name="Linked Cell 15 3 2 2 10 3" xfId="16721" xr:uid="{03019DE6-0DD1-4972-B3D7-6D027039704F}"/>
    <cellStyle name="Linked Cell 15 3 2 2 11" xfId="16722" xr:uid="{199FCD97-5231-428C-8533-D31B8D0AAE5B}"/>
    <cellStyle name="Linked Cell 15 3 2 2 11 2" xfId="16723" xr:uid="{0D160A43-FC7B-45A1-9D8E-9BCC0FF5672B}"/>
    <cellStyle name="Linked Cell 15 3 2 2 12" xfId="16724" xr:uid="{3E1FA8D2-F6C0-453D-A6E0-EF7100594B71}"/>
    <cellStyle name="Linked Cell 15 3 2 2 2" xfId="16725" xr:uid="{5C5A8032-3EB5-4154-8DE1-B474140B4FB8}"/>
    <cellStyle name="Linked Cell 15 3 2 2 2 2" xfId="16726" xr:uid="{C8BF5804-E708-40B8-AFF6-559630C3EA73}"/>
    <cellStyle name="Linked Cell 15 3 2 2 2 2 2" xfId="16727" xr:uid="{78608E7C-6EA2-49DD-BD9E-AFD0C05AF98E}"/>
    <cellStyle name="Linked Cell 15 3 2 2 2 3" xfId="16728" xr:uid="{852664CC-D8E8-4618-ACF3-5A7B40983B7F}"/>
    <cellStyle name="Linked Cell 15 3 2 2 3" xfId="16729" xr:uid="{EC2ED6A5-83FB-4771-B9A9-0A2DD95214C0}"/>
    <cellStyle name="Linked Cell 15 3 2 2 3 2" xfId="16730" xr:uid="{D7659A97-51D9-4C54-A2A8-9B4C5CBA9ED8}"/>
    <cellStyle name="Linked Cell 15 3 2 2 3 2 2" xfId="16731" xr:uid="{9F7738A2-4301-4FD1-9533-09C836902125}"/>
    <cellStyle name="Linked Cell 15 3 2 2 3 3" xfId="16732" xr:uid="{A7303699-BC15-4EAA-BC91-2F4DFE81EDA1}"/>
    <cellStyle name="Linked Cell 15 3 2 2 4" xfId="16733" xr:uid="{632F8F77-A881-498C-BEBC-0427F5B8B0D7}"/>
    <cellStyle name="Linked Cell 15 3 2 2 4 2" xfId="16734" xr:uid="{EF95C0E2-AEF8-445D-BFDB-6DA877E1AE44}"/>
    <cellStyle name="Linked Cell 15 3 2 2 4 2 2" xfId="16735" xr:uid="{865F63F6-F61B-4A7B-AB28-761D587470A3}"/>
    <cellStyle name="Linked Cell 15 3 2 2 4 3" xfId="16736" xr:uid="{D1D0A2E4-E6FA-4BEE-A24E-CA8192BF73AE}"/>
    <cellStyle name="Linked Cell 15 3 2 2 5" xfId="16737" xr:uid="{12F2128E-5CD1-404C-BA89-7B7D1B67F09B}"/>
    <cellStyle name="Linked Cell 15 3 2 2 5 2" xfId="16738" xr:uid="{D0024E7F-7C75-4ECD-BA58-EF8CC0174F86}"/>
    <cellStyle name="Linked Cell 15 3 2 2 5 2 2" xfId="16739" xr:uid="{27BFB42F-CEAB-40E4-B462-9666042190E9}"/>
    <cellStyle name="Linked Cell 15 3 2 2 5 3" xfId="16740" xr:uid="{AA570A98-2D86-4F17-9CCD-69DD64F797A1}"/>
    <cellStyle name="Linked Cell 15 3 2 2 6" xfId="16741" xr:uid="{C2263DE9-76CF-4818-B23E-3793510AA7D8}"/>
    <cellStyle name="Linked Cell 15 3 2 2 6 2" xfId="16742" xr:uid="{DD04618C-85FE-448E-8F76-1739FB239EE8}"/>
    <cellStyle name="Linked Cell 15 3 2 2 6 2 2" xfId="16743" xr:uid="{B6268312-4E67-4DFD-A43A-64D91D53E39C}"/>
    <cellStyle name="Linked Cell 15 3 2 2 6 3" xfId="16744" xr:uid="{0291F4D6-D07F-44CE-836C-6D495986E42D}"/>
    <cellStyle name="Linked Cell 15 3 2 2 7" xfId="16745" xr:uid="{A819FEA1-5887-4D85-910B-A3FBA9241A41}"/>
    <cellStyle name="Linked Cell 15 3 2 2 7 2" xfId="16746" xr:uid="{4B82EC27-045D-4AF8-8591-EA609392BEA8}"/>
    <cellStyle name="Linked Cell 15 3 2 2 7 2 2" xfId="16747" xr:uid="{E1AC9DCE-0E8E-4540-B652-EA0F0FCCEC0F}"/>
    <cellStyle name="Linked Cell 15 3 2 2 7 3" xfId="16748" xr:uid="{BC81E325-29AE-4630-931E-6030AF0CD34A}"/>
    <cellStyle name="Linked Cell 15 3 2 2 8" xfId="16749" xr:uid="{CA9CEB46-F930-4AF9-B89C-10B6ECDFB564}"/>
    <cellStyle name="Linked Cell 15 3 2 2 8 2" xfId="16750" xr:uid="{3E4FC668-9E4C-46B7-9330-E068FAEB7264}"/>
    <cellStyle name="Linked Cell 15 3 2 2 8 2 2" xfId="16751" xr:uid="{FEB34363-761F-4E84-B9B2-71DE4051411A}"/>
    <cellStyle name="Linked Cell 15 3 2 2 8 3" xfId="16752" xr:uid="{A8179619-C0E2-4F04-B04E-8A4F6C781F6D}"/>
    <cellStyle name="Linked Cell 15 3 2 2 9" xfId="16753" xr:uid="{3D246468-3474-45C4-BCA7-F6EC68660ED3}"/>
    <cellStyle name="Linked Cell 15 3 2 2 9 2" xfId="16754" xr:uid="{B8533353-8393-4A6F-92C6-2BC875FD336B}"/>
    <cellStyle name="Linked Cell 15 3 2 2 9 2 2" xfId="16755" xr:uid="{9764A767-41C4-4B39-BA4B-C981EB8F7245}"/>
    <cellStyle name="Linked Cell 15 3 2 2 9 3" xfId="16756" xr:uid="{C1C102A9-2887-4471-96D3-114701950EBC}"/>
    <cellStyle name="Linked Cell 15 3 2 3" xfId="16757" xr:uid="{0B3C205C-FFF4-4D14-A9B1-257184B602DD}"/>
    <cellStyle name="Linked Cell 15 3 2 3 10" xfId="16758" xr:uid="{980E2C83-61D2-420C-8770-FAC095E732F8}"/>
    <cellStyle name="Linked Cell 15 3 2 3 10 2" xfId="16759" xr:uid="{3ECCF8DD-DE92-45EF-93B2-BD0E44A2DDA7}"/>
    <cellStyle name="Linked Cell 15 3 2 3 11" xfId="16760" xr:uid="{C1831C91-FD30-4F09-AEC0-7BCA103C9C05}"/>
    <cellStyle name="Linked Cell 15 3 2 3 2" xfId="16761" xr:uid="{D0446685-5DB3-4F45-A6BC-217F4A6E9CBE}"/>
    <cellStyle name="Linked Cell 15 3 2 3 2 2" xfId="16762" xr:uid="{20E063F4-14C8-4AEB-8E22-C139F82C13B9}"/>
    <cellStyle name="Linked Cell 15 3 2 3 2 2 2" xfId="16763" xr:uid="{0F72FD9B-5242-4143-9A34-5E9D44023D0F}"/>
    <cellStyle name="Linked Cell 15 3 2 3 2 3" xfId="16764" xr:uid="{8379E2C2-3A2F-4B7B-B6C3-BE89565D2009}"/>
    <cellStyle name="Linked Cell 15 3 2 3 3" xfId="16765" xr:uid="{FC52E952-83D4-4BC2-8FE2-CD60071FA7F8}"/>
    <cellStyle name="Linked Cell 15 3 2 3 3 2" xfId="16766" xr:uid="{907B73C0-A411-4A86-8194-F1165EA1B3CC}"/>
    <cellStyle name="Linked Cell 15 3 2 3 3 2 2" xfId="16767" xr:uid="{C07F0B98-1650-4634-803B-7A222BD41F89}"/>
    <cellStyle name="Linked Cell 15 3 2 3 3 3" xfId="16768" xr:uid="{245D3D33-B7CD-498D-B391-60750C4D8EFE}"/>
    <cellStyle name="Linked Cell 15 3 2 3 4" xfId="16769" xr:uid="{94B3A149-D1DA-4126-BF41-927982023682}"/>
    <cellStyle name="Linked Cell 15 3 2 3 4 2" xfId="16770" xr:uid="{B970F98B-AB9E-4CFD-831D-645A0F2BA26F}"/>
    <cellStyle name="Linked Cell 15 3 2 3 4 2 2" xfId="16771" xr:uid="{BAEDB25B-A722-44A5-A923-CF0C9771D8A7}"/>
    <cellStyle name="Linked Cell 15 3 2 3 4 3" xfId="16772" xr:uid="{E147A698-0F2A-4D32-A624-8667993E8E21}"/>
    <cellStyle name="Linked Cell 15 3 2 3 5" xfId="16773" xr:uid="{4FEAD330-5120-4569-BCF7-71AB8EB7C74E}"/>
    <cellStyle name="Linked Cell 15 3 2 3 5 2" xfId="16774" xr:uid="{EE27AE8A-9A69-4169-B989-FF7644F166BE}"/>
    <cellStyle name="Linked Cell 15 3 2 3 5 2 2" xfId="16775" xr:uid="{969EE4FB-10E9-440B-97AA-B81171725879}"/>
    <cellStyle name="Linked Cell 15 3 2 3 5 3" xfId="16776" xr:uid="{5EC0398A-6366-423F-9F36-CE98364AF0DE}"/>
    <cellStyle name="Linked Cell 15 3 2 3 6" xfId="16777" xr:uid="{1B6B9D11-231D-4308-AA80-E9485D4E9E16}"/>
    <cellStyle name="Linked Cell 15 3 2 3 6 2" xfId="16778" xr:uid="{5B47B891-BEAC-4D5C-97EB-75E2CBC2F5A8}"/>
    <cellStyle name="Linked Cell 15 3 2 3 6 2 2" xfId="16779" xr:uid="{1E820F91-E8FA-4DA9-A546-B105203618EC}"/>
    <cellStyle name="Linked Cell 15 3 2 3 6 3" xfId="16780" xr:uid="{F1C891BB-93C4-42A6-8B4C-6E8E5C18E203}"/>
    <cellStyle name="Linked Cell 15 3 2 3 7" xfId="16781" xr:uid="{4B5A918B-1B0E-4C8D-AAC4-0C8B22D0D31A}"/>
    <cellStyle name="Linked Cell 15 3 2 3 7 2" xfId="16782" xr:uid="{4EED1DA2-D61B-4C30-A994-5A779070AA94}"/>
    <cellStyle name="Linked Cell 15 3 2 3 7 2 2" xfId="16783" xr:uid="{C59BBE1F-498A-4BA5-A8CC-FD9116EDD72B}"/>
    <cellStyle name="Linked Cell 15 3 2 3 7 3" xfId="16784" xr:uid="{C92A1FCF-1ED0-4CCD-9E65-E6C60B41E796}"/>
    <cellStyle name="Linked Cell 15 3 2 3 8" xfId="16785" xr:uid="{7557F66E-3FF4-41B1-8F7C-CD88EC4621E9}"/>
    <cellStyle name="Linked Cell 15 3 2 3 8 2" xfId="16786" xr:uid="{79947C9B-6B69-49E4-B6F1-E7D14EADF232}"/>
    <cellStyle name="Linked Cell 15 3 2 3 8 2 2" xfId="16787" xr:uid="{297FDE35-B026-438B-8151-CC9A50D1CDFA}"/>
    <cellStyle name="Linked Cell 15 3 2 3 8 3" xfId="16788" xr:uid="{ED877D13-C2DF-4059-8DC2-FA58A58991A5}"/>
    <cellStyle name="Linked Cell 15 3 2 3 9" xfId="16789" xr:uid="{ACF6F385-1EF4-47CC-B99C-C788FCD77451}"/>
    <cellStyle name="Linked Cell 15 3 2 3 9 2" xfId="16790" xr:uid="{DD90B987-A4C4-4DB4-BE21-AED077D149C1}"/>
    <cellStyle name="Linked Cell 15 3 2 3 9 2 2" xfId="16791" xr:uid="{18DFFC15-58F8-4BA0-ADA1-9193DB44BBB5}"/>
    <cellStyle name="Linked Cell 15 3 2 3 9 3" xfId="16792" xr:uid="{84BEA29B-6EDF-4134-AB9C-F3F294F01AE1}"/>
    <cellStyle name="Linked Cell 15 3 2 4" xfId="16793" xr:uid="{C10CF429-39F0-460C-81A7-4B4BB3D68112}"/>
    <cellStyle name="Linked Cell 15 3 2 4 2" xfId="16794" xr:uid="{F21753F1-D640-4387-A31C-07B427BC91A0}"/>
    <cellStyle name="Linked Cell 15 3 2 4 2 2" xfId="16795" xr:uid="{DABA03DA-EF6C-46CD-9E7A-DD3DE05FD5CD}"/>
    <cellStyle name="Linked Cell 15 3 2 4 3" xfId="16796" xr:uid="{7CC94F96-2BAE-4AAC-8329-BD42C6641AC5}"/>
    <cellStyle name="Linked Cell 15 3 2 5" xfId="16797" xr:uid="{2C52B0F2-258B-4BB4-8C73-5CF52E9A17E4}"/>
    <cellStyle name="Linked Cell 15 3 2 5 2" xfId="16798" xr:uid="{045E827F-5FE8-466F-8B90-F1A6AD9AFFFE}"/>
    <cellStyle name="Linked Cell 15 3 2 5 2 2" xfId="16799" xr:uid="{D4EEE169-A95D-4E23-9230-42432CEF61C8}"/>
    <cellStyle name="Linked Cell 15 3 2 5 3" xfId="16800" xr:uid="{58EBE73E-8DBA-48F9-BB33-EBF71A349A79}"/>
    <cellStyle name="Linked Cell 15 3 2 6" xfId="16801" xr:uid="{E516EFA8-1625-4D3C-9733-7EB05E66A3E4}"/>
    <cellStyle name="Linked Cell 15 3 2 6 2" xfId="16802" xr:uid="{B39084A6-9D76-4FC8-8D0B-23982F54A3FE}"/>
    <cellStyle name="Linked Cell 15 3 2 6 2 2" xfId="16803" xr:uid="{462D7600-FA37-43E6-8BC4-41F5BCD4950B}"/>
    <cellStyle name="Linked Cell 15 3 2 6 3" xfId="16804" xr:uid="{E7014970-ACF4-4499-A2B7-7963D87397FB}"/>
    <cellStyle name="Linked Cell 15 3 2 7" xfId="16805" xr:uid="{60FD1EDF-5B01-4553-89FA-19AB366859C4}"/>
    <cellStyle name="Linked Cell 15 3 2 7 2" xfId="16806" xr:uid="{415D2E23-64EB-43F2-A799-9A0AEF93B533}"/>
    <cellStyle name="Linked Cell 15 3 2 7 2 2" xfId="16807" xr:uid="{1BF4536E-3983-4A88-B012-DC3D56A7DAC7}"/>
    <cellStyle name="Linked Cell 15 3 2 7 3" xfId="16808" xr:uid="{A8E67320-70ED-46A5-B916-13D78831599A}"/>
    <cellStyle name="Linked Cell 15 3 2 8" xfId="16809" xr:uid="{B61401D3-1AF2-480E-B47F-EDDD280CE275}"/>
    <cellStyle name="Linked Cell 15 3 2 8 2" xfId="16810" xr:uid="{0C4B5C5D-11F2-4DB0-BEB7-41282279C5FE}"/>
    <cellStyle name="Linked Cell 15 3 2 8 2 2" xfId="16811" xr:uid="{C12E3553-0726-497B-B757-A5D449F7A731}"/>
    <cellStyle name="Linked Cell 15 3 2 8 3" xfId="16812" xr:uid="{070409A0-AFA7-4800-9398-8A45B95A126C}"/>
    <cellStyle name="Linked Cell 15 3 2 9" xfId="16813" xr:uid="{90DCE118-462D-4BF5-8CC7-B41DE661ED3D}"/>
    <cellStyle name="Linked Cell 15 3 2 9 2" xfId="16814" xr:uid="{B7348016-6518-4FC3-9FB6-534FC0A20C45}"/>
    <cellStyle name="Linked Cell 15 3 2 9 2 2" xfId="16815" xr:uid="{6F218728-DF7C-4EC9-A0C3-8662E5E27021}"/>
    <cellStyle name="Linked Cell 15 3 2 9 3" xfId="16816" xr:uid="{D45B653A-7AF7-49F8-A395-5FA4F72D9996}"/>
    <cellStyle name="Linked Cell 15 3 3" xfId="16817" xr:uid="{5B607BF1-52B0-411B-A91D-2678317A7F65}"/>
    <cellStyle name="Linked Cell 15 3 3 10" xfId="16818" xr:uid="{3EB513F1-7FFC-42EE-ADF0-5D173CB3EF73}"/>
    <cellStyle name="Linked Cell 15 3 3 10 2" xfId="16819" xr:uid="{27180988-99F3-4D65-8CEA-818C130798EF}"/>
    <cellStyle name="Linked Cell 15 3 3 10 2 2" xfId="16820" xr:uid="{7E6D7439-C612-4DB8-9C41-F6636C24A33C}"/>
    <cellStyle name="Linked Cell 15 3 3 10 3" xfId="16821" xr:uid="{B169504D-4492-4991-B583-7B468357DE4E}"/>
    <cellStyle name="Linked Cell 15 3 3 11" xfId="16822" xr:uid="{549D11DF-5F85-4FA9-964F-4573C3BFA658}"/>
    <cellStyle name="Linked Cell 15 3 3 11 2" xfId="16823" xr:uid="{F5BA6246-63F7-4F1B-8914-CDEC3A45FB48}"/>
    <cellStyle name="Linked Cell 15 3 3 12" xfId="16824" xr:uid="{D5A735A9-AE83-4C1B-B72E-B97DBEED5449}"/>
    <cellStyle name="Linked Cell 15 3 3 2" xfId="16825" xr:uid="{EA5F27C5-D6EA-4EF7-B9D1-AD153902CA4A}"/>
    <cellStyle name="Linked Cell 15 3 3 2 10" xfId="16826" xr:uid="{BE2BAD18-47CB-4341-8A4A-0757D52C8A6A}"/>
    <cellStyle name="Linked Cell 15 3 3 2 10 2" xfId="16827" xr:uid="{1B366CA9-F808-4D38-B111-3E2A1A579406}"/>
    <cellStyle name="Linked Cell 15 3 3 2 11" xfId="16828" xr:uid="{871ACBCF-157D-4B54-A20E-4999856115EF}"/>
    <cellStyle name="Linked Cell 15 3 3 2 2" xfId="16829" xr:uid="{0BD1A75F-7BBD-4248-90EF-019B4ECCB4CF}"/>
    <cellStyle name="Linked Cell 15 3 3 2 2 2" xfId="16830" xr:uid="{163A827C-2BC3-43AE-B5C3-7CDBBF878650}"/>
    <cellStyle name="Linked Cell 15 3 3 2 2 2 2" xfId="16831" xr:uid="{1AE4F05F-6805-4ED4-879D-4CD9EF196853}"/>
    <cellStyle name="Linked Cell 15 3 3 2 2 3" xfId="16832" xr:uid="{996E97F3-BEE1-484C-ABFF-87002FE3D081}"/>
    <cellStyle name="Linked Cell 15 3 3 2 3" xfId="16833" xr:uid="{BE84F34F-3B6D-47A0-A1BA-25275FDDA951}"/>
    <cellStyle name="Linked Cell 15 3 3 2 3 2" xfId="16834" xr:uid="{3B8735B8-7C3A-4461-A4E0-EA7AD87D4D4D}"/>
    <cellStyle name="Linked Cell 15 3 3 2 3 2 2" xfId="16835" xr:uid="{CCF84CA1-1B72-482B-A92C-C92B4773C8F0}"/>
    <cellStyle name="Linked Cell 15 3 3 2 3 3" xfId="16836" xr:uid="{574E91A1-79E6-4FF1-85EC-E382CAA82632}"/>
    <cellStyle name="Linked Cell 15 3 3 2 4" xfId="16837" xr:uid="{9C9D6792-0053-4EBA-A67E-5F5385D23BD6}"/>
    <cellStyle name="Linked Cell 15 3 3 2 4 2" xfId="16838" xr:uid="{37D374F2-D079-4AEF-8E5D-724004FE28F3}"/>
    <cellStyle name="Linked Cell 15 3 3 2 4 2 2" xfId="16839" xr:uid="{3BEF91E5-B67D-406A-A0CE-07FB68FBD38D}"/>
    <cellStyle name="Linked Cell 15 3 3 2 4 3" xfId="16840" xr:uid="{32106065-5D97-430B-8197-626EBE062C0D}"/>
    <cellStyle name="Linked Cell 15 3 3 2 5" xfId="16841" xr:uid="{4568F80B-B265-460B-8E8C-CDAD0715EF91}"/>
    <cellStyle name="Linked Cell 15 3 3 2 5 2" xfId="16842" xr:uid="{0380A947-FCD5-4BCA-BB7A-EDB9DDB279F3}"/>
    <cellStyle name="Linked Cell 15 3 3 2 5 2 2" xfId="16843" xr:uid="{529D5062-9CF8-4613-8DA2-829EB2128110}"/>
    <cellStyle name="Linked Cell 15 3 3 2 5 3" xfId="16844" xr:uid="{1603FA53-4F65-4E33-A1C3-15C8080D6018}"/>
    <cellStyle name="Linked Cell 15 3 3 2 6" xfId="16845" xr:uid="{BE774988-BDFB-4C97-82AD-390AEE5A5774}"/>
    <cellStyle name="Linked Cell 15 3 3 2 6 2" xfId="16846" xr:uid="{DE58FD0C-5872-4BFE-8EFE-A2CAE2814CB5}"/>
    <cellStyle name="Linked Cell 15 3 3 2 6 2 2" xfId="16847" xr:uid="{4F885E5F-151F-4B69-9F53-CB18935BE4A5}"/>
    <cellStyle name="Linked Cell 15 3 3 2 6 3" xfId="16848" xr:uid="{0504E17C-B4AA-4F9E-B3F7-0095B7DE640B}"/>
    <cellStyle name="Linked Cell 15 3 3 2 7" xfId="16849" xr:uid="{D53B09B5-4CE3-42BA-BDA1-4520DB9CEBC8}"/>
    <cellStyle name="Linked Cell 15 3 3 2 7 2" xfId="16850" xr:uid="{59F1ED11-4DCD-4020-894C-BC2A7F4C6BC1}"/>
    <cellStyle name="Linked Cell 15 3 3 2 7 2 2" xfId="16851" xr:uid="{55AAB237-50CA-4845-B190-D5C1CCF9F6C0}"/>
    <cellStyle name="Linked Cell 15 3 3 2 7 3" xfId="16852" xr:uid="{F6EDBF93-7DA1-4BCD-801A-C0C8FFC23E94}"/>
    <cellStyle name="Linked Cell 15 3 3 2 8" xfId="16853" xr:uid="{DBF70814-C41B-4769-B465-4DE65944B500}"/>
    <cellStyle name="Linked Cell 15 3 3 2 8 2" xfId="16854" xr:uid="{788D6B7C-10F8-4EF3-B2B7-49305FBA277F}"/>
    <cellStyle name="Linked Cell 15 3 3 2 8 2 2" xfId="16855" xr:uid="{85A51EA6-4D1D-4D00-8F91-63D2112F77BF}"/>
    <cellStyle name="Linked Cell 15 3 3 2 8 3" xfId="16856" xr:uid="{62D369C0-4169-4CCB-B0AB-4C0193E06C6A}"/>
    <cellStyle name="Linked Cell 15 3 3 2 9" xfId="16857" xr:uid="{AA6D70C6-2B80-4FB1-8CA2-654252E9AF8E}"/>
    <cellStyle name="Linked Cell 15 3 3 2 9 2" xfId="16858" xr:uid="{38369E9C-EC38-4F5B-A914-FD335659566E}"/>
    <cellStyle name="Linked Cell 15 3 3 2 9 2 2" xfId="16859" xr:uid="{5BB1998C-CCE8-4CF1-AD4A-10A7D8772340}"/>
    <cellStyle name="Linked Cell 15 3 3 2 9 3" xfId="16860" xr:uid="{0954E4B2-FEFB-4D47-A778-3052DEB6BA65}"/>
    <cellStyle name="Linked Cell 15 3 3 3" xfId="16861" xr:uid="{5F8CB817-CE70-46B1-BE91-A7E101552084}"/>
    <cellStyle name="Linked Cell 15 3 3 3 2" xfId="16862" xr:uid="{2A39C0F7-2F73-440F-AD63-FFBA3C75CE28}"/>
    <cellStyle name="Linked Cell 15 3 3 3 2 2" xfId="16863" xr:uid="{A2F478FF-317E-4325-8299-74FDC33B61CA}"/>
    <cellStyle name="Linked Cell 15 3 3 3 3" xfId="16864" xr:uid="{0BDCA068-F7CA-4744-BD72-E76FDF601CBF}"/>
    <cellStyle name="Linked Cell 15 3 3 4" xfId="16865" xr:uid="{3368D080-1D24-4C5F-B416-DF0E8809FCAF}"/>
    <cellStyle name="Linked Cell 15 3 3 4 2" xfId="16866" xr:uid="{30B18EBA-9408-4A68-9ECA-B7BE62DEEDFA}"/>
    <cellStyle name="Linked Cell 15 3 3 4 2 2" xfId="16867" xr:uid="{B011C292-B165-4366-8F47-7C0F6A35D5D2}"/>
    <cellStyle name="Linked Cell 15 3 3 4 3" xfId="16868" xr:uid="{BFCE8D17-F9FB-4EA7-AC16-8B4181589CDE}"/>
    <cellStyle name="Linked Cell 15 3 3 5" xfId="16869" xr:uid="{AA484E72-29BA-4389-9FFF-223373AED673}"/>
    <cellStyle name="Linked Cell 15 3 3 5 2" xfId="16870" xr:uid="{C7D3CE5E-A3FA-44E6-BEC4-69431C09D7CC}"/>
    <cellStyle name="Linked Cell 15 3 3 5 2 2" xfId="16871" xr:uid="{16407AF5-B592-4894-BA0A-2558B8E77163}"/>
    <cellStyle name="Linked Cell 15 3 3 5 3" xfId="16872" xr:uid="{F0897E98-0D06-428E-BFAC-21A3461DC0A0}"/>
    <cellStyle name="Linked Cell 15 3 3 6" xfId="16873" xr:uid="{FB5DBED5-B1E1-4D78-A521-FFFF7074492C}"/>
    <cellStyle name="Linked Cell 15 3 3 6 2" xfId="16874" xr:uid="{E9C69E65-B632-44E8-8149-CED32F87B753}"/>
    <cellStyle name="Linked Cell 15 3 3 6 2 2" xfId="16875" xr:uid="{DEF84C48-15DE-47D4-BEF3-6F001DEF972A}"/>
    <cellStyle name="Linked Cell 15 3 3 6 3" xfId="16876" xr:uid="{7DE300D6-52A9-4F9C-86A5-6ECA82550D3F}"/>
    <cellStyle name="Linked Cell 15 3 3 7" xfId="16877" xr:uid="{41A56C87-28BD-49C3-BDF1-394BA9B06BA6}"/>
    <cellStyle name="Linked Cell 15 3 3 7 2" xfId="16878" xr:uid="{87BC78F4-83A4-4C7F-B7D5-33925E8CA208}"/>
    <cellStyle name="Linked Cell 15 3 3 7 2 2" xfId="16879" xr:uid="{D3098C4C-9DB8-4F16-9042-310962963CE1}"/>
    <cellStyle name="Linked Cell 15 3 3 7 3" xfId="16880" xr:uid="{0B81E963-28EB-4FA7-A136-1B0CAFCB315F}"/>
    <cellStyle name="Linked Cell 15 3 3 8" xfId="16881" xr:uid="{57E86AC4-EECF-48FE-B0AC-08B8EF289A2A}"/>
    <cellStyle name="Linked Cell 15 3 3 8 2" xfId="16882" xr:uid="{6FE22CD1-11AE-42F3-8195-CA0DEB0B2A3E}"/>
    <cellStyle name="Linked Cell 15 3 3 8 2 2" xfId="16883" xr:uid="{92F692B9-FF6C-42BD-9BBF-AD41B3F383AF}"/>
    <cellStyle name="Linked Cell 15 3 3 8 3" xfId="16884" xr:uid="{E776BE7D-6EEA-42DD-B287-130D7D1E6646}"/>
    <cellStyle name="Linked Cell 15 3 3 9" xfId="16885" xr:uid="{18C7282D-55D2-4A9B-9050-B32BD7E37D58}"/>
    <cellStyle name="Linked Cell 15 3 3 9 2" xfId="16886" xr:uid="{9D9BA29D-0D6E-4BE9-96EF-B89879F6BB2C}"/>
    <cellStyle name="Linked Cell 15 3 3 9 2 2" xfId="16887" xr:uid="{F1605D1A-BD80-4A20-ACBF-E0447F520101}"/>
    <cellStyle name="Linked Cell 15 3 3 9 3" xfId="16888" xr:uid="{CF0EB9A5-EB17-43F7-BD3B-BE6619968697}"/>
    <cellStyle name="Linked Cell 15 3 4" xfId="16889" xr:uid="{A21D7CF4-B544-4BC1-9253-0025CA6DD9B4}"/>
    <cellStyle name="Linked Cell 15 3 4 10" xfId="16890" xr:uid="{F36F118E-6FEA-4DCD-843F-688910D64937}"/>
    <cellStyle name="Linked Cell 15 3 4 10 2" xfId="16891" xr:uid="{AA54C3E4-1EC5-49D5-96E1-9929B8D9E5D7}"/>
    <cellStyle name="Linked Cell 15 3 4 11" xfId="16892" xr:uid="{D9DC6A85-818C-4095-91C0-9D80605D0AF4}"/>
    <cellStyle name="Linked Cell 15 3 4 2" xfId="16893" xr:uid="{06CF9128-8A8A-4057-808C-A38CB288C7B9}"/>
    <cellStyle name="Linked Cell 15 3 4 2 2" xfId="16894" xr:uid="{07C1675B-B7DB-4DFC-8C28-5442CB486660}"/>
    <cellStyle name="Linked Cell 15 3 4 2 2 2" xfId="16895" xr:uid="{9B9667DB-79B4-47E2-9065-743DD99B1652}"/>
    <cellStyle name="Linked Cell 15 3 4 2 3" xfId="16896" xr:uid="{CDE3B8C0-CA80-48FF-830F-24DAB73EA5A0}"/>
    <cellStyle name="Linked Cell 15 3 4 3" xfId="16897" xr:uid="{A3D4A9D4-80C9-491F-B67E-8DC1B5D33699}"/>
    <cellStyle name="Linked Cell 15 3 4 3 2" xfId="16898" xr:uid="{5B719A80-1603-4DE4-BFCB-0A85EAFF1A98}"/>
    <cellStyle name="Linked Cell 15 3 4 3 2 2" xfId="16899" xr:uid="{12725192-60C8-4275-AC44-908946A97E91}"/>
    <cellStyle name="Linked Cell 15 3 4 3 3" xfId="16900" xr:uid="{8F95C7A4-0547-46D0-A9E2-261DF09EC9E6}"/>
    <cellStyle name="Linked Cell 15 3 4 4" xfId="16901" xr:uid="{B00E2CDE-320F-4796-98DE-B449C447EDE3}"/>
    <cellStyle name="Linked Cell 15 3 4 4 2" xfId="16902" xr:uid="{1048134E-A275-4E56-B5FC-F0A03C21561A}"/>
    <cellStyle name="Linked Cell 15 3 4 4 2 2" xfId="16903" xr:uid="{5E198DA4-6D67-4815-AC56-61E3649AA1A3}"/>
    <cellStyle name="Linked Cell 15 3 4 4 3" xfId="16904" xr:uid="{A634C569-DA1E-40C4-9E86-B1B9FEFD9C2F}"/>
    <cellStyle name="Linked Cell 15 3 4 5" xfId="16905" xr:uid="{0DE8229D-6EF7-49CE-9699-165D81F428BB}"/>
    <cellStyle name="Linked Cell 15 3 4 5 2" xfId="16906" xr:uid="{64805A9D-8BBB-4AA9-A9B6-AFD4A12BDACE}"/>
    <cellStyle name="Linked Cell 15 3 4 5 2 2" xfId="16907" xr:uid="{097D54CA-A341-4059-BB79-65568E83BB60}"/>
    <cellStyle name="Linked Cell 15 3 4 5 3" xfId="16908" xr:uid="{DCBF8AEF-DA50-4C98-8C89-EEE1D855B58F}"/>
    <cellStyle name="Linked Cell 15 3 4 6" xfId="16909" xr:uid="{64EE4647-2233-4BBE-869D-C8B0EDF1F557}"/>
    <cellStyle name="Linked Cell 15 3 4 6 2" xfId="16910" xr:uid="{C8361C67-5A3C-4E44-A952-5DCEF24AF7CF}"/>
    <cellStyle name="Linked Cell 15 3 4 6 2 2" xfId="16911" xr:uid="{935E54BF-3629-4158-BFF8-8A46C7E2A006}"/>
    <cellStyle name="Linked Cell 15 3 4 6 3" xfId="16912" xr:uid="{E9723C3C-A57B-4DBA-B1A4-3EF3886FD9B6}"/>
    <cellStyle name="Linked Cell 15 3 4 7" xfId="16913" xr:uid="{9FB68A32-42B9-4A4C-A2F5-587E2BA27DB1}"/>
    <cellStyle name="Linked Cell 15 3 4 7 2" xfId="16914" xr:uid="{DE31DC2F-AC1D-4EB2-B951-30015B4A13A2}"/>
    <cellStyle name="Linked Cell 15 3 4 7 2 2" xfId="16915" xr:uid="{348B3BA3-F719-4648-958B-40B7A8249683}"/>
    <cellStyle name="Linked Cell 15 3 4 7 3" xfId="16916" xr:uid="{F6175814-EBD6-4D73-9AA7-4C9C283A8C17}"/>
    <cellStyle name="Linked Cell 15 3 4 8" xfId="16917" xr:uid="{B56FE734-D24F-4828-8603-F891FB0DA863}"/>
    <cellStyle name="Linked Cell 15 3 4 8 2" xfId="16918" xr:uid="{2C252A1E-722F-4102-8F8D-4F1693FA3187}"/>
    <cellStyle name="Linked Cell 15 3 4 8 2 2" xfId="16919" xr:uid="{C3FA310D-C26D-4D13-B865-A24417274DE5}"/>
    <cellStyle name="Linked Cell 15 3 4 8 3" xfId="16920" xr:uid="{6093003A-0643-4339-A9B0-7A7C8BF06671}"/>
    <cellStyle name="Linked Cell 15 3 4 9" xfId="16921" xr:uid="{84DAD897-0602-4830-843B-8C46C7481B40}"/>
    <cellStyle name="Linked Cell 15 3 4 9 2" xfId="16922" xr:uid="{488A1DA1-D778-4CFD-A4E2-39F972437203}"/>
    <cellStyle name="Linked Cell 15 3 4 9 2 2" xfId="16923" xr:uid="{18C07771-79AB-49B2-8F94-4952C2B8FF5C}"/>
    <cellStyle name="Linked Cell 15 3 4 9 3" xfId="16924" xr:uid="{DF1A69E9-6F98-4633-BE2B-C370769E33BD}"/>
    <cellStyle name="Linked Cell 15 3 5" xfId="16925" xr:uid="{CFB9778D-2AAB-4399-831F-1834BC9549B2}"/>
    <cellStyle name="Linked Cell 15 3 5 2" xfId="16926" xr:uid="{6BAF4D55-D393-401D-BFC8-81C0AF95AF9C}"/>
    <cellStyle name="Linked Cell 15 3 5 2 2" xfId="16927" xr:uid="{900B8B75-0C69-4E32-9DB0-C412BD13826A}"/>
    <cellStyle name="Linked Cell 15 3 5 3" xfId="16928" xr:uid="{83B74204-9132-4AB2-B10D-6DC7106080DF}"/>
    <cellStyle name="Linked Cell 15 3 6" xfId="16929" xr:uid="{7DC3F4B6-DF4B-4CB9-B478-6981B11ECF5F}"/>
    <cellStyle name="Linked Cell 15 3 6 2" xfId="16930" xr:uid="{7F4F6F89-9C00-4DA8-813C-D815708EDC1D}"/>
    <cellStyle name="Linked Cell 15 3 6 2 2" xfId="16931" xr:uid="{C9A42BB7-3A5E-4112-872E-827C307ED04C}"/>
    <cellStyle name="Linked Cell 15 3 6 3" xfId="16932" xr:uid="{7ACACC32-5EC4-4CE4-930A-66E5372EF8DB}"/>
    <cellStyle name="Linked Cell 15 3 7" xfId="16933" xr:uid="{E80DC9DE-4D77-42EB-801E-B9CEA682362C}"/>
    <cellStyle name="Linked Cell 15 3 7 2" xfId="16934" xr:uid="{9674A6D1-AEC6-464C-B420-53AE166CA651}"/>
    <cellStyle name="Linked Cell 15 3 7 2 2" xfId="16935" xr:uid="{E1D1D19D-264E-4B2D-9642-40A4F1DA897D}"/>
    <cellStyle name="Linked Cell 15 3 7 3" xfId="16936" xr:uid="{D4802DCC-11D2-4276-941A-58AC74D8F4AC}"/>
    <cellStyle name="Linked Cell 15 3 8" xfId="16937" xr:uid="{7FF359CF-8322-4FEB-B837-8EC6C9B91100}"/>
    <cellStyle name="Linked Cell 15 3 8 2" xfId="16938" xr:uid="{C239C283-AA4E-45FE-A6C8-DFFB88BEADBD}"/>
    <cellStyle name="Linked Cell 15 3 8 2 2" xfId="16939" xr:uid="{7795AEA5-54A3-4297-B13C-927444113BB6}"/>
    <cellStyle name="Linked Cell 15 3 8 3" xfId="16940" xr:uid="{EEF7DB46-3C37-415A-8A9D-FD6E9B979EF0}"/>
    <cellStyle name="Linked Cell 15 3 9" xfId="16941" xr:uid="{1F94EB7C-85AB-44D2-809E-24822D15E928}"/>
    <cellStyle name="Linked Cell 15 3 9 2" xfId="16942" xr:uid="{494B61E7-CC3C-4191-A5F0-7ED419EC4358}"/>
    <cellStyle name="Linked Cell 15 3 9 2 2" xfId="16943" xr:uid="{042F8C59-7DFB-41E6-8FB0-D755636492B2}"/>
    <cellStyle name="Linked Cell 15 3 9 3" xfId="16944" xr:uid="{D150BDC4-C560-47A7-87E2-3BEC4A24DC7F}"/>
    <cellStyle name="Linked Cell 15 4" xfId="16945" xr:uid="{DA4AD7C1-B6D7-4455-8E1D-5348432CDF00}"/>
    <cellStyle name="Linked Cell 15 4 10" xfId="16946" xr:uid="{9E8F1286-2EBF-46BE-8A2C-450739210CE2}"/>
    <cellStyle name="Linked Cell 15 4 10 2" xfId="16947" xr:uid="{BB845683-90AE-4E6E-8102-D24D134122A1}"/>
    <cellStyle name="Linked Cell 15 4 10 2 2" xfId="16948" xr:uid="{7F5554FA-6582-4E21-AFFC-11C4DDA74C75}"/>
    <cellStyle name="Linked Cell 15 4 10 3" xfId="16949" xr:uid="{E7D1531A-2E0F-4362-B255-6F0C7C3BF91C}"/>
    <cellStyle name="Linked Cell 15 4 11" xfId="16950" xr:uid="{311F6137-A8E8-419C-B3F6-BB49EF963A35}"/>
    <cellStyle name="Linked Cell 15 4 11 2" xfId="16951" xr:uid="{6F1C7CF6-D24F-4BFF-A8BE-4446D4D7F12B}"/>
    <cellStyle name="Linked Cell 15 4 11 2 2" xfId="16952" xr:uid="{C0007238-ACA9-495D-A060-0A47547E697A}"/>
    <cellStyle name="Linked Cell 15 4 11 3" xfId="16953" xr:uid="{4F9D6A75-4648-48E0-A1D0-99C6F46B63AE}"/>
    <cellStyle name="Linked Cell 15 4 12" xfId="16954" xr:uid="{CD7AD385-34C4-4E1A-AFA1-D5F2309CCFDA}"/>
    <cellStyle name="Linked Cell 15 4 12 2" xfId="16955" xr:uid="{DB587BF7-F4FA-488F-8CC0-B4D55FE1E5A8}"/>
    <cellStyle name="Linked Cell 15 4 13" xfId="16956" xr:uid="{1C3AF998-9853-49E0-B250-20E303021CAF}"/>
    <cellStyle name="Linked Cell 15 4 2" xfId="16957" xr:uid="{C1FE8051-FF3C-4230-9400-C2D1DD695FE3}"/>
    <cellStyle name="Linked Cell 15 4 2 10" xfId="16958" xr:uid="{F3E4231D-F1D0-4471-84CF-8A60F9AAAE1C}"/>
    <cellStyle name="Linked Cell 15 4 2 10 2" xfId="16959" xr:uid="{149AB3F2-7455-4D54-8D75-7C98B8264B6A}"/>
    <cellStyle name="Linked Cell 15 4 2 10 2 2" xfId="16960" xr:uid="{B7CB98EF-A26E-40EE-8452-A90675C94CCD}"/>
    <cellStyle name="Linked Cell 15 4 2 10 3" xfId="16961" xr:uid="{99B9BBF9-4914-4DFF-93D6-CBC9518D79F3}"/>
    <cellStyle name="Linked Cell 15 4 2 11" xfId="16962" xr:uid="{E90AE2F0-F5FC-4D6D-9071-DB9B6BDD8687}"/>
    <cellStyle name="Linked Cell 15 4 2 11 2" xfId="16963" xr:uid="{2A3CD872-C2B7-4A49-852B-51F02223E10C}"/>
    <cellStyle name="Linked Cell 15 4 2 12" xfId="16964" xr:uid="{3D6A13BC-A549-44C0-B2FE-2446361F87D9}"/>
    <cellStyle name="Linked Cell 15 4 2 2" xfId="16965" xr:uid="{7094B3E7-A089-40F6-9484-6E63793A3124}"/>
    <cellStyle name="Linked Cell 15 4 2 2 2" xfId="16966" xr:uid="{13207AF2-DC2C-436E-B4A3-2483B94B7565}"/>
    <cellStyle name="Linked Cell 15 4 2 2 2 2" xfId="16967" xr:uid="{0B87888C-7F15-45CC-AF57-19608A5FBEC7}"/>
    <cellStyle name="Linked Cell 15 4 2 2 3" xfId="16968" xr:uid="{9498D53E-290D-4A45-91E2-29F3DA4A9C66}"/>
    <cellStyle name="Linked Cell 15 4 2 3" xfId="16969" xr:uid="{0C24CD29-E792-49E7-9628-4A2432F57440}"/>
    <cellStyle name="Linked Cell 15 4 2 3 2" xfId="16970" xr:uid="{8BBD2610-439E-4CB3-86A3-4B441F4A37C2}"/>
    <cellStyle name="Linked Cell 15 4 2 3 2 2" xfId="16971" xr:uid="{F229CEC1-79DA-4347-864A-F8F34D15FBF9}"/>
    <cellStyle name="Linked Cell 15 4 2 3 3" xfId="16972" xr:uid="{940BA9C5-7D1C-49C9-9AAE-2EE5B1D69799}"/>
    <cellStyle name="Linked Cell 15 4 2 4" xfId="16973" xr:uid="{7A78E9AC-3E7C-4AFC-8D1A-56346E3D1E7C}"/>
    <cellStyle name="Linked Cell 15 4 2 4 2" xfId="16974" xr:uid="{DE29EDC9-75D3-4100-A3CB-84AA86D02C57}"/>
    <cellStyle name="Linked Cell 15 4 2 4 2 2" xfId="16975" xr:uid="{292966E4-44C2-4A6C-8AFD-C653AA35A6A9}"/>
    <cellStyle name="Linked Cell 15 4 2 4 3" xfId="16976" xr:uid="{E12608F7-E332-4FD1-A008-8711DFC3B047}"/>
    <cellStyle name="Linked Cell 15 4 2 5" xfId="16977" xr:uid="{B351B583-FD51-42F9-8DB0-48A5B3A60284}"/>
    <cellStyle name="Linked Cell 15 4 2 5 2" xfId="16978" xr:uid="{57EFB06E-71E2-4720-A6FD-73E51548666C}"/>
    <cellStyle name="Linked Cell 15 4 2 5 2 2" xfId="16979" xr:uid="{B6A9032F-E913-45C7-9FCF-C89B9BDD23FB}"/>
    <cellStyle name="Linked Cell 15 4 2 5 3" xfId="16980" xr:uid="{252E2F33-62BF-48A2-9F4F-B54A17447476}"/>
    <cellStyle name="Linked Cell 15 4 2 6" xfId="16981" xr:uid="{F11380B7-1EE2-4178-9333-3046E64E2ADC}"/>
    <cellStyle name="Linked Cell 15 4 2 6 2" xfId="16982" xr:uid="{A9544E0C-3148-4662-A9E4-905F66272D2F}"/>
    <cellStyle name="Linked Cell 15 4 2 6 2 2" xfId="16983" xr:uid="{5DCF81B8-7083-43D7-BDAC-4F5BDE204974}"/>
    <cellStyle name="Linked Cell 15 4 2 6 3" xfId="16984" xr:uid="{E5996AFA-8878-4225-BE4C-FF1A597E129A}"/>
    <cellStyle name="Linked Cell 15 4 2 7" xfId="16985" xr:uid="{5A2B7039-5014-47F8-B857-ED3F685BCD2E}"/>
    <cellStyle name="Linked Cell 15 4 2 7 2" xfId="16986" xr:uid="{384641CC-E94B-4B83-9647-2BA06FD7FE4F}"/>
    <cellStyle name="Linked Cell 15 4 2 7 2 2" xfId="16987" xr:uid="{54B4EDED-7AD7-44CF-9F2D-B948438234CC}"/>
    <cellStyle name="Linked Cell 15 4 2 7 3" xfId="16988" xr:uid="{D997579C-7CB3-4CDC-9818-47CD0004FEC9}"/>
    <cellStyle name="Linked Cell 15 4 2 8" xfId="16989" xr:uid="{ACE15FDA-4A26-4E3B-9C40-5DE2AC00F7DF}"/>
    <cellStyle name="Linked Cell 15 4 2 8 2" xfId="16990" xr:uid="{BFE6A210-9C27-47B4-9023-F90ED0ECFD18}"/>
    <cellStyle name="Linked Cell 15 4 2 8 2 2" xfId="16991" xr:uid="{D1BE6838-7FC1-41D8-AD99-F098713AD619}"/>
    <cellStyle name="Linked Cell 15 4 2 8 3" xfId="16992" xr:uid="{E1E88697-56BA-4EDC-9A76-757AD7DDF6CA}"/>
    <cellStyle name="Linked Cell 15 4 2 9" xfId="16993" xr:uid="{67DA08D3-6737-42B5-B1DE-C840775350E2}"/>
    <cellStyle name="Linked Cell 15 4 2 9 2" xfId="16994" xr:uid="{CC4CEBA2-BCAB-4249-A837-67FCBC722BA5}"/>
    <cellStyle name="Linked Cell 15 4 2 9 2 2" xfId="16995" xr:uid="{9BDB604F-B693-4916-BF73-76050BB0481D}"/>
    <cellStyle name="Linked Cell 15 4 2 9 3" xfId="16996" xr:uid="{0F001047-9BE9-4829-A3EF-17ACBA49AD67}"/>
    <cellStyle name="Linked Cell 15 4 3" xfId="16997" xr:uid="{4A623D9C-C72C-452D-83ED-34AC20FCDB26}"/>
    <cellStyle name="Linked Cell 15 4 3 10" xfId="16998" xr:uid="{C2F76DAF-8F8B-421F-8934-B99183C354F8}"/>
    <cellStyle name="Linked Cell 15 4 3 10 2" xfId="16999" xr:uid="{8EB71A27-57BE-412F-AD74-DC374CBEA93D}"/>
    <cellStyle name="Linked Cell 15 4 3 11" xfId="17000" xr:uid="{0310736D-BA1A-4400-821F-2637793C4869}"/>
    <cellStyle name="Linked Cell 15 4 3 2" xfId="17001" xr:uid="{80B645AE-A645-4E89-A922-E69DFCEE11D2}"/>
    <cellStyle name="Linked Cell 15 4 3 2 2" xfId="17002" xr:uid="{463B7CD9-8A17-4E6E-8B2A-C2AB8F72DBFD}"/>
    <cellStyle name="Linked Cell 15 4 3 2 2 2" xfId="17003" xr:uid="{34254B7D-BEA1-491D-B25B-E9FBFD78914D}"/>
    <cellStyle name="Linked Cell 15 4 3 2 3" xfId="17004" xr:uid="{95ECBEB3-E373-442C-A71D-283C5F54A81E}"/>
    <cellStyle name="Linked Cell 15 4 3 3" xfId="17005" xr:uid="{64A5E74D-DA00-445C-A72A-9079C126A4D0}"/>
    <cellStyle name="Linked Cell 15 4 3 3 2" xfId="17006" xr:uid="{DB9E3766-9AE0-4FBF-B15D-A0D3CB0BEFBA}"/>
    <cellStyle name="Linked Cell 15 4 3 3 2 2" xfId="17007" xr:uid="{50CD4BE1-FAD2-4AE3-A3C1-F1C264588F5D}"/>
    <cellStyle name="Linked Cell 15 4 3 3 3" xfId="17008" xr:uid="{14ABD40E-6350-4781-A417-1DBEC7EB1935}"/>
    <cellStyle name="Linked Cell 15 4 3 4" xfId="17009" xr:uid="{A2D516DA-F570-4E22-A727-A05359036BFB}"/>
    <cellStyle name="Linked Cell 15 4 3 4 2" xfId="17010" xr:uid="{26AC9D43-8FF9-487D-B37C-5F6EB505F50B}"/>
    <cellStyle name="Linked Cell 15 4 3 4 2 2" xfId="17011" xr:uid="{FC87B983-97C1-424D-AD2F-2F0F3AF09A47}"/>
    <cellStyle name="Linked Cell 15 4 3 4 3" xfId="17012" xr:uid="{0CB4D087-C6BA-4FDD-B150-E43379EEC615}"/>
    <cellStyle name="Linked Cell 15 4 3 5" xfId="17013" xr:uid="{B1632359-23EC-4C11-A37C-F67CDA2DD310}"/>
    <cellStyle name="Linked Cell 15 4 3 5 2" xfId="17014" xr:uid="{6BB6FA85-5922-489F-B2FA-595699702403}"/>
    <cellStyle name="Linked Cell 15 4 3 5 2 2" xfId="17015" xr:uid="{1B88D5AA-E470-42AF-BB02-471E5D3B04DB}"/>
    <cellStyle name="Linked Cell 15 4 3 5 3" xfId="17016" xr:uid="{B4A7E318-6E61-47A1-846C-BF2CC6EA4C2C}"/>
    <cellStyle name="Linked Cell 15 4 3 6" xfId="17017" xr:uid="{DCBE899A-6010-4EC1-99DF-7CC64A176EEE}"/>
    <cellStyle name="Linked Cell 15 4 3 6 2" xfId="17018" xr:uid="{ED7320E8-F38A-454D-9C0D-718F085D5848}"/>
    <cellStyle name="Linked Cell 15 4 3 6 2 2" xfId="17019" xr:uid="{DADBD710-D318-4A80-9FCE-3AF1B42B3CBB}"/>
    <cellStyle name="Linked Cell 15 4 3 6 3" xfId="17020" xr:uid="{B2E73281-F1E2-47A4-A62B-0EFFBE5D2E4E}"/>
    <cellStyle name="Linked Cell 15 4 3 7" xfId="17021" xr:uid="{63992F09-BDB7-492F-A1A0-D013AD96B1C0}"/>
    <cellStyle name="Linked Cell 15 4 3 7 2" xfId="17022" xr:uid="{C3CD32C9-E477-479A-8EA9-25E863F46217}"/>
    <cellStyle name="Linked Cell 15 4 3 7 2 2" xfId="17023" xr:uid="{325F09F3-F258-4756-A322-013FB1BD60F4}"/>
    <cellStyle name="Linked Cell 15 4 3 7 3" xfId="17024" xr:uid="{0C611E03-DC60-4780-B8B3-9E8CDD1ACA94}"/>
    <cellStyle name="Linked Cell 15 4 3 8" xfId="17025" xr:uid="{599A15D6-74B1-469D-A908-666F89D0F111}"/>
    <cellStyle name="Linked Cell 15 4 3 8 2" xfId="17026" xr:uid="{6438A51B-78B2-41AD-B305-B5ABA13C1C3F}"/>
    <cellStyle name="Linked Cell 15 4 3 8 2 2" xfId="17027" xr:uid="{CBB892CC-B1C2-41B5-93AD-FA45E1EFC80D}"/>
    <cellStyle name="Linked Cell 15 4 3 8 3" xfId="17028" xr:uid="{BF88D1DF-B095-432E-B719-080CE3BF5FA1}"/>
    <cellStyle name="Linked Cell 15 4 3 9" xfId="17029" xr:uid="{F958C5F3-8ADB-4458-AF56-924512DF6B4B}"/>
    <cellStyle name="Linked Cell 15 4 3 9 2" xfId="17030" xr:uid="{A2ECC616-3C8D-4590-BD84-A98A6390F97D}"/>
    <cellStyle name="Linked Cell 15 4 3 9 2 2" xfId="17031" xr:uid="{B08F083C-394C-4CCD-9F39-0103248DAC61}"/>
    <cellStyle name="Linked Cell 15 4 3 9 3" xfId="17032" xr:uid="{C4CC929E-113B-40E0-9522-74F7A7AEB30D}"/>
    <cellStyle name="Linked Cell 15 4 4" xfId="17033" xr:uid="{0702FC86-6597-4F95-BD1E-BF013444B57D}"/>
    <cellStyle name="Linked Cell 15 4 4 2" xfId="17034" xr:uid="{8F074E37-16CC-492D-B65F-DAB57481FC23}"/>
    <cellStyle name="Linked Cell 15 4 4 2 2" xfId="17035" xr:uid="{48C7323F-77EA-4087-A82A-37AB02E09E8B}"/>
    <cellStyle name="Linked Cell 15 4 4 3" xfId="17036" xr:uid="{346E4BB8-FBE9-44A8-B3A9-0D5C2A4E5AA5}"/>
    <cellStyle name="Linked Cell 15 4 5" xfId="17037" xr:uid="{9B03847A-184D-4A3C-9C4C-9B57E2561C94}"/>
    <cellStyle name="Linked Cell 15 4 5 2" xfId="17038" xr:uid="{BE53118B-2813-4989-B393-CA8E38F3D60D}"/>
    <cellStyle name="Linked Cell 15 4 5 2 2" xfId="17039" xr:uid="{25309FFC-EAF3-46EF-87FC-09747C0B21C8}"/>
    <cellStyle name="Linked Cell 15 4 5 3" xfId="17040" xr:uid="{10ED8ACF-EF66-4EB4-9921-9F0C6774E3F9}"/>
    <cellStyle name="Linked Cell 15 4 6" xfId="17041" xr:uid="{C917DF50-10D6-4332-A19C-945BC01DBED7}"/>
    <cellStyle name="Linked Cell 15 4 6 2" xfId="17042" xr:uid="{53FBB645-8ED8-4DA9-9A2E-3F0887D2CBDA}"/>
    <cellStyle name="Linked Cell 15 4 6 2 2" xfId="17043" xr:uid="{95052B98-80DB-42C9-A87A-7D8455DA1C25}"/>
    <cellStyle name="Linked Cell 15 4 6 3" xfId="17044" xr:uid="{5DE821A8-FB36-464D-9334-8DCE39161440}"/>
    <cellStyle name="Linked Cell 15 4 7" xfId="17045" xr:uid="{3EBAF5B5-F559-4A98-864A-007459A2584D}"/>
    <cellStyle name="Linked Cell 15 4 7 2" xfId="17046" xr:uid="{50BAFE41-BCB0-45AD-8A12-CBD5BB6F0EE8}"/>
    <cellStyle name="Linked Cell 15 4 7 2 2" xfId="17047" xr:uid="{3725AF2F-2434-4119-969B-D434D91EEA5F}"/>
    <cellStyle name="Linked Cell 15 4 7 3" xfId="17048" xr:uid="{3C9DCDC3-053A-4D3B-B804-F70EE7F9EEAC}"/>
    <cellStyle name="Linked Cell 15 4 8" xfId="17049" xr:uid="{95662F8A-0F3B-4B51-AE54-C3409BF28B3E}"/>
    <cellStyle name="Linked Cell 15 4 8 2" xfId="17050" xr:uid="{6D8E6802-BB40-4518-AE43-469A3B965D93}"/>
    <cellStyle name="Linked Cell 15 4 8 2 2" xfId="17051" xr:uid="{8E93E952-B73F-4DC7-B86D-D9CA5D919C4F}"/>
    <cellStyle name="Linked Cell 15 4 8 3" xfId="17052" xr:uid="{176D565C-EB22-457C-A60D-C3A6CBE1F979}"/>
    <cellStyle name="Linked Cell 15 4 9" xfId="17053" xr:uid="{2DC6B06D-E0A6-4B83-BB84-282721901556}"/>
    <cellStyle name="Linked Cell 15 4 9 2" xfId="17054" xr:uid="{A1A43564-2275-4661-BC71-57C85F213112}"/>
    <cellStyle name="Linked Cell 15 4 9 2 2" xfId="17055" xr:uid="{5326612C-0DB6-4DEF-8C13-0BC56C330A9B}"/>
    <cellStyle name="Linked Cell 15 4 9 3" xfId="17056" xr:uid="{76E88605-D965-4B5F-92B8-63765E9BC5DC}"/>
    <cellStyle name="Linked Cell 16" xfId="17057" xr:uid="{D21F3B66-0F14-4067-A993-6D8AB8E4476A}"/>
    <cellStyle name="Linked Cell 16 2" xfId="17058" xr:uid="{EEB8DF41-FC0E-46F1-845B-E1F5816275F4}"/>
    <cellStyle name="Linked Cell 16 2 10" xfId="17059" xr:uid="{4657CEB0-56F9-4E14-B149-311AE3C03D51}"/>
    <cellStyle name="Linked Cell 16 2 10 2" xfId="17060" xr:uid="{56806768-CF0B-4E5D-9419-87DBA6C5906A}"/>
    <cellStyle name="Linked Cell 16 2 10 2 2" xfId="17061" xr:uid="{93187B3E-912F-4614-BBEA-545CDB74CEA5}"/>
    <cellStyle name="Linked Cell 16 2 10 3" xfId="17062" xr:uid="{A8619A26-7ECA-4498-A25A-21DA885B69D9}"/>
    <cellStyle name="Linked Cell 16 2 11" xfId="17063" xr:uid="{91994FD1-F21C-4627-B615-06B54361103D}"/>
    <cellStyle name="Linked Cell 16 2 11 2" xfId="17064" xr:uid="{DBC67FF3-E797-45F8-BEA8-1E8BF1C32AF4}"/>
    <cellStyle name="Linked Cell 16 2 11 2 2" xfId="17065" xr:uid="{A1DDA0D1-9565-4EB2-9B19-72C35F1F4B50}"/>
    <cellStyle name="Linked Cell 16 2 11 3" xfId="17066" xr:uid="{25CE6391-C127-43C6-B100-D62DC08BFE6B}"/>
    <cellStyle name="Linked Cell 16 2 12" xfId="17067" xr:uid="{AB91A739-C893-4C9D-9184-91D4CBF7B2EA}"/>
    <cellStyle name="Linked Cell 16 2 12 2" xfId="17068" xr:uid="{ED49EE6C-331E-4D1A-8087-704B627FD225}"/>
    <cellStyle name="Linked Cell 16 2 12 2 2" xfId="17069" xr:uid="{1C5477DA-47A6-4FBB-8F9B-D6FA43A3B13F}"/>
    <cellStyle name="Linked Cell 16 2 12 3" xfId="17070" xr:uid="{67515095-064D-4FF3-802C-3AE369E24E65}"/>
    <cellStyle name="Linked Cell 16 2 13" xfId="17071" xr:uid="{21D31139-144E-4710-997D-8B030ABF75AC}"/>
    <cellStyle name="Linked Cell 16 2 13 2" xfId="17072" xr:uid="{9DF65E31-2DFE-4CD6-8A02-AF44208DF0FB}"/>
    <cellStyle name="Linked Cell 16 2 13 2 2" xfId="17073" xr:uid="{D84DD1AF-3B7C-414A-B24D-F0B1DBC8DFEE}"/>
    <cellStyle name="Linked Cell 16 2 13 3" xfId="17074" xr:uid="{98DFD07A-671F-45A7-94CD-CB3371D09FAD}"/>
    <cellStyle name="Linked Cell 16 2 14" xfId="17075" xr:uid="{B87A71F7-088E-4114-A9D6-E49C98970DAF}"/>
    <cellStyle name="Linked Cell 16 2 14 2" xfId="17076" xr:uid="{E92A3C73-61FA-4A10-BE52-D9B9A5214CC4}"/>
    <cellStyle name="Linked Cell 16 2 15" xfId="17077" xr:uid="{9CFDA5AF-C940-4160-B025-75100F2A95D1}"/>
    <cellStyle name="Linked Cell 16 2 2" xfId="17078" xr:uid="{1EDC7005-2B67-479B-8849-CBA018A6F643}"/>
    <cellStyle name="Linked Cell 16 2 2 10" xfId="17079" xr:uid="{6C4096E7-4549-49DA-98A0-972AC2183361}"/>
    <cellStyle name="Linked Cell 16 2 2 10 2" xfId="17080" xr:uid="{933DC5CF-A299-45D8-A05D-1370ABCD0EB0}"/>
    <cellStyle name="Linked Cell 16 2 2 10 2 2" xfId="17081" xr:uid="{91500D6E-AC4D-40BE-942A-E17327736EB9}"/>
    <cellStyle name="Linked Cell 16 2 2 10 3" xfId="17082" xr:uid="{F84DDDC5-276E-44A6-AA5C-F984797D1DE8}"/>
    <cellStyle name="Linked Cell 16 2 2 11" xfId="17083" xr:uid="{AC1A8B45-E0B7-4077-8274-06C02C3FAC84}"/>
    <cellStyle name="Linked Cell 16 2 2 11 2" xfId="17084" xr:uid="{D401491F-A955-42F9-BB76-209E5BF880BE}"/>
    <cellStyle name="Linked Cell 16 2 2 11 2 2" xfId="17085" xr:uid="{B225374E-D6CE-4839-96FA-FA2B1F4BD8AC}"/>
    <cellStyle name="Linked Cell 16 2 2 11 3" xfId="17086" xr:uid="{6E724949-EB62-4514-8B42-2689578D8B1A}"/>
    <cellStyle name="Linked Cell 16 2 2 12" xfId="17087" xr:uid="{EBC06DE6-C1D9-40C0-9648-78237AFEBD12}"/>
    <cellStyle name="Linked Cell 16 2 2 12 2" xfId="17088" xr:uid="{18936DFB-47C3-4639-8220-5DFEF661F047}"/>
    <cellStyle name="Linked Cell 16 2 2 12 2 2" xfId="17089" xr:uid="{C5E91E4B-8917-4A49-B226-494711AA3FFB}"/>
    <cellStyle name="Linked Cell 16 2 2 12 3" xfId="17090" xr:uid="{00A612FA-9D56-4E32-A2CE-EF57A9427BF0}"/>
    <cellStyle name="Linked Cell 16 2 2 13" xfId="17091" xr:uid="{9870EED7-B832-43E1-A569-DD6490FD5C59}"/>
    <cellStyle name="Linked Cell 16 2 2 13 2" xfId="17092" xr:uid="{D561E961-0D8D-4E3C-BC61-79660F3C4227}"/>
    <cellStyle name="Linked Cell 16 2 2 14" xfId="17093" xr:uid="{2C2DD995-4F9C-4481-A365-0EA65E2137B7}"/>
    <cellStyle name="Linked Cell 16 2 2 2" xfId="17094" xr:uid="{677B7B89-B407-464C-A739-F07A3359C32A}"/>
    <cellStyle name="Linked Cell 16 2 2 2 10" xfId="17095" xr:uid="{29A8EAF4-9F56-400B-B80D-2170046D7607}"/>
    <cellStyle name="Linked Cell 16 2 2 2 10 2" xfId="17096" xr:uid="{8A695FEF-0B96-4377-8DC9-D00DCC0D01BF}"/>
    <cellStyle name="Linked Cell 16 2 2 2 10 2 2" xfId="17097" xr:uid="{29A74091-03D3-458C-A4AA-8E411522A44A}"/>
    <cellStyle name="Linked Cell 16 2 2 2 10 3" xfId="17098" xr:uid="{2917DF1A-378B-428B-8178-69D9D2A8E481}"/>
    <cellStyle name="Linked Cell 16 2 2 2 11" xfId="17099" xr:uid="{402CD1E0-2480-48F9-B3B5-F0E366A4C1BD}"/>
    <cellStyle name="Linked Cell 16 2 2 2 11 2" xfId="17100" xr:uid="{DB6524A5-5497-4773-A800-E7790E081C86}"/>
    <cellStyle name="Linked Cell 16 2 2 2 11 2 2" xfId="17101" xr:uid="{37625B64-55AE-4770-A3B2-FC3533D56280}"/>
    <cellStyle name="Linked Cell 16 2 2 2 11 3" xfId="17102" xr:uid="{463E3A09-2EA9-41EA-BD99-CE9B2A51E62F}"/>
    <cellStyle name="Linked Cell 16 2 2 2 12" xfId="17103" xr:uid="{A8FD8E54-10F1-4187-99DA-8D12810BC536}"/>
    <cellStyle name="Linked Cell 16 2 2 2 12 2" xfId="17104" xr:uid="{DF4D7B5A-BCFA-492D-AD40-D565B932222C}"/>
    <cellStyle name="Linked Cell 16 2 2 2 13" xfId="17105" xr:uid="{56CE3509-8130-4213-AD6A-B6F3505B74E4}"/>
    <cellStyle name="Linked Cell 16 2 2 2 2" xfId="17106" xr:uid="{72727209-04E6-40B0-9CE9-E516E486EDFD}"/>
    <cellStyle name="Linked Cell 16 2 2 2 2 10" xfId="17107" xr:uid="{D6E83E9E-E59B-4632-BCE6-65250FEA8498}"/>
    <cellStyle name="Linked Cell 16 2 2 2 2 10 2" xfId="17108" xr:uid="{647963EC-5422-4C3F-B41B-DCCE922E7487}"/>
    <cellStyle name="Linked Cell 16 2 2 2 2 10 2 2" xfId="17109" xr:uid="{16DF76B4-75B0-4B31-9F6B-A7B2DBAD2971}"/>
    <cellStyle name="Linked Cell 16 2 2 2 2 10 3" xfId="17110" xr:uid="{F825E797-2426-41EA-A9AA-23FD8FB873C3}"/>
    <cellStyle name="Linked Cell 16 2 2 2 2 11" xfId="17111" xr:uid="{F0422532-2A99-4A2E-92C1-45065B71B38C}"/>
    <cellStyle name="Linked Cell 16 2 2 2 2 11 2" xfId="17112" xr:uid="{AA24BBE7-E0F6-4FDB-BD01-CC3C5565F595}"/>
    <cellStyle name="Linked Cell 16 2 2 2 2 12" xfId="17113" xr:uid="{7AC12C24-0DFF-41A9-A9EE-F364CAAF89EA}"/>
    <cellStyle name="Linked Cell 16 2 2 2 2 2" xfId="17114" xr:uid="{2197CF86-2855-4654-88D9-698B48634717}"/>
    <cellStyle name="Linked Cell 16 2 2 2 2 2 2" xfId="17115" xr:uid="{6127A03C-142A-40C3-B4C2-986B2FDDAC3B}"/>
    <cellStyle name="Linked Cell 16 2 2 2 2 2 2 2" xfId="17116" xr:uid="{06DE808E-5A21-47E1-B25B-F9885B1CECA8}"/>
    <cellStyle name="Linked Cell 16 2 2 2 2 2 3" xfId="17117" xr:uid="{C253BCCC-D982-4FDA-929B-68CC0777FCA7}"/>
    <cellStyle name="Linked Cell 16 2 2 2 2 3" xfId="17118" xr:uid="{0719694D-5718-4825-9CCF-2DF98CC892A8}"/>
    <cellStyle name="Linked Cell 16 2 2 2 2 3 2" xfId="17119" xr:uid="{6D8803B4-AA8F-4B88-ADFD-5A800EBF7F75}"/>
    <cellStyle name="Linked Cell 16 2 2 2 2 3 2 2" xfId="17120" xr:uid="{68E365F4-58A5-40D5-A49C-2BA476AED1B7}"/>
    <cellStyle name="Linked Cell 16 2 2 2 2 3 3" xfId="17121" xr:uid="{E0C47317-58A8-4440-B1C0-47E6980AB780}"/>
    <cellStyle name="Linked Cell 16 2 2 2 2 4" xfId="17122" xr:uid="{41090F29-CB12-4C0F-B536-69603F7D13D5}"/>
    <cellStyle name="Linked Cell 16 2 2 2 2 4 2" xfId="17123" xr:uid="{E06B17C0-6AC9-42B8-86AF-25AB5E2E3D46}"/>
    <cellStyle name="Linked Cell 16 2 2 2 2 4 2 2" xfId="17124" xr:uid="{5419FEFA-1F6D-4AE4-9970-D35874CE9380}"/>
    <cellStyle name="Linked Cell 16 2 2 2 2 4 3" xfId="17125" xr:uid="{C546290C-3EAA-4604-9346-EC6C8627AD75}"/>
    <cellStyle name="Linked Cell 16 2 2 2 2 5" xfId="17126" xr:uid="{CE7C1933-D134-42AB-AD81-089516EA4DF0}"/>
    <cellStyle name="Linked Cell 16 2 2 2 2 5 2" xfId="17127" xr:uid="{E36BC5A7-03E2-477B-8FC7-414E7B7D1C61}"/>
    <cellStyle name="Linked Cell 16 2 2 2 2 5 2 2" xfId="17128" xr:uid="{FE4A3782-2233-4AF2-9E4C-2F76DD3105CF}"/>
    <cellStyle name="Linked Cell 16 2 2 2 2 5 3" xfId="17129" xr:uid="{E8F7ADAB-14E7-41C5-BAF9-A800618E392E}"/>
    <cellStyle name="Linked Cell 16 2 2 2 2 6" xfId="17130" xr:uid="{2B25FEFC-2E35-42D4-8A6D-349E46347743}"/>
    <cellStyle name="Linked Cell 16 2 2 2 2 6 2" xfId="17131" xr:uid="{90964128-8D3F-4185-879B-32A9043A43A4}"/>
    <cellStyle name="Linked Cell 16 2 2 2 2 6 2 2" xfId="17132" xr:uid="{9E7410EA-F76E-4E0A-A72D-0ACDAD9C0D41}"/>
    <cellStyle name="Linked Cell 16 2 2 2 2 6 3" xfId="17133" xr:uid="{66B657EC-28C6-42B4-B97F-D0DEE771943D}"/>
    <cellStyle name="Linked Cell 16 2 2 2 2 7" xfId="17134" xr:uid="{A9E602BB-62EF-4C77-9B69-A098F0E074D3}"/>
    <cellStyle name="Linked Cell 16 2 2 2 2 7 2" xfId="17135" xr:uid="{5C3153F3-4CF2-4930-BF00-6EF369AD818E}"/>
    <cellStyle name="Linked Cell 16 2 2 2 2 7 2 2" xfId="17136" xr:uid="{9B824215-39C0-43AE-9EA6-61973EAAC90F}"/>
    <cellStyle name="Linked Cell 16 2 2 2 2 7 3" xfId="17137" xr:uid="{263A3D61-DE6F-41CB-AEC7-950EE4BAC922}"/>
    <cellStyle name="Linked Cell 16 2 2 2 2 8" xfId="17138" xr:uid="{8F273799-2707-433A-92EC-5F0F9DC991EE}"/>
    <cellStyle name="Linked Cell 16 2 2 2 2 8 2" xfId="17139" xr:uid="{499FB36E-BA61-4A62-8AA3-F9F716118FF7}"/>
    <cellStyle name="Linked Cell 16 2 2 2 2 8 2 2" xfId="17140" xr:uid="{C35FCAB9-2875-40A8-9086-A7CC25420C1D}"/>
    <cellStyle name="Linked Cell 16 2 2 2 2 8 3" xfId="17141" xr:uid="{7ABC43DF-0645-4B07-A459-61F638C87E0A}"/>
    <cellStyle name="Linked Cell 16 2 2 2 2 9" xfId="17142" xr:uid="{7EB0A3B1-EDD2-48DD-B694-7C19197D9B2A}"/>
    <cellStyle name="Linked Cell 16 2 2 2 2 9 2" xfId="17143" xr:uid="{CAE423BB-5429-46C9-9147-A44CEB214615}"/>
    <cellStyle name="Linked Cell 16 2 2 2 2 9 2 2" xfId="17144" xr:uid="{FF26A35F-3FC6-40AD-B49A-CCAF6F254B6B}"/>
    <cellStyle name="Linked Cell 16 2 2 2 2 9 3" xfId="17145" xr:uid="{12A4BAEC-A037-4EA9-B0E1-BE7A425CACBD}"/>
    <cellStyle name="Linked Cell 16 2 2 2 3" xfId="17146" xr:uid="{7B8C37E5-D61E-42F7-AC69-A5BBD5135E68}"/>
    <cellStyle name="Linked Cell 16 2 2 2 3 10" xfId="17147" xr:uid="{F007E797-A1A0-44F6-95FD-A93EA6A2ADE1}"/>
    <cellStyle name="Linked Cell 16 2 2 2 3 10 2" xfId="17148" xr:uid="{1ACA5BB8-6EF0-49BB-893B-95BC0A852147}"/>
    <cellStyle name="Linked Cell 16 2 2 2 3 11" xfId="17149" xr:uid="{7432E8F0-6D32-476A-9E94-3395890AB9FF}"/>
    <cellStyle name="Linked Cell 16 2 2 2 3 2" xfId="17150" xr:uid="{3827A83A-CBEA-43A3-A407-F4619167BCFF}"/>
    <cellStyle name="Linked Cell 16 2 2 2 3 2 2" xfId="17151" xr:uid="{C9CB9FD0-202F-4CAC-998D-0B31FFAC77C8}"/>
    <cellStyle name="Linked Cell 16 2 2 2 3 2 2 2" xfId="17152" xr:uid="{A1BCC031-DF98-4F3B-BEDF-9022F2B5240C}"/>
    <cellStyle name="Linked Cell 16 2 2 2 3 2 3" xfId="17153" xr:uid="{42AE37CD-F50C-49B8-ACF2-02B102503BD2}"/>
    <cellStyle name="Linked Cell 16 2 2 2 3 3" xfId="17154" xr:uid="{4EBE5F22-04B6-45B4-B734-7A64F5BB7E20}"/>
    <cellStyle name="Linked Cell 16 2 2 2 3 3 2" xfId="17155" xr:uid="{7AA8301F-BA75-4861-8467-0BB533FB9DA3}"/>
    <cellStyle name="Linked Cell 16 2 2 2 3 3 2 2" xfId="17156" xr:uid="{0686904C-0174-4689-8DD5-4B5D07924687}"/>
    <cellStyle name="Linked Cell 16 2 2 2 3 3 3" xfId="17157" xr:uid="{B1A3868B-B7F1-47E0-B8F2-35EB35F56744}"/>
    <cellStyle name="Linked Cell 16 2 2 2 3 4" xfId="17158" xr:uid="{71EABE36-C246-4CED-A77B-FF54DA6006B4}"/>
    <cellStyle name="Linked Cell 16 2 2 2 3 4 2" xfId="17159" xr:uid="{B1A8FEC8-FA99-4777-835F-409E7CE07BE1}"/>
    <cellStyle name="Linked Cell 16 2 2 2 3 4 2 2" xfId="17160" xr:uid="{326CAB3A-0FE6-4CC7-A535-8485579EEC3A}"/>
    <cellStyle name="Linked Cell 16 2 2 2 3 4 3" xfId="17161" xr:uid="{8B2FE274-3C62-4FA7-BCD3-354FC9B6E765}"/>
    <cellStyle name="Linked Cell 16 2 2 2 3 5" xfId="17162" xr:uid="{5A72B8B9-9B06-4B98-B44E-A671EBB45721}"/>
    <cellStyle name="Linked Cell 16 2 2 2 3 5 2" xfId="17163" xr:uid="{DC95D994-BEDE-4FCA-BAB8-6E84B62324C4}"/>
    <cellStyle name="Linked Cell 16 2 2 2 3 5 2 2" xfId="17164" xr:uid="{2197A9F9-AAD7-4841-8768-3F4990328347}"/>
    <cellStyle name="Linked Cell 16 2 2 2 3 5 3" xfId="17165" xr:uid="{25E550E0-464E-4FEB-B1F6-4442FB817B1C}"/>
    <cellStyle name="Linked Cell 16 2 2 2 3 6" xfId="17166" xr:uid="{6C809F1B-2447-415C-9FBD-CB547B9CCC32}"/>
    <cellStyle name="Linked Cell 16 2 2 2 3 6 2" xfId="17167" xr:uid="{860CD2FD-4D09-49D3-A396-366BAB240776}"/>
    <cellStyle name="Linked Cell 16 2 2 2 3 6 2 2" xfId="17168" xr:uid="{0951017F-659A-4372-B841-0BC01D0EF74D}"/>
    <cellStyle name="Linked Cell 16 2 2 2 3 6 3" xfId="17169" xr:uid="{49A2F699-7B5E-42C6-89A0-14F3BFDE9BC4}"/>
    <cellStyle name="Linked Cell 16 2 2 2 3 7" xfId="17170" xr:uid="{8CEB7BCF-DFE2-4499-8C69-ED847A1787A3}"/>
    <cellStyle name="Linked Cell 16 2 2 2 3 7 2" xfId="17171" xr:uid="{9276BF5C-E9D6-4C14-B071-CA7B9182A408}"/>
    <cellStyle name="Linked Cell 16 2 2 2 3 7 2 2" xfId="17172" xr:uid="{7837607F-5A2C-4CF6-A059-A8A887AC89B8}"/>
    <cellStyle name="Linked Cell 16 2 2 2 3 7 3" xfId="17173" xr:uid="{080AD687-F943-4976-A5A9-91CBE1FFF42D}"/>
    <cellStyle name="Linked Cell 16 2 2 2 3 8" xfId="17174" xr:uid="{92DB2457-6C9B-4918-97A3-018A4537CC5E}"/>
    <cellStyle name="Linked Cell 16 2 2 2 3 8 2" xfId="17175" xr:uid="{B05A8F28-BAE6-4E6E-B146-E42B142A1CDD}"/>
    <cellStyle name="Linked Cell 16 2 2 2 3 8 2 2" xfId="17176" xr:uid="{1ECEE009-BBA3-45A1-9514-61D5B6BD50C2}"/>
    <cellStyle name="Linked Cell 16 2 2 2 3 8 3" xfId="17177" xr:uid="{065DBAC7-A7BF-4215-9D0F-CF35DA68EF84}"/>
    <cellStyle name="Linked Cell 16 2 2 2 3 9" xfId="17178" xr:uid="{7FDE81E0-4A97-4696-BE12-1982CFB6982E}"/>
    <cellStyle name="Linked Cell 16 2 2 2 3 9 2" xfId="17179" xr:uid="{8D0D54CB-10C8-4534-AC2F-41B518F0D06B}"/>
    <cellStyle name="Linked Cell 16 2 2 2 3 9 2 2" xfId="17180" xr:uid="{F29F849D-E5A5-4087-AD04-D24A1DAEC26E}"/>
    <cellStyle name="Linked Cell 16 2 2 2 3 9 3" xfId="17181" xr:uid="{DDEED049-DED3-4422-AE5E-EC43108E01BD}"/>
    <cellStyle name="Linked Cell 16 2 2 2 4" xfId="17182" xr:uid="{7B74D7D1-B401-4F7B-9A8B-5381DE4BF09F}"/>
    <cellStyle name="Linked Cell 16 2 2 2 4 2" xfId="17183" xr:uid="{BA9AE547-89C1-4B8B-8A88-F67E4A7FAD0B}"/>
    <cellStyle name="Linked Cell 16 2 2 2 4 2 2" xfId="17184" xr:uid="{65427A54-586D-43E6-96A8-42717A89F735}"/>
    <cellStyle name="Linked Cell 16 2 2 2 4 3" xfId="17185" xr:uid="{985CC10B-9D33-4270-8ED5-8062A911B60E}"/>
    <cellStyle name="Linked Cell 16 2 2 2 5" xfId="17186" xr:uid="{239EFD77-24C6-4DA6-B0C3-BF8AE5DAC021}"/>
    <cellStyle name="Linked Cell 16 2 2 2 5 2" xfId="17187" xr:uid="{19B27DCE-52C3-4F26-AE27-5956BF6F9DAB}"/>
    <cellStyle name="Linked Cell 16 2 2 2 5 2 2" xfId="17188" xr:uid="{9E99B0FD-6722-49FE-88FC-8B7C3152706A}"/>
    <cellStyle name="Linked Cell 16 2 2 2 5 3" xfId="17189" xr:uid="{1F9C2710-DC4C-489D-A40D-ED8E60FB0756}"/>
    <cellStyle name="Linked Cell 16 2 2 2 6" xfId="17190" xr:uid="{D2EADD6A-07BB-411C-92F8-7FB58EF0BD13}"/>
    <cellStyle name="Linked Cell 16 2 2 2 6 2" xfId="17191" xr:uid="{BAC26774-00A8-4CF3-B5FD-0D6886843C15}"/>
    <cellStyle name="Linked Cell 16 2 2 2 6 2 2" xfId="17192" xr:uid="{ABB8C014-9AC0-42B7-8696-E46645D272E4}"/>
    <cellStyle name="Linked Cell 16 2 2 2 6 3" xfId="17193" xr:uid="{4E15B4CF-E443-4E7B-948B-90ED2DE475E8}"/>
    <cellStyle name="Linked Cell 16 2 2 2 7" xfId="17194" xr:uid="{AADE205D-F8AB-4AF8-BD14-E313E982AB35}"/>
    <cellStyle name="Linked Cell 16 2 2 2 7 2" xfId="17195" xr:uid="{A5D3ADFE-C930-4893-A3B0-E9348DD6C49D}"/>
    <cellStyle name="Linked Cell 16 2 2 2 7 2 2" xfId="17196" xr:uid="{1782F1A5-E667-439C-B5DD-5205A32C1170}"/>
    <cellStyle name="Linked Cell 16 2 2 2 7 3" xfId="17197" xr:uid="{ABD1206C-3F62-4915-87B9-601F1732418B}"/>
    <cellStyle name="Linked Cell 16 2 2 2 8" xfId="17198" xr:uid="{E7A9907D-596B-42B5-9297-64E9D910E918}"/>
    <cellStyle name="Linked Cell 16 2 2 2 8 2" xfId="17199" xr:uid="{8B375030-1557-4A68-A043-F0DD09F19DC7}"/>
    <cellStyle name="Linked Cell 16 2 2 2 8 2 2" xfId="17200" xr:uid="{BA8F6C5B-4DDF-40CD-811F-AF482F12E9CB}"/>
    <cellStyle name="Linked Cell 16 2 2 2 8 3" xfId="17201" xr:uid="{F552DE74-977E-483A-A580-BF2D7BBCB0E2}"/>
    <cellStyle name="Linked Cell 16 2 2 2 9" xfId="17202" xr:uid="{D175EEC9-E0D7-4B20-80DC-7410E317A81F}"/>
    <cellStyle name="Linked Cell 16 2 2 2 9 2" xfId="17203" xr:uid="{6CCD183C-B26E-48A8-9AB6-68585338E546}"/>
    <cellStyle name="Linked Cell 16 2 2 2 9 2 2" xfId="17204" xr:uid="{0733B937-B9C9-485B-A84B-148998649CB7}"/>
    <cellStyle name="Linked Cell 16 2 2 2 9 3" xfId="17205" xr:uid="{FAE5F68B-B38B-4CBF-9942-FAC888AD22AD}"/>
    <cellStyle name="Linked Cell 16 2 2 3" xfId="17206" xr:uid="{6FD0268F-AC58-4F4D-9A07-4BA3E75F12D4}"/>
    <cellStyle name="Linked Cell 16 2 2 3 10" xfId="17207" xr:uid="{18EE66A2-23BB-4709-91FE-142528BB5DDF}"/>
    <cellStyle name="Linked Cell 16 2 2 3 10 2" xfId="17208" xr:uid="{A54C51C2-A853-4169-9E3C-4F7668F89114}"/>
    <cellStyle name="Linked Cell 16 2 2 3 10 2 2" xfId="17209" xr:uid="{066B5DA9-E100-470B-966A-6D5734294608}"/>
    <cellStyle name="Linked Cell 16 2 2 3 10 3" xfId="17210" xr:uid="{CBC60D71-2477-4EAF-A3C3-01212BF28FD6}"/>
    <cellStyle name="Linked Cell 16 2 2 3 11" xfId="17211" xr:uid="{FF322AED-2458-4777-81C9-95B649D5AD04}"/>
    <cellStyle name="Linked Cell 16 2 2 3 11 2" xfId="17212" xr:uid="{C5F3D370-D3B6-4616-847D-1D4B3880D4A9}"/>
    <cellStyle name="Linked Cell 16 2 2 3 12" xfId="17213" xr:uid="{B0646B69-FD17-43E9-A281-0DE71A70E97C}"/>
    <cellStyle name="Linked Cell 16 2 2 3 2" xfId="17214" xr:uid="{5606D561-4E97-4FF7-966D-4991D54ED863}"/>
    <cellStyle name="Linked Cell 16 2 2 3 2 10" xfId="17215" xr:uid="{2B5294E4-FF78-4E96-8472-110579438918}"/>
    <cellStyle name="Linked Cell 16 2 2 3 2 10 2" xfId="17216" xr:uid="{B71851D3-4CAC-4C23-9884-1FC51FA2569C}"/>
    <cellStyle name="Linked Cell 16 2 2 3 2 11" xfId="17217" xr:uid="{4235A7F4-EF2C-45E5-984E-8D64885DF0C4}"/>
    <cellStyle name="Linked Cell 16 2 2 3 2 2" xfId="17218" xr:uid="{0A033490-189F-4E1D-A3C5-16DCF71C4713}"/>
    <cellStyle name="Linked Cell 16 2 2 3 2 2 2" xfId="17219" xr:uid="{7E7D3FC2-B719-495D-869B-5694A8037EE4}"/>
    <cellStyle name="Linked Cell 16 2 2 3 2 2 2 2" xfId="17220" xr:uid="{E40C48DE-866B-4C20-9876-DFFA4D711402}"/>
    <cellStyle name="Linked Cell 16 2 2 3 2 2 3" xfId="17221" xr:uid="{9A5D0EB8-1F5E-4EDE-9022-0ADA613B8F04}"/>
    <cellStyle name="Linked Cell 16 2 2 3 2 3" xfId="17222" xr:uid="{4DE48764-2BAF-4236-BA30-F2CBB1D568CC}"/>
    <cellStyle name="Linked Cell 16 2 2 3 2 3 2" xfId="17223" xr:uid="{0A17B797-A334-48C4-B051-10E6415135CC}"/>
    <cellStyle name="Linked Cell 16 2 2 3 2 3 2 2" xfId="17224" xr:uid="{7995B330-9886-4AF8-89D0-61AF54CAF3AD}"/>
    <cellStyle name="Linked Cell 16 2 2 3 2 3 3" xfId="17225" xr:uid="{BA1A1ABB-DA93-4CCE-A92F-057BA3AAF859}"/>
    <cellStyle name="Linked Cell 16 2 2 3 2 4" xfId="17226" xr:uid="{96529D67-4ABA-46F1-977C-5804D72475C2}"/>
    <cellStyle name="Linked Cell 16 2 2 3 2 4 2" xfId="17227" xr:uid="{46462FCB-F969-42B1-AEF7-395290E497F6}"/>
    <cellStyle name="Linked Cell 16 2 2 3 2 4 2 2" xfId="17228" xr:uid="{5E8B3F6E-BFF0-4A51-A2B7-2A828D4EB7B2}"/>
    <cellStyle name="Linked Cell 16 2 2 3 2 4 3" xfId="17229" xr:uid="{72D37D12-0384-4549-9F86-E83D90003614}"/>
    <cellStyle name="Linked Cell 16 2 2 3 2 5" xfId="17230" xr:uid="{AC101015-BFFB-4D09-98EE-0E885C549DB8}"/>
    <cellStyle name="Linked Cell 16 2 2 3 2 5 2" xfId="17231" xr:uid="{3D4B7B4B-0F25-4474-BADE-7076D0B35081}"/>
    <cellStyle name="Linked Cell 16 2 2 3 2 5 2 2" xfId="17232" xr:uid="{136BE376-ADF2-4DDC-A520-3255EEA236BD}"/>
    <cellStyle name="Linked Cell 16 2 2 3 2 5 3" xfId="17233" xr:uid="{40D9FD2D-8868-4A7C-8802-ED6ED1CC4365}"/>
    <cellStyle name="Linked Cell 16 2 2 3 2 6" xfId="17234" xr:uid="{4B9FD2E7-B74D-44C3-90BC-E6197261F820}"/>
    <cellStyle name="Linked Cell 16 2 2 3 2 6 2" xfId="17235" xr:uid="{BF410500-1550-4D22-A716-9A667534991C}"/>
    <cellStyle name="Linked Cell 16 2 2 3 2 6 2 2" xfId="17236" xr:uid="{67D81B6B-1DBC-4819-BDB3-0EBC60EC6FEC}"/>
    <cellStyle name="Linked Cell 16 2 2 3 2 6 3" xfId="17237" xr:uid="{940508D2-724A-4AF3-A44A-053ECA7738F0}"/>
    <cellStyle name="Linked Cell 16 2 2 3 2 7" xfId="17238" xr:uid="{3AF4F582-4A32-4176-AE9C-3CFDE1090B3C}"/>
    <cellStyle name="Linked Cell 16 2 2 3 2 7 2" xfId="17239" xr:uid="{B19CDDE9-B65B-4555-A2AA-4F422A599351}"/>
    <cellStyle name="Linked Cell 16 2 2 3 2 7 2 2" xfId="17240" xr:uid="{FE2617B0-4DC2-423B-A30C-3C4726B02718}"/>
    <cellStyle name="Linked Cell 16 2 2 3 2 7 3" xfId="17241" xr:uid="{EFB8B573-A758-4BF3-AFA2-82960E8CF8CD}"/>
    <cellStyle name="Linked Cell 16 2 2 3 2 8" xfId="17242" xr:uid="{5AE0F585-B17D-41AB-8011-815E758D1858}"/>
    <cellStyle name="Linked Cell 16 2 2 3 2 8 2" xfId="17243" xr:uid="{E2CF09AC-64EC-453B-9067-7298B73080FB}"/>
    <cellStyle name="Linked Cell 16 2 2 3 2 8 2 2" xfId="17244" xr:uid="{089E34A2-230E-49F0-9824-2681B8C7C4AC}"/>
    <cellStyle name="Linked Cell 16 2 2 3 2 8 3" xfId="17245" xr:uid="{9822DE59-6D44-4AEE-BD41-424492334ADC}"/>
    <cellStyle name="Linked Cell 16 2 2 3 2 9" xfId="17246" xr:uid="{1B931153-B9FF-4DA9-8127-02B17AF92145}"/>
    <cellStyle name="Linked Cell 16 2 2 3 2 9 2" xfId="17247" xr:uid="{6E8FBF43-E611-4BAD-B7BD-2C5B9F7FBA41}"/>
    <cellStyle name="Linked Cell 16 2 2 3 2 9 2 2" xfId="17248" xr:uid="{0A60443D-D012-41A1-B9C6-4359B4CC345A}"/>
    <cellStyle name="Linked Cell 16 2 2 3 2 9 3" xfId="17249" xr:uid="{90B0D9F0-FBE3-4A76-A408-D10157471131}"/>
    <cellStyle name="Linked Cell 16 2 2 3 3" xfId="17250" xr:uid="{08A371B9-C1C1-467F-BD70-A85DCFA0A074}"/>
    <cellStyle name="Linked Cell 16 2 2 3 3 2" xfId="17251" xr:uid="{24134994-AAE0-4F11-B6C4-EC0E87F7B94A}"/>
    <cellStyle name="Linked Cell 16 2 2 3 3 2 2" xfId="17252" xr:uid="{9F7315A6-B6D9-4F36-B252-179C5FC9C694}"/>
    <cellStyle name="Linked Cell 16 2 2 3 3 3" xfId="17253" xr:uid="{3C31A898-8149-45D6-904A-354D59751957}"/>
    <cellStyle name="Linked Cell 16 2 2 3 4" xfId="17254" xr:uid="{BB5158F5-307E-40A3-84C5-5EC06E8B04A9}"/>
    <cellStyle name="Linked Cell 16 2 2 3 4 2" xfId="17255" xr:uid="{804E3C8D-722F-4DFF-8887-0143FD70CF7F}"/>
    <cellStyle name="Linked Cell 16 2 2 3 4 2 2" xfId="17256" xr:uid="{1F3F1DD0-0C84-45FD-BE46-1CADBE00823E}"/>
    <cellStyle name="Linked Cell 16 2 2 3 4 3" xfId="17257" xr:uid="{A7350587-267E-42E6-A681-799120607887}"/>
    <cellStyle name="Linked Cell 16 2 2 3 5" xfId="17258" xr:uid="{D34C1590-D7BD-47E5-8852-114262CD2AAE}"/>
    <cellStyle name="Linked Cell 16 2 2 3 5 2" xfId="17259" xr:uid="{C7B7D575-B69E-4E40-BFD8-5745A6C26C96}"/>
    <cellStyle name="Linked Cell 16 2 2 3 5 2 2" xfId="17260" xr:uid="{E6D75407-8706-402E-9457-E1AEFD0BDBCC}"/>
    <cellStyle name="Linked Cell 16 2 2 3 5 3" xfId="17261" xr:uid="{C4823BD6-A888-4715-B071-337592F6C5AE}"/>
    <cellStyle name="Linked Cell 16 2 2 3 6" xfId="17262" xr:uid="{5318F9A7-9A01-4AF5-9419-EAAF6D1305BB}"/>
    <cellStyle name="Linked Cell 16 2 2 3 6 2" xfId="17263" xr:uid="{3C15E9B0-366A-42E0-9301-E1839E9494A6}"/>
    <cellStyle name="Linked Cell 16 2 2 3 6 2 2" xfId="17264" xr:uid="{5A28FBBC-F8A0-4333-B071-1CBE8EA0D778}"/>
    <cellStyle name="Linked Cell 16 2 2 3 6 3" xfId="17265" xr:uid="{C7FDF59F-585E-497E-A9D0-AEFF9A2083D3}"/>
    <cellStyle name="Linked Cell 16 2 2 3 7" xfId="17266" xr:uid="{C842DA72-DB70-4E4F-A914-AC085FB492A8}"/>
    <cellStyle name="Linked Cell 16 2 2 3 7 2" xfId="17267" xr:uid="{400BAF98-FD32-4097-955F-24223F10A7F2}"/>
    <cellStyle name="Linked Cell 16 2 2 3 7 2 2" xfId="17268" xr:uid="{B4BC24E0-BA45-4C94-8C7B-D971B2B5D68E}"/>
    <cellStyle name="Linked Cell 16 2 2 3 7 3" xfId="17269" xr:uid="{E42A0638-7AA7-46D1-B217-8D084355030D}"/>
    <cellStyle name="Linked Cell 16 2 2 3 8" xfId="17270" xr:uid="{6AFBBDA9-5455-4E9C-B45D-25069E8B9DDD}"/>
    <cellStyle name="Linked Cell 16 2 2 3 8 2" xfId="17271" xr:uid="{C5C09A6C-754A-4D97-9A9B-1BA485D314D8}"/>
    <cellStyle name="Linked Cell 16 2 2 3 8 2 2" xfId="17272" xr:uid="{11B1DF46-654D-40AD-B484-220F6E824D5A}"/>
    <cellStyle name="Linked Cell 16 2 2 3 8 3" xfId="17273" xr:uid="{DD8599A4-F3E3-4541-91A2-D89D9D0DB552}"/>
    <cellStyle name="Linked Cell 16 2 2 3 9" xfId="17274" xr:uid="{E49A1F6B-BCD8-48B0-8FE3-B3C1C65D06B5}"/>
    <cellStyle name="Linked Cell 16 2 2 3 9 2" xfId="17275" xr:uid="{20317F2C-3695-4A29-9A40-9B209AD2A762}"/>
    <cellStyle name="Linked Cell 16 2 2 3 9 2 2" xfId="17276" xr:uid="{F704B933-4135-4F8E-8182-3DED0CF7DF8D}"/>
    <cellStyle name="Linked Cell 16 2 2 3 9 3" xfId="17277" xr:uid="{E03B569A-710F-4580-B944-BB335605ED39}"/>
    <cellStyle name="Linked Cell 16 2 2 4" xfId="17278" xr:uid="{252CF5CE-1A2C-4DFE-AAFF-4D55DEB6747C}"/>
    <cellStyle name="Linked Cell 16 2 2 4 10" xfId="17279" xr:uid="{58BB5294-89DC-4637-A0D2-F7812C322321}"/>
    <cellStyle name="Linked Cell 16 2 2 4 10 2" xfId="17280" xr:uid="{0399619C-A6B9-47F7-8BE0-0C85DCA126EB}"/>
    <cellStyle name="Linked Cell 16 2 2 4 11" xfId="17281" xr:uid="{5E47FA58-76CF-4DEC-8628-38D4C1E8C769}"/>
    <cellStyle name="Linked Cell 16 2 2 4 2" xfId="17282" xr:uid="{9AFEFBCD-6EC1-4997-BB16-F53B7E2A836A}"/>
    <cellStyle name="Linked Cell 16 2 2 4 2 2" xfId="17283" xr:uid="{C689BA43-547B-4FB1-89D6-45DCA0D5947B}"/>
    <cellStyle name="Linked Cell 16 2 2 4 2 2 2" xfId="17284" xr:uid="{E4FDE574-FDF3-4540-8EDE-0EE07323C37F}"/>
    <cellStyle name="Linked Cell 16 2 2 4 2 3" xfId="17285" xr:uid="{A788EB53-07DD-47D0-9512-546C143F317D}"/>
    <cellStyle name="Linked Cell 16 2 2 4 3" xfId="17286" xr:uid="{5C6508A6-53A7-47CF-8E2A-75E9E90CA34F}"/>
    <cellStyle name="Linked Cell 16 2 2 4 3 2" xfId="17287" xr:uid="{7019C37A-90B3-425E-BAA0-CBAAF0E4ED9F}"/>
    <cellStyle name="Linked Cell 16 2 2 4 3 2 2" xfId="17288" xr:uid="{FA561F0E-ACDE-48A9-BBD7-36F08A5B21B8}"/>
    <cellStyle name="Linked Cell 16 2 2 4 3 3" xfId="17289" xr:uid="{5327A8A8-7221-4D65-B157-EA1078182EFD}"/>
    <cellStyle name="Linked Cell 16 2 2 4 4" xfId="17290" xr:uid="{B91403F0-43EC-4A71-A5F0-2423EB26EEC4}"/>
    <cellStyle name="Linked Cell 16 2 2 4 4 2" xfId="17291" xr:uid="{D763ACA4-F76E-48C0-9A08-D6B791E453DC}"/>
    <cellStyle name="Linked Cell 16 2 2 4 4 2 2" xfId="17292" xr:uid="{DEFCA281-44F8-4879-A750-51A30D17748C}"/>
    <cellStyle name="Linked Cell 16 2 2 4 4 3" xfId="17293" xr:uid="{7CB6F1C5-19D0-4A00-898F-CB837F34F7FB}"/>
    <cellStyle name="Linked Cell 16 2 2 4 5" xfId="17294" xr:uid="{9860977C-7B30-4DC1-9B7D-7B0A2D979F66}"/>
    <cellStyle name="Linked Cell 16 2 2 4 5 2" xfId="17295" xr:uid="{650FD087-E40B-43E9-AD22-F3D53572B10D}"/>
    <cellStyle name="Linked Cell 16 2 2 4 5 2 2" xfId="17296" xr:uid="{DD406333-34D3-48F4-9CF8-024D0F3FFF89}"/>
    <cellStyle name="Linked Cell 16 2 2 4 5 3" xfId="17297" xr:uid="{BA344014-53F0-4208-9164-FFA6397F304F}"/>
    <cellStyle name="Linked Cell 16 2 2 4 6" xfId="17298" xr:uid="{B8711860-CF42-47E4-9D53-1D86BA2243EC}"/>
    <cellStyle name="Linked Cell 16 2 2 4 6 2" xfId="17299" xr:uid="{405A762D-BCDF-44AB-85AC-9EC1A6DD4908}"/>
    <cellStyle name="Linked Cell 16 2 2 4 6 2 2" xfId="17300" xr:uid="{3C74B8DC-4C9C-4591-9565-B59075271970}"/>
    <cellStyle name="Linked Cell 16 2 2 4 6 3" xfId="17301" xr:uid="{A4F71526-9C69-487B-81FE-FDE9DBE2FFE0}"/>
    <cellStyle name="Linked Cell 16 2 2 4 7" xfId="17302" xr:uid="{CF87E7F0-A8B9-4883-9CA9-0617416B8392}"/>
    <cellStyle name="Linked Cell 16 2 2 4 7 2" xfId="17303" xr:uid="{4F995CB2-F43B-44BB-9F1A-F90CFBBF1BCE}"/>
    <cellStyle name="Linked Cell 16 2 2 4 7 2 2" xfId="17304" xr:uid="{98413A54-AAF0-40A5-B072-775028A61D81}"/>
    <cellStyle name="Linked Cell 16 2 2 4 7 3" xfId="17305" xr:uid="{5C76EFB9-B706-4078-A0FA-6688EA2D098D}"/>
    <cellStyle name="Linked Cell 16 2 2 4 8" xfId="17306" xr:uid="{8E7F9B4A-95D0-4F67-B096-4CB3EBC10F71}"/>
    <cellStyle name="Linked Cell 16 2 2 4 8 2" xfId="17307" xr:uid="{2234AFC5-0BD6-4B57-AC38-8F4525EA14F2}"/>
    <cellStyle name="Linked Cell 16 2 2 4 8 2 2" xfId="17308" xr:uid="{22C3A795-6295-4DF0-8940-0BE4FBD310F5}"/>
    <cellStyle name="Linked Cell 16 2 2 4 8 3" xfId="17309" xr:uid="{72685640-F1F1-4B67-B172-04E5856C42A8}"/>
    <cellStyle name="Linked Cell 16 2 2 4 9" xfId="17310" xr:uid="{6F69CD4E-FEBC-4651-AEF7-DA6AD5B69862}"/>
    <cellStyle name="Linked Cell 16 2 2 4 9 2" xfId="17311" xr:uid="{A9233532-2C67-4619-80B1-5226857BB579}"/>
    <cellStyle name="Linked Cell 16 2 2 4 9 2 2" xfId="17312" xr:uid="{B3482275-9CB4-4EAE-AC47-3FC588043EE1}"/>
    <cellStyle name="Linked Cell 16 2 2 4 9 3" xfId="17313" xr:uid="{15A2276F-1EE0-4305-8A4F-E100F37207D5}"/>
    <cellStyle name="Linked Cell 16 2 2 5" xfId="17314" xr:uid="{6AAD5668-0934-4CE9-9F84-76AE1CF3D026}"/>
    <cellStyle name="Linked Cell 16 2 2 5 2" xfId="17315" xr:uid="{FC1EE464-537B-4B83-B849-22E0192659F1}"/>
    <cellStyle name="Linked Cell 16 2 2 5 2 2" xfId="17316" xr:uid="{51A4C1BA-FE96-47E6-9142-20D24985A995}"/>
    <cellStyle name="Linked Cell 16 2 2 5 3" xfId="17317" xr:uid="{A6BC2F84-5E93-4ADE-B9D8-8930AED53FF7}"/>
    <cellStyle name="Linked Cell 16 2 2 6" xfId="17318" xr:uid="{52E3A6E3-71BE-4DFF-868D-F94ED795C548}"/>
    <cellStyle name="Linked Cell 16 2 2 6 2" xfId="17319" xr:uid="{6B223386-5748-4668-84C0-952735475866}"/>
    <cellStyle name="Linked Cell 16 2 2 6 2 2" xfId="17320" xr:uid="{FC9EA0CA-E195-441D-A04C-418F16C2CEA3}"/>
    <cellStyle name="Linked Cell 16 2 2 6 3" xfId="17321" xr:uid="{DB4FE4B3-2B19-4836-A096-161878421960}"/>
    <cellStyle name="Linked Cell 16 2 2 7" xfId="17322" xr:uid="{B02E43CD-76BC-407D-937D-F4CD0C1B0BC0}"/>
    <cellStyle name="Linked Cell 16 2 2 7 2" xfId="17323" xr:uid="{A7992651-C151-4B61-96BD-E7E6E2CF8EDC}"/>
    <cellStyle name="Linked Cell 16 2 2 7 2 2" xfId="17324" xr:uid="{585CA17F-BEE8-4959-88AF-5599E0EE986A}"/>
    <cellStyle name="Linked Cell 16 2 2 7 3" xfId="17325" xr:uid="{6C0275B6-6DE0-4A61-B177-BB77D85E9149}"/>
    <cellStyle name="Linked Cell 16 2 2 8" xfId="17326" xr:uid="{B680C4E6-59D5-4F6E-93AD-ECCAE266F3B9}"/>
    <cellStyle name="Linked Cell 16 2 2 8 2" xfId="17327" xr:uid="{1D6B57B0-0525-4DDD-9B10-D136A51C130D}"/>
    <cellStyle name="Linked Cell 16 2 2 8 2 2" xfId="17328" xr:uid="{99A67F57-DF90-4201-8871-F7120E5CA812}"/>
    <cellStyle name="Linked Cell 16 2 2 8 3" xfId="17329" xr:uid="{74A4F02E-9486-4F63-93FC-58B35E32DBCF}"/>
    <cellStyle name="Linked Cell 16 2 2 9" xfId="17330" xr:uid="{42A62487-4C32-4E49-89D6-7E3197B46666}"/>
    <cellStyle name="Linked Cell 16 2 2 9 2" xfId="17331" xr:uid="{1EAE3881-FCAB-4ED8-8377-8525D42950F9}"/>
    <cellStyle name="Linked Cell 16 2 2 9 2 2" xfId="17332" xr:uid="{321C5893-4A8D-407B-8632-8DC051BC1ED4}"/>
    <cellStyle name="Linked Cell 16 2 2 9 3" xfId="17333" xr:uid="{CA1F082C-89A0-4F2A-B367-C35A52434D24}"/>
    <cellStyle name="Linked Cell 16 2 3" xfId="17334" xr:uid="{D654285F-A198-428B-BF89-739E11ED1AD2}"/>
    <cellStyle name="Linked Cell 16 2 3 10" xfId="17335" xr:uid="{C266C44D-4322-4B55-BC6C-202B1D78134A}"/>
    <cellStyle name="Linked Cell 16 2 3 10 2" xfId="17336" xr:uid="{647BA338-B742-4F2B-898D-E41F56BADDC8}"/>
    <cellStyle name="Linked Cell 16 2 3 10 2 2" xfId="17337" xr:uid="{6EAF2449-AC78-4D3F-9FFA-2F575505B502}"/>
    <cellStyle name="Linked Cell 16 2 3 10 3" xfId="17338" xr:uid="{3B6B805B-82E5-45E4-B6A6-099C46F30BDB}"/>
    <cellStyle name="Linked Cell 16 2 3 11" xfId="17339" xr:uid="{B7DF07E6-4963-46E6-A7C4-33AFF9212A85}"/>
    <cellStyle name="Linked Cell 16 2 3 11 2" xfId="17340" xr:uid="{F282AD27-8A00-4571-AC61-85D1DB4652F8}"/>
    <cellStyle name="Linked Cell 16 2 3 11 2 2" xfId="17341" xr:uid="{9A79FDB7-EA0A-4F39-BDE9-FC26ED9945B5}"/>
    <cellStyle name="Linked Cell 16 2 3 11 3" xfId="17342" xr:uid="{93A29FEB-BB5B-49EA-9D82-FADA15ACC73A}"/>
    <cellStyle name="Linked Cell 16 2 3 12" xfId="17343" xr:uid="{BD3AACF8-2447-4BD3-8E2C-354F17C492CE}"/>
    <cellStyle name="Linked Cell 16 2 3 12 2" xfId="17344" xr:uid="{2C2EDF55-B51A-4F4B-95D3-C2E7432DEBA2}"/>
    <cellStyle name="Linked Cell 16 2 3 13" xfId="17345" xr:uid="{64A0F4CC-B5AF-4CCB-A15A-4876BBBC7448}"/>
    <cellStyle name="Linked Cell 16 2 3 2" xfId="17346" xr:uid="{A1581CD8-37C9-4882-A566-07F51A2C276B}"/>
    <cellStyle name="Linked Cell 16 2 3 2 10" xfId="17347" xr:uid="{ABC8503C-125E-448C-B489-BD9D7D4B94F2}"/>
    <cellStyle name="Linked Cell 16 2 3 2 10 2" xfId="17348" xr:uid="{18485C86-E8DB-4166-8B26-DC6FA98E9C9F}"/>
    <cellStyle name="Linked Cell 16 2 3 2 10 2 2" xfId="17349" xr:uid="{A0792AC1-9DB8-4F0E-9D57-C8E04DD5B025}"/>
    <cellStyle name="Linked Cell 16 2 3 2 10 3" xfId="17350" xr:uid="{B05EFA65-852D-4B31-ABF0-76D2F697A817}"/>
    <cellStyle name="Linked Cell 16 2 3 2 11" xfId="17351" xr:uid="{EFEF6B4A-54BC-4D82-AFB4-91A4A9645BFF}"/>
    <cellStyle name="Linked Cell 16 2 3 2 11 2" xfId="17352" xr:uid="{B3B01E0E-D66B-4F0D-98DF-1266CF9359F5}"/>
    <cellStyle name="Linked Cell 16 2 3 2 12" xfId="17353" xr:uid="{937C3623-7D9F-493F-9E97-BDD26A1FCEC4}"/>
    <cellStyle name="Linked Cell 16 2 3 2 2" xfId="17354" xr:uid="{5D974D17-3DE9-4892-84F8-756210059DC5}"/>
    <cellStyle name="Linked Cell 16 2 3 2 2 2" xfId="17355" xr:uid="{D171AE9C-E2B4-4213-807D-81E9462C226B}"/>
    <cellStyle name="Linked Cell 16 2 3 2 2 2 2" xfId="17356" xr:uid="{9F153044-632E-4EC0-ACED-B96E6AB70AC7}"/>
    <cellStyle name="Linked Cell 16 2 3 2 2 3" xfId="17357" xr:uid="{96A5E694-2DF4-4798-9771-4F107C485250}"/>
    <cellStyle name="Linked Cell 16 2 3 2 3" xfId="17358" xr:uid="{BF9B3898-DFA5-4801-88F6-726E0733804F}"/>
    <cellStyle name="Linked Cell 16 2 3 2 3 2" xfId="17359" xr:uid="{CFE5EACC-6CDA-4229-9B51-435E623C12B5}"/>
    <cellStyle name="Linked Cell 16 2 3 2 3 2 2" xfId="17360" xr:uid="{BEC7D3D8-8789-4658-A31F-97B9ACBD9F8F}"/>
    <cellStyle name="Linked Cell 16 2 3 2 3 3" xfId="17361" xr:uid="{1AE2C89C-9912-4F2E-A1D0-4BFD1D8C4ECA}"/>
    <cellStyle name="Linked Cell 16 2 3 2 4" xfId="17362" xr:uid="{F9BFA63F-C026-4C3A-950C-E639728B8A1A}"/>
    <cellStyle name="Linked Cell 16 2 3 2 4 2" xfId="17363" xr:uid="{E05A8C55-3F03-4840-9342-C7F7AD530B08}"/>
    <cellStyle name="Linked Cell 16 2 3 2 4 2 2" xfId="17364" xr:uid="{D33AB825-44BC-49DF-ABA2-D9D874362E03}"/>
    <cellStyle name="Linked Cell 16 2 3 2 4 3" xfId="17365" xr:uid="{D4640F7A-544A-4AB4-8070-ED2F473A0166}"/>
    <cellStyle name="Linked Cell 16 2 3 2 5" xfId="17366" xr:uid="{3EC3C2BF-C40F-4665-B1A0-AD6A592B019E}"/>
    <cellStyle name="Linked Cell 16 2 3 2 5 2" xfId="17367" xr:uid="{E91C5070-529F-4523-9C6C-64020899E9DB}"/>
    <cellStyle name="Linked Cell 16 2 3 2 5 2 2" xfId="17368" xr:uid="{21FC7814-27B8-43E2-A575-AFFFB1CD73D7}"/>
    <cellStyle name="Linked Cell 16 2 3 2 5 3" xfId="17369" xr:uid="{C7CA4486-55BA-41BA-A71C-67FB212D7168}"/>
    <cellStyle name="Linked Cell 16 2 3 2 6" xfId="17370" xr:uid="{E1DF1927-2CFC-49B4-9D5E-6AAE9013E3FB}"/>
    <cellStyle name="Linked Cell 16 2 3 2 6 2" xfId="17371" xr:uid="{A59DED1D-E62B-4BE2-8CC2-4C2DBEB8857A}"/>
    <cellStyle name="Linked Cell 16 2 3 2 6 2 2" xfId="17372" xr:uid="{35817A5D-480B-4559-BB49-C80C141A90EA}"/>
    <cellStyle name="Linked Cell 16 2 3 2 6 3" xfId="17373" xr:uid="{4A2BCE92-C307-48BE-A5A6-FC057FDB282E}"/>
    <cellStyle name="Linked Cell 16 2 3 2 7" xfId="17374" xr:uid="{68294E25-67D3-4ABF-B439-ACF734E5B14B}"/>
    <cellStyle name="Linked Cell 16 2 3 2 7 2" xfId="17375" xr:uid="{732F279D-79DC-45E9-9364-AAB99465B220}"/>
    <cellStyle name="Linked Cell 16 2 3 2 7 2 2" xfId="17376" xr:uid="{24BB4AC4-E3B0-4CFB-A059-3DCF44A8135D}"/>
    <cellStyle name="Linked Cell 16 2 3 2 7 3" xfId="17377" xr:uid="{2F84EF30-84C8-4BF1-A377-55B3C841EB19}"/>
    <cellStyle name="Linked Cell 16 2 3 2 8" xfId="17378" xr:uid="{5861D386-73D3-4DF6-A633-6C8A8D5A58B1}"/>
    <cellStyle name="Linked Cell 16 2 3 2 8 2" xfId="17379" xr:uid="{760BE6D2-F37B-415F-8498-E4D9883DD332}"/>
    <cellStyle name="Linked Cell 16 2 3 2 8 2 2" xfId="17380" xr:uid="{60EC3DEA-D465-4703-9FE4-539E7BA46591}"/>
    <cellStyle name="Linked Cell 16 2 3 2 8 3" xfId="17381" xr:uid="{D62E4644-20CC-4F9B-967F-537166C79053}"/>
    <cellStyle name="Linked Cell 16 2 3 2 9" xfId="17382" xr:uid="{B159E57D-652E-404C-A4CB-1AE67625CA18}"/>
    <cellStyle name="Linked Cell 16 2 3 2 9 2" xfId="17383" xr:uid="{6024B32A-BD70-4601-9071-61FD9E13C15A}"/>
    <cellStyle name="Linked Cell 16 2 3 2 9 2 2" xfId="17384" xr:uid="{BD8F7F2D-2D3E-4F95-91A4-2F9CFB6B127D}"/>
    <cellStyle name="Linked Cell 16 2 3 2 9 3" xfId="17385" xr:uid="{5D70FC95-0846-49BA-B0F3-20BC600478E3}"/>
    <cellStyle name="Linked Cell 16 2 3 3" xfId="17386" xr:uid="{C7E3EC49-A4D3-4ADD-B9A6-224C68AECCFF}"/>
    <cellStyle name="Linked Cell 16 2 3 3 10" xfId="17387" xr:uid="{1AC1D6EF-44A4-4D60-8AE4-1EC23D9B93B3}"/>
    <cellStyle name="Linked Cell 16 2 3 3 10 2" xfId="17388" xr:uid="{C5949D3C-89E3-4BF4-9B82-8E60D9B38CBB}"/>
    <cellStyle name="Linked Cell 16 2 3 3 11" xfId="17389" xr:uid="{39BC8AC1-BB03-4423-AB23-CC2207EE6808}"/>
    <cellStyle name="Linked Cell 16 2 3 3 2" xfId="17390" xr:uid="{3BEEBDCC-B79B-467B-91D7-84F8BD73D7C2}"/>
    <cellStyle name="Linked Cell 16 2 3 3 2 2" xfId="17391" xr:uid="{0C019816-DCB4-48D8-A93A-B27835B4E9D7}"/>
    <cellStyle name="Linked Cell 16 2 3 3 2 2 2" xfId="17392" xr:uid="{6FA9866F-3E99-4BFE-B4E3-02CD7CE64A17}"/>
    <cellStyle name="Linked Cell 16 2 3 3 2 3" xfId="17393" xr:uid="{84862C39-42F3-4BE1-ABAC-6704D77DAC27}"/>
    <cellStyle name="Linked Cell 16 2 3 3 3" xfId="17394" xr:uid="{7EEC4280-083C-4F14-AAB8-5EBD5B677BFB}"/>
    <cellStyle name="Linked Cell 16 2 3 3 3 2" xfId="17395" xr:uid="{D1AA10D8-1A84-4D13-8C14-A1B1C2664BA6}"/>
    <cellStyle name="Linked Cell 16 2 3 3 3 2 2" xfId="17396" xr:uid="{31B3E9EB-857F-47B1-B2B2-B9BACEDDA6DB}"/>
    <cellStyle name="Linked Cell 16 2 3 3 3 3" xfId="17397" xr:uid="{A013C50E-307E-42B9-86E0-936265C9EF93}"/>
    <cellStyle name="Linked Cell 16 2 3 3 4" xfId="17398" xr:uid="{E4A5A223-E15B-4AF4-A01E-99F62F549F67}"/>
    <cellStyle name="Linked Cell 16 2 3 3 4 2" xfId="17399" xr:uid="{A98BC29B-6D02-4A96-83A0-7A26933F9172}"/>
    <cellStyle name="Linked Cell 16 2 3 3 4 2 2" xfId="17400" xr:uid="{10FC9D2F-5C68-4286-B8A0-037B27A710C0}"/>
    <cellStyle name="Linked Cell 16 2 3 3 4 3" xfId="17401" xr:uid="{28F2765E-E463-41B5-981E-93D2DA948807}"/>
    <cellStyle name="Linked Cell 16 2 3 3 5" xfId="17402" xr:uid="{A7115F0B-E2D2-4073-9FC3-984B61F679AB}"/>
    <cellStyle name="Linked Cell 16 2 3 3 5 2" xfId="17403" xr:uid="{B5968DD6-4789-4EC1-8C2D-81214CAB27C0}"/>
    <cellStyle name="Linked Cell 16 2 3 3 5 2 2" xfId="17404" xr:uid="{751FE5FE-28FB-4321-B684-491C43F8DE0B}"/>
    <cellStyle name="Linked Cell 16 2 3 3 5 3" xfId="17405" xr:uid="{BBE0EB9B-854C-4810-891A-E17A9D4D9078}"/>
    <cellStyle name="Linked Cell 16 2 3 3 6" xfId="17406" xr:uid="{315472B4-9313-44A7-A00A-B42BBBE946BA}"/>
    <cellStyle name="Linked Cell 16 2 3 3 6 2" xfId="17407" xr:uid="{F0AC04BD-B2B6-4E20-894D-AA53214FACE2}"/>
    <cellStyle name="Linked Cell 16 2 3 3 6 2 2" xfId="17408" xr:uid="{1CCC03FC-30F8-412A-BD36-253D518FBA92}"/>
    <cellStyle name="Linked Cell 16 2 3 3 6 3" xfId="17409" xr:uid="{81083A5B-603A-4408-8DB2-7FFB2A321A16}"/>
    <cellStyle name="Linked Cell 16 2 3 3 7" xfId="17410" xr:uid="{86920532-764F-4169-AB83-3E6B97F1831E}"/>
    <cellStyle name="Linked Cell 16 2 3 3 7 2" xfId="17411" xr:uid="{F438A49C-6E92-4A78-A902-F85DC3220C2D}"/>
    <cellStyle name="Linked Cell 16 2 3 3 7 2 2" xfId="17412" xr:uid="{A7DFD631-FAFF-4013-8478-FBD0A3D4DBFA}"/>
    <cellStyle name="Linked Cell 16 2 3 3 7 3" xfId="17413" xr:uid="{F7A11F93-D4A8-44CB-91D3-29D24E21B1B5}"/>
    <cellStyle name="Linked Cell 16 2 3 3 8" xfId="17414" xr:uid="{D64888BE-C4D8-4D38-B0F8-963B468E7E34}"/>
    <cellStyle name="Linked Cell 16 2 3 3 8 2" xfId="17415" xr:uid="{6EE3AA00-9CBE-4E5D-A9B5-4786EDFF03CF}"/>
    <cellStyle name="Linked Cell 16 2 3 3 8 2 2" xfId="17416" xr:uid="{9CBEF6A1-A909-4DAC-8E8A-926927FDDE4F}"/>
    <cellStyle name="Linked Cell 16 2 3 3 8 3" xfId="17417" xr:uid="{3BB4C8D4-CBA9-4A47-9395-DD11F1DD293E}"/>
    <cellStyle name="Linked Cell 16 2 3 3 9" xfId="17418" xr:uid="{4DBB0990-6089-4F21-A2B1-33E37228C741}"/>
    <cellStyle name="Linked Cell 16 2 3 3 9 2" xfId="17419" xr:uid="{718ADDF1-49A7-4754-B59C-8F990AB425E7}"/>
    <cellStyle name="Linked Cell 16 2 3 3 9 2 2" xfId="17420" xr:uid="{637BCD72-7A29-4961-9CAB-BF0E03A0E7FB}"/>
    <cellStyle name="Linked Cell 16 2 3 3 9 3" xfId="17421" xr:uid="{93C5C779-1D7E-4978-8281-F7800572F05E}"/>
    <cellStyle name="Linked Cell 16 2 3 4" xfId="17422" xr:uid="{F8631BAC-0580-42F3-912D-5639C63058F9}"/>
    <cellStyle name="Linked Cell 16 2 3 4 2" xfId="17423" xr:uid="{4331E5D9-6956-43F3-93FC-CE602FE79DAE}"/>
    <cellStyle name="Linked Cell 16 2 3 4 2 2" xfId="17424" xr:uid="{335F2C14-266B-4905-8C40-5E7515F491E0}"/>
    <cellStyle name="Linked Cell 16 2 3 4 3" xfId="17425" xr:uid="{6A212B0A-FB41-4C5E-94AF-A3AEC55DC12E}"/>
    <cellStyle name="Linked Cell 16 2 3 5" xfId="17426" xr:uid="{7CE89B54-84F7-4A36-9898-141F655310DE}"/>
    <cellStyle name="Linked Cell 16 2 3 5 2" xfId="17427" xr:uid="{400CE134-AFC8-4E6E-9335-F4AB87FD683B}"/>
    <cellStyle name="Linked Cell 16 2 3 5 2 2" xfId="17428" xr:uid="{A343B4C2-80D3-4CD3-896C-021BDB0C8DC2}"/>
    <cellStyle name="Linked Cell 16 2 3 5 3" xfId="17429" xr:uid="{01113AD9-6E51-43BA-9B5D-9977BFEA0F44}"/>
    <cellStyle name="Linked Cell 16 2 3 6" xfId="17430" xr:uid="{C42676A8-F847-4C36-BACB-207B9C868B2F}"/>
    <cellStyle name="Linked Cell 16 2 3 6 2" xfId="17431" xr:uid="{F1B85FB2-91B2-41CF-A3C3-63E3EFFDD647}"/>
    <cellStyle name="Linked Cell 16 2 3 6 2 2" xfId="17432" xr:uid="{4FC56BA9-2188-4B66-9F2F-6691C9E9FAE2}"/>
    <cellStyle name="Linked Cell 16 2 3 6 3" xfId="17433" xr:uid="{82AC8F84-F1AC-437D-A1C2-9DA4BF54268E}"/>
    <cellStyle name="Linked Cell 16 2 3 7" xfId="17434" xr:uid="{73FF34B7-7E1C-424A-A4B0-A3B89879BC87}"/>
    <cellStyle name="Linked Cell 16 2 3 7 2" xfId="17435" xr:uid="{CFE26804-8706-426D-B771-215B2DC48551}"/>
    <cellStyle name="Linked Cell 16 2 3 7 2 2" xfId="17436" xr:uid="{177E3C55-71BA-48E0-8B10-272A4645F489}"/>
    <cellStyle name="Linked Cell 16 2 3 7 3" xfId="17437" xr:uid="{EE6D929C-F8C5-4BD2-B7BD-7AF2E86D7515}"/>
    <cellStyle name="Linked Cell 16 2 3 8" xfId="17438" xr:uid="{94F25FC0-1CD2-4404-8228-65322DA85720}"/>
    <cellStyle name="Linked Cell 16 2 3 8 2" xfId="17439" xr:uid="{942B6BDE-7F61-4D58-9CA2-5E8124282FCE}"/>
    <cellStyle name="Linked Cell 16 2 3 8 2 2" xfId="17440" xr:uid="{23A12A36-04B1-4C4A-A344-BF7D3D6943C8}"/>
    <cellStyle name="Linked Cell 16 2 3 8 3" xfId="17441" xr:uid="{29F1B07D-89F6-4BF3-83B0-09E3C14AE43B}"/>
    <cellStyle name="Linked Cell 16 2 3 9" xfId="17442" xr:uid="{D888429E-BF66-4834-89D4-F514714D8068}"/>
    <cellStyle name="Linked Cell 16 2 3 9 2" xfId="17443" xr:uid="{3F3513E8-0662-4157-A145-783C1CE9AD36}"/>
    <cellStyle name="Linked Cell 16 2 3 9 2 2" xfId="17444" xr:uid="{B86866A9-A00C-4224-BB20-D991DF0088EF}"/>
    <cellStyle name="Linked Cell 16 2 3 9 3" xfId="17445" xr:uid="{5A5EBF8B-D316-478D-A773-33B05C1CF379}"/>
    <cellStyle name="Linked Cell 16 2 4" xfId="17446" xr:uid="{033569A4-0BB3-4A8F-B5AD-936F5D8979C4}"/>
    <cellStyle name="Linked Cell 16 2 4 10" xfId="17447" xr:uid="{419DD4D1-5E92-49BE-A32B-8A7018F25874}"/>
    <cellStyle name="Linked Cell 16 2 4 10 2" xfId="17448" xr:uid="{A9A62F6C-FD42-4444-B0AA-06C5600217D7}"/>
    <cellStyle name="Linked Cell 16 2 4 10 2 2" xfId="17449" xr:uid="{8091E777-AC45-46E7-8798-9093619AFE01}"/>
    <cellStyle name="Linked Cell 16 2 4 10 3" xfId="17450" xr:uid="{AED067EB-476B-4B39-85B8-B73EEED31D5F}"/>
    <cellStyle name="Linked Cell 16 2 4 11" xfId="17451" xr:uid="{3A78AB66-3668-4E44-AC43-412FF6EB920A}"/>
    <cellStyle name="Linked Cell 16 2 4 11 2" xfId="17452" xr:uid="{0363029E-D4E2-4F7C-A8D8-08441813A57C}"/>
    <cellStyle name="Linked Cell 16 2 4 12" xfId="17453" xr:uid="{8F69CB1C-58A5-4B55-9D14-9A366FBA6455}"/>
    <cellStyle name="Linked Cell 16 2 4 2" xfId="17454" xr:uid="{E954314E-5493-400F-AD22-4BC63CC215E1}"/>
    <cellStyle name="Linked Cell 16 2 4 2 10" xfId="17455" xr:uid="{DDBADCD0-CD30-4E39-A61A-9F02E52D4197}"/>
    <cellStyle name="Linked Cell 16 2 4 2 10 2" xfId="17456" xr:uid="{90E6FBE3-8562-48D9-9C87-1CB7C9B604D2}"/>
    <cellStyle name="Linked Cell 16 2 4 2 11" xfId="17457" xr:uid="{CCFAF39F-570A-4C9E-A62C-AB0F6A7D3743}"/>
    <cellStyle name="Linked Cell 16 2 4 2 2" xfId="17458" xr:uid="{65C8D028-E7B4-4AAD-AE1E-B5977B20219A}"/>
    <cellStyle name="Linked Cell 16 2 4 2 2 2" xfId="17459" xr:uid="{7DBD3CC6-8DEE-444E-BC40-CFC9F8657F63}"/>
    <cellStyle name="Linked Cell 16 2 4 2 2 2 2" xfId="17460" xr:uid="{9541EB09-9A3B-4DF6-9E9B-C8C45095828E}"/>
    <cellStyle name="Linked Cell 16 2 4 2 2 3" xfId="17461" xr:uid="{50D7C427-E45A-4CAD-BE0C-BCAB712F7B68}"/>
    <cellStyle name="Linked Cell 16 2 4 2 3" xfId="17462" xr:uid="{FD40DBDF-57C6-46B2-8641-D357D08D13AC}"/>
    <cellStyle name="Linked Cell 16 2 4 2 3 2" xfId="17463" xr:uid="{05357E83-4205-416F-B674-77FF296A2246}"/>
    <cellStyle name="Linked Cell 16 2 4 2 3 2 2" xfId="17464" xr:uid="{D0792D8A-057B-4A2D-BAE4-5AFA2E1CDD15}"/>
    <cellStyle name="Linked Cell 16 2 4 2 3 3" xfId="17465" xr:uid="{2E25E761-5E17-43B7-98F7-80EDF7EE997D}"/>
    <cellStyle name="Linked Cell 16 2 4 2 4" xfId="17466" xr:uid="{F4544592-474A-4570-8E57-19E61191D239}"/>
    <cellStyle name="Linked Cell 16 2 4 2 4 2" xfId="17467" xr:uid="{3BB4AE83-784F-4A1C-AB98-A1E76E40A545}"/>
    <cellStyle name="Linked Cell 16 2 4 2 4 2 2" xfId="17468" xr:uid="{07E489EF-350C-48AD-89A1-9AE868CEDFD9}"/>
    <cellStyle name="Linked Cell 16 2 4 2 4 3" xfId="17469" xr:uid="{08B83807-B0CB-465C-8FC7-A72565F2C8B7}"/>
    <cellStyle name="Linked Cell 16 2 4 2 5" xfId="17470" xr:uid="{FC088712-830E-4A75-B316-AE6CF80A43A8}"/>
    <cellStyle name="Linked Cell 16 2 4 2 5 2" xfId="17471" xr:uid="{6386EF9D-E51F-4A08-B003-E4866AA0505A}"/>
    <cellStyle name="Linked Cell 16 2 4 2 5 2 2" xfId="17472" xr:uid="{926A29F2-DC82-4B8E-B1FB-12A10D8D7B80}"/>
    <cellStyle name="Linked Cell 16 2 4 2 5 3" xfId="17473" xr:uid="{B284E212-B9E6-4852-A560-ADA59E403A87}"/>
    <cellStyle name="Linked Cell 16 2 4 2 6" xfId="17474" xr:uid="{4889A291-F283-4BA2-AB79-34E279F67200}"/>
    <cellStyle name="Linked Cell 16 2 4 2 6 2" xfId="17475" xr:uid="{9EAF9A31-AA79-44E6-909E-992FF4F15994}"/>
    <cellStyle name="Linked Cell 16 2 4 2 6 2 2" xfId="17476" xr:uid="{AAAADCFD-7666-4593-B0BC-41A915AE75CE}"/>
    <cellStyle name="Linked Cell 16 2 4 2 6 3" xfId="17477" xr:uid="{7D2CA0A7-6A4A-4FD3-8311-87AAED564827}"/>
    <cellStyle name="Linked Cell 16 2 4 2 7" xfId="17478" xr:uid="{D6687E7A-4BEB-47D9-BB1C-0F48BE11DC2D}"/>
    <cellStyle name="Linked Cell 16 2 4 2 7 2" xfId="17479" xr:uid="{1BB19B46-EC37-445E-AAD7-995019588A6A}"/>
    <cellStyle name="Linked Cell 16 2 4 2 7 2 2" xfId="17480" xr:uid="{1151ED6F-063B-436E-A525-BC6EEBF09C69}"/>
    <cellStyle name="Linked Cell 16 2 4 2 7 3" xfId="17481" xr:uid="{9993D045-AD23-484C-A55A-6C5A84EFAB87}"/>
    <cellStyle name="Linked Cell 16 2 4 2 8" xfId="17482" xr:uid="{7143D5BE-57BB-4CD3-AE2D-76A9FBE43A70}"/>
    <cellStyle name="Linked Cell 16 2 4 2 8 2" xfId="17483" xr:uid="{BE04655E-60B5-47D6-AA00-791D1DB9ED65}"/>
    <cellStyle name="Linked Cell 16 2 4 2 8 2 2" xfId="17484" xr:uid="{487DEE5C-C3B1-4748-B9D9-0EDB5CB8FD8D}"/>
    <cellStyle name="Linked Cell 16 2 4 2 8 3" xfId="17485" xr:uid="{20DF3D05-FF30-4512-94CF-A23FA7AFB62E}"/>
    <cellStyle name="Linked Cell 16 2 4 2 9" xfId="17486" xr:uid="{D048731D-76AE-47FC-AE96-F14A8E389163}"/>
    <cellStyle name="Linked Cell 16 2 4 2 9 2" xfId="17487" xr:uid="{9A9BD33C-CC3D-47BA-9326-E4198525529F}"/>
    <cellStyle name="Linked Cell 16 2 4 2 9 2 2" xfId="17488" xr:uid="{B4F9119E-109F-4E82-A873-26D02F5E60B3}"/>
    <cellStyle name="Linked Cell 16 2 4 2 9 3" xfId="17489" xr:uid="{A5FBC5BA-A58F-4B65-8DD8-B1E4B2DB5D36}"/>
    <cellStyle name="Linked Cell 16 2 4 3" xfId="17490" xr:uid="{32CCC2BE-07CB-4E26-A5BF-31A2D49CC604}"/>
    <cellStyle name="Linked Cell 16 2 4 3 2" xfId="17491" xr:uid="{8B5B4A0C-FCBE-4392-88AB-E3FB5F48950F}"/>
    <cellStyle name="Linked Cell 16 2 4 3 2 2" xfId="17492" xr:uid="{5EBF39BA-2AA3-46AA-848D-B9C1BFCEB53A}"/>
    <cellStyle name="Linked Cell 16 2 4 3 3" xfId="17493" xr:uid="{C547E8EC-A35D-445D-8A68-7552A2EB4B18}"/>
    <cellStyle name="Linked Cell 16 2 4 4" xfId="17494" xr:uid="{A38DBB12-8C5C-44B6-9714-B236F2937D54}"/>
    <cellStyle name="Linked Cell 16 2 4 4 2" xfId="17495" xr:uid="{32FAAA9E-F3BC-4BBE-B810-87E7F565DA9E}"/>
    <cellStyle name="Linked Cell 16 2 4 4 2 2" xfId="17496" xr:uid="{CE0B428F-47AF-46BA-ADD9-1CB6FF5A699A}"/>
    <cellStyle name="Linked Cell 16 2 4 4 3" xfId="17497" xr:uid="{076DBDAF-1508-41BA-B8C8-65B5CAC68FFD}"/>
    <cellStyle name="Linked Cell 16 2 4 5" xfId="17498" xr:uid="{C5B5691D-08C6-49AB-BED3-AAE74B1B40CC}"/>
    <cellStyle name="Linked Cell 16 2 4 5 2" xfId="17499" xr:uid="{1A6232BF-CD98-4CF4-B146-D0DAF135FEA0}"/>
    <cellStyle name="Linked Cell 16 2 4 5 2 2" xfId="17500" xr:uid="{56D16966-4B74-46F7-B753-561E213B0519}"/>
    <cellStyle name="Linked Cell 16 2 4 5 3" xfId="17501" xr:uid="{8A626EFF-B1C5-49F8-876B-6255AE5926EA}"/>
    <cellStyle name="Linked Cell 16 2 4 6" xfId="17502" xr:uid="{2566A748-2ED4-4775-90BF-4CEDE043B909}"/>
    <cellStyle name="Linked Cell 16 2 4 6 2" xfId="17503" xr:uid="{D9D29F84-33FA-49CC-9B24-EBDC78E97410}"/>
    <cellStyle name="Linked Cell 16 2 4 6 2 2" xfId="17504" xr:uid="{F37F33A2-4CF5-4AD7-A0B7-B48ACA816A70}"/>
    <cellStyle name="Linked Cell 16 2 4 6 3" xfId="17505" xr:uid="{203F253B-5181-431A-986E-EB5C6F8133AB}"/>
    <cellStyle name="Linked Cell 16 2 4 7" xfId="17506" xr:uid="{706003AA-BA8F-4075-998E-C066C10A0F80}"/>
    <cellStyle name="Linked Cell 16 2 4 7 2" xfId="17507" xr:uid="{D1908593-7680-41E9-A0EA-6EB61426EC0F}"/>
    <cellStyle name="Linked Cell 16 2 4 7 2 2" xfId="17508" xr:uid="{094CC5CE-6B07-410B-A5CE-542414B2D8CB}"/>
    <cellStyle name="Linked Cell 16 2 4 7 3" xfId="17509" xr:uid="{4A3ED2C8-F231-4130-93AD-3D8FDF6F04BC}"/>
    <cellStyle name="Linked Cell 16 2 4 8" xfId="17510" xr:uid="{0BC663F1-9C41-4152-BF67-C88B0F3314C2}"/>
    <cellStyle name="Linked Cell 16 2 4 8 2" xfId="17511" xr:uid="{CEEBA0F3-6659-4FC6-8361-C1FF63C46F1B}"/>
    <cellStyle name="Linked Cell 16 2 4 8 2 2" xfId="17512" xr:uid="{BC6BD18A-F138-4B5C-B96A-E32DC27ECF6D}"/>
    <cellStyle name="Linked Cell 16 2 4 8 3" xfId="17513" xr:uid="{D6FAD2BA-90DF-4907-A4C5-6D7D785CA092}"/>
    <cellStyle name="Linked Cell 16 2 4 9" xfId="17514" xr:uid="{4A19F8A3-8D43-41AF-B9ED-8A49A7E0F8FE}"/>
    <cellStyle name="Linked Cell 16 2 4 9 2" xfId="17515" xr:uid="{A33AE6CF-3ABC-4A55-840B-C6B568D63A70}"/>
    <cellStyle name="Linked Cell 16 2 4 9 2 2" xfId="17516" xr:uid="{E7406CD0-F411-4754-9891-A94C649544A5}"/>
    <cellStyle name="Linked Cell 16 2 4 9 3" xfId="17517" xr:uid="{F9345E95-21A6-4AA9-8DC0-5646749F5D2A}"/>
    <cellStyle name="Linked Cell 16 2 5" xfId="17518" xr:uid="{CBC2B920-D556-4AC4-AFD4-CCB1DB9836F7}"/>
    <cellStyle name="Linked Cell 16 2 5 10" xfId="17519" xr:uid="{1E39C89D-D425-4203-8F85-EB378774C643}"/>
    <cellStyle name="Linked Cell 16 2 5 10 2" xfId="17520" xr:uid="{F4099BE9-9CAB-419A-9FD7-88CEB5A5BB87}"/>
    <cellStyle name="Linked Cell 16 2 5 11" xfId="17521" xr:uid="{02F01824-1F02-4B2D-9A1D-4D226D380F23}"/>
    <cellStyle name="Linked Cell 16 2 5 2" xfId="17522" xr:uid="{4BA595DC-08C0-45E9-9FAB-02B75783DE2B}"/>
    <cellStyle name="Linked Cell 16 2 5 2 2" xfId="17523" xr:uid="{A1F29B12-23B6-4089-85D9-87ABAC3E5EB6}"/>
    <cellStyle name="Linked Cell 16 2 5 2 2 2" xfId="17524" xr:uid="{D66C20EB-6491-42C8-A376-03FFD194563B}"/>
    <cellStyle name="Linked Cell 16 2 5 2 3" xfId="17525" xr:uid="{72918C56-9A29-4C2A-8EAC-F98221B4829A}"/>
    <cellStyle name="Linked Cell 16 2 5 3" xfId="17526" xr:uid="{F6A4097F-554D-4617-B498-417C2FEC1EBF}"/>
    <cellStyle name="Linked Cell 16 2 5 3 2" xfId="17527" xr:uid="{0A4CFAC3-BD06-4C6B-B783-E3F7D921DBD6}"/>
    <cellStyle name="Linked Cell 16 2 5 3 2 2" xfId="17528" xr:uid="{CF06906E-0F0E-403C-ACC4-D233C7B9354B}"/>
    <cellStyle name="Linked Cell 16 2 5 3 3" xfId="17529" xr:uid="{5768FA57-A397-494D-8725-E442033A3E2D}"/>
    <cellStyle name="Linked Cell 16 2 5 4" xfId="17530" xr:uid="{AFFDAB23-5DD6-4C10-B865-AFD2CCC2C350}"/>
    <cellStyle name="Linked Cell 16 2 5 4 2" xfId="17531" xr:uid="{DA5ACE5C-E964-45D5-9CEC-55203A4BF40B}"/>
    <cellStyle name="Linked Cell 16 2 5 4 2 2" xfId="17532" xr:uid="{BA9DF402-87CF-4D65-B04B-4F905E91963E}"/>
    <cellStyle name="Linked Cell 16 2 5 4 3" xfId="17533" xr:uid="{79FCBBC1-E782-4F99-B88A-51A2885D7986}"/>
    <cellStyle name="Linked Cell 16 2 5 5" xfId="17534" xr:uid="{3FB56803-FB5A-4784-B66F-A5CB85F5D6A3}"/>
    <cellStyle name="Linked Cell 16 2 5 5 2" xfId="17535" xr:uid="{EB2C3EB3-1B9E-4724-B7BB-C565F236DD03}"/>
    <cellStyle name="Linked Cell 16 2 5 5 2 2" xfId="17536" xr:uid="{6BCB55DF-1CF9-465D-BC48-738E532B4395}"/>
    <cellStyle name="Linked Cell 16 2 5 5 3" xfId="17537" xr:uid="{6A1FF3FF-68E2-42C2-9C10-320CE1E8E95F}"/>
    <cellStyle name="Linked Cell 16 2 5 6" xfId="17538" xr:uid="{04B619D4-09ED-43E8-B214-4544FF627ABE}"/>
    <cellStyle name="Linked Cell 16 2 5 6 2" xfId="17539" xr:uid="{7F6F2698-C8FF-4291-B322-55E57D2B7250}"/>
    <cellStyle name="Linked Cell 16 2 5 6 2 2" xfId="17540" xr:uid="{0CF459FE-7116-4855-93A8-3F8158F922F1}"/>
    <cellStyle name="Linked Cell 16 2 5 6 3" xfId="17541" xr:uid="{DB590965-C781-4F5C-B9F5-4E809F0E1D4C}"/>
    <cellStyle name="Linked Cell 16 2 5 7" xfId="17542" xr:uid="{BCABCD39-A8BD-49F9-827B-B3D5FA43CE62}"/>
    <cellStyle name="Linked Cell 16 2 5 7 2" xfId="17543" xr:uid="{880D1AE7-AD2D-4210-899E-F81AE6DBF6C0}"/>
    <cellStyle name="Linked Cell 16 2 5 7 2 2" xfId="17544" xr:uid="{B853B84A-CD02-48D1-846A-BE588FEB14DC}"/>
    <cellStyle name="Linked Cell 16 2 5 7 3" xfId="17545" xr:uid="{D2C3A4B1-10AE-4CA7-A333-79D34B2AE740}"/>
    <cellStyle name="Linked Cell 16 2 5 8" xfId="17546" xr:uid="{60FCD32F-33E6-4A03-908B-A91276F5719F}"/>
    <cellStyle name="Linked Cell 16 2 5 8 2" xfId="17547" xr:uid="{078B5CE8-0138-4E6D-810D-EE761638DE20}"/>
    <cellStyle name="Linked Cell 16 2 5 8 2 2" xfId="17548" xr:uid="{FCCE9C5A-8FA0-4BCA-ABA4-5B10D42FDA54}"/>
    <cellStyle name="Linked Cell 16 2 5 8 3" xfId="17549" xr:uid="{78467ED2-5D71-4805-A328-D0414979457B}"/>
    <cellStyle name="Linked Cell 16 2 5 9" xfId="17550" xr:uid="{DB1359DC-797C-4DFC-97EB-2ED8162BE5AF}"/>
    <cellStyle name="Linked Cell 16 2 5 9 2" xfId="17551" xr:uid="{B4F1A7E2-E379-4640-A9D3-10CAFF80FEFD}"/>
    <cellStyle name="Linked Cell 16 2 5 9 2 2" xfId="17552" xr:uid="{758CC4BE-D127-4ADC-955A-4D01C360DFC1}"/>
    <cellStyle name="Linked Cell 16 2 5 9 3" xfId="17553" xr:uid="{03D7AA8B-4717-421C-8010-2330DA481FF2}"/>
    <cellStyle name="Linked Cell 16 2 6" xfId="17554" xr:uid="{4A60A394-2D33-4216-823A-AB6258038D1C}"/>
    <cellStyle name="Linked Cell 16 2 6 2" xfId="17555" xr:uid="{F5EDF884-F60A-4993-85AB-20165B9E7951}"/>
    <cellStyle name="Linked Cell 16 2 6 2 2" xfId="17556" xr:uid="{DFA8832F-2DD8-4E60-8CC6-4F307DF5C613}"/>
    <cellStyle name="Linked Cell 16 2 6 3" xfId="17557" xr:uid="{9F5C70E7-178A-43A6-9AD9-BAC64529C18C}"/>
    <cellStyle name="Linked Cell 16 2 7" xfId="17558" xr:uid="{6F9C6F92-FAA2-4C19-A8C1-DCBF3417CE1B}"/>
    <cellStyle name="Linked Cell 16 2 7 2" xfId="17559" xr:uid="{695B142B-FAEA-4B9F-9395-F77F01A3DBE2}"/>
    <cellStyle name="Linked Cell 16 2 7 2 2" xfId="17560" xr:uid="{40C468E1-B21E-48AA-86BC-B143B0AF16AB}"/>
    <cellStyle name="Linked Cell 16 2 7 3" xfId="17561" xr:uid="{99FD99B3-3B39-47D0-8935-C78838B2C8D8}"/>
    <cellStyle name="Linked Cell 16 2 8" xfId="17562" xr:uid="{D5B39978-AAA4-497D-AA12-8B1740D30E54}"/>
    <cellStyle name="Linked Cell 16 2 8 2" xfId="17563" xr:uid="{FC92D15E-8501-4948-BB47-92421FBEA20E}"/>
    <cellStyle name="Linked Cell 16 2 8 2 2" xfId="17564" xr:uid="{65CBE7B7-BE05-4D7B-87AA-19D9CADDEE41}"/>
    <cellStyle name="Linked Cell 16 2 8 3" xfId="17565" xr:uid="{C24AD3CF-8B08-4190-8ACD-33AB8EFF2DDD}"/>
    <cellStyle name="Linked Cell 16 2 9" xfId="17566" xr:uid="{D6A2DAF3-794B-419D-B839-B4A1B9D70BD2}"/>
    <cellStyle name="Linked Cell 16 2 9 2" xfId="17567" xr:uid="{9EA17F3E-B312-475E-AD1E-D79911981910}"/>
    <cellStyle name="Linked Cell 16 2 9 2 2" xfId="17568" xr:uid="{6EAB244C-CB99-415F-956E-C159B349C15A}"/>
    <cellStyle name="Linked Cell 16 2 9 3" xfId="17569" xr:uid="{97AD2B6B-B4E8-4FEF-83F5-C8B998D7EA90}"/>
    <cellStyle name="Linked Cell 16 3" xfId="17570" xr:uid="{3E28A002-A4AC-4436-ADD5-20E7EC43F522}"/>
    <cellStyle name="Linked Cell 16 3 10" xfId="17571" xr:uid="{D0399558-1B8B-4A44-839D-94774DC7E597}"/>
    <cellStyle name="Linked Cell 16 3 10 2" xfId="17572" xr:uid="{26294468-8592-43D6-BBA4-54CF791365DD}"/>
    <cellStyle name="Linked Cell 16 3 10 2 2" xfId="17573" xr:uid="{EFD05E94-9A9E-4F3E-9308-366FC93139C9}"/>
    <cellStyle name="Linked Cell 16 3 10 3" xfId="17574" xr:uid="{D5921928-5D88-40AB-9E1D-BF4DC2A44BAF}"/>
    <cellStyle name="Linked Cell 16 3 11" xfId="17575" xr:uid="{CC6673FF-21E3-4696-821C-11B3E71A4AB5}"/>
    <cellStyle name="Linked Cell 16 3 11 2" xfId="17576" xr:uid="{F653FF73-688D-459F-B30B-F04F77E54AF8}"/>
    <cellStyle name="Linked Cell 16 3 11 2 2" xfId="17577" xr:uid="{168EBE0F-2C23-43D0-B0C2-D76DD6499AA6}"/>
    <cellStyle name="Linked Cell 16 3 11 3" xfId="17578" xr:uid="{E586B9A6-DA74-49B6-93AD-5FCA572D1477}"/>
    <cellStyle name="Linked Cell 16 3 12" xfId="17579" xr:uid="{B89DEE02-0FE3-4913-9F54-0A71C08776EA}"/>
    <cellStyle name="Linked Cell 16 3 12 2" xfId="17580" xr:uid="{DE3C126F-F2E8-4B73-81DF-483ECBD1F09B}"/>
    <cellStyle name="Linked Cell 16 3 12 2 2" xfId="17581" xr:uid="{189AF307-86DA-4246-988D-193BC7C17111}"/>
    <cellStyle name="Linked Cell 16 3 12 3" xfId="17582" xr:uid="{D2C95D5C-4573-46AA-B416-ACFA7FB17A63}"/>
    <cellStyle name="Linked Cell 16 3 13" xfId="17583" xr:uid="{19FE7E04-738A-4DCC-B3AC-41418461751B}"/>
    <cellStyle name="Linked Cell 16 3 13 2" xfId="17584" xr:uid="{7BACCB32-1193-46C6-B6ED-7572B5FC15B9}"/>
    <cellStyle name="Linked Cell 16 3 14" xfId="17585" xr:uid="{F5D1AC55-161C-4DFD-9887-7CCFC6499713}"/>
    <cellStyle name="Linked Cell 16 3 2" xfId="17586" xr:uid="{808B1CBE-8D13-40FB-8EEA-CAE5995177B1}"/>
    <cellStyle name="Linked Cell 16 3 2 10" xfId="17587" xr:uid="{0B98DBBA-4A93-4320-8884-9ED81D44F1BB}"/>
    <cellStyle name="Linked Cell 16 3 2 10 2" xfId="17588" xr:uid="{1CA87687-FE04-480E-98B6-84DA3D64629F}"/>
    <cellStyle name="Linked Cell 16 3 2 10 2 2" xfId="17589" xr:uid="{CE36EB74-DB09-4F02-8BA0-D9449B20178F}"/>
    <cellStyle name="Linked Cell 16 3 2 10 3" xfId="17590" xr:uid="{8A23510B-BA27-4C80-9133-C0841D09E474}"/>
    <cellStyle name="Linked Cell 16 3 2 11" xfId="17591" xr:uid="{9CA4F03B-E316-4454-B58F-EFF1AEE171C2}"/>
    <cellStyle name="Linked Cell 16 3 2 11 2" xfId="17592" xr:uid="{CB7C6808-F681-4D13-9680-2190C10E96CB}"/>
    <cellStyle name="Linked Cell 16 3 2 11 2 2" xfId="17593" xr:uid="{DBD03D6A-1DCD-43C1-BA51-D6CF25D7F202}"/>
    <cellStyle name="Linked Cell 16 3 2 11 3" xfId="17594" xr:uid="{902394CE-D497-4995-88C2-83AC51C0BB66}"/>
    <cellStyle name="Linked Cell 16 3 2 12" xfId="17595" xr:uid="{E1B60BCC-5647-49CC-A3AA-A3A9875B8F49}"/>
    <cellStyle name="Linked Cell 16 3 2 12 2" xfId="17596" xr:uid="{D77ACA69-9AC8-47E1-AB7B-8980BBA85F4C}"/>
    <cellStyle name="Linked Cell 16 3 2 13" xfId="17597" xr:uid="{E9B3E764-CF87-4C10-B660-996E987FE794}"/>
    <cellStyle name="Linked Cell 16 3 2 2" xfId="17598" xr:uid="{1D5896EB-FD67-4F58-A707-5B9E0006189F}"/>
    <cellStyle name="Linked Cell 16 3 2 2 10" xfId="17599" xr:uid="{938825FA-33FA-4D97-92B2-FA51CB3C672E}"/>
    <cellStyle name="Linked Cell 16 3 2 2 10 2" xfId="17600" xr:uid="{95A655CA-8844-4B1C-BBAF-75EF63209AD2}"/>
    <cellStyle name="Linked Cell 16 3 2 2 10 2 2" xfId="17601" xr:uid="{D1B330A0-D4CF-43D3-BAC8-57E51CA9E0D0}"/>
    <cellStyle name="Linked Cell 16 3 2 2 10 3" xfId="17602" xr:uid="{F52337BC-0898-4461-8759-2F8EC6C35BE1}"/>
    <cellStyle name="Linked Cell 16 3 2 2 11" xfId="17603" xr:uid="{DB4886EC-56BF-441C-9131-F705B52905C1}"/>
    <cellStyle name="Linked Cell 16 3 2 2 11 2" xfId="17604" xr:uid="{42696383-F716-477A-B7CA-945DE8A2AD38}"/>
    <cellStyle name="Linked Cell 16 3 2 2 12" xfId="17605" xr:uid="{E283136C-C9EA-4D7D-B262-D8B586441CEE}"/>
    <cellStyle name="Linked Cell 16 3 2 2 2" xfId="17606" xr:uid="{40C95942-312D-4A18-8DF8-4A3B2084358B}"/>
    <cellStyle name="Linked Cell 16 3 2 2 2 2" xfId="17607" xr:uid="{2EB90FE1-BD0E-4512-9CF3-AD0A341B9A3A}"/>
    <cellStyle name="Linked Cell 16 3 2 2 2 2 2" xfId="17608" xr:uid="{F3A9EBC3-60E6-4DAE-B0FC-CDB22090DB24}"/>
    <cellStyle name="Linked Cell 16 3 2 2 2 3" xfId="17609" xr:uid="{68A911BF-A96C-47E1-A1AC-5DCC02DC5787}"/>
    <cellStyle name="Linked Cell 16 3 2 2 3" xfId="17610" xr:uid="{6869673B-4945-44F1-8E3E-3BE55C0994B0}"/>
    <cellStyle name="Linked Cell 16 3 2 2 3 2" xfId="17611" xr:uid="{A712D3F5-0CB7-46E0-A6FB-C807E739E29E}"/>
    <cellStyle name="Linked Cell 16 3 2 2 3 2 2" xfId="17612" xr:uid="{5BF07067-0913-4ACF-9B22-9E607BA90AEA}"/>
    <cellStyle name="Linked Cell 16 3 2 2 3 3" xfId="17613" xr:uid="{00CB07CA-26C3-4372-A905-5DC8A970CD8B}"/>
    <cellStyle name="Linked Cell 16 3 2 2 4" xfId="17614" xr:uid="{D9B4F1E1-0C33-48BA-869C-0191A57BB8B5}"/>
    <cellStyle name="Linked Cell 16 3 2 2 4 2" xfId="17615" xr:uid="{5177602F-2B92-4845-99C0-62B0412A1EEB}"/>
    <cellStyle name="Linked Cell 16 3 2 2 4 2 2" xfId="17616" xr:uid="{2D8197DE-3D55-43DA-A98D-4822FAB1E074}"/>
    <cellStyle name="Linked Cell 16 3 2 2 4 3" xfId="17617" xr:uid="{475CCFFF-7D94-4D07-A9B7-64F4C99A3C89}"/>
    <cellStyle name="Linked Cell 16 3 2 2 5" xfId="17618" xr:uid="{7F04ABA5-3DEE-413E-B7E1-504A61B019D2}"/>
    <cellStyle name="Linked Cell 16 3 2 2 5 2" xfId="17619" xr:uid="{DDB62AE6-CB44-4EDA-916A-6ED7AE716B6A}"/>
    <cellStyle name="Linked Cell 16 3 2 2 5 2 2" xfId="17620" xr:uid="{90268317-C8BA-4E35-BD2C-472EE2E0017B}"/>
    <cellStyle name="Linked Cell 16 3 2 2 5 3" xfId="17621" xr:uid="{CA22C7CD-DA07-461D-A982-4BF100471387}"/>
    <cellStyle name="Linked Cell 16 3 2 2 6" xfId="17622" xr:uid="{D8206C80-395E-459C-8258-36855F21141B}"/>
    <cellStyle name="Linked Cell 16 3 2 2 6 2" xfId="17623" xr:uid="{9DA30226-055E-4B14-8C40-F85B5A8348E7}"/>
    <cellStyle name="Linked Cell 16 3 2 2 6 2 2" xfId="17624" xr:uid="{E632F727-AD5C-45E6-8933-44BF791EC62A}"/>
    <cellStyle name="Linked Cell 16 3 2 2 6 3" xfId="17625" xr:uid="{47D4D43D-3DC5-427C-B86E-112B4D47BA62}"/>
    <cellStyle name="Linked Cell 16 3 2 2 7" xfId="17626" xr:uid="{4FF20BD5-7960-46FC-AD1D-4BCA8FD4EA56}"/>
    <cellStyle name="Linked Cell 16 3 2 2 7 2" xfId="17627" xr:uid="{945A6319-03F8-41D9-8301-F46BA25541AF}"/>
    <cellStyle name="Linked Cell 16 3 2 2 7 2 2" xfId="17628" xr:uid="{BA8FE7CF-E21B-43FE-AD35-D908A64B2E5E}"/>
    <cellStyle name="Linked Cell 16 3 2 2 7 3" xfId="17629" xr:uid="{0D17FE14-C82D-4701-9781-3C5A4D361D7C}"/>
    <cellStyle name="Linked Cell 16 3 2 2 8" xfId="17630" xr:uid="{2E09D614-8F82-4731-A211-2DCC8F877F4E}"/>
    <cellStyle name="Linked Cell 16 3 2 2 8 2" xfId="17631" xr:uid="{273A1017-C65D-4FDD-8AB7-AD60A1A634BF}"/>
    <cellStyle name="Linked Cell 16 3 2 2 8 2 2" xfId="17632" xr:uid="{187850A8-F066-4C28-B20B-E2F20DF9D85A}"/>
    <cellStyle name="Linked Cell 16 3 2 2 8 3" xfId="17633" xr:uid="{808F9B59-99D1-45F8-9473-428FB5A5B44B}"/>
    <cellStyle name="Linked Cell 16 3 2 2 9" xfId="17634" xr:uid="{4361611E-595C-4DEC-92F5-E6F3FD1E7126}"/>
    <cellStyle name="Linked Cell 16 3 2 2 9 2" xfId="17635" xr:uid="{36A68A6D-5B00-40CB-BA79-02BB6481692E}"/>
    <cellStyle name="Linked Cell 16 3 2 2 9 2 2" xfId="17636" xr:uid="{F5CBB6FB-1E15-43FB-A696-F07BF2176A26}"/>
    <cellStyle name="Linked Cell 16 3 2 2 9 3" xfId="17637" xr:uid="{E6F29AFA-A3D3-4904-A1D6-67755E7702F5}"/>
    <cellStyle name="Linked Cell 16 3 2 3" xfId="17638" xr:uid="{CFD617C7-B01B-42E6-BE58-3E1A22AB1C23}"/>
    <cellStyle name="Linked Cell 16 3 2 3 10" xfId="17639" xr:uid="{A5D801FC-3C00-4599-86C7-BE01ECC60FA6}"/>
    <cellStyle name="Linked Cell 16 3 2 3 10 2" xfId="17640" xr:uid="{04163B81-F8CF-43E0-B98F-FEA095801137}"/>
    <cellStyle name="Linked Cell 16 3 2 3 11" xfId="17641" xr:uid="{1AF00185-C7B7-4CE5-94ED-CF4AE971F5C4}"/>
    <cellStyle name="Linked Cell 16 3 2 3 2" xfId="17642" xr:uid="{20DC2D6E-51F4-4C56-B294-A1C28260258E}"/>
    <cellStyle name="Linked Cell 16 3 2 3 2 2" xfId="17643" xr:uid="{77BEC691-144D-44F9-8F0E-41613AAF69C1}"/>
    <cellStyle name="Linked Cell 16 3 2 3 2 2 2" xfId="17644" xr:uid="{26F50837-E633-411C-988D-196B797D365C}"/>
    <cellStyle name="Linked Cell 16 3 2 3 2 3" xfId="17645" xr:uid="{81BA35DE-0960-4AE4-922F-92B0D858819B}"/>
    <cellStyle name="Linked Cell 16 3 2 3 3" xfId="17646" xr:uid="{4B43E35D-F07F-4FD6-B645-29F208B2B6EE}"/>
    <cellStyle name="Linked Cell 16 3 2 3 3 2" xfId="17647" xr:uid="{A54B7F33-B732-40D3-8E1E-B57E3DDD43B7}"/>
    <cellStyle name="Linked Cell 16 3 2 3 3 2 2" xfId="17648" xr:uid="{2DED783D-DDCB-448A-A12F-EE71C8B2428B}"/>
    <cellStyle name="Linked Cell 16 3 2 3 3 3" xfId="17649" xr:uid="{928C792A-C2ED-48AF-8B20-E8A951FB25D2}"/>
    <cellStyle name="Linked Cell 16 3 2 3 4" xfId="17650" xr:uid="{71F44CE2-8A8E-4AD9-A2CE-2163F9D7F4E5}"/>
    <cellStyle name="Linked Cell 16 3 2 3 4 2" xfId="17651" xr:uid="{46974369-C413-46ED-889C-34576B93EBFE}"/>
    <cellStyle name="Linked Cell 16 3 2 3 4 2 2" xfId="17652" xr:uid="{478EB23E-BB42-4404-8C45-C2CD20FFB977}"/>
    <cellStyle name="Linked Cell 16 3 2 3 4 3" xfId="17653" xr:uid="{51E89CED-D7D6-4CB7-B29B-2B07F06EDD25}"/>
    <cellStyle name="Linked Cell 16 3 2 3 5" xfId="17654" xr:uid="{751BD332-3843-4D11-A0C0-D7EDE717076B}"/>
    <cellStyle name="Linked Cell 16 3 2 3 5 2" xfId="17655" xr:uid="{72AA4FA4-2ACF-4266-9040-0E8A9C9D9219}"/>
    <cellStyle name="Linked Cell 16 3 2 3 5 2 2" xfId="17656" xr:uid="{7D255DA0-C456-49B5-A48E-869D6504BD79}"/>
    <cellStyle name="Linked Cell 16 3 2 3 5 3" xfId="17657" xr:uid="{BAFA586A-8C87-42F5-83A2-2D1177F5C7B8}"/>
    <cellStyle name="Linked Cell 16 3 2 3 6" xfId="17658" xr:uid="{F5165C38-58C3-4F34-87BF-8A1F22074555}"/>
    <cellStyle name="Linked Cell 16 3 2 3 6 2" xfId="17659" xr:uid="{5255700E-88EE-4C5A-99F5-29A8EF97041E}"/>
    <cellStyle name="Linked Cell 16 3 2 3 6 2 2" xfId="17660" xr:uid="{3E3C7ED3-C08B-479B-9E47-FF67D9CD8830}"/>
    <cellStyle name="Linked Cell 16 3 2 3 6 3" xfId="17661" xr:uid="{45B7ADBB-A452-4474-BA5B-56ED67A0367A}"/>
    <cellStyle name="Linked Cell 16 3 2 3 7" xfId="17662" xr:uid="{CFABBABE-9914-42DE-B260-D1BF9A8C5DE3}"/>
    <cellStyle name="Linked Cell 16 3 2 3 7 2" xfId="17663" xr:uid="{48408AA2-4C26-4DED-A098-F29A05807E34}"/>
    <cellStyle name="Linked Cell 16 3 2 3 7 2 2" xfId="17664" xr:uid="{276FD817-2A27-4482-94A3-81774A29ECEC}"/>
    <cellStyle name="Linked Cell 16 3 2 3 7 3" xfId="17665" xr:uid="{84994FBF-A359-4BF7-A466-E5BDEB199911}"/>
    <cellStyle name="Linked Cell 16 3 2 3 8" xfId="17666" xr:uid="{9A1F1E7D-B602-4A95-B41E-4147F4CD5943}"/>
    <cellStyle name="Linked Cell 16 3 2 3 8 2" xfId="17667" xr:uid="{F6CBB649-C9DD-4D4E-BA64-F4998441E456}"/>
    <cellStyle name="Linked Cell 16 3 2 3 8 2 2" xfId="17668" xr:uid="{9295B0F7-5A0B-4B77-A88B-FE1A17C4676D}"/>
    <cellStyle name="Linked Cell 16 3 2 3 8 3" xfId="17669" xr:uid="{ECD9236F-ACAE-437C-9D5C-A61B2A7D8007}"/>
    <cellStyle name="Linked Cell 16 3 2 3 9" xfId="17670" xr:uid="{FC230661-535C-40F0-8119-4E8D78D3814C}"/>
    <cellStyle name="Linked Cell 16 3 2 3 9 2" xfId="17671" xr:uid="{2C65D783-4D6F-4753-AED4-1EA5180F3924}"/>
    <cellStyle name="Linked Cell 16 3 2 3 9 2 2" xfId="17672" xr:uid="{93351DEB-5557-40B3-B4BF-EFAA2ED897E3}"/>
    <cellStyle name="Linked Cell 16 3 2 3 9 3" xfId="17673" xr:uid="{6C036C64-85B6-41E6-80DC-14560B232B78}"/>
    <cellStyle name="Linked Cell 16 3 2 4" xfId="17674" xr:uid="{8F761C7C-9A39-4801-992B-197374833341}"/>
    <cellStyle name="Linked Cell 16 3 2 4 2" xfId="17675" xr:uid="{2596CBD4-BAFC-4A15-B084-C768D0381D4E}"/>
    <cellStyle name="Linked Cell 16 3 2 4 2 2" xfId="17676" xr:uid="{63C86A08-F784-4C66-9360-BBDA1C91AE25}"/>
    <cellStyle name="Linked Cell 16 3 2 4 3" xfId="17677" xr:uid="{D9726F07-1B07-405B-8AB3-F8308D03F13C}"/>
    <cellStyle name="Linked Cell 16 3 2 5" xfId="17678" xr:uid="{BB96CBBC-9328-4E98-8BAB-F12063449922}"/>
    <cellStyle name="Linked Cell 16 3 2 5 2" xfId="17679" xr:uid="{6D6E465E-3D35-4BB4-8A8B-45F799B64611}"/>
    <cellStyle name="Linked Cell 16 3 2 5 2 2" xfId="17680" xr:uid="{20A46857-4522-4AC2-B1CE-A0A4CCFCCD21}"/>
    <cellStyle name="Linked Cell 16 3 2 5 3" xfId="17681" xr:uid="{25478509-6CE8-43D2-890C-2FCD1F52D5C0}"/>
    <cellStyle name="Linked Cell 16 3 2 6" xfId="17682" xr:uid="{AE7A4728-CA4D-483C-9428-709E82B25AEA}"/>
    <cellStyle name="Linked Cell 16 3 2 6 2" xfId="17683" xr:uid="{AE1F9F52-F5E0-46C7-96EF-6AE760916090}"/>
    <cellStyle name="Linked Cell 16 3 2 6 2 2" xfId="17684" xr:uid="{8E8B7FEB-826A-4323-AEF6-32A3FA3FF336}"/>
    <cellStyle name="Linked Cell 16 3 2 6 3" xfId="17685" xr:uid="{961C5A50-E5CD-4FAA-AD9A-C395E06A8C07}"/>
    <cellStyle name="Linked Cell 16 3 2 7" xfId="17686" xr:uid="{4E33DD56-AB5F-49DA-A58B-5A736613217C}"/>
    <cellStyle name="Linked Cell 16 3 2 7 2" xfId="17687" xr:uid="{D71029C1-B68C-4BBF-8C7E-D62A10A7855D}"/>
    <cellStyle name="Linked Cell 16 3 2 7 2 2" xfId="17688" xr:uid="{11DAFDB6-DE37-43F0-85A1-80749ACB64A3}"/>
    <cellStyle name="Linked Cell 16 3 2 7 3" xfId="17689" xr:uid="{FC019630-F0CF-432C-8C77-4644628FAE7D}"/>
    <cellStyle name="Linked Cell 16 3 2 8" xfId="17690" xr:uid="{EE761569-6C47-4769-AC96-76EED694CE7C}"/>
    <cellStyle name="Linked Cell 16 3 2 8 2" xfId="17691" xr:uid="{3BE3E1A4-BD11-442F-99FD-E82864304095}"/>
    <cellStyle name="Linked Cell 16 3 2 8 2 2" xfId="17692" xr:uid="{36D5932F-0BE8-46A4-9C83-B22CB0E3055E}"/>
    <cellStyle name="Linked Cell 16 3 2 8 3" xfId="17693" xr:uid="{44A49086-AC1E-4645-A2FA-78965DD57E65}"/>
    <cellStyle name="Linked Cell 16 3 2 9" xfId="17694" xr:uid="{B80CC3F8-E941-406E-B01A-1BF29EA6A64A}"/>
    <cellStyle name="Linked Cell 16 3 2 9 2" xfId="17695" xr:uid="{A7BEA9AF-2062-467A-8268-1B1F1ED7465D}"/>
    <cellStyle name="Linked Cell 16 3 2 9 2 2" xfId="17696" xr:uid="{0183AC36-405B-4CEA-8A7C-6057CD9269B1}"/>
    <cellStyle name="Linked Cell 16 3 2 9 3" xfId="17697" xr:uid="{53D64ACC-0E75-4CF0-81D1-7208B2BBF544}"/>
    <cellStyle name="Linked Cell 16 3 3" xfId="17698" xr:uid="{E12B8CD4-E420-4903-90F7-10B1A6409897}"/>
    <cellStyle name="Linked Cell 16 3 3 10" xfId="17699" xr:uid="{23AE72CB-8D41-4DE3-8C39-FF7EE1B0264B}"/>
    <cellStyle name="Linked Cell 16 3 3 10 2" xfId="17700" xr:uid="{0DA7ACD7-530F-44C6-BFF9-2FAA3CC14848}"/>
    <cellStyle name="Linked Cell 16 3 3 10 2 2" xfId="17701" xr:uid="{1F0C0EAC-103A-4703-84DD-46C81B5E2F23}"/>
    <cellStyle name="Linked Cell 16 3 3 10 3" xfId="17702" xr:uid="{7439B0DA-271B-44C8-98C0-8B52083516C4}"/>
    <cellStyle name="Linked Cell 16 3 3 11" xfId="17703" xr:uid="{25DDFF6F-FB1B-49C0-A3A8-5920FD873B85}"/>
    <cellStyle name="Linked Cell 16 3 3 11 2" xfId="17704" xr:uid="{ED3E79DF-30E7-4B21-BFC5-FA8DEDBB9F73}"/>
    <cellStyle name="Linked Cell 16 3 3 12" xfId="17705" xr:uid="{332569A9-D06D-48A0-9DFC-36384FDF1F13}"/>
    <cellStyle name="Linked Cell 16 3 3 2" xfId="17706" xr:uid="{D86838B7-E27D-4A9A-8F48-FEDD4CBAF847}"/>
    <cellStyle name="Linked Cell 16 3 3 2 10" xfId="17707" xr:uid="{6612BD0F-CBD7-448D-8068-6B3D768114F7}"/>
    <cellStyle name="Linked Cell 16 3 3 2 10 2" xfId="17708" xr:uid="{AE2F8D9E-FFB5-42CF-99FC-47B8D51BE03A}"/>
    <cellStyle name="Linked Cell 16 3 3 2 11" xfId="17709" xr:uid="{F2DE5B11-680D-4910-8940-BD6AD1AA03C6}"/>
    <cellStyle name="Linked Cell 16 3 3 2 2" xfId="17710" xr:uid="{05607F17-8DC9-46C9-89A8-9754ABEB511B}"/>
    <cellStyle name="Linked Cell 16 3 3 2 2 2" xfId="17711" xr:uid="{868C684B-1241-473B-ABA3-C02875E36CDA}"/>
    <cellStyle name="Linked Cell 16 3 3 2 2 2 2" xfId="17712" xr:uid="{DB2D07A0-93C3-4821-AF41-E395C912768D}"/>
    <cellStyle name="Linked Cell 16 3 3 2 2 3" xfId="17713" xr:uid="{673A12BE-9CA0-4D13-BCF9-5885144FF2FB}"/>
    <cellStyle name="Linked Cell 16 3 3 2 3" xfId="17714" xr:uid="{8BDA8B15-BB6F-4B2B-83CD-E8CF1DA767A7}"/>
    <cellStyle name="Linked Cell 16 3 3 2 3 2" xfId="17715" xr:uid="{2EB6B4B5-0C99-4B76-901B-D99CA7733120}"/>
    <cellStyle name="Linked Cell 16 3 3 2 3 2 2" xfId="17716" xr:uid="{BBC91AEE-1ACA-4745-9089-BE122E19A6DE}"/>
    <cellStyle name="Linked Cell 16 3 3 2 3 3" xfId="17717" xr:uid="{05B5CFE7-4779-48CD-B03B-5E2E50EA7C20}"/>
    <cellStyle name="Linked Cell 16 3 3 2 4" xfId="17718" xr:uid="{B675AE15-A426-4DF5-80E1-C49F25E451B1}"/>
    <cellStyle name="Linked Cell 16 3 3 2 4 2" xfId="17719" xr:uid="{1C60A1CB-88AF-4E83-BDF7-F5BF5E38D9D4}"/>
    <cellStyle name="Linked Cell 16 3 3 2 4 2 2" xfId="17720" xr:uid="{A4BC8222-910B-4470-BD16-995A87A52E3F}"/>
    <cellStyle name="Linked Cell 16 3 3 2 4 3" xfId="17721" xr:uid="{8A1AF3C7-855E-4AB3-97A0-D86F80CB4FCA}"/>
    <cellStyle name="Linked Cell 16 3 3 2 5" xfId="17722" xr:uid="{AA7BB862-A477-4DBE-935F-C72C7AF09C00}"/>
    <cellStyle name="Linked Cell 16 3 3 2 5 2" xfId="17723" xr:uid="{627BA7A0-2121-4D97-8B8D-A4CEA4C1945F}"/>
    <cellStyle name="Linked Cell 16 3 3 2 5 2 2" xfId="17724" xr:uid="{AB9BBE75-AFD1-4CE6-B6B4-7471679E3434}"/>
    <cellStyle name="Linked Cell 16 3 3 2 5 3" xfId="17725" xr:uid="{751A3DB2-CAF2-4C73-947B-221827828131}"/>
    <cellStyle name="Linked Cell 16 3 3 2 6" xfId="17726" xr:uid="{E2CCCE30-266F-4AF8-BC7E-734CB3D8CB13}"/>
    <cellStyle name="Linked Cell 16 3 3 2 6 2" xfId="17727" xr:uid="{4D12F469-2178-4B12-B340-D8A3958E8C53}"/>
    <cellStyle name="Linked Cell 16 3 3 2 6 2 2" xfId="17728" xr:uid="{F0AD3FBD-ED9A-4FA0-9050-4C286CC2BD34}"/>
    <cellStyle name="Linked Cell 16 3 3 2 6 3" xfId="17729" xr:uid="{79D541A2-3B69-4BCB-931F-06373979C36E}"/>
    <cellStyle name="Linked Cell 16 3 3 2 7" xfId="17730" xr:uid="{97845A1F-27DE-4B3D-8191-15E7D1A95B8B}"/>
    <cellStyle name="Linked Cell 16 3 3 2 7 2" xfId="17731" xr:uid="{693BCCC7-E8B7-4E28-AB36-03EB8BD127C7}"/>
    <cellStyle name="Linked Cell 16 3 3 2 7 2 2" xfId="17732" xr:uid="{1771478F-D7C6-4F0C-BD0F-F2BE03E09AC4}"/>
    <cellStyle name="Linked Cell 16 3 3 2 7 3" xfId="17733" xr:uid="{E70AAB1F-1DF8-4E71-9AC6-9DAB1CFBE23C}"/>
    <cellStyle name="Linked Cell 16 3 3 2 8" xfId="17734" xr:uid="{8E580B72-59FC-4217-AEA8-777C43D8D0CF}"/>
    <cellStyle name="Linked Cell 16 3 3 2 8 2" xfId="17735" xr:uid="{6338FC09-2CE6-44EC-954A-20F28EDB5F3A}"/>
    <cellStyle name="Linked Cell 16 3 3 2 8 2 2" xfId="17736" xr:uid="{0116B96F-8939-4C1E-87FF-437E7A6ACF18}"/>
    <cellStyle name="Linked Cell 16 3 3 2 8 3" xfId="17737" xr:uid="{5D6B1920-BC09-4C9E-801C-AED09895D90A}"/>
    <cellStyle name="Linked Cell 16 3 3 2 9" xfId="17738" xr:uid="{8674AAA5-4895-488E-8288-80BEA3D4EEC1}"/>
    <cellStyle name="Linked Cell 16 3 3 2 9 2" xfId="17739" xr:uid="{E26A53DE-878A-491B-8DEA-6D2CF106009E}"/>
    <cellStyle name="Linked Cell 16 3 3 2 9 2 2" xfId="17740" xr:uid="{69765176-C12D-428E-8944-BDD015AE0C0A}"/>
    <cellStyle name="Linked Cell 16 3 3 2 9 3" xfId="17741" xr:uid="{38F0C132-9A05-4B32-90CC-CE30BE08DB6F}"/>
    <cellStyle name="Linked Cell 16 3 3 3" xfId="17742" xr:uid="{00FCBCBC-1775-4F97-8BCB-1BAACC075280}"/>
    <cellStyle name="Linked Cell 16 3 3 3 2" xfId="17743" xr:uid="{13A9002F-93C8-4DD7-B4E2-52EC1D0F7D2A}"/>
    <cellStyle name="Linked Cell 16 3 3 3 2 2" xfId="17744" xr:uid="{B45648EB-979C-42B9-843C-F5C52A0A1FB5}"/>
    <cellStyle name="Linked Cell 16 3 3 3 3" xfId="17745" xr:uid="{AFDC458E-9830-45B1-A199-D586F7F9D923}"/>
    <cellStyle name="Linked Cell 16 3 3 4" xfId="17746" xr:uid="{6D7EDE29-5756-4412-96F4-C0E003FCA749}"/>
    <cellStyle name="Linked Cell 16 3 3 4 2" xfId="17747" xr:uid="{585DD574-FB7C-4FFE-A5DD-2168BE24AC0D}"/>
    <cellStyle name="Linked Cell 16 3 3 4 2 2" xfId="17748" xr:uid="{6F88D9C6-8831-47D6-B6BE-842167AA80D2}"/>
    <cellStyle name="Linked Cell 16 3 3 4 3" xfId="17749" xr:uid="{06C0305B-5D46-46D5-BB3E-2093EB58A09D}"/>
    <cellStyle name="Linked Cell 16 3 3 5" xfId="17750" xr:uid="{942CA242-95E0-4769-90EA-CB58542561F0}"/>
    <cellStyle name="Linked Cell 16 3 3 5 2" xfId="17751" xr:uid="{ADE6E4A7-A313-4E5B-B1F9-8CBD9E56A266}"/>
    <cellStyle name="Linked Cell 16 3 3 5 2 2" xfId="17752" xr:uid="{661FE581-9D7B-438B-900B-BCD50B7663A5}"/>
    <cellStyle name="Linked Cell 16 3 3 5 3" xfId="17753" xr:uid="{47A27E5E-0C73-4CB5-ADD5-CCD1FB2104D6}"/>
    <cellStyle name="Linked Cell 16 3 3 6" xfId="17754" xr:uid="{D4EF99A9-A981-4031-9815-F7B4F8A7F83E}"/>
    <cellStyle name="Linked Cell 16 3 3 6 2" xfId="17755" xr:uid="{BE317091-C5E4-4B8F-8665-0E8888FFF3FA}"/>
    <cellStyle name="Linked Cell 16 3 3 6 2 2" xfId="17756" xr:uid="{D68B38EC-66C0-48DB-93ED-D86FF0D21F01}"/>
    <cellStyle name="Linked Cell 16 3 3 6 3" xfId="17757" xr:uid="{112B698B-A0F6-4BAB-BDE7-61B39CF9D293}"/>
    <cellStyle name="Linked Cell 16 3 3 7" xfId="17758" xr:uid="{750A0AEC-EF5C-4250-9694-F1A144520308}"/>
    <cellStyle name="Linked Cell 16 3 3 7 2" xfId="17759" xr:uid="{D42B5E52-EB98-42F1-B9A1-0B3210753CC3}"/>
    <cellStyle name="Linked Cell 16 3 3 7 2 2" xfId="17760" xr:uid="{174C399B-88E9-4DF9-A089-99421FAD60DE}"/>
    <cellStyle name="Linked Cell 16 3 3 7 3" xfId="17761" xr:uid="{A71C2DC6-BC13-46CD-80DD-65802318C311}"/>
    <cellStyle name="Linked Cell 16 3 3 8" xfId="17762" xr:uid="{C7A395F6-0082-4BD9-BA35-8517FAD57913}"/>
    <cellStyle name="Linked Cell 16 3 3 8 2" xfId="17763" xr:uid="{21ACD879-3814-4C99-A20B-5ABE63D82A05}"/>
    <cellStyle name="Linked Cell 16 3 3 8 2 2" xfId="17764" xr:uid="{85543845-958C-4103-8DFF-63731BEB8727}"/>
    <cellStyle name="Linked Cell 16 3 3 8 3" xfId="17765" xr:uid="{3C2D9AFD-54C8-42D2-9656-41585AEA2D7E}"/>
    <cellStyle name="Linked Cell 16 3 3 9" xfId="17766" xr:uid="{314CC2A2-0801-43AD-BD58-7FA1AE8FC253}"/>
    <cellStyle name="Linked Cell 16 3 3 9 2" xfId="17767" xr:uid="{2FF35DD9-6193-4F05-8EC1-2CE2FB833851}"/>
    <cellStyle name="Linked Cell 16 3 3 9 2 2" xfId="17768" xr:uid="{F9ED63A0-74E1-41A6-AB7E-994CE3ABF498}"/>
    <cellStyle name="Linked Cell 16 3 3 9 3" xfId="17769" xr:uid="{A0503FE2-0E70-49B0-BCB2-2F35BCB6F6D9}"/>
    <cellStyle name="Linked Cell 16 3 4" xfId="17770" xr:uid="{0CF1A82C-4C52-4EE7-9F0E-8459FBD18B43}"/>
    <cellStyle name="Linked Cell 16 3 4 10" xfId="17771" xr:uid="{4F93E03F-F986-44FD-AD27-4142E20196EC}"/>
    <cellStyle name="Linked Cell 16 3 4 10 2" xfId="17772" xr:uid="{7C26C75B-866E-47DF-8957-3F4CF58FB22C}"/>
    <cellStyle name="Linked Cell 16 3 4 11" xfId="17773" xr:uid="{559C9BE7-BA12-455B-89EC-270BFE05C2C0}"/>
    <cellStyle name="Linked Cell 16 3 4 2" xfId="17774" xr:uid="{B1DBA5C3-D43B-4493-9E5D-B5CE73CA0CF5}"/>
    <cellStyle name="Linked Cell 16 3 4 2 2" xfId="17775" xr:uid="{6F6B7C65-D54B-4E2A-B537-E3AD06C6D4FC}"/>
    <cellStyle name="Linked Cell 16 3 4 2 2 2" xfId="17776" xr:uid="{E0104251-1826-49D1-9514-3D9F812C76BF}"/>
    <cellStyle name="Linked Cell 16 3 4 2 3" xfId="17777" xr:uid="{AE7CC0A4-74B3-4FCF-8025-9417ABD6C0EF}"/>
    <cellStyle name="Linked Cell 16 3 4 3" xfId="17778" xr:uid="{C7DA4A8D-CCE7-436E-9FC9-A9537B30B74F}"/>
    <cellStyle name="Linked Cell 16 3 4 3 2" xfId="17779" xr:uid="{5D414974-98A4-4415-A72E-0948A3143F14}"/>
    <cellStyle name="Linked Cell 16 3 4 3 2 2" xfId="17780" xr:uid="{F100D687-2C85-4C3F-97AF-24B10808185C}"/>
    <cellStyle name="Linked Cell 16 3 4 3 3" xfId="17781" xr:uid="{8734562C-41B9-43E9-B574-84FA34801D78}"/>
    <cellStyle name="Linked Cell 16 3 4 4" xfId="17782" xr:uid="{8A5B960E-889D-4B12-9222-3DAB2FDE6EC9}"/>
    <cellStyle name="Linked Cell 16 3 4 4 2" xfId="17783" xr:uid="{7A3627B8-0DA6-427C-A635-E19B3685C90F}"/>
    <cellStyle name="Linked Cell 16 3 4 4 2 2" xfId="17784" xr:uid="{AE8A8DFD-9EAB-43AA-8F10-56B1CDE2CF33}"/>
    <cellStyle name="Linked Cell 16 3 4 4 3" xfId="17785" xr:uid="{C0244819-8872-4B18-8A01-D75B41454C01}"/>
    <cellStyle name="Linked Cell 16 3 4 5" xfId="17786" xr:uid="{4D26B16A-6B6B-4EE9-B0BA-6C669FCDA1B0}"/>
    <cellStyle name="Linked Cell 16 3 4 5 2" xfId="17787" xr:uid="{EC022CFB-23DB-45B9-960C-D8F3ECADBC7F}"/>
    <cellStyle name="Linked Cell 16 3 4 5 2 2" xfId="17788" xr:uid="{E0489504-0A05-469B-BDD7-887D4A50AA97}"/>
    <cellStyle name="Linked Cell 16 3 4 5 3" xfId="17789" xr:uid="{F9EEB8BC-F241-4C58-B7A6-43D30D4AE856}"/>
    <cellStyle name="Linked Cell 16 3 4 6" xfId="17790" xr:uid="{7F0F034A-B10D-49F5-9788-B7D44667AE22}"/>
    <cellStyle name="Linked Cell 16 3 4 6 2" xfId="17791" xr:uid="{7DE522C3-FA4F-4693-AE93-F5FC48A53B3A}"/>
    <cellStyle name="Linked Cell 16 3 4 6 2 2" xfId="17792" xr:uid="{50A4A176-2A0E-4320-9943-921819C22ACC}"/>
    <cellStyle name="Linked Cell 16 3 4 6 3" xfId="17793" xr:uid="{6CCC8A27-3EE6-4F74-B72A-071A20B06F4E}"/>
    <cellStyle name="Linked Cell 16 3 4 7" xfId="17794" xr:uid="{8D65DACD-DA61-4273-A4BC-FC4CF4328F99}"/>
    <cellStyle name="Linked Cell 16 3 4 7 2" xfId="17795" xr:uid="{64450C55-CA2E-4E41-AD88-D0F647BF7645}"/>
    <cellStyle name="Linked Cell 16 3 4 7 2 2" xfId="17796" xr:uid="{F4CCFDA7-FECF-41C7-A279-0EE7568B698C}"/>
    <cellStyle name="Linked Cell 16 3 4 7 3" xfId="17797" xr:uid="{08D636DF-37D4-40B1-802F-E11F7470AAF9}"/>
    <cellStyle name="Linked Cell 16 3 4 8" xfId="17798" xr:uid="{3C906DFD-CC80-40C9-BB03-FF14B496BDA7}"/>
    <cellStyle name="Linked Cell 16 3 4 8 2" xfId="17799" xr:uid="{45617CDE-3649-4A74-AE98-F9573DA12072}"/>
    <cellStyle name="Linked Cell 16 3 4 8 2 2" xfId="17800" xr:uid="{9803CB60-059A-4B33-B84E-6146EEAD82A9}"/>
    <cellStyle name="Linked Cell 16 3 4 8 3" xfId="17801" xr:uid="{1B0D8F1E-B9C5-4B43-A0FC-2F0F598D3BA1}"/>
    <cellStyle name="Linked Cell 16 3 4 9" xfId="17802" xr:uid="{B917DAD2-5793-4882-9183-40BEF63EBC04}"/>
    <cellStyle name="Linked Cell 16 3 4 9 2" xfId="17803" xr:uid="{6C8DC5CC-9D63-43F8-8FA5-15A8206BF397}"/>
    <cellStyle name="Linked Cell 16 3 4 9 2 2" xfId="17804" xr:uid="{B078AC98-BD6E-4F48-AF82-95588B2BCD39}"/>
    <cellStyle name="Linked Cell 16 3 4 9 3" xfId="17805" xr:uid="{38F4129D-8A87-4E97-B3CF-C56766A617E5}"/>
    <cellStyle name="Linked Cell 16 3 5" xfId="17806" xr:uid="{EA27D582-3738-450D-836C-95E04AAF709E}"/>
    <cellStyle name="Linked Cell 16 3 5 2" xfId="17807" xr:uid="{549DC786-24F5-48C0-B187-FB3170DFF5C6}"/>
    <cellStyle name="Linked Cell 16 3 5 2 2" xfId="17808" xr:uid="{10E55197-A7D9-46EC-8A3B-FFC247839F37}"/>
    <cellStyle name="Linked Cell 16 3 5 3" xfId="17809" xr:uid="{5C2EF525-32DB-408D-984A-C616283A3E90}"/>
    <cellStyle name="Linked Cell 16 3 6" xfId="17810" xr:uid="{AA59163E-3427-40AD-A631-1D9966C54ADF}"/>
    <cellStyle name="Linked Cell 16 3 6 2" xfId="17811" xr:uid="{2656526C-B709-45F3-BF5B-211E4953FFB9}"/>
    <cellStyle name="Linked Cell 16 3 6 2 2" xfId="17812" xr:uid="{7E2AB0C1-F1CD-4FBD-BE57-35C0F99BB9EF}"/>
    <cellStyle name="Linked Cell 16 3 6 3" xfId="17813" xr:uid="{B36C4F7B-0C8C-43AC-A905-9CBADDA2366B}"/>
    <cellStyle name="Linked Cell 16 3 7" xfId="17814" xr:uid="{12E67B37-41D1-4785-8C41-4347EDFB856F}"/>
    <cellStyle name="Linked Cell 16 3 7 2" xfId="17815" xr:uid="{229F53E9-79BA-40B2-80F2-519911BD035B}"/>
    <cellStyle name="Linked Cell 16 3 7 2 2" xfId="17816" xr:uid="{6EDA3CE6-88EF-4667-BD45-994FE18C2235}"/>
    <cellStyle name="Linked Cell 16 3 7 3" xfId="17817" xr:uid="{6B9CB4AB-69AF-40BA-A314-8054FDB4DCCF}"/>
    <cellStyle name="Linked Cell 16 3 8" xfId="17818" xr:uid="{A0AC0A56-7778-4737-9E01-74715EFDD9EF}"/>
    <cellStyle name="Linked Cell 16 3 8 2" xfId="17819" xr:uid="{746C08B7-23F6-41CF-A9FF-4BE63E21AEEA}"/>
    <cellStyle name="Linked Cell 16 3 8 2 2" xfId="17820" xr:uid="{2D0167D2-6067-4E4C-93F8-DAF0BB2386D1}"/>
    <cellStyle name="Linked Cell 16 3 8 3" xfId="17821" xr:uid="{A69B84F7-94AD-4F00-A09A-9AB9918178A9}"/>
    <cellStyle name="Linked Cell 16 3 9" xfId="17822" xr:uid="{FEA84E05-299F-4411-B655-A2FADAEFD5EA}"/>
    <cellStyle name="Linked Cell 16 3 9 2" xfId="17823" xr:uid="{02EB8A69-F50F-43FB-B476-0DF838E1455F}"/>
    <cellStyle name="Linked Cell 16 3 9 2 2" xfId="17824" xr:uid="{ECD9FC13-78A6-406A-AF59-81DF2EB58170}"/>
    <cellStyle name="Linked Cell 16 3 9 3" xfId="17825" xr:uid="{7342008C-8923-491E-B8CF-7A914B1F9BEC}"/>
    <cellStyle name="Linked Cell 16 4" xfId="17826" xr:uid="{36755727-4011-406F-A127-4BD4C5FCB413}"/>
    <cellStyle name="Linked Cell 16 4 10" xfId="17827" xr:uid="{DD6E01BA-70CC-4145-A28E-80F3562CF9E6}"/>
    <cellStyle name="Linked Cell 16 4 10 2" xfId="17828" xr:uid="{C0311BAF-66BC-4D4B-B0EE-0C594FCCD484}"/>
    <cellStyle name="Linked Cell 16 4 10 2 2" xfId="17829" xr:uid="{C89341DD-61CC-44FD-A6F1-609DBEAEB410}"/>
    <cellStyle name="Linked Cell 16 4 10 3" xfId="17830" xr:uid="{51CEF6D6-187E-415D-8B06-B6AF44097F88}"/>
    <cellStyle name="Linked Cell 16 4 11" xfId="17831" xr:uid="{B9800942-A60D-4231-87B3-A5802DD2E241}"/>
    <cellStyle name="Linked Cell 16 4 11 2" xfId="17832" xr:uid="{E551A846-EFA9-44D6-B8C6-72DC5ECA94FE}"/>
    <cellStyle name="Linked Cell 16 4 11 2 2" xfId="17833" xr:uid="{55E78447-19CA-4810-A387-8A359E5AE877}"/>
    <cellStyle name="Linked Cell 16 4 11 3" xfId="17834" xr:uid="{37E80425-C7B1-4D51-866E-D12A1C57688F}"/>
    <cellStyle name="Linked Cell 16 4 12" xfId="17835" xr:uid="{7DB64E8B-2FFA-4301-B218-564473EBBD64}"/>
    <cellStyle name="Linked Cell 16 4 12 2" xfId="17836" xr:uid="{4BC10A8C-B0ED-457E-94A3-3D4C0EC5D137}"/>
    <cellStyle name="Linked Cell 16 4 13" xfId="17837" xr:uid="{232ACC35-14A8-4E1D-A7B8-9E4EFCA1208E}"/>
    <cellStyle name="Linked Cell 16 4 2" xfId="17838" xr:uid="{55A76675-0C41-4C85-9278-867058C9EB84}"/>
    <cellStyle name="Linked Cell 16 4 2 10" xfId="17839" xr:uid="{A79939FD-ED87-4F5A-85D2-908EA33B2669}"/>
    <cellStyle name="Linked Cell 16 4 2 10 2" xfId="17840" xr:uid="{0607808E-97C0-409B-A4B5-EDF94055A223}"/>
    <cellStyle name="Linked Cell 16 4 2 10 2 2" xfId="17841" xr:uid="{113C3319-9FFC-46C2-88F8-0C38E9296B91}"/>
    <cellStyle name="Linked Cell 16 4 2 10 3" xfId="17842" xr:uid="{92A81E2C-4E3B-4E8B-BBEA-BFD50F48162B}"/>
    <cellStyle name="Linked Cell 16 4 2 11" xfId="17843" xr:uid="{40D54B5D-AEE5-4AA5-9818-6D406E85D070}"/>
    <cellStyle name="Linked Cell 16 4 2 11 2" xfId="17844" xr:uid="{BE72B643-86FC-443F-B3C1-480FD646E2A3}"/>
    <cellStyle name="Linked Cell 16 4 2 12" xfId="17845" xr:uid="{0748E36E-5338-4D80-848A-FCA8B460DD2A}"/>
    <cellStyle name="Linked Cell 16 4 2 2" xfId="17846" xr:uid="{505C21FC-25C3-4454-82C6-E2BC16B6B292}"/>
    <cellStyle name="Linked Cell 16 4 2 2 2" xfId="17847" xr:uid="{6D81B4EC-983C-4925-8E3E-334528AD83FF}"/>
    <cellStyle name="Linked Cell 16 4 2 2 2 2" xfId="17848" xr:uid="{3E1EF728-7FA6-4AAA-ABAC-581D75DAC184}"/>
    <cellStyle name="Linked Cell 16 4 2 2 3" xfId="17849" xr:uid="{9F3A1DD6-7390-44A0-96A1-9FC17B2CD082}"/>
    <cellStyle name="Linked Cell 16 4 2 3" xfId="17850" xr:uid="{17753A78-F5F7-427E-83DD-655D3D3A5D9D}"/>
    <cellStyle name="Linked Cell 16 4 2 3 2" xfId="17851" xr:uid="{643435BF-470B-40C5-AE5F-49D8C19200A7}"/>
    <cellStyle name="Linked Cell 16 4 2 3 2 2" xfId="17852" xr:uid="{F2D2774E-8EEF-47A4-9D51-233CAB76C0B9}"/>
    <cellStyle name="Linked Cell 16 4 2 3 3" xfId="17853" xr:uid="{5096EACF-7D2C-4C53-8FA6-42E0F5DD1B4E}"/>
    <cellStyle name="Linked Cell 16 4 2 4" xfId="17854" xr:uid="{D7F1A4A4-85E3-46B8-9667-D226D93E56AB}"/>
    <cellStyle name="Linked Cell 16 4 2 4 2" xfId="17855" xr:uid="{5358600F-4029-4F5E-B157-47E49B1D1D7D}"/>
    <cellStyle name="Linked Cell 16 4 2 4 2 2" xfId="17856" xr:uid="{DFF46B25-787A-4948-A804-3685F5902FE9}"/>
    <cellStyle name="Linked Cell 16 4 2 4 3" xfId="17857" xr:uid="{1DD5AFDC-6320-4E6E-90BA-79CCDA8E9E62}"/>
    <cellStyle name="Linked Cell 16 4 2 5" xfId="17858" xr:uid="{7E50D9F1-3B12-49CF-9BE4-22717D0C0F58}"/>
    <cellStyle name="Linked Cell 16 4 2 5 2" xfId="17859" xr:uid="{9E8C888A-C739-48CA-9BB6-1144F6C2B74D}"/>
    <cellStyle name="Linked Cell 16 4 2 5 2 2" xfId="17860" xr:uid="{AC9155CE-C780-4EFE-A698-F5481DB8FA0E}"/>
    <cellStyle name="Linked Cell 16 4 2 5 3" xfId="17861" xr:uid="{B12B583B-03FE-4832-A542-85062AA669EC}"/>
    <cellStyle name="Linked Cell 16 4 2 6" xfId="17862" xr:uid="{73B50833-CDC6-46E8-82BB-FF3BD03B97E4}"/>
    <cellStyle name="Linked Cell 16 4 2 6 2" xfId="17863" xr:uid="{30248918-D804-4432-9CD7-A66532DCDEA0}"/>
    <cellStyle name="Linked Cell 16 4 2 6 2 2" xfId="17864" xr:uid="{2FBF49CB-DFD9-4DCE-B602-3F3E7E997819}"/>
    <cellStyle name="Linked Cell 16 4 2 6 3" xfId="17865" xr:uid="{F687B442-861A-4403-81CE-A7084DD5284B}"/>
    <cellStyle name="Linked Cell 16 4 2 7" xfId="17866" xr:uid="{3102B9CC-0962-4D45-8F0A-53166AC6BEB8}"/>
    <cellStyle name="Linked Cell 16 4 2 7 2" xfId="17867" xr:uid="{DF8E99FE-4A64-4B02-A23C-1F6F9CF86E70}"/>
    <cellStyle name="Linked Cell 16 4 2 7 2 2" xfId="17868" xr:uid="{B8C84954-EBDB-4DD5-95BF-FAC3BD874125}"/>
    <cellStyle name="Linked Cell 16 4 2 7 3" xfId="17869" xr:uid="{94482F8B-A931-44BE-A053-5F1F34FAE890}"/>
    <cellStyle name="Linked Cell 16 4 2 8" xfId="17870" xr:uid="{0F9DB002-A8D9-4991-893D-F66790837552}"/>
    <cellStyle name="Linked Cell 16 4 2 8 2" xfId="17871" xr:uid="{A2FC4692-FD43-4155-A9C9-0F71A94740BC}"/>
    <cellStyle name="Linked Cell 16 4 2 8 2 2" xfId="17872" xr:uid="{BBB6B434-8946-41A5-91C7-5686D39BD6F4}"/>
    <cellStyle name="Linked Cell 16 4 2 8 3" xfId="17873" xr:uid="{CE35EEED-574F-4F02-AB5E-C7B4F98FF6D1}"/>
    <cellStyle name="Linked Cell 16 4 2 9" xfId="17874" xr:uid="{D655EA66-B928-431D-BFBB-8BD49D14A149}"/>
    <cellStyle name="Linked Cell 16 4 2 9 2" xfId="17875" xr:uid="{7D800861-EF1E-4EF7-B87E-924AAD0AFC01}"/>
    <cellStyle name="Linked Cell 16 4 2 9 2 2" xfId="17876" xr:uid="{CD33F9AC-B1AD-4E78-AC88-B3A7F1C1FE55}"/>
    <cellStyle name="Linked Cell 16 4 2 9 3" xfId="17877" xr:uid="{1B8AFB2C-88AB-4DFF-8277-C760EB9983EB}"/>
    <cellStyle name="Linked Cell 16 4 3" xfId="17878" xr:uid="{E617E373-13EC-4C99-A75B-A2729D42EB4B}"/>
    <cellStyle name="Linked Cell 16 4 3 10" xfId="17879" xr:uid="{618894D9-8B6F-46E1-A0B5-4624CFB3D930}"/>
    <cellStyle name="Linked Cell 16 4 3 10 2" xfId="17880" xr:uid="{624F895F-5F02-45DD-A9A3-09C13B72417F}"/>
    <cellStyle name="Linked Cell 16 4 3 11" xfId="17881" xr:uid="{6FA1E41D-96B5-437B-9F8D-75B2AC502DF7}"/>
    <cellStyle name="Linked Cell 16 4 3 2" xfId="17882" xr:uid="{E512641B-A39F-4783-B16E-AA687F8C9C16}"/>
    <cellStyle name="Linked Cell 16 4 3 2 2" xfId="17883" xr:uid="{50420DF8-C493-4AAD-9188-28BC7417DCF7}"/>
    <cellStyle name="Linked Cell 16 4 3 2 2 2" xfId="17884" xr:uid="{FC09BC54-D51E-4372-BED0-EE52CEF05CE2}"/>
    <cellStyle name="Linked Cell 16 4 3 2 3" xfId="17885" xr:uid="{518D56B9-84BF-42FB-8FF0-A64CEDBDCC22}"/>
    <cellStyle name="Linked Cell 16 4 3 3" xfId="17886" xr:uid="{79A9E4B2-BC0B-415D-9D69-251CFDAE0B1A}"/>
    <cellStyle name="Linked Cell 16 4 3 3 2" xfId="17887" xr:uid="{88C8282E-6F91-45EE-8E0B-774F7D80434D}"/>
    <cellStyle name="Linked Cell 16 4 3 3 2 2" xfId="17888" xr:uid="{1EE93228-A62A-440A-BEA5-68E0C6B38C92}"/>
    <cellStyle name="Linked Cell 16 4 3 3 3" xfId="17889" xr:uid="{2E0F213E-4441-415B-84F5-A7CA7CD4DCCF}"/>
    <cellStyle name="Linked Cell 16 4 3 4" xfId="17890" xr:uid="{438519F7-AE9B-45C7-8B96-25BF36F33547}"/>
    <cellStyle name="Linked Cell 16 4 3 4 2" xfId="17891" xr:uid="{9624A975-E3E4-4C8A-B4DC-90A07954452E}"/>
    <cellStyle name="Linked Cell 16 4 3 4 2 2" xfId="17892" xr:uid="{076A1FA5-4403-4D30-8597-EC2B5F9D3EA7}"/>
    <cellStyle name="Linked Cell 16 4 3 4 3" xfId="17893" xr:uid="{72B27EAE-9903-48D8-A496-73C8829DFFD6}"/>
    <cellStyle name="Linked Cell 16 4 3 5" xfId="17894" xr:uid="{3B8F426B-8B13-43AB-8381-2CFB8C5F1043}"/>
    <cellStyle name="Linked Cell 16 4 3 5 2" xfId="17895" xr:uid="{8039EA58-A56C-4676-AC57-C298E882834D}"/>
    <cellStyle name="Linked Cell 16 4 3 5 2 2" xfId="17896" xr:uid="{53AE3077-37B9-4278-9752-903BD5505548}"/>
    <cellStyle name="Linked Cell 16 4 3 5 3" xfId="17897" xr:uid="{CA29C449-106D-4585-953D-02D77117EB2C}"/>
    <cellStyle name="Linked Cell 16 4 3 6" xfId="17898" xr:uid="{040C7FF6-6911-4ECD-81A7-8EF8EF4A3637}"/>
    <cellStyle name="Linked Cell 16 4 3 6 2" xfId="17899" xr:uid="{0C6BE8C7-A422-4C12-84E1-8C0C94FB4398}"/>
    <cellStyle name="Linked Cell 16 4 3 6 2 2" xfId="17900" xr:uid="{6BBE60EE-8DDE-4E16-8F3C-D63453541530}"/>
    <cellStyle name="Linked Cell 16 4 3 6 3" xfId="17901" xr:uid="{60EB99B8-415E-4B5C-9BE4-668DCC379179}"/>
    <cellStyle name="Linked Cell 16 4 3 7" xfId="17902" xr:uid="{0132123A-3E66-4FD2-90A3-B55828ABA635}"/>
    <cellStyle name="Linked Cell 16 4 3 7 2" xfId="17903" xr:uid="{EADE38B2-1BF0-4D2A-A4D7-5830A06C2168}"/>
    <cellStyle name="Linked Cell 16 4 3 7 2 2" xfId="17904" xr:uid="{7679F8B0-451E-4391-9847-49FFA0A08A1A}"/>
    <cellStyle name="Linked Cell 16 4 3 7 3" xfId="17905" xr:uid="{54A2742E-E73A-49DF-8F7A-7AE5CBF9FE8C}"/>
    <cellStyle name="Linked Cell 16 4 3 8" xfId="17906" xr:uid="{7164B77B-A8AB-4DF7-999B-BEE94D2ECCCD}"/>
    <cellStyle name="Linked Cell 16 4 3 8 2" xfId="17907" xr:uid="{F55B9670-2A27-432C-B54F-31827AA970A7}"/>
    <cellStyle name="Linked Cell 16 4 3 8 2 2" xfId="17908" xr:uid="{9CD44DB7-D4DC-4618-A84D-848E5F920FC7}"/>
    <cellStyle name="Linked Cell 16 4 3 8 3" xfId="17909" xr:uid="{6E5BD9A9-10EA-4E5B-898E-150F168B06AA}"/>
    <cellStyle name="Linked Cell 16 4 3 9" xfId="17910" xr:uid="{EDCEEE65-B777-4DFA-A8F0-A48E118958B3}"/>
    <cellStyle name="Linked Cell 16 4 3 9 2" xfId="17911" xr:uid="{2EC2005C-6DEE-4B63-818D-7406D10E5C49}"/>
    <cellStyle name="Linked Cell 16 4 3 9 2 2" xfId="17912" xr:uid="{3038FD32-C158-4E38-92B6-729D6949675A}"/>
    <cellStyle name="Linked Cell 16 4 3 9 3" xfId="17913" xr:uid="{03E89E40-96E2-4714-BD72-98C8D415DDA5}"/>
    <cellStyle name="Linked Cell 16 4 4" xfId="17914" xr:uid="{C3052E11-A9BC-40A6-8F40-13B476F91340}"/>
    <cellStyle name="Linked Cell 16 4 4 2" xfId="17915" xr:uid="{F1E7B095-DBBF-4E04-9EBC-8BD362173584}"/>
    <cellStyle name="Linked Cell 16 4 4 2 2" xfId="17916" xr:uid="{D01E9981-11C5-4A47-9462-52D5D5B5C9B2}"/>
    <cellStyle name="Linked Cell 16 4 4 3" xfId="17917" xr:uid="{E0FB5CA5-4260-4DFB-9298-063F9216CDC0}"/>
    <cellStyle name="Linked Cell 16 4 5" xfId="17918" xr:uid="{1294D9C5-E05D-41F6-9817-1629F2A6E22C}"/>
    <cellStyle name="Linked Cell 16 4 5 2" xfId="17919" xr:uid="{9119354D-5B36-4FBB-B74A-686498E9FB52}"/>
    <cellStyle name="Linked Cell 16 4 5 2 2" xfId="17920" xr:uid="{926441B6-0A48-4704-ADAF-B0D9D88D80EB}"/>
    <cellStyle name="Linked Cell 16 4 5 3" xfId="17921" xr:uid="{391BC282-0863-4F9B-8518-F7F408D5EC7F}"/>
    <cellStyle name="Linked Cell 16 4 6" xfId="17922" xr:uid="{49B919B5-413A-42A8-87F1-6F35FD6B7CE0}"/>
    <cellStyle name="Linked Cell 16 4 6 2" xfId="17923" xr:uid="{A1BC29E4-95C9-484C-862F-94AB9ADE7F29}"/>
    <cellStyle name="Linked Cell 16 4 6 2 2" xfId="17924" xr:uid="{A1971802-4846-4DDD-BB95-9121FB8D018F}"/>
    <cellStyle name="Linked Cell 16 4 6 3" xfId="17925" xr:uid="{6BD2B9D7-B795-437F-9B68-E7506D1D6FB4}"/>
    <cellStyle name="Linked Cell 16 4 7" xfId="17926" xr:uid="{A39438B2-6AB1-4EA1-A9D3-BF7A4C919578}"/>
    <cellStyle name="Linked Cell 16 4 7 2" xfId="17927" xr:uid="{2BDE04B6-59E9-462F-A962-DBC262F5C996}"/>
    <cellStyle name="Linked Cell 16 4 7 2 2" xfId="17928" xr:uid="{C879E8B6-9891-4184-A5B7-8DDAE417428A}"/>
    <cellStyle name="Linked Cell 16 4 7 3" xfId="17929" xr:uid="{A1971E86-42EC-47C9-B7C9-E1934700D185}"/>
    <cellStyle name="Linked Cell 16 4 8" xfId="17930" xr:uid="{680AA4A0-A46A-4194-8F3E-7386015EA047}"/>
    <cellStyle name="Linked Cell 16 4 8 2" xfId="17931" xr:uid="{1B62BF20-301D-4B52-914C-64F55E215312}"/>
    <cellStyle name="Linked Cell 16 4 8 2 2" xfId="17932" xr:uid="{3D329341-D938-4A45-895B-360671E7514D}"/>
    <cellStyle name="Linked Cell 16 4 8 3" xfId="17933" xr:uid="{1F2BD252-63A6-46FA-8F2C-874AA3617B76}"/>
    <cellStyle name="Linked Cell 16 4 9" xfId="17934" xr:uid="{A4A5A8D9-E0BF-4F56-8E95-3C0C95FA2E89}"/>
    <cellStyle name="Linked Cell 16 4 9 2" xfId="17935" xr:uid="{548E4267-9AD2-42ED-99E2-4F738E8106F8}"/>
    <cellStyle name="Linked Cell 16 4 9 2 2" xfId="17936" xr:uid="{09F12D93-F9A0-43A2-A2CB-8847431886BC}"/>
    <cellStyle name="Linked Cell 16 4 9 3" xfId="17937" xr:uid="{BE6CB3F5-CCAA-46D5-9858-E103E38288F2}"/>
    <cellStyle name="Linked Cell 17" xfId="17938" xr:uid="{C8BBBF59-77F1-4245-B428-02F795999DD7}"/>
    <cellStyle name="Linked Cell 17 2" xfId="17939" xr:uid="{10431D54-029E-4958-AE65-20B118E6DC72}"/>
    <cellStyle name="Linked Cell 17 2 10" xfId="17940" xr:uid="{0992A8A9-28A0-474F-9D55-8863A91D8630}"/>
    <cellStyle name="Linked Cell 17 2 10 2" xfId="17941" xr:uid="{A3883A94-54AE-4E5A-945A-482095A6AA1B}"/>
    <cellStyle name="Linked Cell 17 2 10 2 2" xfId="17942" xr:uid="{A7826243-5933-4527-AE73-B6CA700FD7C2}"/>
    <cellStyle name="Linked Cell 17 2 10 3" xfId="17943" xr:uid="{38DE7683-C202-49BC-BEAE-50F6F9592CB8}"/>
    <cellStyle name="Linked Cell 17 2 11" xfId="17944" xr:uid="{B642463C-53CB-4546-ADB6-F5BA48C6EAD6}"/>
    <cellStyle name="Linked Cell 17 2 11 2" xfId="17945" xr:uid="{F71A0832-ED51-408F-B53F-4B5F21C5C566}"/>
    <cellStyle name="Linked Cell 17 2 11 2 2" xfId="17946" xr:uid="{CF9BC6DE-AA5A-409A-B392-3200487F601E}"/>
    <cellStyle name="Linked Cell 17 2 11 3" xfId="17947" xr:uid="{162BCEA8-2B0F-44CB-9162-994550ECA834}"/>
    <cellStyle name="Linked Cell 17 2 12" xfId="17948" xr:uid="{62EE0D29-C704-4C2C-A064-37A7960EDD41}"/>
    <cellStyle name="Linked Cell 17 2 12 2" xfId="17949" xr:uid="{0EBF79FA-D44E-46C4-A330-FB7CFE217E86}"/>
    <cellStyle name="Linked Cell 17 2 12 2 2" xfId="17950" xr:uid="{59837EBC-DEC2-430A-9F6A-8B0D7796291F}"/>
    <cellStyle name="Linked Cell 17 2 12 3" xfId="17951" xr:uid="{257123FE-5444-452C-BB39-0D6B70846F6F}"/>
    <cellStyle name="Linked Cell 17 2 13" xfId="17952" xr:uid="{B4C9271A-379C-41FA-A500-139557B0EA5D}"/>
    <cellStyle name="Linked Cell 17 2 13 2" xfId="17953" xr:uid="{99299C7C-2A27-4427-B27D-92FC61E3DA67}"/>
    <cellStyle name="Linked Cell 17 2 13 2 2" xfId="17954" xr:uid="{186A2279-2C67-4F57-AC86-3E56C3E11AB5}"/>
    <cellStyle name="Linked Cell 17 2 13 3" xfId="17955" xr:uid="{CCFA5F22-11AF-4BEB-8922-48DCB6A27A38}"/>
    <cellStyle name="Linked Cell 17 2 14" xfId="17956" xr:uid="{335E2562-AE39-420D-9117-4D61C8EC65FE}"/>
    <cellStyle name="Linked Cell 17 2 14 2" xfId="17957" xr:uid="{BCC2331C-8E5A-4587-A1D4-87DF4596BBCF}"/>
    <cellStyle name="Linked Cell 17 2 15" xfId="17958" xr:uid="{2614E014-4243-4C55-8CA7-C7401EB3CB9B}"/>
    <cellStyle name="Linked Cell 17 2 2" xfId="17959" xr:uid="{EEE7F5E8-81FF-4283-A081-0C3FA9B2A4A1}"/>
    <cellStyle name="Linked Cell 17 2 2 10" xfId="17960" xr:uid="{F874F5DA-BCD1-4B7B-AF50-FFC011401444}"/>
    <cellStyle name="Linked Cell 17 2 2 10 2" xfId="17961" xr:uid="{294082DF-99C0-4DFE-9A7C-92881EAFFB9E}"/>
    <cellStyle name="Linked Cell 17 2 2 10 2 2" xfId="17962" xr:uid="{8CCF6CDC-5E6F-4654-A5A0-B40F81C845E8}"/>
    <cellStyle name="Linked Cell 17 2 2 10 3" xfId="17963" xr:uid="{23DF3FBD-4D8D-4C1E-A7D9-66C6ADBCFD63}"/>
    <cellStyle name="Linked Cell 17 2 2 11" xfId="17964" xr:uid="{8DEBDA95-B459-43CF-A3A8-F52EF184AB73}"/>
    <cellStyle name="Linked Cell 17 2 2 11 2" xfId="17965" xr:uid="{192861DD-6EB5-4BAF-9CB0-079F0DDBAEC2}"/>
    <cellStyle name="Linked Cell 17 2 2 11 2 2" xfId="17966" xr:uid="{C0D29FAD-9A6B-4945-93C0-8B357C713854}"/>
    <cellStyle name="Linked Cell 17 2 2 11 3" xfId="17967" xr:uid="{BF0C515B-EB55-46AF-AE3F-405698FB57EB}"/>
    <cellStyle name="Linked Cell 17 2 2 12" xfId="17968" xr:uid="{5DFEDBF5-0496-400D-9822-48624145A29E}"/>
    <cellStyle name="Linked Cell 17 2 2 12 2" xfId="17969" xr:uid="{04B09C6C-68B4-4732-8557-F648C1319EB6}"/>
    <cellStyle name="Linked Cell 17 2 2 12 2 2" xfId="17970" xr:uid="{CBE0E3B6-E3BF-4AD5-B527-99971039F7BD}"/>
    <cellStyle name="Linked Cell 17 2 2 12 3" xfId="17971" xr:uid="{790863AB-A05E-4938-8774-4958C406D98E}"/>
    <cellStyle name="Linked Cell 17 2 2 13" xfId="17972" xr:uid="{1BF0BF8E-6941-48E8-B67F-6E9D3728F63D}"/>
    <cellStyle name="Linked Cell 17 2 2 13 2" xfId="17973" xr:uid="{F2F4EBDF-9870-4231-ACBF-69CEAA90E0AA}"/>
    <cellStyle name="Linked Cell 17 2 2 14" xfId="17974" xr:uid="{A8491659-CD9B-4E6C-8E07-66A0832D9AFC}"/>
    <cellStyle name="Linked Cell 17 2 2 2" xfId="17975" xr:uid="{188EE8E4-45BD-4CEB-B23D-12C3E9C2BF08}"/>
    <cellStyle name="Linked Cell 17 2 2 2 10" xfId="17976" xr:uid="{70F8E3F8-2AF8-4411-B732-1B62100E7E76}"/>
    <cellStyle name="Linked Cell 17 2 2 2 10 2" xfId="17977" xr:uid="{6EEACF98-0DDD-423E-AD04-A457DA788686}"/>
    <cellStyle name="Linked Cell 17 2 2 2 10 2 2" xfId="17978" xr:uid="{D1423B43-CE44-4BD5-B319-F62FAD5665C9}"/>
    <cellStyle name="Linked Cell 17 2 2 2 10 3" xfId="17979" xr:uid="{6AD9B39D-A77F-46F4-AC05-901A8D96B4B7}"/>
    <cellStyle name="Linked Cell 17 2 2 2 11" xfId="17980" xr:uid="{72C80437-3686-47F9-9D9A-6FDF342EB486}"/>
    <cellStyle name="Linked Cell 17 2 2 2 11 2" xfId="17981" xr:uid="{A8C82318-71BF-4203-A622-AC746EBE76B2}"/>
    <cellStyle name="Linked Cell 17 2 2 2 11 2 2" xfId="17982" xr:uid="{8129068A-B792-4C2E-8EFE-84ADA05E3C62}"/>
    <cellStyle name="Linked Cell 17 2 2 2 11 3" xfId="17983" xr:uid="{0E0A0042-9B90-47A8-A3C4-F2EF2C92E846}"/>
    <cellStyle name="Linked Cell 17 2 2 2 12" xfId="17984" xr:uid="{7D81C13C-BEC7-41BF-844D-00420496BA68}"/>
    <cellStyle name="Linked Cell 17 2 2 2 12 2" xfId="17985" xr:uid="{55291341-4F94-487D-808B-F9DDBD55E0FC}"/>
    <cellStyle name="Linked Cell 17 2 2 2 13" xfId="17986" xr:uid="{761667E9-FB04-459D-8971-2AC33B366C08}"/>
    <cellStyle name="Linked Cell 17 2 2 2 2" xfId="17987" xr:uid="{5CC9C85C-560A-452C-A39B-3F3BFFEF5FEF}"/>
    <cellStyle name="Linked Cell 17 2 2 2 2 10" xfId="17988" xr:uid="{FDF486E4-C6F2-49D1-9EB4-9F229DD562C2}"/>
    <cellStyle name="Linked Cell 17 2 2 2 2 10 2" xfId="17989" xr:uid="{85883625-400F-4FB7-9EFC-4AA7F7BBE571}"/>
    <cellStyle name="Linked Cell 17 2 2 2 2 10 2 2" xfId="17990" xr:uid="{940B8328-C83C-4FB9-A61E-97C01D6C7EF7}"/>
    <cellStyle name="Linked Cell 17 2 2 2 2 10 3" xfId="17991" xr:uid="{66ED4DA2-8C18-456E-9F56-8E3043084A42}"/>
    <cellStyle name="Linked Cell 17 2 2 2 2 11" xfId="17992" xr:uid="{44852D15-5D02-427E-8065-9861F9127AB0}"/>
    <cellStyle name="Linked Cell 17 2 2 2 2 11 2" xfId="17993" xr:uid="{E55CF65E-7FB6-4F27-809E-EACA1BB5502C}"/>
    <cellStyle name="Linked Cell 17 2 2 2 2 12" xfId="17994" xr:uid="{1BADD033-888A-4653-9C48-D7B941C0A80E}"/>
    <cellStyle name="Linked Cell 17 2 2 2 2 2" xfId="17995" xr:uid="{B03AC404-93C3-414E-AF66-3C967130DC30}"/>
    <cellStyle name="Linked Cell 17 2 2 2 2 2 2" xfId="17996" xr:uid="{37F90F8C-B7A7-4E2E-8F64-0B6F3EFCABB5}"/>
    <cellStyle name="Linked Cell 17 2 2 2 2 2 2 2" xfId="17997" xr:uid="{008B2734-4CC8-4A02-9DFF-62FBA82FD830}"/>
    <cellStyle name="Linked Cell 17 2 2 2 2 2 3" xfId="17998" xr:uid="{9DFE8E1D-21C1-44DB-831D-14F709F89928}"/>
    <cellStyle name="Linked Cell 17 2 2 2 2 3" xfId="17999" xr:uid="{DE810459-54CE-4A56-B6E3-97C5EB5CABF6}"/>
    <cellStyle name="Linked Cell 17 2 2 2 2 3 2" xfId="18000" xr:uid="{EB052A2A-31C9-4082-A0E6-51857C5D5D29}"/>
    <cellStyle name="Linked Cell 17 2 2 2 2 3 2 2" xfId="18001" xr:uid="{BEA40FC4-A934-4973-8A27-54679E551A5E}"/>
    <cellStyle name="Linked Cell 17 2 2 2 2 3 3" xfId="18002" xr:uid="{460C3306-42AB-4872-80B7-FD8AF76C505E}"/>
    <cellStyle name="Linked Cell 17 2 2 2 2 4" xfId="18003" xr:uid="{A60663B8-887A-48B0-8210-FB311089622E}"/>
    <cellStyle name="Linked Cell 17 2 2 2 2 4 2" xfId="18004" xr:uid="{C4ABDCC9-2E8F-4E5D-B2EA-3129DA1AB927}"/>
    <cellStyle name="Linked Cell 17 2 2 2 2 4 2 2" xfId="18005" xr:uid="{B4C905E4-911C-4B93-88D6-FAFCC429B418}"/>
    <cellStyle name="Linked Cell 17 2 2 2 2 4 3" xfId="18006" xr:uid="{A1E08FB6-ECE2-4F65-89CA-DC453BF1362D}"/>
    <cellStyle name="Linked Cell 17 2 2 2 2 5" xfId="18007" xr:uid="{66DF071F-D2DA-49A4-AB1D-0801FF226736}"/>
    <cellStyle name="Linked Cell 17 2 2 2 2 5 2" xfId="18008" xr:uid="{3F2B3904-81E7-47D8-BD59-72DC3DD35BB7}"/>
    <cellStyle name="Linked Cell 17 2 2 2 2 5 2 2" xfId="18009" xr:uid="{4A563AAF-92C1-4D41-BD8E-489E235DF2A4}"/>
    <cellStyle name="Linked Cell 17 2 2 2 2 5 3" xfId="18010" xr:uid="{89063CBA-62BA-4C8A-9C52-DBAB32677BB9}"/>
    <cellStyle name="Linked Cell 17 2 2 2 2 6" xfId="18011" xr:uid="{BA77C435-D5EB-449E-A6EE-7A87B4765A24}"/>
    <cellStyle name="Linked Cell 17 2 2 2 2 6 2" xfId="18012" xr:uid="{A4C758EA-D678-4606-BEC5-BD1EF59430CD}"/>
    <cellStyle name="Linked Cell 17 2 2 2 2 6 2 2" xfId="18013" xr:uid="{B5A3084A-0AF0-4BD5-BAE1-DF33C570CECB}"/>
    <cellStyle name="Linked Cell 17 2 2 2 2 6 3" xfId="18014" xr:uid="{B123DAB1-0260-4539-BF17-15A23905A102}"/>
    <cellStyle name="Linked Cell 17 2 2 2 2 7" xfId="18015" xr:uid="{46F4E6C9-E235-406D-A2F8-04C493DF04FE}"/>
    <cellStyle name="Linked Cell 17 2 2 2 2 7 2" xfId="18016" xr:uid="{647D8440-2502-4429-AF3C-CE8C072C6F87}"/>
    <cellStyle name="Linked Cell 17 2 2 2 2 7 2 2" xfId="18017" xr:uid="{59A88A4A-9EB3-4503-BD67-A03CFF102038}"/>
    <cellStyle name="Linked Cell 17 2 2 2 2 7 3" xfId="18018" xr:uid="{6659FC8E-B014-4997-9BD9-E74952CCEFEC}"/>
    <cellStyle name="Linked Cell 17 2 2 2 2 8" xfId="18019" xr:uid="{CA26C0AC-F283-4DA3-8129-56959ECFE4B0}"/>
    <cellStyle name="Linked Cell 17 2 2 2 2 8 2" xfId="18020" xr:uid="{61FD4B93-B2AD-4DE3-970B-03FD570EFF2E}"/>
    <cellStyle name="Linked Cell 17 2 2 2 2 8 2 2" xfId="18021" xr:uid="{1EEA884B-531E-4BCD-AE5C-DFBF75D6AB1A}"/>
    <cellStyle name="Linked Cell 17 2 2 2 2 8 3" xfId="18022" xr:uid="{973C1F68-1B74-4EE7-A80B-49F72E37135D}"/>
    <cellStyle name="Linked Cell 17 2 2 2 2 9" xfId="18023" xr:uid="{8C04B459-F10F-4978-847D-402976EA2A3E}"/>
    <cellStyle name="Linked Cell 17 2 2 2 2 9 2" xfId="18024" xr:uid="{E2067283-3CF5-4A76-A0F1-6BE119A19C13}"/>
    <cellStyle name="Linked Cell 17 2 2 2 2 9 2 2" xfId="18025" xr:uid="{D6DAB4F4-175E-4E84-88FD-6FCF8A37B134}"/>
    <cellStyle name="Linked Cell 17 2 2 2 2 9 3" xfId="18026" xr:uid="{C4CD9B63-157A-4024-B46D-1A36D7C97275}"/>
    <cellStyle name="Linked Cell 17 2 2 2 3" xfId="18027" xr:uid="{1EA0AFD4-70AD-4E25-8612-D3A49E8035A0}"/>
    <cellStyle name="Linked Cell 17 2 2 2 3 10" xfId="18028" xr:uid="{07808F37-57CB-4B17-84C9-4E813F72CC4C}"/>
    <cellStyle name="Linked Cell 17 2 2 2 3 10 2" xfId="18029" xr:uid="{8B54764B-26AD-4F5C-9F8A-B04BCB8EC6A8}"/>
    <cellStyle name="Linked Cell 17 2 2 2 3 11" xfId="18030" xr:uid="{4AEBF821-6616-4FD3-BA98-E5A2CA86B318}"/>
    <cellStyle name="Linked Cell 17 2 2 2 3 2" xfId="18031" xr:uid="{25560A90-5773-4D14-8E23-D81AE5A2D508}"/>
    <cellStyle name="Linked Cell 17 2 2 2 3 2 2" xfId="18032" xr:uid="{6B10B43D-FF5A-4321-A757-0255CC656B13}"/>
    <cellStyle name="Linked Cell 17 2 2 2 3 2 2 2" xfId="18033" xr:uid="{AE3490D6-D334-4142-9997-67BBB7F74250}"/>
    <cellStyle name="Linked Cell 17 2 2 2 3 2 3" xfId="18034" xr:uid="{125ACC2D-60DE-406B-B887-92305DD2C16B}"/>
    <cellStyle name="Linked Cell 17 2 2 2 3 3" xfId="18035" xr:uid="{6C860C9A-341E-4B4B-8D2C-12361596C5E2}"/>
    <cellStyle name="Linked Cell 17 2 2 2 3 3 2" xfId="18036" xr:uid="{518C3599-06F0-4C94-A62E-DD59AA94BC81}"/>
    <cellStyle name="Linked Cell 17 2 2 2 3 3 2 2" xfId="18037" xr:uid="{DF4AD620-3A65-42DD-B4ED-1C57E76AFBCE}"/>
    <cellStyle name="Linked Cell 17 2 2 2 3 3 3" xfId="18038" xr:uid="{EA51F209-3D24-427C-B2BA-17A7E23C131E}"/>
    <cellStyle name="Linked Cell 17 2 2 2 3 4" xfId="18039" xr:uid="{462D9E2C-A8CD-4E8C-99D0-F6E7B71363D4}"/>
    <cellStyle name="Linked Cell 17 2 2 2 3 4 2" xfId="18040" xr:uid="{9B62F25E-AD4B-47E1-8871-3140C3A76730}"/>
    <cellStyle name="Linked Cell 17 2 2 2 3 4 2 2" xfId="18041" xr:uid="{7EBB7C7F-A7DF-4D4C-AA90-C6457C6C986C}"/>
    <cellStyle name="Linked Cell 17 2 2 2 3 4 3" xfId="18042" xr:uid="{5E1F8E12-9DA3-4FEC-B7FB-46F5761E7C86}"/>
    <cellStyle name="Linked Cell 17 2 2 2 3 5" xfId="18043" xr:uid="{81B9C5CD-14C1-4FA1-8177-B60C92E55EF2}"/>
    <cellStyle name="Linked Cell 17 2 2 2 3 5 2" xfId="18044" xr:uid="{2BF65778-65E8-45C1-9531-51B36FC26786}"/>
    <cellStyle name="Linked Cell 17 2 2 2 3 5 2 2" xfId="18045" xr:uid="{757E653F-D06C-45A9-8735-BCDDC9E34E96}"/>
    <cellStyle name="Linked Cell 17 2 2 2 3 5 3" xfId="18046" xr:uid="{ED580FC3-9307-4B4E-B103-5F53CABE0AA9}"/>
    <cellStyle name="Linked Cell 17 2 2 2 3 6" xfId="18047" xr:uid="{61253609-904D-4434-ABB8-FFC9467EF396}"/>
    <cellStyle name="Linked Cell 17 2 2 2 3 6 2" xfId="18048" xr:uid="{E7C4A301-4FD7-45C9-9F75-511005FF0682}"/>
    <cellStyle name="Linked Cell 17 2 2 2 3 6 2 2" xfId="18049" xr:uid="{90894C6E-3EAE-4618-AA3D-7CB8EAAEDFA3}"/>
    <cellStyle name="Linked Cell 17 2 2 2 3 6 3" xfId="18050" xr:uid="{5F504504-45B8-4EFA-A816-AB764C04E65C}"/>
    <cellStyle name="Linked Cell 17 2 2 2 3 7" xfId="18051" xr:uid="{F94134A5-CC3B-4CC7-8692-CFEE78319A0B}"/>
    <cellStyle name="Linked Cell 17 2 2 2 3 7 2" xfId="18052" xr:uid="{8D689EE1-95C9-4945-A454-14BE0ABE626E}"/>
    <cellStyle name="Linked Cell 17 2 2 2 3 7 2 2" xfId="18053" xr:uid="{6E13F774-E066-4FD9-9542-C45BED202A21}"/>
    <cellStyle name="Linked Cell 17 2 2 2 3 7 3" xfId="18054" xr:uid="{083E1BC5-8D3D-4742-93D9-4535214E45AD}"/>
    <cellStyle name="Linked Cell 17 2 2 2 3 8" xfId="18055" xr:uid="{E3301E86-17D3-4DBE-BFD5-DB72A73A71C9}"/>
    <cellStyle name="Linked Cell 17 2 2 2 3 8 2" xfId="18056" xr:uid="{616FA041-983A-44AD-A241-1C9B40B12C5D}"/>
    <cellStyle name="Linked Cell 17 2 2 2 3 8 2 2" xfId="18057" xr:uid="{D7B086DA-F47E-4E3C-A6AD-FE462A3B0476}"/>
    <cellStyle name="Linked Cell 17 2 2 2 3 8 3" xfId="18058" xr:uid="{A92579A5-EF77-4570-9880-E78F9056C7A4}"/>
    <cellStyle name="Linked Cell 17 2 2 2 3 9" xfId="18059" xr:uid="{9DDA13EA-5139-440A-9CD5-96B3DDBD4361}"/>
    <cellStyle name="Linked Cell 17 2 2 2 3 9 2" xfId="18060" xr:uid="{B5D8C49F-FF84-4C5F-8438-59CE53FE008B}"/>
    <cellStyle name="Linked Cell 17 2 2 2 3 9 2 2" xfId="18061" xr:uid="{6BE4D503-D82A-4EFD-B943-AFCDBB8A5EA5}"/>
    <cellStyle name="Linked Cell 17 2 2 2 3 9 3" xfId="18062" xr:uid="{09CBB4AE-4F61-4D55-A519-2DCB7E5E93BE}"/>
    <cellStyle name="Linked Cell 17 2 2 2 4" xfId="18063" xr:uid="{8CE8429C-6B5F-4DCA-8CE1-2FC12DBEC3C7}"/>
    <cellStyle name="Linked Cell 17 2 2 2 4 2" xfId="18064" xr:uid="{C0C3207B-A7F7-4EC6-BEEE-EB8EE16C938E}"/>
    <cellStyle name="Linked Cell 17 2 2 2 4 2 2" xfId="18065" xr:uid="{CFE9AFAF-D758-4A37-A3A9-19DCA9C62060}"/>
    <cellStyle name="Linked Cell 17 2 2 2 4 3" xfId="18066" xr:uid="{2FE94068-C379-496B-AE1E-E952253CF0B5}"/>
    <cellStyle name="Linked Cell 17 2 2 2 5" xfId="18067" xr:uid="{5FAD72E5-DE34-498F-9ED3-957E89AC2EE4}"/>
    <cellStyle name="Linked Cell 17 2 2 2 5 2" xfId="18068" xr:uid="{6D9B3F92-3E9D-4F57-A8D1-2AA5E6B5D869}"/>
    <cellStyle name="Linked Cell 17 2 2 2 5 2 2" xfId="18069" xr:uid="{247F497C-0CAE-432F-90DE-4BE9AAFF7425}"/>
    <cellStyle name="Linked Cell 17 2 2 2 5 3" xfId="18070" xr:uid="{482BF8D8-BB19-4C23-9D05-4A197EBCA127}"/>
    <cellStyle name="Linked Cell 17 2 2 2 6" xfId="18071" xr:uid="{0688EEB7-91A2-413D-8BA6-325654520C7A}"/>
    <cellStyle name="Linked Cell 17 2 2 2 6 2" xfId="18072" xr:uid="{CAF98855-86F7-452A-8AC4-829E0BF0D00E}"/>
    <cellStyle name="Linked Cell 17 2 2 2 6 2 2" xfId="18073" xr:uid="{17ED48ED-96CC-495D-B525-98DDA73D4728}"/>
    <cellStyle name="Linked Cell 17 2 2 2 6 3" xfId="18074" xr:uid="{6D46D950-D9AE-487B-96AE-81E8795ADC9D}"/>
    <cellStyle name="Linked Cell 17 2 2 2 7" xfId="18075" xr:uid="{E6256FBE-1436-4F0E-BB4F-39C1E2097CC3}"/>
    <cellStyle name="Linked Cell 17 2 2 2 7 2" xfId="18076" xr:uid="{FC4EF9E6-878A-4D02-A2A4-1603F8BE8F74}"/>
    <cellStyle name="Linked Cell 17 2 2 2 7 2 2" xfId="18077" xr:uid="{99D1143B-5FB9-4B66-BA8B-261A6C96740F}"/>
    <cellStyle name="Linked Cell 17 2 2 2 7 3" xfId="18078" xr:uid="{F1D2C328-BC5E-42FC-9AD1-2A1F6E27C2BF}"/>
    <cellStyle name="Linked Cell 17 2 2 2 8" xfId="18079" xr:uid="{E89EFD9E-716D-49E9-9420-B9784E35D49F}"/>
    <cellStyle name="Linked Cell 17 2 2 2 8 2" xfId="18080" xr:uid="{3DDB65C3-025D-4847-B5B3-096555BCDDFD}"/>
    <cellStyle name="Linked Cell 17 2 2 2 8 2 2" xfId="18081" xr:uid="{EC26DC51-8101-4DAC-BC0D-A31801C1962B}"/>
    <cellStyle name="Linked Cell 17 2 2 2 8 3" xfId="18082" xr:uid="{64ED935E-1BA5-4100-A76F-637065CA586D}"/>
    <cellStyle name="Linked Cell 17 2 2 2 9" xfId="18083" xr:uid="{59282C55-ABC0-4700-B181-2BE578332944}"/>
    <cellStyle name="Linked Cell 17 2 2 2 9 2" xfId="18084" xr:uid="{7001F309-A9F5-42B0-9A59-7DA5E525EF23}"/>
    <cellStyle name="Linked Cell 17 2 2 2 9 2 2" xfId="18085" xr:uid="{7BE2F09C-0C5A-44BC-82BE-91A9DAAC5B0F}"/>
    <cellStyle name="Linked Cell 17 2 2 2 9 3" xfId="18086" xr:uid="{5AE9F4C5-37AB-488C-BA38-6B1E965259DE}"/>
    <cellStyle name="Linked Cell 17 2 2 3" xfId="18087" xr:uid="{1E24763C-01CD-47FD-A9D8-C196CC982809}"/>
    <cellStyle name="Linked Cell 17 2 2 3 10" xfId="18088" xr:uid="{8133D540-EBEB-4152-9327-DD7FEAA437C7}"/>
    <cellStyle name="Linked Cell 17 2 2 3 10 2" xfId="18089" xr:uid="{7DEA84D9-4F7D-41D7-9946-504CFBCB235E}"/>
    <cellStyle name="Linked Cell 17 2 2 3 10 2 2" xfId="18090" xr:uid="{4C37CA23-46B4-4CA8-9AC5-97964CEFDAA1}"/>
    <cellStyle name="Linked Cell 17 2 2 3 10 3" xfId="18091" xr:uid="{F040E48E-0AE0-4EC3-8133-510F4233FA4F}"/>
    <cellStyle name="Linked Cell 17 2 2 3 11" xfId="18092" xr:uid="{BAE8EED1-CD15-443A-96E7-A302B1D3D2E1}"/>
    <cellStyle name="Linked Cell 17 2 2 3 11 2" xfId="18093" xr:uid="{02C94A08-2A86-4863-BBBF-E691274982FF}"/>
    <cellStyle name="Linked Cell 17 2 2 3 12" xfId="18094" xr:uid="{E7F0024B-4D18-4082-B154-65836B9FD48C}"/>
    <cellStyle name="Linked Cell 17 2 2 3 2" xfId="18095" xr:uid="{B76CAC7D-67D1-4F00-BCF9-49B59A1A2B33}"/>
    <cellStyle name="Linked Cell 17 2 2 3 2 10" xfId="18096" xr:uid="{EF729B51-26EC-4680-9E54-46B4317C8344}"/>
    <cellStyle name="Linked Cell 17 2 2 3 2 10 2" xfId="18097" xr:uid="{9575D309-58A5-44C8-8C15-B1C9C42CF7D6}"/>
    <cellStyle name="Linked Cell 17 2 2 3 2 11" xfId="18098" xr:uid="{21264E6D-E05F-416E-9ACC-6D12E193D391}"/>
    <cellStyle name="Linked Cell 17 2 2 3 2 2" xfId="18099" xr:uid="{DB509A17-F427-41E5-A753-FB884B8ACD72}"/>
    <cellStyle name="Linked Cell 17 2 2 3 2 2 2" xfId="18100" xr:uid="{59BEF9CE-27B5-4AD8-8F63-076D4C6DF021}"/>
    <cellStyle name="Linked Cell 17 2 2 3 2 2 2 2" xfId="18101" xr:uid="{77D3AF4A-4C9D-466C-B0D7-0EAFABA921D4}"/>
    <cellStyle name="Linked Cell 17 2 2 3 2 2 3" xfId="18102" xr:uid="{66D8F85A-7972-4715-A71C-03116CE5B9A8}"/>
    <cellStyle name="Linked Cell 17 2 2 3 2 3" xfId="18103" xr:uid="{B5D6143A-DAF0-4AE6-8E5B-6F66AF7A8C31}"/>
    <cellStyle name="Linked Cell 17 2 2 3 2 3 2" xfId="18104" xr:uid="{BD1BDB69-F272-4B9C-998B-9A33909C96B5}"/>
    <cellStyle name="Linked Cell 17 2 2 3 2 3 2 2" xfId="18105" xr:uid="{7EB1BFB4-7EC4-4A6A-8C2E-E35F2EEC7CC6}"/>
    <cellStyle name="Linked Cell 17 2 2 3 2 3 3" xfId="18106" xr:uid="{0590E424-F8B0-48DE-8924-D40814F83576}"/>
    <cellStyle name="Linked Cell 17 2 2 3 2 4" xfId="18107" xr:uid="{EC654C09-4A2D-4ED6-8864-D5C03E0074ED}"/>
    <cellStyle name="Linked Cell 17 2 2 3 2 4 2" xfId="18108" xr:uid="{37B6E1E5-DEBE-43AA-9A55-EE4C825CFFAE}"/>
    <cellStyle name="Linked Cell 17 2 2 3 2 4 2 2" xfId="18109" xr:uid="{A55B2460-B774-47D9-B02C-5DCA9E9B8977}"/>
    <cellStyle name="Linked Cell 17 2 2 3 2 4 3" xfId="18110" xr:uid="{0315ECA1-0697-407C-A4A8-744684076F5E}"/>
    <cellStyle name="Linked Cell 17 2 2 3 2 5" xfId="18111" xr:uid="{1FDACA8C-7405-433F-ADAA-DAC0E08BDF93}"/>
    <cellStyle name="Linked Cell 17 2 2 3 2 5 2" xfId="18112" xr:uid="{D5259DD4-F82A-48E5-BB35-2C750FF10FA6}"/>
    <cellStyle name="Linked Cell 17 2 2 3 2 5 2 2" xfId="18113" xr:uid="{194E36A0-E96C-44F5-9E65-59A14346D513}"/>
    <cellStyle name="Linked Cell 17 2 2 3 2 5 3" xfId="18114" xr:uid="{C2EB35AA-7EE2-433D-AB00-01F8D09A0C93}"/>
    <cellStyle name="Linked Cell 17 2 2 3 2 6" xfId="18115" xr:uid="{D0E6D8DE-DB4B-47DC-AE5F-BB97DA7F2EEF}"/>
    <cellStyle name="Linked Cell 17 2 2 3 2 6 2" xfId="18116" xr:uid="{86221316-6B62-4F75-ABC3-4006FA495E8B}"/>
    <cellStyle name="Linked Cell 17 2 2 3 2 6 2 2" xfId="18117" xr:uid="{28D62C6B-E45C-4E69-9B99-C36EFAA603F9}"/>
    <cellStyle name="Linked Cell 17 2 2 3 2 6 3" xfId="18118" xr:uid="{2DDD30FB-6109-45BE-8CFC-0EEF21C5D645}"/>
    <cellStyle name="Linked Cell 17 2 2 3 2 7" xfId="18119" xr:uid="{DD3F23AB-75B4-4E14-869C-FBB20E8812AF}"/>
    <cellStyle name="Linked Cell 17 2 2 3 2 7 2" xfId="18120" xr:uid="{2EB54CFB-B611-4CE7-B2C6-06CBA1F8906B}"/>
    <cellStyle name="Linked Cell 17 2 2 3 2 7 2 2" xfId="18121" xr:uid="{DF0F0C43-9118-4956-AE75-4D7313DFBE06}"/>
    <cellStyle name="Linked Cell 17 2 2 3 2 7 3" xfId="18122" xr:uid="{F9FBB28C-B0CD-4080-B3A7-A472A93A5273}"/>
    <cellStyle name="Linked Cell 17 2 2 3 2 8" xfId="18123" xr:uid="{7B53CAC6-9C02-499C-B884-63848580A18C}"/>
    <cellStyle name="Linked Cell 17 2 2 3 2 8 2" xfId="18124" xr:uid="{0A857BB4-3E12-48D1-BABA-484C7CF53A23}"/>
    <cellStyle name="Linked Cell 17 2 2 3 2 8 2 2" xfId="18125" xr:uid="{018BE27E-C495-470E-A1C9-3BB6212D6E07}"/>
    <cellStyle name="Linked Cell 17 2 2 3 2 8 3" xfId="18126" xr:uid="{7F9E1049-F2DC-4298-A306-0033737FB1EA}"/>
    <cellStyle name="Linked Cell 17 2 2 3 2 9" xfId="18127" xr:uid="{4BE24428-EDB3-4FFF-B702-8A1F227BDB1A}"/>
    <cellStyle name="Linked Cell 17 2 2 3 2 9 2" xfId="18128" xr:uid="{72A959CA-85EF-4711-9941-5FB9285977C5}"/>
    <cellStyle name="Linked Cell 17 2 2 3 2 9 2 2" xfId="18129" xr:uid="{D5367A30-64BC-43D9-A77F-BD5A152D37B8}"/>
    <cellStyle name="Linked Cell 17 2 2 3 2 9 3" xfId="18130" xr:uid="{0E5ED82F-739A-44BC-9D93-2E2B18187BCF}"/>
    <cellStyle name="Linked Cell 17 2 2 3 3" xfId="18131" xr:uid="{07431422-1470-409F-AF3D-3472AF029A6D}"/>
    <cellStyle name="Linked Cell 17 2 2 3 3 2" xfId="18132" xr:uid="{54534556-2EFB-4CBB-A27E-413CA3539347}"/>
    <cellStyle name="Linked Cell 17 2 2 3 3 2 2" xfId="18133" xr:uid="{5186D429-6BBF-42C1-9AFB-54D9E460AA0C}"/>
    <cellStyle name="Linked Cell 17 2 2 3 3 3" xfId="18134" xr:uid="{B673C3CC-3264-4AA8-AD45-1B2D492DE765}"/>
    <cellStyle name="Linked Cell 17 2 2 3 4" xfId="18135" xr:uid="{21DF3EC3-629E-4071-B2DC-E4553A134F2A}"/>
    <cellStyle name="Linked Cell 17 2 2 3 4 2" xfId="18136" xr:uid="{02EE5E44-F21C-47CE-A9C9-4BB9A4A5BA4A}"/>
    <cellStyle name="Linked Cell 17 2 2 3 4 2 2" xfId="18137" xr:uid="{9454CFF6-6DA2-462B-B70F-3C2AD445AEC8}"/>
    <cellStyle name="Linked Cell 17 2 2 3 4 3" xfId="18138" xr:uid="{662802B9-121B-4B1A-95A2-E5FD40957E40}"/>
    <cellStyle name="Linked Cell 17 2 2 3 5" xfId="18139" xr:uid="{0BF44F53-88C1-42DD-BA9A-730B5D3E82B7}"/>
    <cellStyle name="Linked Cell 17 2 2 3 5 2" xfId="18140" xr:uid="{CD6BD73C-789B-448C-B4BE-9F934A85FC99}"/>
    <cellStyle name="Linked Cell 17 2 2 3 5 2 2" xfId="18141" xr:uid="{BFBFD0F0-3795-477D-A233-31D5CB43A77B}"/>
    <cellStyle name="Linked Cell 17 2 2 3 5 3" xfId="18142" xr:uid="{D7143BAB-F904-4551-9089-24366DA1E1F9}"/>
    <cellStyle name="Linked Cell 17 2 2 3 6" xfId="18143" xr:uid="{9C32D20B-E4A0-4139-B766-C9007F8A40FD}"/>
    <cellStyle name="Linked Cell 17 2 2 3 6 2" xfId="18144" xr:uid="{4D8F0163-70DD-4856-8FC8-500139EB95A0}"/>
    <cellStyle name="Linked Cell 17 2 2 3 6 2 2" xfId="18145" xr:uid="{79124DA2-94E4-4BA1-B9CB-8C6DC4238EEB}"/>
    <cellStyle name="Linked Cell 17 2 2 3 6 3" xfId="18146" xr:uid="{4EBFD840-BCAE-44EC-97DF-EF472E128B6D}"/>
    <cellStyle name="Linked Cell 17 2 2 3 7" xfId="18147" xr:uid="{5C99F751-4373-44CC-8DED-DCF8FC92A1FC}"/>
    <cellStyle name="Linked Cell 17 2 2 3 7 2" xfId="18148" xr:uid="{DA82AAC7-114D-46C5-86FD-47A2B40BC872}"/>
    <cellStyle name="Linked Cell 17 2 2 3 7 2 2" xfId="18149" xr:uid="{C3A76774-1D40-40EC-864F-330ECADF96C2}"/>
    <cellStyle name="Linked Cell 17 2 2 3 7 3" xfId="18150" xr:uid="{44486161-C179-4D95-B6B1-8E5E8E3C3BC9}"/>
    <cellStyle name="Linked Cell 17 2 2 3 8" xfId="18151" xr:uid="{4C918AC8-991A-4078-BBE1-116AB62E3305}"/>
    <cellStyle name="Linked Cell 17 2 2 3 8 2" xfId="18152" xr:uid="{37DBC4C9-EE37-48EB-A217-300138365DFB}"/>
    <cellStyle name="Linked Cell 17 2 2 3 8 2 2" xfId="18153" xr:uid="{386020A7-0ADD-4718-B07C-E8EBAB44848E}"/>
    <cellStyle name="Linked Cell 17 2 2 3 8 3" xfId="18154" xr:uid="{643BC3B6-35B1-44B1-B08C-BB4AF7B967D8}"/>
    <cellStyle name="Linked Cell 17 2 2 3 9" xfId="18155" xr:uid="{2FA601DB-6DA7-4614-B7A5-0536503AA983}"/>
    <cellStyle name="Linked Cell 17 2 2 3 9 2" xfId="18156" xr:uid="{4A3899BD-B422-4ACB-BD86-446258481FBA}"/>
    <cellStyle name="Linked Cell 17 2 2 3 9 2 2" xfId="18157" xr:uid="{98154084-5944-4AD2-8C9A-C0498C991DE9}"/>
    <cellStyle name="Linked Cell 17 2 2 3 9 3" xfId="18158" xr:uid="{1302B05F-DD72-499E-8332-8681C93B6E2F}"/>
    <cellStyle name="Linked Cell 17 2 2 4" xfId="18159" xr:uid="{05A36F45-B771-4338-BB7C-17EFFDBABB78}"/>
    <cellStyle name="Linked Cell 17 2 2 4 10" xfId="18160" xr:uid="{D62949A6-59AA-4BE1-9078-9A5621F3DE07}"/>
    <cellStyle name="Linked Cell 17 2 2 4 10 2" xfId="18161" xr:uid="{144BC62F-C287-47A1-9EB4-B468C3E3C261}"/>
    <cellStyle name="Linked Cell 17 2 2 4 11" xfId="18162" xr:uid="{FB73FA39-0B64-4C44-AD9F-6A7DEAAA1B6E}"/>
    <cellStyle name="Linked Cell 17 2 2 4 2" xfId="18163" xr:uid="{BF65176C-0794-470C-8F17-233523143711}"/>
    <cellStyle name="Linked Cell 17 2 2 4 2 2" xfId="18164" xr:uid="{5959A6A7-11E0-4AFE-B3CF-14CDC565D3D8}"/>
    <cellStyle name="Linked Cell 17 2 2 4 2 2 2" xfId="18165" xr:uid="{621B74DA-ACBF-4C37-AE2B-11DA365BF86E}"/>
    <cellStyle name="Linked Cell 17 2 2 4 2 3" xfId="18166" xr:uid="{D8BA2361-15DC-4AAD-ABB6-E5E4C0BD4008}"/>
    <cellStyle name="Linked Cell 17 2 2 4 3" xfId="18167" xr:uid="{3642F017-3846-499D-98BC-901BF202B54B}"/>
    <cellStyle name="Linked Cell 17 2 2 4 3 2" xfId="18168" xr:uid="{76B8388C-D1D8-4C65-8AC0-194EA07BACB1}"/>
    <cellStyle name="Linked Cell 17 2 2 4 3 2 2" xfId="18169" xr:uid="{CD50184A-7EBF-442D-A2AD-18BB155FE2EC}"/>
    <cellStyle name="Linked Cell 17 2 2 4 3 3" xfId="18170" xr:uid="{17E20F16-6189-458D-B232-29DFC063C285}"/>
    <cellStyle name="Linked Cell 17 2 2 4 4" xfId="18171" xr:uid="{05A1CCCF-A1CA-43E2-B456-C172A60B37F5}"/>
    <cellStyle name="Linked Cell 17 2 2 4 4 2" xfId="18172" xr:uid="{4398977E-E33A-4162-B337-8F1CB4D339C1}"/>
    <cellStyle name="Linked Cell 17 2 2 4 4 2 2" xfId="18173" xr:uid="{34EBFE67-828C-4024-9008-40918A101BB1}"/>
    <cellStyle name="Linked Cell 17 2 2 4 4 3" xfId="18174" xr:uid="{4A24F821-41A5-4555-96F5-02C4EF6C3E48}"/>
    <cellStyle name="Linked Cell 17 2 2 4 5" xfId="18175" xr:uid="{97543176-C252-41B1-A3A7-B9EEAEA738C7}"/>
    <cellStyle name="Linked Cell 17 2 2 4 5 2" xfId="18176" xr:uid="{A10AB56F-95D9-4DFE-B675-9378A46063C3}"/>
    <cellStyle name="Linked Cell 17 2 2 4 5 2 2" xfId="18177" xr:uid="{04F07328-3641-4B4C-903C-DCDE0793CE63}"/>
    <cellStyle name="Linked Cell 17 2 2 4 5 3" xfId="18178" xr:uid="{334BD685-96D7-435C-8EC9-D4D62872DAEE}"/>
    <cellStyle name="Linked Cell 17 2 2 4 6" xfId="18179" xr:uid="{073CDD18-EC2A-4FFA-8C3D-D1EC9A4B37C6}"/>
    <cellStyle name="Linked Cell 17 2 2 4 6 2" xfId="18180" xr:uid="{B39DEC87-9635-48E8-9E14-B3FAD85A85EF}"/>
    <cellStyle name="Linked Cell 17 2 2 4 6 2 2" xfId="18181" xr:uid="{F1F76D42-7255-4E44-9524-7D8E3DB34F2E}"/>
    <cellStyle name="Linked Cell 17 2 2 4 6 3" xfId="18182" xr:uid="{FABAC979-2BA3-4152-B9D3-99BCEC817C84}"/>
    <cellStyle name="Linked Cell 17 2 2 4 7" xfId="18183" xr:uid="{62B2E061-BCBA-4CF1-B2FD-EC4E706FF0B0}"/>
    <cellStyle name="Linked Cell 17 2 2 4 7 2" xfId="18184" xr:uid="{44B8735C-A9AC-486B-B109-CFAF3A469DFA}"/>
    <cellStyle name="Linked Cell 17 2 2 4 7 2 2" xfId="18185" xr:uid="{1D113E3A-BD88-4E43-8047-C3FA736F1608}"/>
    <cellStyle name="Linked Cell 17 2 2 4 7 3" xfId="18186" xr:uid="{4D03A4C0-700F-4E12-945C-31424173C025}"/>
    <cellStyle name="Linked Cell 17 2 2 4 8" xfId="18187" xr:uid="{0DC35827-9A1A-4D2F-924B-5EBDB8A87FDF}"/>
    <cellStyle name="Linked Cell 17 2 2 4 8 2" xfId="18188" xr:uid="{C9EE173E-6D0A-4D04-BF1A-AACBE931286A}"/>
    <cellStyle name="Linked Cell 17 2 2 4 8 2 2" xfId="18189" xr:uid="{3F72B244-6A9E-49D8-AE82-91D6874F7E12}"/>
    <cellStyle name="Linked Cell 17 2 2 4 8 3" xfId="18190" xr:uid="{C148FD69-36D4-45E0-9A43-7ED20EA82C42}"/>
    <cellStyle name="Linked Cell 17 2 2 4 9" xfId="18191" xr:uid="{78A71A59-44AA-445F-A2F9-9E0B9EE7B072}"/>
    <cellStyle name="Linked Cell 17 2 2 4 9 2" xfId="18192" xr:uid="{211DAE77-48CC-48EA-B846-A8EC45C6681A}"/>
    <cellStyle name="Linked Cell 17 2 2 4 9 2 2" xfId="18193" xr:uid="{ED33468A-4701-4DD6-9E7E-869DD5A7B414}"/>
    <cellStyle name="Linked Cell 17 2 2 4 9 3" xfId="18194" xr:uid="{0DE59B13-2875-403A-91E6-A0AC864D44AF}"/>
    <cellStyle name="Linked Cell 17 2 2 5" xfId="18195" xr:uid="{6567AD2A-A69A-4941-AFBF-C1650BF3EE87}"/>
    <cellStyle name="Linked Cell 17 2 2 5 2" xfId="18196" xr:uid="{E5FE31F4-1751-41ED-B47D-C51E3F20A79C}"/>
    <cellStyle name="Linked Cell 17 2 2 5 2 2" xfId="18197" xr:uid="{040561A5-A653-4A4D-A954-F0645E0DFCBE}"/>
    <cellStyle name="Linked Cell 17 2 2 5 3" xfId="18198" xr:uid="{5FA9FE61-057D-4423-A427-95634FA650DE}"/>
    <cellStyle name="Linked Cell 17 2 2 6" xfId="18199" xr:uid="{62C30EEB-39DD-4277-A0FB-1AC5D5D6636D}"/>
    <cellStyle name="Linked Cell 17 2 2 6 2" xfId="18200" xr:uid="{3B7AF1D0-1A0F-4210-8963-15381C674872}"/>
    <cellStyle name="Linked Cell 17 2 2 6 2 2" xfId="18201" xr:uid="{2F5D2A18-2037-406B-BA46-0D524C4466EF}"/>
    <cellStyle name="Linked Cell 17 2 2 6 3" xfId="18202" xr:uid="{E8E5C534-4E83-4B1D-977F-A23096B52914}"/>
    <cellStyle name="Linked Cell 17 2 2 7" xfId="18203" xr:uid="{EB301265-7C1E-4696-AB94-E19841DB2C0B}"/>
    <cellStyle name="Linked Cell 17 2 2 7 2" xfId="18204" xr:uid="{0E1E5CB3-BD19-48AF-AB14-2AC37533AACD}"/>
    <cellStyle name="Linked Cell 17 2 2 7 2 2" xfId="18205" xr:uid="{0680728B-4F62-4EE4-B2AF-764268C2AF69}"/>
    <cellStyle name="Linked Cell 17 2 2 7 3" xfId="18206" xr:uid="{F5088971-5DC7-434B-B015-B41F5E2D93B1}"/>
    <cellStyle name="Linked Cell 17 2 2 8" xfId="18207" xr:uid="{C99FFB38-C89F-4136-A7EC-6D39876B8660}"/>
    <cellStyle name="Linked Cell 17 2 2 8 2" xfId="18208" xr:uid="{EB9AEF2C-DF8E-4744-AB0E-20FF5CF73AE6}"/>
    <cellStyle name="Linked Cell 17 2 2 8 2 2" xfId="18209" xr:uid="{F2F28CF7-369C-4FF0-9564-CE0A0DA23ACC}"/>
    <cellStyle name="Linked Cell 17 2 2 8 3" xfId="18210" xr:uid="{E2D9671A-A7D9-4D43-AEE4-465E0D571964}"/>
    <cellStyle name="Linked Cell 17 2 2 9" xfId="18211" xr:uid="{F07E8641-2B74-4252-BCBE-E4A0787DB2BE}"/>
    <cellStyle name="Linked Cell 17 2 2 9 2" xfId="18212" xr:uid="{959EE251-B8B1-45A0-A949-0F488D1F88C0}"/>
    <cellStyle name="Linked Cell 17 2 2 9 2 2" xfId="18213" xr:uid="{1E8F127F-68B3-40AC-AD6E-D9316B70E9E0}"/>
    <cellStyle name="Linked Cell 17 2 2 9 3" xfId="18214" xr:uid="{E1A1C5ED-02F0-439C-80E6-2CA2114A8F55}"/>
    <cellStyle name="Linked Cell 17 2 3" xfId="18215" xr:uid="{BBC6D03F-A471-47A3-8EE4-43C179AAE953}"/>
    <cellStyle name="Linked Cell 17 2 3 10" xfId="18216" xr:uid="{8DFF52CE-424B-42AE-93E5-CE6D44D4039F}"/>
    <cellStyle name="Linked Cell 17 2 3 10 2" xfId="18217" xr:uid="{9EED0DC9-3EA5-48CD-8785-3976C323FB1E}"/>
    <cellStyle name="Linked Cell 17 2 3 10 2 2" xfId="18218" xr:uid="{A84F91CB-30DB-44C6-90D7-F01BD29133D1}"/>
    <cellStyle name="Linked Cell 17 2 3 10 3" xfId="18219" xr:uid="{2DC075C7-A954-48D9-BF59-585CBFD19253}"/>
    <cellStyle name="Linked Cell 17 2 3 11" xfId="18220" xr:uid="{99EF18F9-0D6C-4C57-A89F-8663C535FD4A}"/>
    <cellStyle name="Linked Cell 17 2 3 11 2" xfId="18221" xr:uid="{59F1C514-E2E6-4635-84AD-E19054D9731B}"/>
    <cellStyle name="Linked Cell 17 2 3 11 2 2" xfId="18222" xr:uid="{6737543F-85F8-4492-BF6E-60A407C48D1E}"/>
    <cellStyle name="Linked Cell 17 2 3 11 3" xfId="18223" xr:uid="{8CB14EF7-4C40-4CCB-85A0-3F532F3A1D72}"/>
    <cellStyle name="Linked Cell 17 2 3 12" xfId="18224" xr:uid="{82075D8B-08C8-42DD-A6EF-D7BA1B89D1FE}"/>
    <cellStyle name="Linked Cell 17 2 3 12 2" xfId="18225" xr:uid="{3DC7765B-F32A-4757-8AD9-6241A780775F}"/>
    <cellStyle name="Linked Cell 17 2 3 13" xfId="18226" xr:uid="{CEB1F071-9731-4F13-8A37-37D52A0A0B67}"/>
    <cellStyle name="Linked Cell 17 2 3 2" xfId="18227" xr:uid="{14E1D48C-2B70-4CE8-8812-060CC334F4E8}"/>
    <cellStyle name="Linked Cell 17 2 3 2 10" xfId="18228" xr:uid="{23093985-BEBA-4BB0-A9EA-FB5F751D34A2}"/>
    <cellStyle name="Linked Cell 17 2 3 2 10 2" xfId="18229" xr:uid="{96015133-BFA7-47C3-B2EF-A7074B57DEA9}"/>
    <cellStyle name="Linked Cell 17 2 3 2 10 2 2" xfId="18230" xr:uid="{24F02CB2-7375-4BC7-878A-B58EAA8020F3}"/>
    <cellStyle name="Linked Cell 17 2 3 2 10 3" xfId="18231" xr:uid="{131A0867-FD32-476B-B08F-E271041D525C}"/>
    <cellStyle name="Linked Cell 17 2 3 2 11" xfId="18232" xr:uid="{68EC924C-2D40-4511-9FFB-5FD473002E41}"/>
    <cellStyle name="Linked Cell 17 2 3 2 11 2" xfId="18233" xr:uid="{C94EAF45-5D66-428D-B5F3-87DA129A6BC5}"/>
    <cellStyle name="Linked Cell 17 2 3 2 12" xfId="18234" xr:uid="{9D6851EF-D8DE-40E2-842E-775FE3315344}"/>
    <cellStyle name="Linked Cell 17 2 3 2 2" xfId="18235" xr:uid="{C02FA7EB-D084-4DA5-8BEC-5DD86ACBCF7E}"/>
    <cellStyle name="Linked Cell 17 2 3 2 2 2" xfId="18236" xr:uid="{D89E84F8-7491-4AB4-A4CA-6911433A5A9B}"/>
    <cellStyle name="Linked Cell 17 2 3 2 2 2 2" xfId="18237" xr:uid="{0F88966E-0EE2-427B-A7DD-DFEF882C58E2}"/>
    <cellStyle name="Linked Cell 17 2 3 2 2 3" xfId="18238" xr:uid="{C3A07712-AC38-4BBF-8686-F8B2FC0EC3AD}"/>
    <cellStyle name="Linked Cell 17 2 3 2 3" xfId="18239" xr:uid="{31CEA662-80F1-414E-A0AC-7C9B23275657}"/>
    <cellStyle name="Linked Cell 17 2 3 2 3 2" xfId="18240" xr:uid="{FEDD131D-555A-41FC-A69F-5921E116FA74}"/>
    <cellStyle name="Linked Cell 17 2 3 2 3 2 2" xfId="18241" xr:uid="{10DC7F9A-C772-41D8-9B8A-D0B235C550A8}"/>
    <cellStyle name="Linked Cell 17 2 3 2 3 3" xfId="18242" xr:uid="{E7C4523C-9D8B-4668-8E78-B6D7C01396A1}"/>
    <cellStyle name="Linked Cell 17 2 3 2 4" xfId="18243" xr:uid="{1F6238ED-DCA4-4D4D-AC3B-66040CD9C70E}"/>
    <cellStyle name="Linked Cell 17 2 3 2 4 2" xfId="18244" xr:uid="{9C2E1150-C264-45B4-873C-F41537C38B65}"/>
    <cellStyle name="Linked Cell 17 2 3 2 4 2 2" xfId="18245" xr:uid="{E2A0A0B4-EA0C-411D-B498-64C006B4A68E}"/>
    <cellStyle name="Linked Cell 17 2 3 2 4 3" xfId="18246" xr:uid="{2E005CE4-8F7D-4145-947A-80FCB8CC105C}"/>
    <cellStyle name="Linked Cell 17 2 3 2 5" xfId="18247" xr:uid="{EBCA5D4D-5F26-4D6A-94BD-A85331C071FE}"/>
    <cellStyle name="Linked Cell 17 2 3 2 5 2" xfId="18248" xr:uid="{F23208BC-9704-4D81-BB3B-F3338B28BBDF}"/>
    <cellStyle name="Linked Cell 17 2 3 2 5 2 2" xfId="18249" xr:uid="{55E8D17B-DA15-41CD-B204-FEFCEA0ACAF4}"/>
    <cellStyle name="Linked Cell 17 2 3 2 5 3" xfId="18250" xr:uid="{D835FDCA-5B21-4C63-BA54-0BE38452047C}"/>
    <cellStyle name="Linked Cell 17 2 3 2 6" xfId="18251" xr:uid="{413AFBAC-74E6-4088-A9C8-343718D20931}"/>
    <cellStyle name="Linked Cell 17 2 3 2 6 2" xfId="18252" xr:uid="{4296C3D8-DB30-4515-A4C1-AAAE66A11904}"/>
    <cellStyle name="Linked Cell 17 2 3 2 6 2 2" xfId="18253" xr:uid="{6F1C5C66-6359-4FBB-9EAC-891484C09FF2}"/>
    <cellStyle name="Linked Cell 17 2 3 2 6 3" xfId="18254" xr:uid="{FDB64CA2-AA8A-415C-A579-B07D058B054C}"/>
    <cellStyle name="Linked Cell 17 2 3 2 7" xfId="18255" xr:uid="{5FE38A37-35E4-4493-94C0-812B7893D530}"/>
    <cellStyle name="Linked Cell 17 2 3 2 7 2" xfId="18256" xr:uid="{8F08BA52-E474-4F86-863F-0611AB375DB1}"/>
    <cellStyle name="Linked Cell 17 2 3 2 7 2 2" xfId="18257" xr:uid="{C0941FD3-EBB3-4DC7-ACA9-F454F392D5EA}"/>
    <cellStyle name="Linked Cell 17 2 3 2 7 3" xfId="18258" xr:uid="{30A8E4A2-EA33-431E-9968-BB98AE4689DA}"/>
    <cellStyle name="Linked Cell 17 2 3 2 8" xfId="18259" xr:uid="{9C8527CE-722E-432F-AC05-7713ECF27EA2}"/>
    <cellStyle name="Linked Cell 17 2 3 2 8 2" xfId="18260" xr:uid="{FD0FDADD-EEFD-40D6-BC01-87AE7B965EA2}"/>
    <cellStyle name="Linked Cell 17 2 3 2 8 2 2" xfId="18261" xr:uid="{6D201F3E-B0E2-4DFB-91C4-AB54087B158E}"/>
    <cellStyle name="Linked Cell 17 2 3 2 8 3" xfId="18262" xr:uid="{7E132A28-215A-4183-8E7E-C0F39BA672B0}"/>
    <cellStyle name="Linked Cell 17 2 3 2 9" xfId="18263" xr:uid="{3FD194E4-18E1-46E1-8EBB-77A448EF124E}"/>
    <cellStyle name="Linked Cell 17 2 3 2 9 2" xfId="18264" xr:uid="{FCFB39BB-C628-4968-A820-1155E918C1CF}"/>
    <cellStyle name="Linked Cell 17 2 3 2 9 2 2" xfId="18265" xr:uid="{EDF546A9-986A-428C-A5FB-EDBC7C4E674E}"/>
    <cellStyle name="Linked Cell 17 2 3 2 9 3" xfId="18266" xr:uid="{20C64039-7BA5-4037-8B71-25AC34F10E2E}"/>
    <cellStyle name="Linked Cell 17 2 3 3" xfId="18267" xr:uid="{E0F2F5E2-202D-4E79-B0B3-37A7982AA15E}"/>
    <cellStyle name="Linked Cell 17 2 3 3 10" xfId="18268" xr:uid="{12F0602A-9DAD-44C3-91B7-BDF0F004CB02}"/>
    <cellStyle name="Linked Cell 17 2 3 3 10 2" xfId="18269" xr:uid="{DC9B32A0-962E-4A99-AC12-7469E813C25A}"/>
    <cellStyle name="Linked Cell 17 2 3 3 11" xfId="18270" xr:uid="{6049DA84-C936-4C25-92D5-DAE3C9A84F63}"/>
    <cellStyle name="Linked Cell 17 2 3 3 2" xfId="18271" xr:uid="{19858183-B853-4ADE-8DB4-66FDE479671E}"/>
    <cellStyle name="Linked Cell 17 2 3 3 2 2" xfId="18272" xr:uid="{E3912674-F638-4CB8-AFD7-E27A430084AD}"/>
    <cellStyle name="Linked Cell 17 2 3 3 2 2 2" xfId="18273" xr:uid="{2FB56F8F-1557-469B-9249-007373420C2B}"/>
    <cellStyle name="Linked Cell 17 2 3 3 2 3" xfId="18274" xr:uid="{659EEBE2-5FD2-4114-8847-878B3DCAFCA3}"/>
    <cellStyle name="Linked Cell 17 2 3 3 3" xfId="18275" xr:uid="{F1FB1144-1C83-4B6B-9F38-8F7EAECBB071}"/>
    <cellStyle name="Linked Cell 17 2 3 3 3 2" xfId="18276" xr:uid="{C7D47E83-8A4B-457C-B90C-F1D3F3B30B06}"/>
    <cellStyle name="Linked Cell 17 2 3 3 3 2 2" xfId="18277" xr:uid="{C3C16F08-BF26-404B-A00E-BDFD4AAE3042}"/>
    <cellStyle name="Linked Cell 17 2 3 3 3 3" xfId="18278" xr:uid="{46667EE1-CA2D-4644-9F5D-28271D3DFBBD}"/>
    <cellStyle name="Linked Cell 17 2 3 3 4" xfId="18279" xr:uid="{8243929E-EA37-484B-A5D5-89ADCBED855D}"/>
    <cellStyle name="Linked Cell 17 2 3 3 4 2" xfId="18280" xr:uid="{9BB9EF93-9656-4122-9C18-7E8117D5B4D5}"/>
    <cellStyle name="Linked Cell 17 2 3 3 4 2 2" xfId="18281" xr:uid="{C50DB8F0-A62C-4225-B861-9336295CF757}"/>
    <cellStyle name="Linked Cell 17 2 3 3 4 3" xfId="18282" xr:uid="{B49B0761-D88D-46D3-AB9F-68D33679F9F3}"/>
    <cellStyle name="Linked Cell 17 2 3 3 5" xfId="18283" xr:uid="{4F42847D-7793-4E21-8AB8-70DEF3A1E6FF}"/>
    <cellStyle name="Linked Cell 17 2 3 3 5 2" xfId="18284" xr:uid="{D3393776-8342-473B-BE63-9A6D7B8DE40F}"/>
    <cellStyle name="Linked Cell 17 2 3 3 5 2 2" xfId="18285" xr:uid="{F0F04A4D-6767-4D37-ABD4-649E07CA1062}"/>
    <cellStyle name="Linked Cell 17 2 3 3 5 3" xfId="18286" xr:uid="{F5EEDAD5-96D2-4071-812B-D1CAE5F96633}"/>
    <cellStyle name="Linked Cell 17 2 3 3 6" xfId="18287" xr:uid="{62C93520-E7D5-4F88-B58D-46A8F8EC2D17}"/>
    <cellStyle name="Linked Cell 17 2 3 3 6 2" xfId="18288" xr:uid="{38F9D184-BA01-4C4C-A140-C7E13A61607A}"/>
    <cellStyle name="Linked Cell 17 2 3 3 6 2 2" xfId="18289" xr:uid="{9C17D251-639F-43F5-8191-CE1DDD5EC659}"/>
    <cellStyle name="Linked Cell 17 2 3 3 6 3" xfId="18290" xr:uid="{ECC7B685-304D-420D-BFB5-042E81044E18}"/>
    <cellStyle name="Linked Cell 17 2 3 3 7" xfId="18291" xr:uid="{DD58B0E4-25E6-44A2-A39F-C60F65907E18}"/>
    <cellStyle name="Linked Cell 17 2 3 3 7 2" xfId="18292" xr:uid="{9C207D69-1C11-4BB7-8CA5-C4AAC250350C}"/>
    <cellStyle name="Linked Cell 17 2 3 3 7 2 2" xfId="18293" xr:uid="{9E0E679E-9673-4B7F-9D37-AD8675376F8D}"/>
    <cellStyle name="Linked Cell 17 2 3 3 7 3" xfId="18294" xr:uid="{C882D65E-6DC4-4115-8DFD-0AADE3ADD097}"/>
    <cellStyle name="Linked Cell 17 2 3 3 8" xfId="18295" xr:uid="{F6724444-A8FF-49D9-A50B-9BC546EF406B}"/>
    <cellStyle name="Linked Cell 17 2 3 3 8 2" xfId="18296" xr:uid="{AB85D1A8-B9C7-497C-8A26-A3892AB55D74}"/>
    <cellStyle name="Linked Cell 17 2 3 3 8 2 2" xfId="18297" xr:uid="{D6A495C0-F4AD-45D3-8602-6FC77E3C4A12}"/>
    <cellStyle name="Linked Cell 17 2 3 3 8 3" xfId="18298" xr:uid="{6625373C-2468-40EC-97E9-62BC9D849C13}"/>
    <cellStyle name="Linked Cell 17 2 3 3 9" xfId="18299" xr:uid="{97616035-FF48-451C-9354-D0C53D51E2A4}"/>
    <cellStyle name="Linked Cell 17 2 3 3 9 2" xfId="18300" xr:uid="{284FF2AC-7A91-4055-9AC9-3DF04087E80C}"/>
    <cellStyle name="Linked Cell 17 2 3 3 9 2 2" xfId="18301" xr:uid="{5214FE25-870C-4045-94A1-F1A4A258DF15}"/>
    <cellStyle name="Linked Cell 17 2 3 3 9 3" xfId="18302" xr:uid="{28A97619-C070-4562-96B4-EF33535B5634}"/>
    <cellStyle name="Linked Cell 17 2 3 4" xfId="18303" xr:uid="{BA6AF07A-95CF-4DF9-9D13-9AA178F6F8F9}"/>
    <cellStyle name="Linked Cell 17 2 3 4 2" xfId="18304" xr:uid="{C098E5FE-6A86-4D66-9D5C-64556595B135}"/>
    <cellStyle name="Linked Cell 17 2 3 4 2 2" xfId="18305" xr:uid="{0A16FBD1-A784-43B0-AAED-1E1ACCC051AD}"/>
    <cellStyle name="Linked Cell 17 2 3 4 3" xfId="18306" xr:uid="{A8F5B871-6105-4452-A0AE-AC273E16C138}"/>
    <cellStyle name="Linked Cell 17 2 3 5" xfId="18307" xr:uid="{C84EACD7-6381-416E-8F57-56BE0D83E769}"/>
    <cellStyle name="Linked Cell 17 2 3 5 2" xfId="18308" xr:uid="{70A39CF5-DD20-431C-8689-133031CD4399}"/>
    <cellStyle name="Linked Cell 17 2 3 5 2 2" xfId="18309" xr:uid="{553D6F25-19FC-47BF-9D5B-011D214BA5A8}"/>
    <cellStyle name="Linked Cell 17 2 3 5 3" xfId="18310" xr:uid="{7B2E99A2-C6C0-4780-B10A-8F21BA4AA6F1}"/>
    <cellStyle name="Linked Cell 17 2 3 6" xfId="18311" xr:uid="{2FFFB4CA-D9D4-4240-A4F2-4D80AA1BD3C4}"/>
    <cellStyle name="Linked Cell 17 2 3 6 2" xfId="18312" xr:uid="{664131D6-DD22-4D74-8ABB-A50A4C149B2B}"/>
    <cellStyle name="Linked Cell 17 2 3 6 2 2" xfId="18313" xr:uid="{8988B297-E321-49E7-A09D-56CE4E2B481B}"/>
    <cellStyle name="Linked Cell 17 2 3 6 3" xfId="18314" xr:uid="{5ADA40DE-0682-437A-BF09-FCF759F2A604}"/>
    <cellStyle name="Linked Cell 17 2 3 7" xfId="18315" xr:uid="{9682FAB1-F5C1-4F32-81FC-315FDB1C6C8E}"/>
    <cellStyle name="Linked Cell 17 2 3 7 2" xfId="18316" xr:uid="{4DF8AA7D-317D-472F-BC32-13A3117CF60C}"/>
    <cellStyle name="Linked Cell 17 2 3 7 2 2" xfId="18317" xr:uid="{002592DE-CFFD-49EF-A682-5763D9D24E15}"/>
    <cellStyle name="Linked Cell 17 2 3 7 3" xfId="18318" xr:uid="{F9750799-06EC-4262-A25D-0A757741A18B}"/>
    <cellStyle name="Linked Cell 17 2 3 8" xfId="18319" xr:uid="{C0D945A6-5EA6-4AB4-920E-DBFCDF085162}"/>
    <cellStyle name="Linked Cell 17 2 3 8 2" xfId="18320" xr:uid="{0A4ABAA6-2D44-42A3-9A12-7DBE8B2A102D}"/>
    <cellStyle name="Linked Cell 17 2 3 8 2 2" xfId="18321" xr:uid="{90E2B04A-1F7A-422E-AFF9-24A73BCA8F40}"/>
    <cellStyle name="Linked Cell 17 2 3 8 3" xfId="18322" xr:uid="{0C6D86AC-1F75-4898-B5A0-5B6244EE37F7}"/>
    <cellStyle name="Linked Cell 17 2 3 9" xfId="18323" xr:uid="{A7DD3A36-BA88-4F61-BC1A-70A8ED4DB020}"/>
    <cellStyle name="Linked Cell 17 2 3 9 2" xfId="18324" xr:uid="{305CB101-0E69-40C6-B7AE-B23F46E2A838}"/>
    <cellStyle name="Linked Cell 17 2 3 9 2 2" xfId="18325" xr:uid="{4B1EE5D9-1E78-453E-BE98-19CF4910583F}"/>
    <cellStyle name="Linked Cell 17 2 3 9 3" xfId="18326" xr:uid="{5A788F9F-5C44-4273-AD7B-425E922C2494}"/>
    <cellStyle name="Linked Cell 17 2 4" xfId="18327" xr:uid="{1269453A-D28E-46C3-9F42-81F3DA17AA11}"/>
    <cellStyle name="Linked Cell 17 2 4 10" xfId="18328" xr:uid="{B90F427E-79DD-46D6-A986-D29AEE7136DD}"/>
    <cellStyle name="Linked Cell 17 2 4 10 2" xfId="18329" xr:uid="{012E1D66-2FA1-46DD-8484-2291AC1338DA}"/>
    <cellStyle name="Linked Cell 17 2 4 10 2 2" xfId="18330" xr:uid="{A4896841-8D7B-48CC-A6D3-54B45E3E7B7F}"/>
    <cellStyle name="Linked Cell 17 2 4 10 3" xfId="18331" xr:uid="{7870D9BA-8A5C-41DE-BFFC-B1E9D8F8C9D2}"/>
    <cellStyle name="Linked Cell 17 2 4 11" xfId="18332" xr:uid="{A888ABA0-E5DD-408A-B77A-5A9F92872445}"/>
    <cellStyle name="Linked Cell 17 2 4 11 2" xfId="18333" xr:uid="{E2562449-3E0D-44E7-ABD6-1E9C8531F080}"/>
    <cellStyle name="Linked Cell 17 2 4 12" xfId="18334" xr:uid="{A9A9AA8A-08DF-463A-A7AE-715376D64D7E}"/>
    <cellStyle name="Linked Cell 17 2 4 2" xfId="18335" xr:uid="{D6CCEF55-153E-41E9-A7CA-E36F004F0746}"/>
    <cellStyle name="Linked Cell 17 2 4 2 10" xfId="18336" xr:uid="{6BBCCD24-2F7C-4523-AF1A-F23ED57CB6EC}"/>
    <cellStyle name="Linked Cell 17 2 4 2 10 2" xfId="18337" xr:uid="{568EDFBD-7FD8-4A21-96F5-3AF2E629088B}"/>
    <cellStyle name="Linked Cell 17 2 4 2 11" xfId="18338" xr:uid="{0A4FCDA7-272A-40C1-A526-135C10FE40C2}"/>
    <cellStyle name="Linked Cell 17 2 4 2 2" xfId="18339" xr:uid="{6BD384FD-3ABC-4A80-8D1C-445CDEA2E858}"/>
    <cellStyle name="Linked Cell 17 2 4 2 2 2" xfId="18340" xr:uid="{A0CC844D-656D-489F-9394-BD7CF918CAAF}"/>
    <cellStyle name="Linked Cell 17 2 4 2 2 2 2" xfId="18341" xr:uid="{EEAA3483-8C21-4603-A33D-C64FF0FFAFBE}"/>
    <cellStyle name="Linked Cell 17 2 4 2 2 3" xfId="18342" xr:uid="{BC28744A-3EC2-4AC6-AEDA-77A29E96CEA5}"/>
    <cellStyle name="Linked Cell 17 2 4 2 3" xfId="18343" xr:uid="{168B5016-2ABF-4DEA-B9E5-DF73283597DD}"/>
    <cellStyle name="Linked Cell 17 2 4 2 3 2" xfId="18344" xr:uid="{43E4C40D-E798-48B1-A919-B234D894943E}"/>
    <cellStyle name="Linked Cell 17 2 4 2 3 2 2" xfId="18345" xr:uid="{81B1CF11-F781-4F2F-A000-0B0D46A7E503}"/>
    <cellStyle name="Linked Cell 17 2 4 2 3 3" xfId="18346" xr:uid="{F2AA05B3-BAA8-450A-B189-2214A50547B5}"/>
    <cellStyle name="Linked Cell 17 2 4 2 4" xfId="18347" xr:uid="{BFAEAB47-D163-4EC8-A0BA-B2EF37A29222}"/>
    <cellStyle name="Linked Cell 17 2 4 2 4 2" xfId="18348" xr:uid="{5C87B9C8-3520-4C7A-8525-6262D68A4714}"/>
    <cellStyle name="Linked Cell 17 2 4 2 4 2 2" xfId="18349" xr:uid="{1BF071F5-0C85-42AC-B311-F25897942A23}"/>
    <cellStyle name="Linked Cell 17 2 4 2 4 3" xfId="18350" xr:uid="{C4B93929-D1FC-4B60-8E98-F8E665299403}"/>
    <cellStyle name="Linked Cell 17 2 4 2 5" xfId="18351" xr:uid="{82930EA9-61C5-4076-9EB1-87FB8C401C61}"/>
    <cellStyle name="Linked Cell 17 2 4 2 5 2" xfId="18352" xr:uid="{5BFF20FB-6830-4D04-AC79-5B2ADCE4DA5F}"/>
    <cellStyle name="Linked Cell 17 2 4 2 5 2 2" xfId="18353" xr:uid="{9F64C16B-D93B-47C3-9865-B6F8F3433D7C}"/>
    <cellStyle name="Linked Cell 17 2 4 2 5 3" xfId="18354" xr:uid="{8F47AEFC-0170-43DA-BE95-4A769612583A}"/>
    <cellStyle name="Linked Cell 17 2 4 2 6" xfId="18355" xr:uid="{AFCFDA61-F7C0-46E8-B9F3-F21B7A0F9BC5}"/>
    <cellStyle name="Linked Cell 17 2 4 2 6 2" xfId="18356" xr:uid="{5F1EAB5F-CE6D-4026-AB76-643C5FCCEC51}"/>
    <cellStyle name="Linked Cell 17 2 4 2 6 2 2" xfId="18357" xr:uid="{B8BEDEB5-EFC0-4F2D-A9FD-02C1A1176FA4}"/>
    <cellStyle name="Linked Cell 17 2 4 2 6 3" xfId="18358" xr:uid="{9182140E-FFFC-4284-9493-E25F305376C6}"/>
    <cellStyle name="Linked Cell 17 2 4 2 7" xfId="18359" xr:uid="{9826F027-EC02-4BC3-871D-645D882C71AB}"/>
    <cellStyle name="Linked Cell 17 2 4 2 7 2" xfId="18360" xr:uid="{07271F9C-28F5-4A38-B3B1-F3C0B09EFFC8}"/>
    <cellStyle name="Linked Cell 17 2 4 2 7 2 2" xfId="18361" xr:uid="{3537D80F-36B5-43EB-921A-BD526A79B2A4}"/>
    <cellStyle name="Linked Cell 17 2 4 2 7 3" xfId="18362" xr:uid="{1DE46D14-CEFF-409E-AA4E-205F37AA1D22}"/>
    <cellStyle name="Linked Cell 17 2 4 2 8" xfId="18363" xr:uid="{27A95E6D-DCC1-44DF-B1CE-AC573F067CF5}"/>
    <cellStyle name="Linked Cell 17 2 4 2 8 2" xfId="18364" xr:uid="{B1297896-2349-4FB8-B09B-3F374395C746}"/>
    <cellStyle name="Linked Cell 17 2 4 2 8 2 2" xfId="18365" xr:uid="{AC4BA11A-3479-476B-8B67-9FAB39E54C98}"/>
    <cellStyle name="Linked Cell 17 2 4 2 8 3" xfId="18366" xr:uid="{7F9EA58B-9210-4203-B5B8-4664BC2B0DE4}"/>
    <cellStyle name="Linked Cell 17 2 4 2 9" xfId="18367" xr:uid="{F9EEA1D1-CA76-42B9-B849-3890B0DB33C7}"/>
    <cellStyle name="Linked Cell 17 2 4 2 9 2" xfId="18368" xr:uid="{703F0312-9BF3-40B3-8B04-C7E289541D6D}"/>
    <cellStyle name="Linked Cell 17 2 4 2 9 2 2" xfId="18369" xr:uid="{B1987BF8-A90D-4865-84A0-EE285B924846}"/>
    <cellStyle name="Linked Cell 17 2 4 2 9 3" xfId="18370" xr:uid="{7B360E18-620A-4240-AC55-8DC9FDE5B879}"/>
    <cellStyle name="Linked Cell 17 2 4 3" xfId="18371" xr:uid="{4A2D6EED-0A7D-4A44-99FE-4A620DDD17C8}"/>
    <cellStyle name="Linked Cell 17 2 4 3 2" xfId="18372" xr:uid="{2419BD03-1FC5-4570-9DD9-A577A6398313}"/>
    <cellStyle name="Linked Cell 17 2 4 3 2 2" xfId="18373" xr:uid="{1D594B3A-2256-4E4F-9B0D-72515FDCE68B}"/>
    <cellStyle name="Linked Cell 17 2 4 3 3" xfId="18374" xr:uid="{F5443BDA-2B30-4700-A415-6FE660997490}"/>
    <cellStyle name="Linked Cell 17 2 4 4" xfId="18375" xr:uid="{A6D1986A-693E-40A0-9ED8-11204F859FB7}"/>
    <cellStyle name="Linked Cell 17 2 4 4 2" xfId="18376" xr:uid="{2664B83A-FC79-4074-BE4B-A1FF064B945C}"/>
    <cellStyle name="Linked Cell 17 2 4 4 2 2" xfId="18377" xr:uid="{B17C9D06-DFDD-4725-A238-EDF37DC49E35}"/>
    <cellStyle name="Linked Cell 17 2 4 4 3" xfId="18378" xr:uid="{24854208-0D75-43E1-B424-0B70060DDCE2}"/>
    <cellStyle name="Linked Cell 17 2 4 5" xfId="18379" xr:uid="{93A281C1-11B0-4794-80EE-7288CB2514CB}"/>
    <cellStyle name="Linked Cell 17 2 4 5 2" xfId="18380" xr:uid="{475B2733-2FD8-4325-8B21-3CC85F7FB4D9}"/>
    <cellStyle name="Linked Cell 17 2 4 5 2 2" xfId="18381" xr:uid="{094A4094-EE1C-4E6A-A602-8BDA223560DD}"/>
    <cellStyle name="Linked Cell 17 2 4 5 3" xfId="18382" xr:uid="{6A0F6099-14E1-4846-9757-55A3E6B4D21B}"/>
    <cellStyle name="Linked Cell 17 2 4 6" xfId="18383" xr:uid="{8AE8A877-3A94-4122-ADE2-933D9742BBFC}"/>
    <cellStyle name="Linked Cell 17 2 4 6 2" xfId="18384" xr:uid="{EC815DC4-D6EC-4734-9A7B-10DF67C833FE}"/>
    <cellStyle name="Linked Cell 17 2 4 6 2 2" xfId="18385" xr:uid="{BC180680-F8FC-46A9-BD0D-075A0E92E42A}"/>
    <cellStyle name="Linked Cell 17 2 4 6 3" xfId="18386" xr:uid="{1CBFC473-BCC9-42E3-9DF5-CA231DA205BE}"/>
    <cellStyle name="Linked Cell 17 2 4 7" xfId="18387" xr:uid="{50106370-8C56-48BC-AA48-FF65C631C5CD}"/>
    <cellStyle name="Linked Cell 17 2 4 7 2" xfId="18388" xr:uid="{1FE7B3D5-CB51-48A4-9B05-9404F1542E13}"/>
    <cellStyle name="Linked Cell 17 2 4 7 2 2" xfId="18389" xr:uid="{6FA65E80-5AA2-42B8-859A-ADF1897DA4A0}"/>
    <cellStyle name="Linked Cell 17 2 4 7 3" xfId="18390" xr:uid="{39D3A972-922D-42B0-91C9-30B34C3C95BB}"/>
    <cellStyle name="Linked Cell 17 2 4 8" xfId="18391" xr:uid="{708988BA-4C6B-4816-A287-66A3D27FE27D}"/>
    <cellStyle name="Linked Cell 17 2 4 8 2" xfId="18392" xr:uid="{7631D59D-11BC-442B-9F29-29716E986C2B}"/>
    <cellStyle name="Linked Cell 17 2 4 8 2 2" xfId="18393" xr:uid="{5A955160-6448-456F-9638-96A06A4B96FA}"/>
    <cellStyle name="Linked Cell 17 2 4 8 3" xfId="18394" xr:uid="{A98756D1-ED2E-4C70-BBCD-F18170D58F7B}"/>
    <cellStyle name="Linked Cell 17 2 4 9" xfId="18395" xr:uid="{F61033AB-566D-4227-8C35-59A4FE47346F}"/>
    <cellStyle name="Linked Cell 17 2 4 9 2" xfId="18396" xr:uid="{7A0079F3-BE50-4AB7-939C-A0621F550DAA}"/>
    <cellStyle name="Linked Cell 17 2 4 9 2 2" xfId="18397" xr:uid="{458468A7-244C-419A-AC95-E16734A2355D}"/>
    <cellStyle name="Linked Cell 17 2 4 9 3" xfId="18398" xr:uid="{40C626FF-A17A-41B0-A50D-EA8A94601E07}"/>
    <cellStyle name="Linked Cell 17 2 5" xfId="18399" xr:uid="{1DCC4A55-0BD5-4AAE-81E5-62C3DDEB1481}"/>
    <cellStyle name="Linked Cell 17 2 5 10" xfId="18400" xr:uid="{359ED697-0A85-4E9D-8D24-0E37BFBDC160}"/>
    <cellStyle name="Linked Cell 17 2 5 10 2" xfId="18401" xr:uid="{5A16E421-1DE2-47F6-88F4-0D22CC0335C4}"/>
    <cellStyle name="Linked Cell 17 2 5 11" xfId="18402" xr:uid="{404C29D1-DDE9-49EF-A068-535E434D19E0}"/>
    <cellStyle name="Linked Cell 17 2 5 2" xfId="18403" xr:uid="{BEA35FA7-078E-424F-9A0A-96D4EAFFE353}"/>
    <cellStyle name="Linked Cell 17 2 5 2 2" xfId="18404" xr:uid="{673AAB94-1958-4F0C-86D7-D7361EA6AC35}"/>
    <cellStyle name="Linked Cell 17 2 5 2 2 2" xfId="18405" xr:uid="{9C42B260-B522-409A-ABCA-B4A72B0D6737}"/>
    <cellStyle name="Linked Cell 17 2 5 2 3" xfId="18406" xr:uid="{897305C8-9F66-411E-89CE-7117A32D7AD9}"/>
    <cellStyle name="Linked Cell 17 2 5 3" xfId="18407" xr:uid="{7E7FABCC-6547-4508-9BCB-7E0A1D7C3B53}"/>
    <cellStyle name="Linked Cell 17 2 5 3 2" xfId="18408" xr:uid="{49157283-9277-414B-ACEF-A09FA229976B}"/>
    <cellStyle name="Linked Cell 17 2 5 3 2 2" xfId="18409" xr:uid="{A91E8839-FD5E-429E-90DC-B55194792752}"/>
    <cellStyle name="Linked Cell 17 2 5 3 3" xfId="18410" xr:uid="{72FE09FA-D6F8-4BAF-B1E0-D05383EC4A34}"/>
    <cellStyle name="Linked Cell 17 2 5 4" xfId="18411" xr:uid="{7F3501C3-BD65-4A47-AB8B-1F85B33BC501}"/>
    <cellStyle name="Linked Cell 17 2 5 4 2" xfId="18412" xr:uid="{DACBFBC7-2E49-443F-BFFF-B0EE5BE663E2}"/>
    <cellStyle name="Linked Cell 17 2 5 4 2 2" xfId="18413" xr:uid="{9B78FB79-60FD-4645-9CA5-417233CE0E1C}"/>
    <cellStyle name="Linked Cell 17 2 5 4 3" xfId="18414" xr:uid="{416DCC52-085C-43A4-87AE-FEAD25F3128D}"/>
    <cellStyle name="Linked Cell 17 2 5 5" xfId="18415" xr:uid="{EA2DFBEC-1807-4BF7-B441-1B515D34C79A}"/>
    <cellStyle name="Linked Cell 17 2 5 5 2" xfId="18416" xr:uid="{ADF56269-5BF2-4950-8FF3-53CD4993A25B}"/>
    <cellStyle name="Linked Cell 17 2 5 5 2 2" xfId="18417" xr:uid="{08203DC1-842C-4FB5-B175-650B17D236A5}"/>
    <cellStyle name="Linked Cell 17 2 5 5 3" xfId="18418" xr:uid="{E98673C5-4BD6-4421-BCA3-007C7121975D}"/>
    <cellStyle name="Linked Cell 17 2 5 6" xfId="18419" xr:uid="{FB04DE77-E942-4FA5-89AD-FD9E86E45F7C}"/>
    <cellStyle name="Linked Cell 17 2 5 6 2" xfId="18420" xr:uid="{AF6A0621-8552-44F9-8DDD-5BF2C37BA4E6}"/>
    <cellStyle name="Linked Cell 17 2 5 6 2 2" xfId="18421" xr:uid="{7B5F3EE2-901E-455F-B308-565A8A9F26C5}"/>
    <cellStyle name="Linked Cell 17 2 5 6 3" xfId="18422" xr:uid="{C21F40D1-20E9-4F45-94F2-A25FF9C4F535}"/>
    <cellStyle name="Linked Cell 17 2 5 7" xfId="18423" xr:uid="{81EEBD47-454F-4FD3-B63A-FBCD2E9BB3A0}"/>
    <cellStyle name="Linked Cell 17 2 5 7 2" xfId="18424" xr:uid="{7F29C00C-6D35-40D7-8D14-F3841F55F646}"/>
    <cellStyle name="Linked Cell 17 2 5 7 2 2" xfId="18425" xr:uid="{BC655D20-214B-4D76-8C72-EC3BE03E0FF8}"/>
    <cellStyle name="Linked Cell 17 2 5 7 3" xfId="18426" xr:uid="{E7F55D58-CFF2-442F-8164-B98DB0E7FFC8}"/>
    <cellStyle name="Linked Cell 17 2 5 8" xfId="18427" xr:uid="{3F4DCBE1-DF1C-418C-BBDE-E43F76E9A7FB}"/>
    <cellStyle name="Linked Cell 17 2 5 8 2" xfId="18428" xr:uid="{C1FFF152-BAC7-432E-9AA6-E8D2E4EA7C36}"/>
    <cellStyle name="Linked Cell 17 2 5 8 2 2" xfId="18429" xr:uid="{3F07820F-9D05-4162-B7EE-3F0AED54E9F9}"/>
    <cellStyle name="Linked Cell 17 2 5 8 3" xfId="18430" xr:uid="{FDB55387-7DB7-4CA3-BD5F-842AE98AAF5B}"/>
    <cellStyle name="Linked Cell 17 2 5 9" xfId="18431" xr:uid="{6704ED5C-6264-43E1-9AD6-C072749BD008}"/>
    <cellStyle name="Linked Cell 17 2 5 9 2" xfId="18432" xr:uid="{26E5C52E-BA10-4719-B9F6-3FCC0B540C58}"/>
    <cellStyle name="Linked Cell 17 2 5 9 2 2" xfId="18433" xr:uid="{68EB6016-9551-490D-8429-FAC531B722EF}"/>
    <cellStyle name="Linked Cell 17 2 5 9 3" xfId="18434" xr:uid="{10B55099-006D-45C8-B0FD-FED95E9FAA9E}"/>
    <cellStyle name="Linked Cell 17 2 6" xfId="18435" xr:uid="{199CAD88-AB33-4585-9D02-E73C2B9B4997}"/>
    <cellStyle name="Linked Cell 17 2 6 2" xfId="18436" xr:uid="{6257FF5C-16E3-493F-9E63-C5C7705823BE}"/>
    <cellStyle name="Linked Cell 17 2 6 2 2" xfId="18437" xr:uid="{A964C668-FD80-4C48-92A2-2BA873A08DDF}"/>
    <cellStyle name="Linked Cell 17 2 6 3" xfId="18438" xr:uid="{F712FCFD-4766-4253-84E4-7C578D26C063}"/>
    <cellStyle name="Linked Cell 17 2 7" xfId="18439" xr:uid="{1419695E-B7A3-4CB1-AE5D-6B3FF4009E98}"/>
    <cellStyle name="Linked Cell 17 2 7 2" xfId="18440" xr:uid="{5DCEC065-49E6-4A62-911C-3A4620E20BC2}"/>
    <cellStyle name="Linked Cell 17 2 7 2 2" xfId="18441" xr:uid="{701C8A61-9790-4DB5-B420-48A44F7EB002}"/>
    <cellStyle name="Linked Cell 17 2 7 3" xfId="18442" xr:uid="{2C9961F8-C191-4759-80E8-26BFADC04093}"/>
    <cellStyle name="Linked Cell 17 2 8" xfId="18443" xr:uid="{7814E83B-820F-4548-83F7-AE5AAC4F4367}"/>
    <cellStyle name="Linked Cell 17 2 8 2" xfId="18444" xr:uid="{0D60D46F-A676-4383-ADDD-16500C65999E}"/>
    <cellStyle name="Linked Cell 17 2 8 2 2" xfId="18445" xr:uid="{B1FF4445-2CEF-4534-9961-B30DCAD5112E}"/>
    <cellStyle name="Linked Cell 17 2 8 3" xfId="18446" xr:uid="{10EE6950-1CF7-4C7A-9468-46292F3F60BD}"/>
    <cellStyle name="Linked Cell 17 2 9" xfId="18447" xr:uid="{FE7877EB-40A1-4270-BFE9-55165A8889CC}"/>
    <cellStyle name="Linked Cell 17 2 9 2" xfId="18448" xr:uid="{14CFD317-DA79-41D0-BEBB-20515B258CE5}"/>
    <cellStyle name="Linked Cell 17 2 9 2 2" xfId="18449" xr:uid="{E8D5135C-458D-4B46-A376-2E22FD9536B9}"/>
    <cellStyle name="Linked Cell 17 2 9 3" xfId="18450" xr:uid="{FCA46927-17CF-4667-B9A8-E0241C58BA69}"/>
    <cellStyle name="Linked Cell 17 3" xfId="18451" xr:uid="{85455BA9-F9E1-411F-A6A8-9A5D6D42D29A}"/>
    <cellStyle name="Linked Cell 17 3 10" xfId="18452" xr:uid="{F242393B-7ACE-44F4-8E94-A49FA8C9F48F}"/>
    <cellStyle name="Linked Cell 17 3 10 2" xfId="18453" xr:uid="{4687F22C-BD6F-4650-87FE-DC528DEFBB22}"/>
    <cellStyle name="Linked Cell 17 3 10 2 2" xfId="18454" xr:uid="{2F578294-5773-4C74-B807-180BEB5387D9}"/>
    <cellStyle name="Linked Cell 17 3 10 3" xfId="18455" xr:uid="{A914262B-51AD-4351-BC8E-8A07EB3B2476}"/>
    <cellStyle name="Linked Cell 17 3 11" xfId="18456" xr:uid="{876DEEEA-715F-4203-9D14-643274184C43}"/>
    <cellStyle name="Linked Cell 17 3 11 2" xfId="18457" xr:uid="{4F0EC885-E37D-429A-ABE2-EC8E69208276}"/>
    <cellStyle name="Linked Cell 17 3 11 2 2" xfId="18458" xr:uid="{3EFBAF44-4142-4535-A4D4-0C13F621B638}"/>
    <cellStyle name="Linked Cell 17 3 11 3" xfId="18459" xr:uid="{813BBA4A-5D88-40DA-AB6D-302DCEE6F503}"/>
    <cellStyle name="Linked Cell 17 3 12" xfId="18460" xr:uid="{C19002E7-F07A-4222-A53F-70CC289A2871}"/>
    <cellStyle name="Linked Cell 17 3 12 2" xfId="18461" xr:uid="{445A161C-4BE8-4B61-804E-470C38169EF9}"/>
    <cellStyle name="Linked Cell 17 3 12 2 2" xfId="18462" xr:uid="{EDE2FC2E-2BF0-469B-8B8A-C8C745001730}"/>
    <cellStyle name="Linked Cell 17 3 12 3" xfId="18463" xr:uid="{530F058F-E470-43E7-ABF9-F9D7E5E3F01B}"/>
    <cellStyle name="Linked Cell 17 3 13" xfId="18464" xr:uid="{B328AD8E-4877-479A-8B54-3F0FE0EBDD57}"/>
    <cellStyle name="Linked Cell 17 3 13 2" xfId="18465" xr:uid="{D3991BAC-D214-4141-96D1-BBB987F4E7E3}"/>
    <cellStyle name="Linked Cell 17 3 14" xfId="18466" xr:uid="{7CBE0A2C-E2ED-4418-8077-14FC9D962EDE}"/>
    <cellStyle name="Linked Cell 17 3 2" xfId="18467" xr:uid="{63D7BE78-6151-49EC-B133-7EAFEBFF64A0}"/>
    <cellStyle name="Linked Cell 17 3 2 10" xfId="18468" xr:uid="{B52897BE-FB5D-40E2-987D-1639C766953C}"/>
    <cellStyle name="Linked Cell 17 3 2 10 2" xfId="18469" xr:uid="{3F5C7C6B-EAC1-4CCF-9357-ABA8DA14F9DC}"/>
    <cellStyle name="Linked Cell 17 3 2 10 2 2" xfId="18470" xr:uid="{477E79EE-87FF-44EE-9BE1-1449EC7A659D}"/>
    <cellStyle name="Linked Cell 17 3 2 10 3" xfId="18471" xr:uid="{5C11E8A4-4C22-4769-9C3A-F3D85AACEFFE}"/>
    <cellStyle name="Linked Cell 17 3 2 11" xfId="18472" xr:uid="{BBF5CE7F-74F7-4B3D-943C-34678AA225B1}"/>
    <cellStyle name="Linked Cell 17 3 2 11 2" xfId="18473" xr:uid="{138FFE0F-E9D2-4D8D-A623-A011AA3E1BE0}"/>
    <cellStyle name="Linked Cell 17 3 2 11 2 2" xfId="18474" xr:uid="{72AC56B6-B496-427A-B2E3-2AAB47986D5A}"/>
    <cellStyle name="Linked Cell 17 3 2 11 3" xfId="18475" xr:uid="{424CD1D3-770E-4109-A57E-4997382DFF10}"/>
    <cellStyle name="Linked Cell 17 3 2 12" xfId="18476" xr:uid="{DC530ADA-60D7-47DA-AAA2-CEE991F98ED9}"/>
    <cellStyle name="Linked Cell 17 3 2 12 2" xfId="18477" xr:uid="{1400BC05-D433-477A-B6C3-64BB825055DC}"/>
    <cellStyle name="Linked Cell 17 3 2 13" xfId="18478" xr:uid="{CFC2C293-720A-4EB0-8D5A-4FA9665A2F37}"/>
    <cellStyle name="Linked Cell 17 3 2 2" xfId="18479" xr:uid="{5E248835-C1B0-43A0-ADE1-54AB79149DB3}"/>
    <cellStyle name="Linked Cell 17 3 2 2 10" xfId="18480" xr:uid="{1C5384E4-7486-4F95-ABEC-5C92007081E5}"/>
    <cellStyle name="Linked Cell 17 3 2 2 10 2" xfId="18481" xr:uid="{FF9ABE3F-768E-4A4D-903D-C4DC35D71060}"/>
    <cellStyle name="Linked Cell 17 3 2 2 10 2 2" xfId="18482" xr:uid="{BA9D8B64-2919-4C35-AF0F-972C89C0255A}"/>
    <cellStyle name="Linked Cell 17 3 2 2 10 3" xfId="18483" xr:uid="{AEC3D2DB-2C02-4C3F-B8CB-0E4047C08E09}"/>
    <cellStyle name="Linked Cell 17 3 2 2 11" xfId="18484" xr:uid="{D43BA553-2461-47F6-9CE6-104FC008A161}"/>
    <cellStyle name="Linked Cell 17 3 2 2 11 2" xfId="18485" xr:uid="{0678A828-8C61-4506-9A31-4E1FBD3A6761}"/>
    <cellStyle name="Linked Cell 17 3 2 2 12" xfId="18486" xr:uid="{BD4023A3-9143-4C7E-9F6C-10A1F7A55E6E}"/>
    <cellStyle name="Linked Cell 17 3 2 2 2" xfId="18487" xr:uid="{C733A82A-2304-4BCA-A54B-102A49F121FA}"/>
    <cellStyle name="Linked Cell 17 3 2 2 2 2" xfId="18488" xr:uid="{49BCB78D-5952-4F8A-A6DB-0BB9D866CFE1}"/>
    <cellStyle name="Linked Cell 17 3 2 2 2 2 2" xfId="18489" xr:uid="{4863A877-1156-4CA5-8532-BB5D9A9217B5}"/>
    <cellStyle name="Linked Cell 17 3 2 2 2 3" xfId="18490" xr:uid="{0F9916EE-DB46-48CD-A101-B97025B55226}"/>
    <cellStyle name="Linked Cell 17 3 2 2 3" xfId="18491" xr:uid="{F7BFDD60-9B58-4F93-916A-4D5886BE122C}"/>
    <cellStyle name="Linked Cell 17 3 2 2 3 2" xfId="18492" xr:uid="{2F889B14-3F76-4A83-8F9C-AEA1710FBAC4}"/>
    <cellStyle name="Linked Cell 17 3 2 2 3 2 2" xfId="18493" xr:uid="{DC5CC374-1E63-40DD-BBAA-54501A50AF5B}"/>
    <cellStyle name="Linked Cell 17 3 2 2 3 3" xfId="18494" xr:uid="{4F537F6A-4596-42D4-8457-351A260EA5CE}"/>
    <cellStyle name="Linked Cell 17 3 2 2 4" xfId="18495" xr:uid="{7A8D2C40-56C4-454A-82C8-129D323F8AB6}"/>
    <cellStyle name="Linked Cell 17 3 2 2 4 2" xfId="18496" xr:uid="{36A74031-8B11-4757-B50D-0C59EAD4C8F0}"/>
    <cellStyle name="Linked Cell 17 3 2 2 4 2 2" xfId="18497" xr:uid="{7B1E6CA9-BA3C-454B-BB58-E03A8E682E26}"/>
    <cellStyle name="Linked Cell 17 3 2 2 4 3" xfId="18498" xr:uid="{2E55DD11-3430-4019-9C2B-2CD7539982BE}"/>
    <cellStyle name="Linked Cell 17 3 2 2 5" xfId="18499" xr:uid="{973E8815-5005-46DD-B6F5-CDC3DC4BA6D7}"/>
    <cellStyle name="Linked Cell 17 3 2 2 5 2" xfId="18500" xr:uid="{7968625C-54FE-4958-9B1B-992BD2CE67D1}"/>
    <cellStyle name="Linked Cell 17 3 2 2 5 2 2" xfId="18501" xr:uid="{5DBC977B-E7D9-4402-9018-8C0FEE38F9E6}"/>
    <cellStyle name="Linked Cell 17 3 2 2 5 3" xfId="18502" xr:uid="{55515C9F-27CD-4E62-A314-A5138DFE31E3}"/>
    <cellStyle name="Linked Cell 17 3 2 2 6" xfId="18503" xr:uid="{0BC68F86-1565-402C-A972-3DFAF2DCBF2A}"/>
    <cellStyle name="Linked Cell 17 3 2 2 6 2" xfId="18504" xr:uid="{ED3AD3A5-963B-4008-B3F5-780FD4735187}"/>
    <cellStyle name="Linked Cell 17 3 2 2 6 2 2" xfId="18505" xr:uid="{8C152E9C-7CAB-411C-B128-2DE2673EEABC}"/>
    <cellStyle name="Linked Cell 17 3 2 2 6 3" xfId="18506" xr:uid="{AFA09A9A-C634-4BC9-818A-1E8556F4C4D2}"/>
    <cellStyle name="Linked Cell 17 3 2 2 7" xfId="18507" xr:uid="{259E76ED-B67D-4CC1-8EBC-73DC2BEC6F9D}"/>
    <cellStyle name="Linked Cell 17 3 2 2 7 2" xfId="18508" xr:uid="{4C69F882-EDB1-428F-A98A-8E5C751B1C3B}"/>
    <cellStyle name="Linked Cell 17 3 2 2 7 2 2" xfId="18509" xr:uid="{4205EBD7-B756-4D09-B05B-5C3525C81E90}"/>
    <cellStyle name="Linked Cell 17 3 2 2 7 3" xfId="18510" xr:uid="{62EE29F1-0CF9-4780-969D-D974A012A80B}"/>
    <cellStyle name="Linked Cell 17 3 2 2 8" xfId="18511" xr:uid="{EAE48137-4D4D-47D3-B158-9B8E8E17FD8B}"/>
    <cellStyle name="Linked Cell 17 3 2 2 8 2" xfId="18512" xr:uid="{05F2EA5F-357D-46B9-9946-210BF998E7C4}"/>
    <cellStyle name="Linked Cell 17 3 2 2 8 2 2" xfId="18513" xr:uid="{EE5016E6-0447-443E-BF96-4311429247C4}"/>
    <cellStyle name="Linked Cell 17 3 2 2 8 3" xfId="18514" xr:uid="{C61130BE-D5F9-417B-8190-5A6C368E4351}"/>
    <cellStyle name="Linked Cell 17 3 2 2 9" xfId="18515" xr:uid="{856933BD-A271-4B5B-A2F3-2A211EE817DA}"/>
    <cellStyle name="Linked Cell 17 3 2 2 9 2" xfId="18516" xr:uid="{A665D567-C566-4889-A228-9A44860B768D}"/>
    <cellStyle name="Linked Cell 17 3 2 2 9 2 2" xfId="18517" xr:uid="{F4917F9B-604A-4D6E-9842-39C6E24F3A59}"/>
    <cellStyle name="Linked Cell 17 3 2 2 9 3" xfId="18518" xr:uid="{F5EBEEAA-6443-4C6C-806D-81841AB176DF}"/>
    <cellStyle name="Linked Cell 17 3 2 3" xfId="18519" xr:uid="{80883369-0DE4-403C-8C3B-96A829D49EBE}"/>
    <cellStyle name="Linked Cell 17 3 2 3 10" xfId="18520" xr:uid="{CA0417D9-85AC-4B8F-A11A-FFE49383B46A}"/>
    <cellStyle name="Linked Cell 17 3 2 3 10 2" xfId="18521" xr:uid="{F33205CB-1CF8-4DF6-BA34-106AC33E4025}"/>
    <cellStyle name="Linked Cell 17 3 2 3 11" xfId="18522" xr:uid="{EE3DED37-6824-42D0-8CE8-B58B1AD7B2BF}"/>
    <cellStyle name="Linked Cell 17 3 2 3 2" xfId="18523" xr:uid="{25593EF0-A7FC-44FE-AE80-93B444B1613B}"/>
    <cellStyle name="Linked Cell 17 3 2 3 2 2" xfId="18524" xr:uid="{413E6417-B68D-4E9F-BE3E-506722F989BA}"/>
    <cellStyle name="Linked Cell 17 3 2 3 2 2 2" xfId="18525" xr:uid="{F0428A93-10B9-4BD5-BDEE-569746E0CD02}"/>
    <cellStyle name="Linked Cell 17 3 2 3 2 3" xfId="18526" xr:uid="{FE40704C-8CF4-479F-9707-5346C5C9FFD0}"/>
    <cellStyle name="Linked Cell 17 3 2 3 3" xfId="18527" xr:uid="{42B11281-EC5C-4C24-A514-EC2632DD2D2E}"/>
    <cellStyle name="Linked Cell 17 3 2 3 3 2" xfId="18528" xr:uid="{3FA563F5-EDDC-4E8F-AF4D-CCBFF1EEDD19}"/>
    <cellStyle name="Linked Cell 17 3 2 3 3 2 2" xfId="18529" xr:uid="{899BD0CA-104C-4EF0-B14C-1177D019A621}"/>
    <cellStyle name="Linked Cell 17 3 2 3 3 3" xfId="18530" xr:uid="{CAB1E0AA-A4BF-44BC-AFAE-68361A99C368}"/>
    <cellStyle name="Linked Cell 17 3 2 3 4" xfId="18531" xr:uid="{68A8CB6A-D4DF-4480-871C-EE95ECA60D99}"/>
    <cellStyle name="Linked Cell 17 3 2 3 4 2" xfId="18532" xr:uid="{8F936E16-4C4D-4597-9FAE-31A8548DADBE}"/>
    <cellStyle name="Linked Cell 17 3 2 3 4 2 2" xfId="18533" xr:uid="{949D1762-6CBB-406D-97E4-106B6D7F9CBA}"/>
    <cellStyle name="Linked Cell 17 3 2 3 4 3" xfId="18534" xr:uid="{77663DA9-986C-49C3-922C-C875687D6F2B}"/>
    <cellStyle name="Linked Cell 17 3 2 3 5" xfId="18535" xr:uid="{549BBF74-35B7-4D21-A54A-745F2CCF8629}"/>
    <cellStyle name="Linked Cell 17 3 2 3 5 2" xfId="18536" xr:uid="{DEE501F1-0135-4B6C-96D3-65DE04E37920}"/>
    <cellStyle name="Linked Cell 17 3 2 3 5 2 2" xfId="18537" xr:uid="{AD90D2E8-DB14-4BE0-94E2-39E4336F75B5}"/>
    <cellStyle name="Linked Cell 17 3 2 3 5 3" xfId="18538" xr:uid="{3C65BA28-11CC-4FAE-A9E4-AC098107F4A0}"/>
    <cellStyle name="Linked Cell 17 3 2 3 6" xfId="18539" xr:uid="{D4D2B8C9-0396-44C4-A20F-8A7E5435BABC}"/>
    <cellStyle name="Linked Cell 17 3 2 3 6 2" xfId="18540" xr:uid="{45C11BC1-E2CE-427F-8763-19A6C757ABCF}"/>
    <cellStyle name="Linked Cell 17 3 2 3 6 2 2" xfId="18541" xr:uid="{A52028E0-6B42-4A54-898F-2EB61BECF36B}"/>
    <cellStyle name="Linked Cell 17 3 2 3 6 3" xfId="18542" xr:uid="{EDFF9DF1-17D7-4B73-8037-AB066C4E247C}"/>
    <cellStyle name="Linked Cell 17 3 2 3 7" xfId="18543" xr:uid="{1BD11545-9976-4664-9B83-2B9EC1240AF8}"/>
    <cellStyle name="Linked Cell 17 3 2 3 7 2" xfId="18544" xr:uid="{8626B63B-EEDC-4F25-814E-D82DF963FDF0}"/>
    <cellStyle name="Linked Cell 17 3 2 3 7 2 2" xfId="18545" xr:uid="{94583ABA-93A6-48ED-B399-419B92F11B90}"/>
    <cellStyle name="Linked Cell 17 3 2 3 7 3" xfId="18546" xr:uid="{73A6E014-41DC-42F0-B5C4-CBF4BEDFBED3}"/>
    <cellStyle name="Linked Cell 17 3 2 3 8" xfId="18547" xr:uid="{4DB260C2-708F-4B38-B9EB-1EE7C6784E04}"/>
    <cellStyle name="Linked Cell 17 3 2 3 8 2" xfId="18548" xr:uid="{405ACF8C-945E-4E9E-A0AD-6EC654B95B58}"/>
    <cellStyle name="Linked Cell 17 3 2 3 8 2 2" xfId="18549" xr:uid="{58DA3B6C-E471-40D7-8D22-1A249926A8C9}"/>
    <cellStyle name="Linked Cell 17 3 2 3 8 3" xfId="18550" xr:uid="{E7C6BB59-85A5-47C3-B83B-4D73E25109DF}"/>
    <cellStyle name="Linked Cell 17 3 2 3 9" xfId="18551" xr:uid="{67CF1DD5-471E-4FB8-BE06-ADF83E795AEA}"/>
    <cellStyle name="Linked Cell 17 3 2 3 9 2" xfId="18552" xr:uid="{AE8103CA-3BBB-4308-90ED-4DF9755E0D17}"/>
    <cellStyle name="Linked Cell 17 3 2 3 9 2 2" xfId="18553" xr:uid="{EA06A86A-EB3A-4E44-981D-09BDBAADB632}"/>
    <cellStyle name="Linked Cell 17 3 2 3 9 3" xfId="18554" xr:uid="{B4115A14-F257-4759-BD8D-320B5CB82F11}"/>
    <cellStyle name="Linked Cell 17 3 2 4" xfId="18555" xr:uid="{0205F23C-F3BE-44CC-B6A5-D5448DD3F913}"/>
    <cellStyle name="Linked Cell 17 3 2 4 2" xfId="18556" xr:uid="{BFEED18A-4E2E-4B9F-B179-F70BD53C27E7}"/>
    <cellStyle name="Linked Cell 17 3 2 4 2 2" xfId="18557" xr:uid="{C55E93A5-9D7A-4D95-838C-C7DFFFFF01C8}"/>
    <cellStyle name="Linked Cell 17 3 2 4 3" xfId="18558" xr:uid="{BA90DFCB-226F-433B-97B9-35A47572DA3E}"/>
    <cellStyle name="Linked Cell 17 3 2 5" xfId="18559" xr:uid="{EF004407-0389-4388-B0B3-DABAF50B3ABC}"/>
    <cellStyle name="Linked Cell 17 3 2 5 2" xfId="18560" xr:uid="{C298F029-C0A1-4EF5-ADDB-0C4E9D2E8069}"/>
    <cellStyle name="Linked Cell 17 3 2 5 2 2" xfId="18561" xr:uid="{20541C42-5429-477B-90DF-349FB4149736}"/>
    <cellStyle name="Linked Cell 17 3 2 5 3" xfId="18562" xr:uid="{D2088877-AB9B-4363-AA03-4929154072BE}"/>
    <cellStyle name="Linked Cell 17 3 2 6" xfId="18563" xr:uid="{D5C79CA6-5181-4FFB-942C-D909AE24803F}"/>
    <cellStyle name="Linked Cell 17 3 2 6 2" xfId="18564" xr:uid="{476F81F0-5266-4BEB-821D-E9C4774C2D70}"/>
    <cellStyle name="Linked Cell 17 3 2 6 2 2" xfId="18565" xr:uid="{BD30610F-6415-4A57-A656-B10495F77FA9}"/>
    <cellStyle name="Linked Cell 17 3 2 6 3" xfId="18566" xr:uid="{F5379161-DC42-437A-932A-C2A1E39DDDCD}"/>
    <cellStyle name="Linked Cell 17 3 2 7" xfId="18567" xr:uid="{054F78D8-8090-42A8-AEBD-289D2DB8A5D9}"/>
    <cellStyle name="Linked Cell 17 3 2 7 2" xfId="18568" xr:uid="{B73E1481-828F-470A-B0F2-F56127CBD557}"/>
    <cellStyle name="Linked Cell 17 3 2 7 2 2" xfId="18569" xr:uid="{05B815C7-07DF-4C68-9391-81EA665B58D8}"/>
    <cellStyle name="Linked Cell 17 3 2 7 3" xfId="18570" xr:uid="{51F95AA4-D1F1-4748-8F38-C85F25ECCC0D}"/>
    <cellStyle name="Linked Cell 17 3 2 8" xfId="18571" xr:uid="{3EE86A25-7D70-4C17-841A-354383632988}"/>
    <cellStyle name="Linked Cell 17 3 2 8 2" xfId="18572" xr:uid="{0E39B14C-8377-49B6-85EB-69B66374E816}"/>
    <cellStyle name="Linked Cell 17 3 2 8 2 2" xfId="18573" xr:uid="{F5C60C8D-39DF-4FA7-AC01-70B89E3652A1}"/>
    <cellStyle name="Linked Cell 17 3 2 8 3" xfId="18574" xr:uid="{45B6BFE8-717C-4609-B9FB-5C72C273640E}"/>
    <cellStyle name="Linked Cell 17 3 2 9" xfId="18575" xr:uid="{0C98FF80-2269-42A8-B3BC-ABD05BE83348}"/>
    <cellStyle name="Linked Cell 17 3 2 9 2" xfId="18576" xr:uid="{BD2FDF11-BD05-402C-AFF0-A370D0648DC4}"/>
    <cellStyle name="Linked Cell 17 3 2 9 2 2" xfId="18577" xr:uid="{110B09C1-0597-47A8-BC09-1233EF116C11}"/>
    <cellStyle name="Linked Cell 17 3 2 9 3" xfId="18578" xr:uid="{F5A37824-16B5-434C-92F4-4A3227F095FA}"/>
    <cellStyle name="Linked Cell 17 3 3" xfId="18579" xr:uid="{4105C9A6-6627-4B20-8ABE-C98758C0FC22}"/>
    <cellStyle name="Linked Cell 17 3 3 10" xfId="18580" xr:uid="{AB4375DA-DAD6-452D-861D-EE7A749EE144}"/>
    <cellStyle name="Linked Cell 17 3 3 10 2" xfId="18581" xr:uid="{8E50D817-8170-4A08-9375-085F020DB69F}"/>
    <cellStyle name="Linked Cell 17 3 3 10 2 2" xfId="18582" xr:uid="{9C320890-5CD4-4083-8885-60830F25CDF7}"/>
    <cellStyle name="Linked Cell 17 3 3 10 3" xfId="18583" xr:uid="{86FF1207-8CC2-4E34-AB39-285F62A0959C}"/>
    <cellStyle name="Linked Cell 17 3 3 11" xfId="18584" xr:uid="{A4BDFD88-706B-4837-9E83-7C1FA144B3EF}"/>
    <cellStyle name="Linked Cell 17 3 3 11 2" xfId="18585" xr:uid="{2EF339E6-696E-4CC4-AE4D-BBD3AD7A27B4}"/>
    <cellStyle name="Linked Cell 17 3 3 12" xfId="18586" xr:uid="{60CCB286-FAD1-46DC-AB0D-D08797D27E06}"/>
    <cellStyle name="Linked Cell 17 3 3 2" xfId="18587" xr:uid="{F987E83A-6E29-4542-92AB-9DB79DC66AFC}"/>
    <cellStyle name="Linked Cell 17 3 3 2 10" xfId="18588" xr:uid="{FFC17832-2F9E-47E5-8A26-43B7F5F0DFAA}"/>
    <cellStyle name="Linked Cell 17 3 3 2 10 2" xfId="18589" xr:uid="{E7DAF9F3-BF9E-4935-9523-A8F59C724552}"/>
    <cellStyle name="Linked Cell 17 3 3 2 11" xfId="18590" xr:uid="{F4DE4E90-A75E-4AA2-8A55-7CE1CF99DD73}"/>
    <cellStyle name="Linked Cell 17 3 3 2 2" xfId="18591" xr:uid="{2F14EC32-C77B-41D1-B1EB-9B96B22747C4}"/>
    <cellStyle name="Linked Cell 17 3 3 2 2 2" xfId="18592" xr:uid="{3AB59BB6-C06C-4A42-97FE-523AA71FF363}"/>
    <cellStyle name="Linked Cell 17 3 3 2 2 2 2" xfId="18593" xr:uid="{00BEBF4F-9691-46FB-9F23-D0231582B2CC}"/>
    <cellStyle name="Linked Cell 17 3 3 2 2 3" xfId="18594" xr:uid="{C81A7946-72B8-450E-9B1A-C14B888BE08A}"/>
    <cellStyle name="Linked Cell 17 3 3 2 3" xfId="18595" xr:uid="{E94AA361-12DF-433F-AD3B-EB4D27B51736}"/>
    <cellStyle name="Linked Cell 17 3 3 2 3 2" xfId="18596" xr:uid="{38729F5B-D6BA-47BF-B02B-F02DB86AAA3E}"/>
    <cellStyle name="Linked Cell 17 3 3 2 3 2 2" xfId="18597" xr:uid="{2452FAD6-22F5-4061-9E8D-E8FBCDA89847}"/>
    <cellStyle name="Linked Cell 17 3 3 2 3 3" xfId="18598" xr:uid="{A9692324-3274-4421-9104-A73817909EEC}"/>
    <cellStyle name="Linked Cell 17 3 3 2 4" xfId="18599" xr:uid="{DD853881-3E07-4505-9E61-9BA05DC9EA1E}"/>
    <cellStyle name="Linked Cell 17 3 3 2 4 2" xfId="18600" xr:uid="{F7D6041D-FCE0-4DC2-9C9D-F4E2111DB968}"/>
    <cellStyle name="Linked Cell 17 3 3 2 4 2 2" xfId="18601" xr:uid="{926B0201-C88D-4E50-9C64-0C4EDE079576}"/>
    <cellStyle name="Linked Cell 17 3 3 2 4 3" xfId="18602" xr:uid="{3F1878CE-56C3-4ABD-9C11-B6C15E138B2C}"/>
    <cellStyle name="Linked Cell 17 3 3 2 5" xfId="18603" xr:uid="{7DC22E66-BEA9-487B-8BA6-198F19F20924}"/>
    <cellStyle name="Linked Cell 17 3 3 2 5 2" xfId="18604" xr:uid="{E5DBA384-4D34-4093-8CE5-2B5DDE4D0FDD}"/>
    <cellStyle name="Linked Cell 17 3 3 2 5 2 2" xfId="18605" xr:uid="{556788C7-A93F-468C-B41B-B6CDC2CF4CB1}"/>
    <cellStyle name="Linked Cell 17 3 3 2 5 3" xfId="18606" xr:uid="{936C1F11-EF72-46D2-AD19-08E321878AE0}"/>
    <cellStyle name="Linked Cell 17 3 3 2 6" xfId="18607" xr:uid="{6EA4B349-CB99-49DC-BA6C-5D63962A8FDF}"/>
    <cellStyle name="Linked Cell 17 3 3 2 6 2" xfId="18608" xr:uid="{4353BD91-FAE4-410B-BD2E-380306663C5E}"/>
    <cellStyle name="Linked Cell 17 3 3 2 6 2 2" xfId="18609" xr:uid="{38D356BA-7962-4E73-8021-720AC5CDDBFD}"/>
    <cellStyle name="Linked Cell 17 3 3 2 6 3" xfId="18610" xr:uid="{3A0E8975-304D-432B-B632-310B7F9D4D7B}"/>
    <cellStyle name="Linked Cell 17 3 3 2 7" xfId="18611" xr:uid="{6007DD79-3F2D-49A1-9CD5-93E9861554A0}"/>
    <cellStyle name="Linked Cell 17 3 3 2 7 2" xfId="18612" xr:uid="{29121F92-A1CD-4CB7-8910-D172DA54095B}"/>
    <cellStyle name="Linked Cell 17 3 3 2 7 2 2" xfId="18613" xr:uid="{413AD45D-E5EE-41AF-B075-22AA3C6C9A89}"/>
    <cellStyle name="Linked Cell 17 3 3 2 7 3" xfId="18614" xr:uid="{A87198FF-B4C5-4A81-B84F-5CCF7A5898DD}"/>
    <cellStyle name="Linked Cell 17 3 3 2 8" xfId="18615" xr:uid="{35E0A252-6405-4154-AE6B-85A0E8072506}"/>
    <cellStyle name="Linked Cell 17 3 3 2 8 2" xfId="18616" xr:uid="{A59B9C2B-4D45-42BD-83C8-ED7BFB7142C0}"/>
    <cellStyle name="Linked Cell 17 3 3 2 8 2 2" xfId="18617" xr:uid="{47E8F18E-CD46-4125-93ED-C9AB9138357A}"/>
    <cellStyle name="Linked Cell 17 3 3 2 8 3" xfId="18618" xr:uid="{7AAC4C24-7ADA-4DCB-83ED-326A5D0E72F6}"/>
    <cellStyle name="Linked Cell 17 3 3 2 9" xfId="18619" xr:uid="{7C8552CA-604F-4121-9692-9616AD2DC1D5}"/>
    <cellStyle name="Linked Cell 17 3 3 2 9 2" xfId="18620" xr:uid="{A9560CF7-FC01-4036-A6AD-8BB28110DFE6}"/>
    <cellStyle name="Linked Cell 17 3 3 2 9 2 2" xfId="18621" xr:uid="{CEAA7FA7-7F66-481B-A3F9-4C4E885FEB15}"/>
    <cellStyle name="Linked Cell 17 3 3 2 9 3" xfId="18622" xr:uid="{F769D3C8-2594-471A-A924-89F6DA287112}"/>
    <cellStyle name="Linked Cell 17 3 3 3" xfId="18623" xr:uid="{7D5566ED-EB0C-4DA5-8469-F35C7ED5992F}"/>
    <cellStyle name="Linked Cell 17 3 3 3 2" xfId="18624" xr:uid="{8E34D5BF-6292-48C4-9B98-98670E235F39}"/>
    <cellStyle name="Linked Cell 17 3 3 3 2 2" xfId="18625" xr:uid="{7605B7B6-8063-471E-B52D-C5EC6BCDC9D7}"/>
    <cellStyle name="Linked Cell 17 3 3 3 3" xfId="18626" xr:uid="{2F66A1FC-1E07-4600-83F0-F755F0C6ECF2}"/>
    <cellStyle name="Linked Cell 17 3 3 4" xfId="18627" xr:uid="{6AF07CFC-967B-4635-823C-58E87822E2D9}"/>
    <cellStyle name="Linked Cell 17 3 3 4 2" xfId="18628" xr:uid="{5665A600-AFEB-458A-813C-6E7DC8862580}"/>
    <cellStyle name="Linked Cell 17 3 3 4 2 2" xfId="18629" xr:uid="{6A34330F-49E9-4092-AA32-9E6E71CB82B1}"/>
    <cellStyle name="Linked Cell 17 3 3 4 3" xfId="18630" xr:uid="{4EC8A105-0C3F-4F25-9EFE-7762F35ABBF6}"/>
    <cellStyle name="Linked Cell 17 3 3 5" xfId="18631" xr:uid="{B258B81D-2370-4B7F-866A-6BBE1876D965}"/>
    <cellStyle name="Linked Cell 17 3 3 5 2" xfId="18632" xr:uid="{9A08C8CD-65AD-4784-9C3E-53FE194C6A35}"/>
    <cellStyle name="Linked Cell 17 3 3 5 2 2" xfId="18633" xr:uid="{C93C8D67-D025-4D99-97FC-3CBA9F1EBA61}"/>
    <cellStyle name="Linked Cell 17 3 3 5 3" xfId="18634" xr:uid="{6D888459-B1C9-4391-A127-6F537B023C37}"/>
    <cellStyle name="Linked Cell 17 3 3 6" xfId="18635" xr:uid="{F5C1C02B-D5A6-4D82-B7DA-0CC5C35C56C1}"/>
    <cellStyle name="Linked Cell 17 3 3 6 2" xfId="18636" xr:uid="{B72441C2-9CCD-4C58-B159-AD76723365B2}"/>
    <cellStyle name="Linked Cell 17 3 3 6 2 2" xfId="18637" xr:uid="{16FE0FE6-E521-4828-8A0C-69D0411D2A7C}"/>
    <cellStyle name="Linked Cell 17 3 3 6 3" xfId="18638" xr:uid="{BA278AA1-8973-4279-A9EE-1ECEBCBB4569}"/>
    <cellStyle name="Linked Cell 17 3 3 7" xfId="18639" xr:uid="{E6DED04F-29A2-4C19-A2B2-954B00D4C87B}"/>
    <cellStyle name="Linked Cell 17 3 3 7 2" xfId="18640" xr:uid="{3865933A-21DA-441F-9FA0-A318144C589E}"/>
    <cellStyle name="Linked Cell 17 3 3 7 2 2" xfId="18641" xr:uid="{5744BB73-C867-414F-A923-8F4A57EEF746}"/>
    <cellStyle name="Linked Cell 17 3 3 7 3" xfId="18642" xr:uid="{A15E415F-CA57-4E48-BBA5-3B5059BDB6D7}"/>
    <cellStyle name="Linked Cell 17 3 3 8" xfId="18643" xr:uid="{D3100FD8-2CB4-409D-98D5-EA9AE1B3573F}"/>
    <cellStyle name="Linked Cell 17 3 3 8 2" xfId="18644" xr:uid="{7A6738E3-F297-4824-AD13-6DF10027BF90}"/>
    <cellStyle name="Linked Cell 17 3 3 8 2 2" xfId="18645" xr:uid="{3B38EEC0-EE87-44B7-B2D4-1C24E07A0FB9}"/>
    <cellStyle name="Linked Cell 17 3 3 8 3" xfId="18646" xr:uid="{744C8A8D-E1E1-4F92-8A98-8D25DAB51E71}"/>
    <cellStyle name="Linked Cell 17 3 3 9" xfId="18647" xr:uid="{2B09FEDB-F1FB-420C-A45A-64A7928AA68D}"/>
    <cellStyle name="Linked Cell 17 3 3 9 2" xfId="18648" xr:uid="{FB8DFD6A-51A4-437B-9108-D05B1EB60DC9}"/>
    <cellStyle name="Linked Cell 17 3 3 9 2 2" xfId="18649" xr:uid="{C15EFFAE-6BCC-4A6F-9330-D1B201EAB07E}"/>
    <cellStyle name="Linked Cell 17 3 3 9 3" xfId="18650" xr:uid="{7096A7D0-4AF0-45B0-8536-A4A702126A2C}"/>
    <cellStyle name="Linked Cell 17 3 4" xfId="18651" xr:uid="{BF07CBC1-21E8-4086-B306-F30A88BAC53D}"/>
    <cellStyle name="Linked Cell 17 3 4 10" xfId="18652" xr:uid="{DD9FB7B1-0FD0-4DF8-AB45-B398B63EB467}"/>
    <cellStyle name="Linked Cell 17 3 4 10 2" xfId="18653" xr:uid="{488141CB-EC96-4007-9945-AC7808E623CC}"/>
    <cellStyle name="Linked Cell 17 3 4 11" xfId="18654" xr:uid="{4118A11E-CC49-4D44-B3B7-EFE7086C1E37}"/>
    <cellStyle name="Linked Cell 17 3 4 2" xfId="18655" xr:uid="{D97EA467-E4C3-4E65-984C-47D9A4CEB9F6}"/>
    <cellStyle name="Linked Cell 17 3 4 2 2" xfId="18656" xr:uid="{ED196EBC-CD7B-4B4B-B461-0604B8F92BE7}"/>
    <cellStyle name="Linked Cell 17 3 4 2 2 2" xfId="18657" xr:uid="{0D8098FD-89DF-4360-B433-50C55C30314C}"/>
    <cellStyle name="Linked Cell 17 3 4 2 3" xfId="18658" xr:uid="{E746D797-BEC6-40F4-BD40-78601085998C}"/>
    <cellStyle name="Linked Cell 17 3 4 3" xfId="18659" xr:uid="{568158E5-5169-492C-843C-3A161813BB96}"/>
    <cellStyle name="Linked Cell 17 3 4 3 2" xfId="18660" xr:uid="{9E7D01A3-7D05-4F98-9708-DCFD32778D7C}"/>
    <cellStyle name="Linked Cell 17 3 4 3 2 2" xfId="18661" xr:uid="{46E83A0B-C423-4BDA-8AA9-B2115C8C5643}"/>
    <cellStyle name="Linked Cell 17 3 4 3 3" xfId="18662" xr:uid="{A7F81D89-D60B-44B0-9C0C-58918DB8DC8C}"/>
    <cellStyle name="Linked Cell 17 3 4 4" xfId="18663" xr:uid="{65EDFD4F-5472-406F-8A44-FC2D61E9769A}"/>
    <cellStyle name="Linked Cell 17 3 4 4 2" xfId="18664" xr:uid="{812D004C-31C6-4E15-BD3C-3040E13B60CC}"/>
    <cellStyle name="Linked Cell 17 3 4 4 2 2" xfId="18665" xr:uid="{A5627087-0CAC-4724-8C7E-A4DF3CC4342F}"/>
    <cellStyle name="Linked Cell 17 3 4 4 3" xfId="18666" xr:uid="{E14D50D5-B182-4467-A9B9-BDCCE1A2B30E}"/>
    <cellStyle name="Linked Cell 17 3 4 5" xfId="18667" xr:uid="{77525039-467F-4098-9BBD-4C8E5F81932D}"/>
    <cellStyle name="Linked Cell 17 3 4 5 2" xfId="18668" xr:uid="{2A40F35D-107D-416C-A8BB-2A61EC03B096}"/>
    <cellStyle name="Linked Cell 17 3 4 5 2 2" xfId="18669" xr:uid="{FAEE6E3C-65CC-4C34-9103-1CEE8708B4F6}"/>
    <cellStyle name="Linked Cell 17 3 4 5 3" xfId="18670" xr:uid="{0DD26056-3A93-4D7B-B07C-A907B9E05350}"/>
    <cellStyle name="Linked Cell 17 3 4 6" xfId="18671" xr:uid="{060C0C7D-6C87-419F-93E0-1E677829E62E}"/>
    <cellStyle name="Linked Cell 17 3 4 6 2" xfId="18672" xr:uid="{257C6E60-7592-4CE8-AB3E-9FE8B8E5ACF5}"/>
    <cellStyle name="Linked Cell 17 3 4 6 2 2" xfId="18673" xr:uid="{6D6E65B7-39BA-48E6-BA9A-639A6D3CF02F}"/>
    <cellStyle name="Linked Cell 17 3 4 6 3" xfId="18674" xr:uid="{1D001174-098F-4225-9472-B52C97B39A4D}"/>
    <cellStyle name="Linked Cell 17 3 4 7" xfId="18675" xr:uid="{DE27CEB7-18B9-407C-883F-992D7E71AB01}"/>
    <cellStyle name="Linked Cell 17 3 4 7 2" xfId="18676" xr:uid="{32C526F4-365D-4D81-A0CE-76A8635D8955}"/>
    <cellStyle name="Linked Cell 17 3 4 7 2 2" xfId="18677" xr:uid="{D1DF5836-0701-4186-ABDB-B0E27AC9F45E}"/>
    <cellStyle name="Linked Cell 17 3 4 7 3" xfId="18678" xr:uid="{72782FE7-3B52-4B71-A31C-1294BFC7377B}"/>
    <cellStyle name="Linked Cell 17 3 4 8" xfId="18679" xr:uid="{85EDE2C2-6FC4-4E76-B41F-A6A956688A9D}"/>
    <cellStyle name="Linked Cell 17 3 4 8 2" xfId="18680" xr:uid="{F6F3D066-8E5A-41C6-8C8F-7E8F79CD6300}"/>
    <cellStyle name="Linked Cell 17 3 4 8 2 2" xfId="18681" xr:uid="{487A35CB-5BC0-4DC1-AC12-2F657662D4FE}"/>
    <cellStyle name="Linked Cell 17 3 4 8 3" xfId="18682" xr:uid="{461F0DB0-73DB-4A55-BEB1-481A6A591646}"/>
    <cellStyle name="Linked Cell 17 3 4 9" xfId="18683" xr:uid="{159357F3-8A4A-4EDD-AFEE-EA6545183633}"/>
    <cellStyle name="Linked Cell 17 3 4 9 2" xfId="18684" xr:uid="{6AD458DE-6DA7-4244-B1AD-BF7868BD6BE7}"/>
    <cellStyle name="Linked Cell 17 3 4 9 2 2" xfId="18685" xr:uid="{A6B3CA40-79DE-4811-AD23-002E8768BA60}"/>
    <cellStyle name="Linked Cell 17 3 4 9 3" xfId="18686" xr:uid="{453AEED5-A6EC-4457-B7CE-16EADF889B78}"/>
    <cellStyle name="Linked Cell 17 3 5" xfId="18687" xr:uid="{A3BE6765-DA90-4E80-9DDD-E475092A3961}"/>
    <cellStyle name="Linked Cell 17 3 5 2" xfId="18688" xr:uid="{B3F1ED0B-0191-450A-9CFA-B744E1A80E21}"/>
    <cellStyle name="Linked Cell 17 3 5 2 2" xfId="18689" xr:uid="{EC98FED3-75D3-4950-8C3D-4A9F0C0C927A}"/>
    <cellStyle name="Linked Cell 17 3 5 3" xfId="18690" xr:uid="{BF4423FD-EBC6-4B19-97E0-505E0CD99275}"/>
    <cellStyle name="Linked Cell 17 3 6" xfId="18691" xr:uid="{B95E3D06-6D5E-4225-A79B-16CAEB16C9D4}"/>
    <cellStyle name="Linked Cell 17 3 6 2" xfId="18692" xr:uid="{75587F09-0AA3-44C5-8E13-D9FB7B758DD8}"/>
    <cellStyle name="Linked Cell 17 3 6 2 2" xfId="18693" xr:uid="{722705D7-9E32-4EC6-BF19-920600486F20}"/>
    <cellStyle name="Linked Cell 17 3 6 3" xfId="18694" xr:uid="{A0BC9C53-DD7A-4679-AAF4-9B662D99145A}"/>
    <cellStyle name="Linked Cell 17 3 7" xfId="18695" xr:uid="{C0FE9965-6ED2-4CB1-A97E-586B331EF561}"/>
    <cellStyle name="Linked Cell 17 3 7 2" xfId="18696" xr:uid="{7C076815-87E6-4BFF-A0BB-991DEC91EA52}"/>
    <cellStyle name="Linked Cell 17 3 7 2 2" xfId="18697" xr:uid="{241333F0-0C35-4134-8B4B-864C947D6635}"/>
    <cellStyle name="Linked Cell 17 3 7 3" xfId="18698" xr:uid="{AE120F5C-4999-4F49-9220-E6958B79397A}"/>
    <cellStyle name="Linked Cell 17 3 8" xfId="18699" xr:uid="{DDE55EF1-3956-47E0-98CA-B199ABD0FA51}"/>
    <cellStyle name="Linked Cell 17 3 8 2" xfId="18700" xr:uid="{C2087276-BD4D-4262-B1DC-4265B0DC851E}"/>
    <cellStyle name="Linked Cell 17 3 8 2 2" xfId="18701" xr:uid="{49B94054-679C-4D0C-AF86-7593474868EC}"/>
    <cellStyle name="Linked Cell 17 3 8 3" xfId="18702" xr:uid="{4E76D2F5-DE82-40A5-AC04-72EAF01FF02F}"/>
    <cellStyle name="Linked Cell 17 3 9" xfId="18703" xr:uid="{3A367F0F-3F56-4F73-8D85-5ACA8E13E439}"/>
    <cellStyle name="Linked Cell 17 3 9 2" xfId="18704" xr:uid="{0CFE31BD-3564-4768-AC6B-CF8FC262753D}"/>
    <cellStyle name="Linked Cell 17 3 9 2 2" xfId="18705" xr:uid="{EC6254B9-A332-436B-9244-5AD52D2C6F65}"/>
    <cellStyle name="Linked Cell 17 3 9 3" xfId="18706" xr:uid="{7624F44B-E214-45CA-AC18-979E3230C1A1}"/>
    <cellStyle name="Linked Cell 17 4" xfId="18707" xr:uid="{96A4DA2D-09AE-4933-8E3F-5064D949C137}"/>
    <cellStyle name="Linked Cell 17 4 10" xfId="18708" xr:uid="{10D36A91-B0CF-4621-8C4B-74A1DEF13E55}"/>
    <cellStyle name="Linked Cell 17 4 10 2" xfId="18709" xr:uid="{F97CD501-B6C2-4878-9A1D-9DEE0605A38B}"/>
    <cellStyle name="Linked Cell 17 4 10 2 2" xfId="18710" xr:uid="{EAB56324-8FE8-4F18-A844-0C4CCEE82D67}"/>
    <cellStyle name="Linked Cell 17 4 10 3" xfId="18711" xr:uid="{3579CE05-764B-41E6-848A-1FE5154658C4}"/>
    <cellStyle name="Linked Cell 17 4 11" xfId="18712" xr:uid="{3580E7DE-628F-4583-A769-ABF0C6D4C3BB}"/>
    <cellStyle name="Linked Cell 17 4 11 2" xfId="18713" xr:uid="{F0EBEE81-37EF-4519-B012-B6F8EB69FEBF}"/>
    <cellStyle name="Linked Cell 17 4 11 2 2" xfId="18714" xr:uid="{92760BD9-23B1-4EEB-82BE-3BC72414BAF1}"/>
    <cellStyle name="Linked Cell 17 4 11 3" xfId="18715" xr:uid="{24EF2516-5CB6-49FA-A15C-7A04E7E76FDD}"/>
    <cellStyle name="Linked Cell 17 4 12" xfId="18716" xr:uid="{7F409166-CCDD-441A-900F-CFB844283781}"/>
    <cellStyle name="Linked Cell 17 4 12 2" xfId="18717" xr:uid="{47CD6710-5D3A-4D55-AD63-D0FB3CC411E3}"/>
    <cellStyle name="Linked Cell 17 4 13" xfId="18718" xr:uid="{32A77D84-9DE8-4F8D-AEB4-2758569817FC}"/>
    <cellStyle name="Linked Cell 17 4 2" xfId="18719" xr:uid="{C191F505-06DA-4604-B27F-3A2E2772BEB3}"/>
    <cellStyle name="Linked Cell 17 4 2 10" xfId="18720" xr:uid="{1B223075-5CDC-4498-9B0C-457C7DBB2CCD}"/>
    <cellStyle name="Linked Cell 17 4 2 10 2" xfId="18721" xr:uid="{7F85A1A6-A10B-4998-A393-FFD7AD096023}"/>
    <cellStyle name="Linked Cell 17 4 2 10 2 2" xfId="18722" xr:uid="{15AD2D16-4064-41FB-8357-CE501CAC1355}"/>
    <cellStyle name="Linked Cell 17 4 2 10 3" xfId="18723" xr:uid="{EE4C3FC1-FBFA-4225-9EB2-CAD911290593}"/>
    <cellStyle name="Linked Cell 17 4 2 11" xfId="18724" xr:uid="{F562E6B4-AC95-42D4-BB71-CBC422786BA5}"/>
    <cellStyle name="Linked Cell 17 4 2 11 2" xfId="18725" xr:uid="{C23D74E5-733B-4CE1-A068-35C79B9DB947}"/>
    <cellStyle name="Linked Cell 17 4 2 12" xfId="18726" xr:uid="{453D1617-7952-4F83-9E19-35581C3301EC}"/>
    <cellStyle name="Linked Cell 17 4 2 2" xfId="18727" xr:uid="{821911AB-7DFD-452B-90B7-D6BF5B9D1039}"/>
    <cellStyle name="Linked Cell 17 4 2 2 2" xfId="18728" xr:uid="{10ACCC34-0AE8-407F-BB7A-84A3B0D229B2}"/>
    <cellStyle name="Linked Cell 17 4 2 2 2 2" xfId="18729" xr:uid="{A652BE22-BADC-4AC0-A5C3-CF1A8AF774BE}"/>
    <cellStyle name="Linked Cell 17 4 2 2 3" xfId="18730" xr:uid="{CD4AF6B5-16DF-43CB-84DE-56E7314147AA}"/>
    <cellStyle name="Linked Cell 17 4 2 3" xfId="18731" xr:uid="{97F9FB96-AC25-42A3-9956-6977C532893F}"/>
    <cellStyle name="Linked Cell 17 4 2 3 2" xfId="18732" xr:uid="{0D365F8A-24C0-4EC4-A88D-8BE5CC397F5A}"/>
    <cellStyle name="Linked Cell 17 4 2 3 2 2" xfId="18733" xr:uid="{22A9BDEA-7898-4C99-8779-34FDB4C418DB}"/>
    <cellStyle name="Linked Cell 17 4 2 3 3" xfId="18734" xr:uid="{E5DEDFAD-D940-4FFD-B074-B6784421B4C9}"/>
    <cellStyle name="Linked Cell 17 4 2 4" xfId="18735" xr:uid="{0572637A-995F-4986-A323-2D797CF59695}"/>
    <cellStyle name="Linked Cell 17 4 2 4 2" xfId="18736" xr:uid="{6455062D-B48E-450D-BD8A-AC504FE4A628}"/>
    <cellStyle name="Linked Cell 17 4 2 4 2 2" xfId="18737" xr:uid="{940C9974-7564-4E97-9221-0824BF0B9957}"/>
    <cellStyle name="Linked Cell 17 4 2 4 3" xfId="18738" xr:uid="{091F7AB1-7DC9-4D0C-A2F0-84D8C5BD08C7}"/>
    <cellStyle name="Linked Cell 17 4 2 5" xfId="18739" xr:uid="{21DE8AC1-54C7-4067-98BA-63C00F790343}"/>
    <cellStyle name="Linked Cell 17 4 2 5 2" xfId="18740" xr:uid="{B40A6D89-B8FB-4B9D-B330-A0894E28D066}"/>
    <cellStyle name="Linked Cell 17 4 2 5 2 2" xfId="18741" xr:uid="{BE266174-B45B-4F92-A982-669826687E11}"/>
    <cellStyle name="Linked Cell 17 4 2 5 3" xfId="18742" xr:uid="{0AE17E91-AF6A-49C9-97C1-671E63D3012F}"/>
    <cellStyle name="Linked Cell 17 4 2 6" xfId="18743" xr:uid="{2DE40C54-5E10-4D06-927C-77FED377E463}"/>
    <cellStyle name="Linked Cell 17 4 2 6 2" xfId="18744" xr:uid="{C9D3D6E0-2646-4BCD-9D6E-007CE920B9E6}"/>
    <cellStyle name="Linked Cell 17 4 2 6 2 2" xfId="18745" xr:uid="{FA700E64-15BB-431A-9B33-48D4C627529F}"/>
    <cellStyle name="Linked Cell 17 4 2 6 3" xfId="18746" xr:uid="{B43F26FA-BC24-4AA2-9FC1-81BD7D2A9B6C}"/>
    <cellStyle name="Linked Cell 17 4 2 7" xfId="18747" xr:uid="{4A1C1064-7229-4B48-8F41-EB832D84B5BC}"/>
    <cellStyle name="Linked Cell 17 4 2 7 2" xfId="18748" xr:uid="{72A87BB8-210A-4D97-AF9A-9171A1DE9D30}"/>
    <cellStyle name="Linked Cell 17 4 2 7 2 2" xfId="18749" xr:uid="{219EB6A8-7314-4BB2-94DD-1FB3CAD2F303}"/>
    <cellStyle name="Linked Cell 17 4 2 7 3" xfId="18750" xr:uid="{EAE36C7E-98A1-4916-B3F0-177D0C7BC68F}"/>
    <cellStyle name="Linked Cell 17 4 2 8" xfId="18751" xr:uid="{4CF79D50-1A93-426E-A1F3-C5C0410EDD6C}"/>
    <cellStyle name="Linked Cell 17 4 2 8 2" xfId="18752" xr:uid="{990BDFB6-2285-497D-A7F7-B62FF315ADF0}"/>
    <cellStyle name="Linked Cell 17 4 2 8 2 2" xfId="18753" xr:uid="{D23630A3-3E95-4E6C-B187-12FD9996F3DD}"/>
    <cellStyle name="Linked Cell 17 4 2 8 3" xfId="18754" xr:uid="{DFC25113-3B86-4034-97E8-818D9E1E0749}"/>
    <cellStyle name="Linked Cell 17 4 2 9" xfId="18755" xr:uid="{79B7D64E-BD5A-4773-A69C-E94FDE70BFC9}"/>
    <cellStyle name="Linked Cell 17 4 2 9 2" xfId="18756" xr:uid="{5F8CE431-3EFD-4F81-90B4-AE2E2B50D81A}"/>
    <cellStyle name="Linked Cell 17 4 2 9 2 2" xfId="18757" xr:uid="{EFA31C77-0C3F-4A5D-9DD6-3B411D433B69}"/>
    <cellStyle name="Linked Cell 17 4 2 9 3" xfId="18758" xr:uid="{458D29CC-0402-47AF-8940-F6ACE64545C6}"/>
    <cellStyle name="Linked Cell 17 4 3" xfId="18759" xr:uid="{F17E0110-1CE0-4BF2-9EC9-7B67E2BDE510}"/>
    <cellStyle name="Linked Cell 17 4 3 10" xfId="18760" xr:uid="{287474A2-760F-404E-9A41-8B484CE5FBB1}"/>
    <cellStyle name="Linked Cell 17 4 3 10 2" xfId="18761" xr:uid="{E8FD5F69-4725-4C01-BA0F-A097C9D39C54}"/>
    <cellStyle name="Linked Cell 17 4 3 11" xfId="18762" xr:uid="{F6E0F83F-133B-44B6-955D-60227B646596}"/>
    <cellStyle name="Linked Cell 17 4 3 2" xfId="18763" xr:uid="{EE4E8B6E-8726-4FA6-B012-0271908B9B46}"/>
    <cellStyle name="Linked Cell 17 4 3 2 2" xfId="18764" xr:uid="{A4AA18A9-3395-4931-8773-F78631A52D13}"/>
    <cellStyle name="Linked Cell 17 4 3 2 2 2" xfId="18765" xr:uid="{4E54DD2F-007B-4E26-8ED6-5B1EFBC09E81}"/>
    <cellStyle name="Linked Cell 17 4 3 2 3" xfId="18766" xr:uid="{33382769-DA39-4459-A2D0-F6635620D369}"/>
    <cellStyle name="Linked Cell 17 4 3 3" xfId="18767" xr:uid="{076DE562-1837-4F68-83A5-E07482286DD8}"/>
    <cellStyle name="Linked Cell 17 4 3 3 2" xfId="18768" xr:uid="{1A1F226D-8577-43B9-8DB9-5E764E96E744}"/>
    <cellStyle name="Linked Cell 17 4 3 3 2 2" xfId="18769" xr:uid="{087000D7-1AF4-4324-BE97-910DCC880811}"/>
    <cellStyle name="Linked Cell 17 4 3 3 3" xfId="18770" xr:uid="{4E828005-2F21-4D37-9871-D5CEBB5DC070}"/>
    <cellStyle name="Linked Cell 17 4 3 4" xfId="18771" xr:uid="{BC95642D-60D1-45A7-ACFF-EC2443115276}"/>
    <cellStyle name="Linked Cell 17 4 3 4 2" xfId="18772" xr:uid="{2C050200-2719-4CDB-9F9A-AD143A21425D}"/>
    <cellStyle name="Linked Cell 17 4 3 4 2 2" xfId="18773" xr:uid="{D6E5038F-BF87-4756-9C92-A2B283FF3D19}"/>
    <cellStyle name="Linked Cell 17 4 3 4 3" xfId="18774" xr:uid="{D18DF704-505E-4AC7-808F-C29DD35E8105}"/>
    <cellStyle name="Linked Cell 17 4 3 5" xfId="18775" xr:uid="{0207AA35-5FB1-453D-8755-10C2B6AB74A5}"/>
    <cellStyle name="Linked Cell 17 4 3 5 2" xfId="18776" xr:uid="{AC8A70C4-6678-4E54-8D8D-FDB4056B13AA}"/>
    <cellStyle name="Linked Cell 17 4 3 5 2 2" xfId="18777" xr:uid="{CEF82F67-5D90-44D0-B339-91FF1164E642}"/>
    <cellStyle name="Linked Cell 17 4 3 5 3" xfId="18778" xr:uid="{477514DD-D3BE-4F6F-B2D9-2C27998813E3}"/>
    <cellStyle name="Linked Cell 17 4 3 6" xfId="18779" xr:uid="{8982C147-5837-41D8-B1B0-8FB308A0ACFF}"/>
    <cellStyle name="Linked Cell 17 4 3 6 2" xfId="18780" xr:uid="{0486E314-80BB-4C88-9067-C2EA851CA7B0}"/>
    <cellStyle name="Linked Cell 17 4 3 6 2 2" xfId="18781" xr:uid="{EED4B522-D20D-4AF4-83B7-D7B349595BA6}"/>
    <cellStyle name="Linked Cell 17 4 3 6 3" xfId="18782" xr:uid="{041DF85D-25B4-4EF4-B8DF-D27F8E8A3A19}"/>
    <cellStyle name="Linked Cell 17 4 3 7" xfId="18783" xr:uid="{AE1E6864-4C2F-4DCF-A428-422ADBC8EAEA}"/>
    <cellStyle name="Linked Cell 17 4 3 7 2" xfId="18784" xr:uid="{564C3C73-4642-4E34-A84C-505F357F25C1}"/>
    <cellStyle name="Linked Cell 17 4 3 7 2 2" xfId="18785" xr:uid="{FA57BF4D-9623-4481-8923-8686EC2F4DF1}"/>
    <cellStyle name="Linked Cell 17 4 3 7 3" xfId="18786" xr:uid="{9AD4AEA7-BF0C-48DF-BEBE-27E290200297}"/>
    <cellStyle name="Linked Cell 17 4 3 8" xfId="18787" xr:uid="{0DE8C522-BC23-4871-9460-27B3FC458486}"/>
    <cellStyle name="Linked Cell 17 4 3 8 2" xfId="18788" xr:uid="{63EE8508-3011-4D2B-8511-B86A49FABE1D}"/>
    <cellStyle name="Linked Cell 17 4 3 8 2 2" xfId="18789" xr:uid="{DFFAB75A-0D44-42AA-B482-5795DD51B6CB}"/>
    <cellStyle name="Linked Cell 17 4 3 8 3" xfId="18790" xr:uid="{69C59B3C-0510-4DDE-AD96-708DC6A2BF28}"/>
    <cellStyle name="Linked Cell 17 4 3 9" xfId="18791" xr:uid="{4451E582-004F-49B9-93FC-1D5C77E929C7}"/>
    <cellStyle name="Linked Cell 17 4 3 9 2" xfId="18792" xr:uid="{CAD676D1-C4C7-446D-B04D-9477D8569134}"/>
    <cellStyle name="Linked Cell 17 4 3 9 2 2" xfId="18793" xr:uid="{AE3B2633-BDD4-4C2F-B940-6CBFD6B90C68}"/>
    <cellStyle name="Linked Cell 17 4 3 9 3" xfId="18794" xr:uid="{2BD39AE6-FA2A-48BD-9C24-799A2BE0642C}"/>
    <cellStyle name="Linked Cell 17 4 4" xfId="18795" xr:uid="{95C0D8F1-C034-49D6-A436-B2A9C2D7B7AE}"/>
    <cellStyle name="Linked Cell 17 4 4 2" xfId="18796" xr:uid="{0D9DA45A-F9E6-48CD-AFC1-E9B04B4DDC32}"/>
    <cellStyle name="Linked Cell 17 4 4 2 2" xfId="18797" xr:uid="{9CAB7A0E-693C-4B97-AF72-43A5B2C23624}"/>
    <cellStyle name="Linked Cell 17 4 4 3" xfId="18798" xr:uid="{EC2EA570-4CF0-4DCC-9D29-5D721D5273B5}"/>
    <cellStyle name="Linked Cell 17 4 5" xfId="18799" xr:uid="{B071390B-E4B6-44C4-9E16-0EB00BB2D727}"/>
    <cellStyle name="Linked Cell 17 4 5 2" xfId="18800" xr:uid="{D84BCB72-AD9D-4531-A42B-EDC0B1DA7217}"/>
    <cellStyle name="Linked Cell 17 4 5 2 2" xfId="18801" xr:uid="{9B0B9116-6FCA-4F5C-B5DD-D69D9D01F6E7}"/>
    <cellStyle name="Linked Cell 17 4 5 3" xfId="18802" xr:uid="{BB795479-4D73-47FF-9746-D5DDE4C7FDF8}"/>
    <cellStyle name="Linked Cell 17 4 6" xfId="18803" xr:uid="{ADA8F38B-F295-4A67-9506-D520249EFBE9}"/>
    <cellStyle name="Linked Cell 17 4 6 2" xfId="18804" xr:uid="{8409FF0D-D725-4128-ADD5-3DA7AFC06DAB}"/>
    <cellStyle name="Linked Cell 17 4 6 2 2" xfId="18805" xr:uid="{7B62C596-031F-41FF-B275-F88760AF2909}"/>
    <cellStyle name="Linked Cell 17 4 6 3" xfId="18806" xr:uid="{1BE2FA99-308D-4C27-9E8F-4735078D0D44}"/>
    <cellStyle name="Linked Cell 17 4 7" xfId="18807" xr:uid="{A9DCCA79-EEFE-4B0B-A1D4-AF395FC562B1}"/>
    <cellStyle name="Linked Cell 17 4 7 2" xfId="18808" xr:uid="{8C7626DC-F08D-40A3-84DD-2C85856118AE}"/>
    <cellStyle name="Linked Cell 17 4 7 2 2" xfId="18809" xr:uid="{6C41B233-7300-4698-B1A3-2CE233ABD7D9}"/>
    <cellStyle name="Linked Cell 17 4 7 3" xfId="18810" xr:uid="{DE8353B3-65DB-4CAB-B222-E89B40103861}"/>
    <cellStyle name="Linked Cell 17 4 8" xfId="18811" xr:uid="{8DD54A9F-A971-4959-8950-40299AB990FE}"/>
    <cellStyle name="Linked Cell 17 4 8 2" xfId="18812" xr:uid="{0C0874D0-6141-45A8-865E-3E96E914B0BB}"/>
    <cellStyle name="Linked Cell 17 4 8 2 2" xfId="18813" xr:uid="{F06A329A-F2C9-41CB-B2A5-3658E9105352}"/>
    <cellStyle name="Linked Cell 17 4 8 3" xfId="18814" xr:uid="{8ABE159F-F6E7-4D9B-92B5-C897B3E98DE4}"/>
    <cellStyle name="Linked Cell 17 4 9" xfId="18815" xr:uid="{ED71867A-4DA9-40CF-A13F-74BF8D0F31C5}"/>
    <cellStyle name="Linked Cell 17 4 9 2" xfId="18816" xr:uid="{81C4DD6D-9DA4-47C5-9B6B-09A0C1E1ADF1}"/>
    <cellStyle name="Linked Cell 17 4 9 2 2" xfId="18817" xr:uid="{A3094D86-8EC1-4D44-AE88-496132908606}"/>
    <cellStyle name="Linked Cell 17 4 9 3" xfId="18818" xr:uid="{9B512640-556B-44A2-BD25-50A645731B0B}"/>
    <cellStyle name="Linked Cell 18" xfId="18819" xr:uid="{BBD5C16C-39A8-4E7A-8C12-E0423803B35F}"/>
    <cellStyle name="Linked Cell 18 2" xfId="18820" xr:uid="{B0C24E8E-CAFB-4F77-978A-91D593B6E2DF}"/>
    <cellStyle name="Linked Cell 18 2 10" xfId="18821" xr:uid="{828C88AF-EA67-4A96-8660-5A7E1A9E34A5}"/>
    <cellStyle name="Linked Cell 18 2 10 2" xfId="18822" xr:uid="{9B0A9529-4C83-47C9-8904-FA0F0D39D79C}"/>
    <cellStyle name="Linked Cell 18 2 10 2 2" xfId="18823" xr:uid="{83E2E7ED-8C8D-471C-9183-7156FA316F0D}"/>
    <cellStyle name="Linked Cell 18 2 10 3" xfId="18824" xr:uid="{58C7D8AD-0B2F-474D-BD75-9627D62B4743}"/>
    <cellStyle name="Linked Cell 18 2 11" xfId="18825" xr:uid="{FDD07D31-6743-49B6-AFCA-57A753E24C99}"/>
    <cellStyle name="Linked Cell 18 2 11 2" xfId="18826" xr:uid="{29433F1E-D738-4976-A43D-15FA06ABDEF5}"/>
    <cellStyle name="Linked Cell 18 2 11 2 2" xfId="18827" xr:uid="{11AAB200-AFF8-4B22-882F-6B56516F137B}"/>
    <cellStyle name="Linked Cell 18 2 11 3" xfId="18828" xr:uid="{E5852477-A968-4184-8388-E6C63E5BBD84}"/>
    <cellStyle name="Linked Cell 18 2 12" xfId="18829" xr:uid="{3F21ADDC-B1C3-4BF8-AADF-1E4E5A45DAB4}"/>
    <cellStyle name="Linked Cell 18 2 12 2" xfId="18830" xr:uid="{625AA877-1246-4331-9521-600CEB90460D}"/>
    <cellStyle name="Linked Cell 18 2 12 2 2" xfId="18831" xr:uid="{D19C248D-B17E-425C-B4BB-BCECFAF7C42E}"/>
    <cellStyle name="Linked Cell 18 2 12 3" xfId="18832" xr:uid="{5BAE4413-1B5F-4E57-8248-0B979E5CCE7F}"/>
    <cellStyle name="Linked Cell 18 2 13" xfId="18833" xr:uid="{0E301558-B44D-4545-B1BB-A54B4EEA849F}"/>
    <cellStyle name="Linked Cell 18 2 13 2" xfId="18834" xr:uid="{63A9FD58-8615-4F78-B6A8-EA0441AE9538}"/>
    <cellStyle name="Linked Cell 18 2 13 2 2" xfId="18835" xr:uid="{7BDC5CD1-8A5D-4F3D-9386-DAFF6A091490}"/>
    <cellStyle name="Linked Cell 18 2 13 3" xfId="18836" xr:uid="{C716193D-C0E1-4DCD-AB47-5594F5CF1A4B}"/>
    <cellStyle name="Linked Cell 18 2 14" xfId="18837" xr:uid="{1A6E529F-83DC-4DE2-86B6-93AF9FBE38BE}"/>
    <cellStyle name="Linked Cell 18 2 14 2" xfId="18838" xr:uid="{E20F2D09-F2EA-4B6E-97ED-E8F23DC387F5}"/>
    <cellStyle name="Linked Cell 18 2 15" xfId="18839" xr:uid="{02A2999E-566B-4F96-BB9B-D5DC256DD180}"/>
    <cellStyle name="Linked Cell 18 2 2" xfId="18840" xr:uid="{4D33A0B7-9600-4348-B395-801489D58885}"/>
    <cellStyle name="Linked Cell 18 2 2 10" xfId="18841" xr:uid="{A8B871AD-EE0A-4F42-B471-25D29B13D055}"/>
    <cellStyle name="Linked Cell 18 2 2 10 2" xfId="18842" xr:uid="{ECFA3784-9E14-41F6-B270-ED01E12B0601}"/>
    <cellStyle name="Linked Cell 18 2 2 10 2 2" xfId="18843" xr:uid="{00BA77C2-DC96-4CA4-A38E-31E3A7C77CD3}"/>
    <cellStyle name="Linked Cell 18 2 2 10 3" xfId="18844" xr:uid="{353B54B3-4C13-47D9-99B1-B2CA293E78FC}"/>
    <cellStyle name="Linked Cell 18 2 2 11" xfId="18845" xr:uid="{41C965EA-3481-4752-9BA0-A03CB8A1AB35}"/>
    <cellStyle name="Linked Cell 18 2 2 11 2" xfId="18846" xr:uid="{AA4EE667-095A-4CC9-8D94-524BBAB19AB7}"/>
    <cellStyle name="Linked Cell 18 2 2 11 2 2" xfId="18847" xr:uid="{D9DBFC5D-13FF-47EC-B27A-AA673E24E90B}"/>
    <cellStyle name="Linked Cell 18 2 2 11 3" xfId="18848" xr:uid="{E3A16679-111E-4672-BE81-34841F397294}"/>
    <cellStyle name="Linked Cell 18 2 2 12" xfId="18849" xr:uid="{0D0617C7-0CAF-441F-929F-013D481A088C}"/>
    <cellStyle name="Linked Cell 18 2 2 12 2" xfId="18850" xr:uid="{105799A8-F961-465E-BD09-93F7C90942D0}"/>
    <cellStyle name="Linked Cell 18 2 2 12 2 2" xfId="18851" xr:uid="{339D8571-77B0-4226-99D8-E33AF2EEF34D}"/>
    <cellStyle name="Linked Cell 18 2 2 12 3" xfId="18852" xr:uid="{541DB3C5-E680-4C42-9C4D-B9377E0AB4C3}"/>
    <cellStyle name="Linked Cell 18 2 2 13" xfId="18853" xr:uid="{DA20DDCA-80A6-4230-840B-3A308E2BDA60}"/>
    <cellStyle name="Linked Cell 18 2 2 13 2" xfId="18854" xr:uid="{7EECFD09-3A58-4196-BF4F-D10D0B455797}"/>
    <cellStyle name="Linked Cell 18 2 2 14" xfId="18855" xr:uid="{73CDD0F7-09D5-46E1-BB56-7F028927861A}"/>
    <cellStyle name="Linked Cell 18 2 2 2" xfId="18856" xr:uid="{B6195AD4-7FC7-4AD5-9623-B65FD470AD90}"/>
    <cellStyle name="Linked Cell 18 2 2 2 10" xfId="18857" xr:uid="{10B0455B-B01E-4B79-97F5-A59A0F0ADFEF}"/>
    <cellStyle name="Linked Cell 18 2 2 2 10 2" xfId="18858" xr:uid="{C01D162B-F66E-43E1-8A32-9DF03313564A}"/>
    <cellStyle name="Linked Cell 18 2 2 2 10 2 2" xfId="18859" xr:uid="{0166FD56-6EBA-4ADB-89AB-6D189D5274B5}"/>
    <cellStyle name="Linked Cell 18 2 2 2 10 3" xfId="18860" xr:uid="{106DCABF-CE3B-4ABE-8ACB-7256965A46DD}"/>
    <cellStyle name="Linked Cell 18 2 2 2 11" xfId="18861" xr:uid="{3B496CE5-CDB5-48F2-A9C8-78CFAD1BEAF0}"/>
    <cellStyle name="Linked Cell 18 2 2 2 11 2" xfId="18862" xr:uid="{FE26B198-BE71-4825-A230-C2003C3ABE67}"/>
    <cellStyle name="Linked Cell 18 2 2 2 11 2 2" xfId="18863" xr:uid="{40BF14BD-F30E-4179-8CF8-F6311F5508AB}"/>
    <cellStyle name="Linked Cell 18 2 2 2 11 3" xfId="18864" xr:uid="{262B8889-5E91-4C81-A8F6-06E7DBB05BC8}"/>
    <cellStyle name="Linked Cell 18 2 2 2 12" xfId="18865" xr:uid="{C5F4B858-575B-48E0-8CF4-C14B27589F05}"/>
    <cellStyle name="Linked Cell 18 2 2 2 12 2" xfId="18866" xr:uid="{6A58FCBA-45E9-408F-8F3B-6F90CFA41BBA}"/>
    <cellStyle name="Linked Cell 18 2 2 2 13" xfId="18867" xr:uid="{D2A882A7-6548-45D4-8251-671D50383444}"/>
    <cellStyle name="Linked Cell 18 2 2 2 2" xfId="18868" xr:uid="{78984AF4-2946-47BB-8A16-10D321D7C35E}"/>
    <cellStyle name="Linked Cell 18 2 2 2 2 10" xfId="18869" xr:uid="{17846AD1-BBBC-4204-9F09-CB7C24F5309F}"/>
    <cellStyle name="Linked Cell 18 2 2 2 2 10 2" xfId="18870" xr:uid="{0CDD6FE6-4229-4D0B-83CD-96EF008A8E56}"/>
    <cellStyle name="Linked Cell 18 2 2 2 2 10 2 2" xfId="18871" xr:uid="{23B4764F-7778-489D-86FA-84BF8E770BA3}"/>
    <cellStyle name="Linked Cell 18 2 2 2 2 10 3" xfId="18872" xr:uid="{728FF970-33B2-4868-87B8-EDE823622FF2}"/>
    <cellStyle name="Linked Cell 18 2 2 2 2 11" xfId="18873" xr:uid="{F34B7547-D751-489B-AED9-562D461CC53E}"/>
    <cellStyle name="Linked Cell 18 2 2 2 2 11 2" xfId="18874" xr:uid="{AC2CC619-8EEB-47DC-9C8B-CC19550F9B3A}"/>
    <cellStyle name="Linked Cell 18 2 2 2 2 12" xfId="18875" xr:uid="{22FC5C4A-3177-49D2-BDAF-63036ECFA564}"/>
    <cellStyle name="Linked Cell 18 2 2 2 2 2" xfId="18876" xr:uid="{DAC5A3C3-D6C1-407D-9051-BCE5F66C031D}"/>
    <cellStyle name="Linked Cell 18 2 2 2 2 2 2" xfId="18877" xr:uid="{BAA7B802-0D73-4F75-9E4A-2D65BFB58756}"/>
    <cellStyle name="Linked Cell 18 2 2 2 2 2 2 2" xfId="18878" xr:uid="{AC4FA5AB-090D-4E77-8F46-C2C61B775C44}"/>
    <cellStyle name="Linked Cell 18 2 2 2 2 2 3" xfId="18879" xr:uid="{AC3E93E1-E33A-4B40-85F8-6D956B63C630}"/>
    <cellStyle name="Linked Cell 18 2 2 2 2 3" xfId="18880" xr:uid="{FD32C4F1-FF45-4784-A1E0-981792AA493F}"/>
    <cellStyle name="Linked Cell 18 2 2 2 2 3 2" xfId="18881" xr:uid="{160FF533-13D5-4CF8-B88B-7B2F13794772}"/>
    <cellStyle name="Linked Cell 18 2 2 2 2 3 2 2" xfId="18882" xr:uid="{8F2C67B1-1E57-4E5E-B498-E7E3A3C69D9A}"/>
    <cellStyle name="Linked Cell 18 2 2 2 2 3 3" xfId="18883" xr:uid="{5405EEA2-9A15-47C0-9153-9C80EC4012A7}"/>
    <cellStyle name="Linked Cell 18 2 2 2 2 4" xfId="18884" xr:uid="{D7B19161-851A-4FE3-B11E-F5E16A9F7081}"/>
    <cellStyle name="Linked Cell 18 2 2 2 2 4 2" xfId="18885" xr:uid="{5719B177-5B67-4A9B-8C1A-0D7AD1DABA4F}"/>
    <cellStyle name="Linked Cell 18 2 2 2 2 4 2 2" xfId="18886" xr:uid="{5BB098F5-0E2E-4275-8D0B-AA578F1FF50B}"/>
    <cellStyle name="Linked Cell 18 2 2 2 2 4 3" xfId="18887" xr:uid="{7BDFE911-1238-42B2-A8DC-9C5C05A0334C}"/>
    <cellStyle name="Linked Cell 18 2 2 2 2 5" xfId="18888" xr:uid="{FD042ACE-1381-48D4-BAD7-B5C0986171AD}"/>
    <cellStyle name="Linked Cell 18 2 2 2 2 5 2" xfId="18889" xr:uid="{3356D156-2B4E-4F29-8590-897D877B32E0}"/>
    <cellStyle name="Linked Cell 18 2 2 2 2 5 2 2" xfId="18890" xr:uid="{787C27E7-94BF-4DB4-B034-C0314E921CC5}"/>
    <cellStyle name="Linked Cell 18 2 2 2 2 5 3" xfId="18891" xr:uid="{3629BAE1-A73F-4140-98DE-63B3B9B3283B}"/>
    <cellStyle name="Linked Cell 18 2 2 2 2 6" xfId="18892" xr:uid="{0B5CE1EA-EBF7-49D9-89D2-12FA74FEAFC4}"/>
    <cellStyle name="Linked Cell 18 2 2 2 2 6 2" xfId="18893" xr:uid="{4E6B6A17-491B-4BC2-8B14-4118162D3695}"/>
    <cellStyle name="Linked Cell 18 2 2 2 2 6 2 2" xfId="18894" xr:uid="{EB36C115-9257-4201-87A8-85ED42C2402D}"/>
    <cellStyle name="Linked Cell 18 2 2 2 2 6 3" xfId="18895" xr:uid="{2D22FE06-3803-41E4-B3F1-6F855D627F93}"/>
    <cellStyle name="Linked Cell 18 2 2 2 2 7" xfId="18896" xr:uid="{D5121923-93C9-4239-B60F-E6DC067378E9}"/>
    <cellStyle name="Linked Cell 18 2 2 2 2 7 2" xfId="18897" xr:uid="{9736101B-E7BA-4562-BB74-7D3E013579B8}"/>
    <cellStyle name="Linked Cell 18 2 2 2 2 7 2 2" xfId="18898" xr:uid="{C52C1C2B-6A00-4BFC-AC5F-AF983326673B}"/>
    <cellStyle name="Linked Cell 18 2 2 2 2 7 3" xfId="18899" xr:uid="{67156A23-B6AB-419B-B32C-521E42A53645}"/>
    <cellStyle name="Linked Cell 18 2 2 2 2 8" xfId="18900" xr:uid="{EFA69AC1-643A-41D3-B8FC-EFA0163CC9F5}"/>
    <cellStyle name="Linked Cell 18 2 2 2 2 8 2" xfId="18901" xr:uid="{0C6FCA40-159D-48C5-B0C6-D311A5ED7FAD}"/>
    <cellStyle name="Linked Cell 18 2 2 2 2 8 2 2" xfId="18902" xr:uid="{E2FB578F-0352-46DF-9EF6-A70EC9D86AF1}"/>
    <cellStyle name="Linked Cell 18 2 2 2 2 8 3" xfId="18903" xr:uid="{E2A016D6-0B69-4B24-9BD6-C49E6F7F9133}"/>
    <cellStyle name="Linked Cell 18 2 2 2 2 9" xfId="18904" xr:uid="{F4FF4FB2-1645-44ED-AAD3-6260532E6181}"/>
    <cellStyle name="Linked Cell 18 2 2 2 2 9 2" xfId="18905" xr:uid="{2F1A9825-0652-41A1-902D-0FD781ECEE20}"/>
    <cellStyle name="Linked Cell 18 2 2 2 2 9 2 2" xfId="18906" xr:uid="{EB981290-2B5B-4D71-AF15-F50ED068D290}"/>
    <cellStyle name="Linked Cell 18 2 2 2 2 9 3" xfId="18907" xr:uid="{C435FB58-3DA4-46A3-BB9F-71A01D128FB4}"/>
    <cellStyle name="Linked Cell 18 2 2 2 3" xfId="18908" xr:uid="{BFAAFF56-5272-482F-834B-36A0A7DBA11B}"/>
    <cellStyle name="Linked Cell 18 2 2 2 3 10" xfId="18909" xr:uid="{74D0B87C-92FD-4709-AA47-3AAB247CB6B9}"/>
    <cellStyle name="Linked Cell 18 2 2 2 3 10 2" xfId="18910" xr:uid="{D7447210-B1DE-4102-8732-C34C940D3016}"/>
    <cellStyle name="Linked Cell 18 2 2 2 3 11" xfId="18911" xr:uid="{44EAC2CE-6A69-478D-B352-0BBC9B926B74}"/>
    <cellStyle name="Linked Cell 18 2 2 2 3 2" xfId="18912" xr:uid="{A34840EE-77CE-4237-9CCA-3DEDE70203CF}"/>
    <cellStyle name="Linked Cell 18 2 2 2 3 2 2" xfId="18913" xr:uid="{92E25282-9A68-4E2C-A9BA-FF2AB5417181}"/>
    <cellStyle name="Linked Cell 18 2 2 2 3 2 2 2" xfId="18914" xr:uid="{0C198515-9984-42C3-A94D-B37ECE42BBE7}"/>
    <cellStyle name="Linked Cell 18 2 2 2 3 2 3" xfId="18915" xr:uid="{FFE72598-8FA0-47A0-BD3C-654E9974F71C}"/>
    <cellStyle name="Linked Cell 18 2 2 2 3 3" xfId="18916" xr:uid="{0C576E83-38EC-48E7-836C-82A947B9B9C1}"/>
    <cellStyle name="Linked Cell 18 2 2 2 3 3 2" xfId="18917" xr:uid="{003534B8-A8B8-4D8E-A48B-A7C5E876172D}"/>
    <cellStyle name="Linked Cell 18 2 2 2 3 3 2 2" xfId="18918" xr:uid="{028E7C83-8ECD-414A-9321-F14F4CA8F063}"/>
    <cellStyle name="Linked Cell 18 2 2 2 3 3 3" xfId="18919" xr:uid="{112C36C0-F18F-4831-9185-28E19CBB95C6}"/>
    <cellStyle name="Linked Cell 18 2 2 2 3 4" xfId="18920" xr:uid="{F7A664A8-D9CF-4D2C-8337-1155C9580A67}"/>
    <cellStyle name="Linked Cell 18 2 2 2 3 4 2" xfId="18921" xr:uid="{A6C83A44-A085-4D81-AA70-2EA588A9FEC0}"/>
    <cellStyle name="Linked Cell 18 2 2 2 3 4 2 2" xfId="18922" xr:uid="{F2D879FB-61F0-44D4-A49A-B1C081796BB3}"/>
    <cellStyle name="Linked Cell 18 2 2 2 3 4 3" xfId="18923" xr:uid="{B453CE9E-2962-48C2-8C8E-42FE2775AF5E}"/>
    <cellStyle name="Linked Cell 18 2 2 2 3 5" xfId="18924" xr:uid="{4A3E5378-5596-403D-82CD-D21129F9990C}"/>
    <cellStyle name="Linked Cell 18 2 2 2 3 5 2" xfId="18925" xr:uid="{216BF386-CCE9-4640-B5E1-D48866C01A6C}"/>
    <cellStyle name="Linked Cell 18 2 2 2 3 5 2 2" xfId="18926" xr:uid="{ACEAF0F0-8F3D-4EAA-A08D-193B65F7ACE2}"/>
    <cellStyle name="Linked Cell 18 2 2 2 3 5 3" xfId="18927" xr:uid="{8F51B202-ECA8-461B-BF5D-CF0A3B505D5B}"/>
    <cellStyle name="Linked Cell 18 2 2 2 3 6" xfId="18928" xr:uid="{59DA1E13-CBB8-4F74-B26C-2E314ACE34EE}"/>
    <cellStyle name="Linked Cell 18 2 2 2 3 6 2" xfId="18929" xr:uid="{A2686F6E-92C3-4E4B-828B-46E6CEEFC547}"/>
    <cellStyle name="Linked Cell 18 2 2 2 3 6 2 2" xfId="18930" xr:uid="{01FF327D-A770-439C-BAF8-DD6C0EA97DC4}"/>
    <cellStyle name="Linked Cell 18 2 2 2 3 6 3" xfId="18931" xr:uid="{67459920-5DA4-41D1-A40B-67ECC2766684}"/>
    <cellStyle name="Linked Cell 18 2 2 2 3 7" xfId="18932" xr:uid="{DE420B4B-727E-449E-BC0B-C915994DFBFB}"/>
    <cellStyle name="Linked Cell 18 2 2 2 3 7 2" xfId="18933" xr:uid="{75E8402D-D4FD-4A36-B31B-8F4FEDFD6471}"/>
    <cellStyle name="Linked Cell 18 2 2 2 3 7 2 2" xfId="18934" xr:uid="{ECE1C07F-7779-4A00-8F0D-3BDDE9A36738}"/>
    <cellStyle name="Linked Cell 18 2 2 2 3 7 3" xfId="18935" xr:uid="{CE968731-2D40-44CC-8A76-1848B11B2EF9}"/>
    <cellStyle name="Linked Cell 18 2 2 2 3 8" xfId="18936" xr:uid="{19D19EBD-ACC5-4640-9E3C-9C719B72431A}"/>
    <cellStyle name="Linked Cell 18 2 2 2 3 8 2" xfId="18937" xr:uid="{5DCFD019-DF0E-43BE-90F9-3B14D3051DDD}"/>
    <cellStyle name="Linked Cell 18 2 2 2 3 8 2 2" xfId="18938" xr:uid="{D5526A3C-38B3-4E39-8404-7B38532FE65E}"/>
    <cellStyle name="Linked Cell 18 2 2 2 3 8 3" xfId="18939" xr:uid="{B4A7D6A1-F55E-415E-B364-2A7528E60644}"/>
    <cellStyle name="Linked Cell 18 2 2 2 3 9" xfId="18940" xr:uid="{AD563C17-A4D3-434C-AB5C-F3C4BD9EF6AF}"/>
    <cellStyle name="Linked Cell 18 2 2 2 3 9 2" xfId="18941" xr:uid="{688DB99F-8A24-4E50-9F2A-29C4FB601BBD}"/>
    <cellStyle name="Linked Cell 18 2 2 2 3 9 2 2" xfId="18942" xr:uid="{4CE97403-FF92-4565-9C22-B3D4806CE052}"/>
    <cellStyle name="Linked Cell 18 2 2 2 3 9 3" xfId="18943" xr:uid="{495358D7-8A53-41CE-9127-211D9E332BC7}"/>
    <cellStyle name="Linked Cell 18 2 2 2 4" xfId="18944" xr:uid="{B7766568-D849-4944-8D49-820E807F829D}"/>
    <cellStyle name="Linked Cell 18 2 2 2 4 2" xfId="18945" xr:uid="{216DDFE1-1373-4C4B-9EB6-CD83CD43139F}"/>
    <cellStyle name="Linked Cell 18 2 2 2 4 2 2" xfId="18946" xr:uid="{F9F495F1-DB05-44BA-8FE2-417E1BDDE60F}"/>
    <cellStyle name="Linked Cell 18 2 2 2 4 3" xfId="18947" xr:uid="{8282ED02-8A61-44C8-8423-5CA3A1B17100}"/>
    <cellStyle name="Linked Cell 18 2 2 2 5" xfId="18948" xr:uid="{E066E56E-11B7-4AC2-9838-E63FFBC8D692}"/>
    <cellStyle name="Linked Cell 18 2 2 2 5 2" xfId="18949" xr:uid="{D9986FF6-5C9E-4815-8D34-3978393B5A35}"/>
    <cellStyle name="Linked Cell 18 2 2 2 5 2 2" xfId="18950" xr:uid="{A56D7352-FF95-4292-B345-790F98B19EA2}"/>
    <cellStyle name="Linked Cell 18 2 2 2 5 3" xfId="18951" xr:uid="{01E663B0-BF14-49BF-B5DA-48F70D2DF6A7}"/>
    <cellStyle name="Linked Cell 18 2 2 2 6" xfId="18952" xr:uid="{7D1FAD13-7C59-420C-9CFC-996DF5593D65}"/>
    <cellStyle name="Linked Cell 18 2 2 2 6 2" xfId="18953" xr:uid="{2DAEE228-BD48-43D2-84F8-AC7090929BD9}"/>
    <cellStyle name="Linked Cell 18 2 2 2 6 2 2" xfId="18954" xr:uid="{C94D865F-5787-43ED-A909-84774961B46D}"/>
    <cellStyle name="Linked Cell 18 2 2 2 6 3" xfId="18955" xr:uid="{984352F9-9184-4CC5-BF02-0DDA55FFCCA4}"/>
    <cellStyle name="Linked Cell 18 2 2 2 7" xfId="18956" xr:uid="{B55C9F12-4890-4CCB-A313-594CD783CAF9}"/>
    <cellStyle name="Linked Cell 18 2 2 2 7 2" xfId="18957" xr:uid="{215700AF-E1E7-4EB7-9AF3-DF8CCAC3E234}"/>
    <cellStyle name="Linked Cell 18 2 2 2 7 2 2" xfId="18958" xr:uid="{10AE1FBC-B53A-4051-A27B-3AFDDF9C87E0}"/>
    <cellStyle name="Linked Cell 18 2 2 2 7 3" xfId="18959" xr:uid="{8F2F7A42-CFFA-47B7-847A-C3082A496E2A}"/>
    <cellStyle name="Linked Cell 18 2 2 2 8" xfId="18960" xr:uid="{706BB2B2-DCF2-49B6-85DC-512338129D05}"/>
    <cellStyle name="Linked Cell 18 2 2 2 8 2" xfId="18961" xr:uid="{ADBC9ACE-D459-4841-911D-29F2FEC61664}"/>
    <cellStyle name="Linked Cell 18 2 2 2 8 2 2" xfId="18962" xr:uid="{B4E80ACF-641E-4322-B409-46E450AD7996}"/>
    <cellStyle name="Linked Cell 18 2 2 2 8 3" xfId="18963" xr:uid="{3728B40F-A1EE-4334-AE6E-013C42F42F92}"/>
    <cellStyle name="Linked Cell 18 2 2 2 9" xfId="18964" xr:uid="{D818383F-EFEC-40CC-AA8B-08FD0F92A146}"/>
    <cellStyle name="Linked Cell 18 2 2 2 9 2" xfId="18965" xr:uid="{97FCFD32-EC5F-4BD9-89C6-BB828C08EA5D}"/>
    <cellStyle name="Linked Cell 18 2 2 2 9 2 2" xfId="18966" xr:uid="{AF019F8A-3FEB-453D-88D0-EA468597AD38}"/>
    <cellStyle name="Linked Cell 18 2 2 2 9 3" xfId="18967" xr:uid="{B1A82D3B-32A1-4651-9FD9-41436DFCA16B}"/>
    <cellStyle name="Linked Cell 18 2 2 3" xfId="18968" xr:uid="{0A778CAF-1774-476A-9200-AF496FD39964}"/>
    <cellStyle name="Linked Cell 18 2 2 3 10" xfId="18969" xr:uid="{57486F5B-392E-4D0D-ADC8-A06178D9AEF4}"/>
    <cellStyle name="Linked Cell 18 2 2 3 10 2" xfId="18970" xr:uid="{93370AE3-F43F-434C-856F-1547DBD8B4FD}"/>
    <cellStyle name="Linked Cell 18 2 2 3 10 2 2" xfId="18971" xr:uid="{4E3B16FF-5293-47B6-9CD7-AD954E98AD03}"/>
    <cellStyle name="Linked Cell 18 2 2 3 10 3" xfId="18972" xr:uid="{5DD9554A-B49D-4BEA-A1F3-1083A4CD1808}"/>
    <cellStyle name="Linked Cell 18 2 2 3 11" xfId="18973" xr:uid="{110FD103-A151-4584-AC42-0F024FE1E57D}"/>
    <cellStyle name="Linked Cell 18 2 2 3 11 2" xfId="18974" xr:uid="{C93B0566-A9CD-4FCB-9F8D-8CD82188CE11}"/>
    <cellStyle name="Linked Cell 18 2 2 3 12" xfId="18975" xr:uid="{8C001391-F260-4491-B676-8205DD094EFD}"/>
    <cellStyle name="Linked Cell 18 2 2 3 2" xfId="18976" xr:uid="{A2616C11-0F7F-42C9-9A18-277736A32B93}"/>
    <cellStyle name="Linked Cell 18 2 2 3 2 10" xfId="18977" xr:uid="{3D6EA448-3A7F-41CB-95D8-BE0205FBD384}"/>
    <cellStyle name="Linked Cell 18 2 2 3 2 10 2" xfId="18978" xr:uid="{2B6D9B4F-8C0B-4B1B-8E34-2B42A1E997F8}"/>
    <cellStyle name="Linked Cell 18 2 2 3 2 11" xfId="18979" xr:uid="{639CD108-F2C8-4D24-8526-788B78761CC1}"/>
    <cellStyle name="Linked Cell 18 2 2 3 2 2" xfId="18980" xr:uid="{47DECD6B-AECB-48F6-A8A4-042A90C3A869}"/>
    <cellStyle name="Linked Cell 18 2 2 3 2 2 2" xfId="18981" xr:uid="{1AAE49B2-2B93-4F73-8357-FC6BCB47ECC0}"/>
    <cellStyle name="Linked Cell 18 2 2 3 2 2 2 2" xfId="18982" xr:uid="{B5F0C39D-AAFC-4002-9219-04056EE61B77}"/>
    <cellStyle name="Linked Cell 18 2 2 3 2 2 3" xfId="18983" xr:uid="{A0B070D6-38DB-4571-843A-ACFD8A9BABD0}"/>
    <cellStyle name="Linked Cell 18 2 2 3 2 3" xfId="18984" xr:uid="{D38BAADF-0EAF-4106-9CFB-519469B472FD}"/>
    <cellStyle name="Linked Cell 18 2 2 3 2 3 2" xfId="18985" xr:uid="{31DE4A14-90B2-40FD-9744-8E8A6653596A}"/>
    <cellStyle name="Linked Cell 18 2 2 3 2 3 2 2" xfId="18986" xr:uid="{F7923EA3-EF90-46C9-B7D6-4D7D47A28CEB}"/>
    <cellStyle name="Linked Cell 18 2 2 3 2 3 3" xfId="18987" xr:uid="{EBF9A08E-083E-4380-AF28-15D7D707F8EA}"/>
    <cellStyle name="Linked Cell 18 2 2 3 2 4" xfId="18988" xr:uid="{C562A211-964D-47A4-B78A-D85C09977161}"/>
    <cellStyle name="Linked Cell 18 2 2 3 2 4 2" xfId="18989" xr:uid="{005DD4FB-13D2-44DC-B9BE-16D6BCF9BEB4}"/>
    <cellStyle name="Linked Cell 18 2 2 3 2 4 2 2" xfId="18990" xr:uid="{EC0E97A0-5351-46EB-A203-69FF2D34EEF3}"/>
    <cellStyle name="Linked Cell 18 2 2 3 2 4 3" xfId="18991" xr:uid="{FBCDA84B-0C97-4EDA-8CD0-04CC56F7C051}"/>
    <cellStyle name="Linked Cell 18 2 2 3 2 5" xfId="18992" xr:uid="{26114E4C-969A-45E0-A488-60338A1C12D7}"/>
    <cellStyle name="Linked Cell 18 2 2 3 2 5 2" xfId="18993" xr:uid="{C2DAE818-6737-4DC6-892E-011A2763F456}"/>
    <cellStyle name="Linked Cell 18 2 2 3 2 5 2 2" xfId="18994" xr:uid="{B9D1E849-29D6-4CDA-AD23-C4AE11B16551}"/>
    <cellStyle name="Linked Cell 18 2 2 3 2 5 3" xfId="18995" xr:uid="{11220313-D6D1-4203-846C-6FA554A74964}"/>
    <cellStyle name="Linked Cell 18 2 2 3 2 6" xfId="18996" xr:uid="{F417264D-8585-40C8-A64D-A7EE377FFE2E}"/>
    <cellStyle name="Linked Cell 18 2 2 3 2 6 2" xfId="18997" xr:uid="{3AD97DBF-2287-4E1F-977B-7153AFA79928}"/>
    <cellStyle name="Linked Cell 18 2 2 3 2 6 2 2" xfId="18998" xr:uid="{7B4DBC28-E3CC-4EBB-AE26-E72E9A1A066D}"/>
    <cellStyle name="Linked Cell 18 2 2 3 2 6 3" xfId="18999" xr:uid="{BC0A57B2-883C-4344-AADB-6AF569D97B8C}"/>
    <cellStyle name="Linked Cell 18 2 2 3 2 7" xfId="19000" xr:uid="{FF020700-5460-49A0-8A40-2D496650C3C4}"/>
    <cellStyle name="Linked Cell 18 2 2 3 2 7 2" xfId="19001" xr:uid="{F3449410-5F9B-477C-8F92-3F38A37B0C88}"/>
    <cellStyle name="Linked Cell 18 2 2 3 2 7 2 2" xfId="19002" xr:uid="{5B7F16C3-DBC3-4B91-A348-018165CF64AD}"/>
    <cellStyle name="Linked Cell 18 2 2 3 2 7 3" xfId="19003" xr:uid="{324311CF-6059-4927-A93D-22A56DD5EFC5}"/>
    <cellStyle name="Linked Cell 18 2 2 3 2 8" xfId="19004" xr:uid="{A6AEBF0A-CE14-4E62-A2FC-C675A24AA00C}"/>
    <cellStyle name="Linked Cell 18 2 2 3 2 8 2" xfId="19005" xr:uid="{A23A43E6-C79E-4257-BDEE-E77229BA40D0}"/>
    <cellStyle name="Linked Cell 18 2 2 3 2 8 2 2" xfId="19006" xr:uid="{F3015B24-4352-4017-A223-5CDB3CD5633B}"/>
    <cellStyle name="Linked Cell 18 2 2 3 2 8 3" xfId="19007" xr:uid="{7DE5F866-055D-40FE-9711-17F16D493746}"/>
    <cellStyle name="Linked Cell 18 2 2 3 2 9" xfId="19008" xr:uid="{9CFCAFAF-A6B0-4257-AD8B-88D6C200ACD2}"/>
    <cellStyle name="Linked Cell 18 2 2 3 2 9 2" xfId="19009" xr:uid="{C35E0C72-9734-492D-8851-97C468D9BAE0}"/>
    <cellStyle name="Linked Cell 18 2 2 3 2 9 2 2" xfId="19010" xr:uid="{76819290-A1CD-4656-844E-80FFBF36C532}"/>
    <cellStyle name="Linked Cell 18 2 2 3 2 9 3" xfId="19011" xr:uid="{91750D17-F18C-4B22-8E70-7C78EFB2A297}"/>
    <cellStyle name="Linked Cell 18 2 2 3 3" xfId="19012" xr:uid="{B715D5B9-36B2-40C8-B134-E81CC0D5FB6F}"/>
    <cellStyle name="Linked Cell 18 2 2 3 3 2" xfId="19013" xr:uid="{0C9B7D2B-33A9-4BE6-94CB-62146CDA0DF8}"/>
    <cellStyle name="Linked Cell 18 2 2 3 3 2 2" xfId="19014" xr:uid="{E9B3CACF-DAC7-4B09-88B2-5D3B37671FAD}"/>
    <cellStyle name="Linked Cell 18 2 2 3 3 3" xfId="19015" xr:uid="{BABEA22F-E9C4-48AD-8D46-4B9BE51E4875}"/>
    <cellStyle name="Linked Cell 18 2 2 3 4" xfId="19016" xr:uid="{DD81BF95-7FC0-483F-85D5-589B324EDBE2}"/>
    <cellStyle name="Linked Cell 18 2 2 3 4 2" xfId="19017" xr:uid="{7C1FB72E-5788-4106-AC1F-F23BD2679662}"/>
    <cellStyle name="Linked Cell 18 2 2 3 4 2 2" xfId="19018" xr:uid="{553697BA-46B3-4C89-ADC3-5613DBE6B640}"/>
    <cellStyle name="Linked Cell 18 2 2 3 4 3" xfId="19019" xr:uid="{79D47DCB-C7B7-4CAB-8F44-E626B84633CA}"/>
    <cellStyle name="Linked Cell 18 2 2 3 5" xfId="19020" xr:uid="{0F01B315-447D-4618-BDD1-1BDC31EB5B4B}"/>
    <cellStyle name="Linked Cell 18 2 2 3 5 2" xfId="19021" xr:uid="{0FB739F7-F064-491F-978C-C700CAB9A158}"/>
    <cellStyle name="Linked Cell 18 2 2 3 5 2 2" xfId="19022" xr:uid="{351D9EDC-4071-4F48-9B3C-81650CFCC599}"/>
    <cellStyle name="Linked Cell 18 2 2 3 5 3" xfId="19023" xr:uid="{3FAC4489-57AE-42F8-893C-A138D99CB7DB}"/>
    <cellStyle name="Linked Cell 18 2 2 3 6" xfId="19024" xr:uid="{8401D219-0AC8-437B-9B22-5508F00344BB}"/>
    <cellStyle name="Linked Cell 18 2 2 3 6 2" xfId="19025" xr:uid="{12E4D77D-9B4D-40DC-9F12-2CC84841580E}"/>
    <cellStyle name="Linked Cell 18 2 2 3 6 2 2" xfId="19026" xr:uid="{F73E72A5-CD4A-4C08-AEBF-2F596EC02DB2}"/>
    <cellStyle name="Linked Cell 18 2 2 3 6 3" xfId="19027" xr:uid="{01B34123-4A8F-4842-8080-772C75BF8023}"/>
    <cellStyle name="Linked Cell 18 2 2 3 7" xfId="19028" xr:uid="{C557602B-70B5-4DC7-814A-DFB9F5A99CC3}"/>
    <cellStyle name="Linked Cell 18 2 2 3 7 2" xfId="19029" xr:uid="{30499711-5B0B-41CB-ACC3-34A68794B449}"/>
    <cellStyle name="Linked Cell 18 2 2 3 7 2 2" xfId="19030" xr:uid="{233F791D-B26A-4731-A31E-5DBCE8AE3F99}"/>
    <cellStyle name="Linked Cell 18 2 2 3 7 3" xfId="19031" xr:uid="{FF1621E4-C55A-4676-9BE2-EC741C4AF509}"/>
    <cellStyle name="Linked Cell 18 2 2 3 8" xfId="19032" xr:uid="{B225BE5F-C998-439D-98F9-19E25E5C70A3}"/>
    <cellStyle name="Linked Cell 18 2 2 3 8 2" xfId="19033" xr:uid="{126691FE-1F49-49AA-8E6D-E27F15B6874A}"/>
    <cellStyle name="Linked Cell 18 2 2 3 8 2 2" xfId="19034" xr:uid="{00AA61AF-BC5D-468D-B90B-BE5D61E78BA8}"/>
    <cellStyle name="Linked Cell 18 2 2 3 8 3" xfId="19035" xr:uid="{D9B3652F-B95C-457A-94ED-A36F2BBE1942}"/>
    <cellStyle name="Linked Cell 18 2 2 3 9" xfId="19036" xr:uid="{F9191DAC-4ED2-4763-82BE-D3566B9A7174}"/>
    <cellStyle name="Linked Cell 18 2 2 3 9 2" xfId="19037" xr:uid="{134ADC3C-DDC5-4F70-8567-715F349489D9}"/>
    <cellStyle name="Linked Cell 18 2 2 3 9 2 2" xfId="19038" xr:uid="{0477336B-EC86-45F4-9DB1-24699BD29719}"/>
    <cellStyle name="Linked Cell 18 2 2 3 9 3" xfId="19039" xr:uid="{B453DF05-1793-4733-A451-26CA30CB8BB8}"/>
    <cellStyle name="Linked Cell 18 2 2 4" xfId="19040" xr:uid="{8AE293E0-3AA4-44A5-A934-D1671E176C55}"/>
    <cellStyle name="Linked Cell 18 2 2 4 10" xfId="19041" xr:uid="{C34404DB-939B-474E-97D1-9D67A421E0C6}"/>
    <cellStyle name="Linked Cell 18 2 2 4 10 2" xfId="19042" xr:uid="{9D93B8BE-8808-4871-96E6-F323B14A5730}"/>
    <cellStyle name="Linked Cell 18 2 2 4 11" xfId="19043" xr:uid="{A5ABCE50-C20C-4D6E-BC9D-F144F7D0507B}"/>
    <cellStyle name="Linked Cell 18 2 2 4 2" xfId="19044" xr:uid="{734F9E26-76CE-4142-9ED6-85528EAF9F6A}"/>
    <cellStyle name="Linked Cell 18 2 2 4 2 2" xfId="19045" xr:uid="{C1B0252D-632F-44CA-9F6F-CC2EF79B4902}"/>
    <cellStyle name="Linked Cell 18 2 2 4 2 2 2" xfId="19046" xr:uid="{A62A9450-37CD-4105-B35A-89FDCCF8A033}"/>
    <cellStyle name="Linked Cell 18 2 2 4 2 3" xfId="19047" xr:uid="{14F76E26-FC6E-4495-9788-1D7AC756D2F7}"/>
    <cellStyle name="Linked Cell 18 2 2 4 3" xfId="19048" xr:uid="{01619179-679E-4C70-B440-FBFE984D3D4E}"/>
    <cellStyle name="Linked Cell 18 2 2 4 3 2" xfId="19049" xr:uid="{83B77F14-DB3D-4D7C-AF1B-B5CB4457A0E9}"/>
    <cellStyle name="Linked Cell 18 2 2 4 3 2 2" xfId="19050" xr:uid="{23441744-BA6D-44E3-95AD-87593EE731D4}"/>
    <cellStyle name="Linked Cell 18 2 2 4 3 3" xfId="19051" xr:uid="{07D4CC42-07D9-4DC6-B78C-0B0418C1097F}"/>
    <cellStyle name="Linked Cell 18 2 2 4 4" xfId="19052" xr:uid="{5DE33474-2178-4205-A453-CAB7D71E0AE8}"/>
    <cellStyle name="Linked Cell 18 2 2 4 4 2" xfId="19053" xr:uid="{3A8AB80C-C9FD-4114-B804-74D463F90A36}"/>
    <cellStyle name="Linked Cell 18 2 2 4 4 2 2" xfId="19054" xr:uid="{604BC438-7B22-497A-A205-A91927114A83}"/>
    <cellStyle name="Linked Cell 18 2 2 4 4 3" xfId="19055" xr:uid="{B8B1B9EC-F072-4204-ABBE-5F512E993B33}"/>
    <cellStyle name="Linked Cell 18 2 2 4 5" xfId="19056" xr:uid="{9A0CB1CC-6FB0-407D-AFFF-AA022E9CDEE6}"/>
    <cellStyle name="Linked Cell 18 2 2 4 5 2" xfId="19057" xr:uid="{832AC6F0-1D13-43EB-9EC2-9A8EEEEBC3ED}"/>
    <cellStyle name="Linked Cell 18 2 2 4 5 2 2" xfId="19058" xr:uid="{8759762A-AA8F-4809-B882-B6BF66C1FFB9}"/>
    <cellStyle name="Linked Cell 18 2 2 4 5 3" xfId="19059" xr:uid="{C7FA42D3-4FD5-48AB-B65A-97F9F2722139}"/>
    <cellStyle name="Linked Cell 18 2 2 4 6" xfId="19060" xr:uid="{5219787B-7A26-4E4E-AED2-A7F9FD719AD9}"/>
    <cellStyle name="Linked Cell 18 2 2 4 6 2" xfId="19061" xr:uid="{401534DD-EEE9-45D8-A60B-3645C033E1E7}"/>
    <cellStyle name="Linked Cell 18 2 2 4 6 2 2" xfId="19062" xr:uid="{B675CA66-F0FC-4347-82CD-8EEF5BCDA377}"/>
    <cellStyle name="Linked Cell 18 2 2 4 6 3" xfId="19063" xr:uid="{01BEEC5E-C90D-437F-889A-87BC751197C4}"/>
    <cellStyle name="Linked Cell 18 2 2 4 7" xfId="19064" xr:uid="{56C7150B-C76F-4855-AE50-F24F6E74D7A2}"/>
    <cellStyle name="Linked Cell 18 2 2 4 7 2" xfId="19065" xr:uid="{86C0866F-ED91-434D-8F1C-383FFB0B63BA}"/>
    <cellStyle name="Linked Cell 18 2 2 4 7 2 2" xfId="19066" xr:uid="{A23C5E62-5D94-4319-8D19-ED10E1E3AE88}"/>
    <cellStyle name="Linked Cell 18 2 2 4 7 3" xfId="19067" xr:uid="{EFC8C1C3-5E56-419A-97DC-4567299C2184}"/>
    <cellStyle name="Linked Cell 18 2 2 4 8" xfId="19068" xr:uid="{09C68E19-A549-4626-821B-C76C9E1291A4}"/>
    <cellStyle name="Linked Cell 18 2 2 4 8 2" xfId="19069" xr:uid="{8A9F41F2-ECA1-4110-BF58-3DDB84B21325}"/>
    <cellStyle name="Linked Cell 18 2 2 4 8 2 2" xfId="19070" xr:uid="{AB93151C-FE64-44FD-B03F-66DE10101149}"/>
    <cellStyle name="Linked Cell 18 2 2 4 8 3" xfId="19071" xr:uid="{54477CB6-3388-4BB7-BC6C-5ABAD00782B5}"/>
    <cellStyle name="Linked Cell 18 2 2 4 9" xfId="19072" xr:uid="{07D7E774-4465-4AE0-AFB4-EFECFDE46606}"/>
    <cellStyle name="Linked Cell 18 2 2 4 9 2" xfId="19073" xr:uid="{61F31CA4-FDB9-43AC-BA10-9389A53F0FD9}"/>
    <cellStyle name="Linked Cell 18 2 2 4 9 2 2" xfId="19074" xr:uid="{A1672C93-0EE7-4F6E-8176-B00482278885}"/>
    <cellStyle name="Linked Cell 18 2 2 4 9 3" xfId="19075" xr:uid="{2F477860-0EE6-46F2-A05C-DF9D9F25E53B}"/>
    <cellStyle name="Linked Cell 18 2 2 5" xfId="19076" xr:uid="{A6D28D0B-AA7E-4C8D-A791-73AB4FF9B9C4}"/>
    <cellStyle name="Linked Cell 18 2 2 5 2" xfId="19077" xr:uid="{1C911329-03EE-4457-9678-C96220E22035}"/>
    <cellStyle name="Linked Cell 18 2 2 5 2 2" xfId="19078" xr:uid="{64D8EA34-EB5F-4485-9CA1-1416EAA16654}"/>
    <cellStyle name="Linked Cell 18 2 2 5 3" xfId="19079" xr:uid="{F713D9A9-2539-472E-886B-FC053AC51D25}"/>
    <cellStyle name="Linked Cell 18 2 2 6" xfId="19080" xr:uid="{C3BD8900-475A-41F8-A685-CC1E785C0301}"/>
    <cellStyle name="Linked Cell 18 2 2 6 2" xfId="19081" xr:uid="{5F4375A4-B300-4266-9962-F0D405153C79}"/>
    <cellStyle name="Linked Cell 18 2 2 6 2 2" xfId="19082" xr:uid="{599C6D4E-A028-4377-B661-60F1532FD5AB}"/>
    <cellStyle name="Linked Cell 18 2 2 6 3" xfId="19083" xr:uid="{0F7D6DE3-978E-4A57-A5C2-4B64F44CF6D4}"/>
    <cellStyle name="Linked Cell 18 2 2 7" xfId="19084" xr:uid="{D0F9FA2E-F19D-48E6-A27F-65BD175592EF}"/>
    <cellStyle name="Linked Cell 18 2 2 7 2" xfId="19085" xr:uid="{CD53F6E1-2B23-483E-A015-E019750BA21E}"/>
    <cellStyle name="Linked Cell 18 2 2 7 2 2" xfId="19086" xr:uid="{CDF828FF-7BD8-46E2-AA7A-CE3F038A2F87}"/>
    <cellStyle name="Linked Cell 18 2 2 7 3" xfId="19087" xr:uid="{78ADB743-A12A-49CE-B444-8DF57382FF1F}"/>
    <cellStyle name="Linked Cell 18 2 2 8" xfId="19088" xr:uid="{880CD9F8-F88E-4A7C-B480-1A47B03CF4FC}"/>
    <cellStyle name="Linked Cell 18 2 2 8 2" xfId="19089" xr:uid="{499E11A3-EF26-4432-ADCF-831F6DD77BF6}"/>
    <cellStyle name="Linked Cell 18 2 2 8 2 2" xfId="19090" xr:uid="{A33A34C9-8DEC-4E60-A62B-7D862232B98B}"/>
    <cellStyle name="Linked Cell 18 2 2 8 3" xfId="19091" xr:uid="{E55905B9-5A02-42AB-A81B-8B5A3B9D3F65}"/>
    <cellStyle name="Linked Cell 18 2 2 9" xfId="19092" xr:uid="{9C0504A5-21E7-45C8-ADBB-E5A261261843}"/>
    <cellStyle name="Linked Cell 18 2 2 9 2" xfId="19093" xr:uid="{5AF927CA-C18A-4D0A-885D-C7710D16A12B}"/>
    <cellStyle name="Linked Cell 18 2 2 9 2 2" xfId="19094" xr:uid="{9F9C179B-700F-4F29-B0EC-4935F66702F8}"/>
    <cellStyle name="Linked Cell 18 2 2 9 3" xfId="19095" xr:uid="{420C1581-3BE2-4A9F-8867-98CC06316188}"/>
    <cellStyle name="Linked Cell 18 2 3" xfId="19096" xr:uid="{616746C0-06D9-4ECB-A9AC-5881B7AE0633}"/>
    <cellStyle name="Linked Cell 18 2 3 10" xfId="19097" xr:uid="{AC5BA92D-2CEA-4C43-8B4C-710E0C9556A0}"/>
    <cellStyle name="Linked Cell 18 2 3 10 2" xfId="19098" xr:uid="{9B18E344-0441-40E0-9812-06101C47CF5B}"/>
    <cellStyle name="Linked Cell 18 2 3 10 2 2" xfId="19099" xr:uid="{CE9D529E-3219-40EE-92B6-29733B086530}"/>
    <cellStyle name="Linked Cell 18 2 3 10 3" xfId="19100" xr:uid="{DF1804F5-A97E-42E1-BB76-09D535045DFB}"/>
    <cellStyle name="Linked Cell 18 2 3 11" xfId="19101" xr:uid="{F47C70E8-9FE5-4AC7-8CA9-DF03F56B5F67}"/>
    <cellStyle name="Linked Cell 18 2 3 11 2" xfId="19102" xr:uid="{EBD742A0-5C43-46A9-B95F-7BD4AEA04BD0}"/>
    <cellStyle name="Linked Cell 18 2 3 11 2 2" xfId="19103" xr:uid="{98EB7885-0AE8-44B3-A6A1-71BA96EF049C}"/>
    <cellStyle name="Linked Cell 18 2 3 11 3" xfId="19104" xr:uid="{24A105E8-B0C3-4A58-B9C5-39F52CC8F490}"/>
    <cellStyle name="Linked Cell 18 2 3 12" xfId="19105" xr:uid="{8A5389A8-FB56-4917-A8CA-2D436228024E}"/>
    <cellStyle name="Linked Cell 18 2 3 12 2" xfId="19106" xr:uid="{977F3F07-005C-4EDB-93E5-CAA2BE2C311D}"/>
    <cellStyle name="Linked Cell 18 2 3 13" xfId="19107" xr:uid="{2E2666C0-4F68-4885-9C31-05399CF6F081}"/>
    <cellStyle name="Linked Cell 18 2 3 2" xfId="19108" xr:uid="{F298F0E7-39DC-4BB6-93FF-B2E471AE1CD6}"/>
    <cellStyle name="Linked Cell 18 2 3 2 10" xfId="19109" xr:uid="{F0D14C9B-AEB8-44B6-8A5F-E5CD0B6E9C14}"/>
    <cellStyle name="Linked Cell 18 2 3 2 10 2" xfId="19110" xr:uid="{61DC673C-91EC-4711-ABAA-249264D3F700}"/>
    <cellStyle name="Linked Cell 18 2 3 2 10 2 2" xfId="19111" xr:uid="{DF0B354B-4913-4AB0-B2C2-3A8ED90385E4}"/>
    <cellStyle name="Linked Cell 18 2 3 2 10 3" xfId="19112" xr:uid="{F9B7BA32-8FC3-4BD8-ACEC-C898820D0992}"/>
    <cellStyle name="Linked Cell 18 2 3 2 11" xfId="19113" xr:uid="{1FEA1E1B-C6FA-472E-97EE-0790D1E50E4C}"/>
    <cellStyle name="Linked Cell 18 2 3 2 11 2" xfId="19114" xr:uid="{8F669790-3FD3-4EFE-B55A-457FAD3534C5}"/>
    <cellStyle name="Linked Cell 18 2 3 2 12" xfId="19115" xr:uid="{531F913E-5E4C-445A-B265-1F7983D08270}"/>
    <cellStyle name="Linked Cell 18 2 3 2 2" xfId="19116" xr:uid="{CF962E60-F43B-4FAA-92DC-85B5BCD3EA6D}"/>
    <cellStyle name="Linked Cell 18 2 3 2 2 2" xfId="19117" xr:uid="{32ACE772-8B44-4857-B975-4CCFC624B978}"/>
    <cellStyle name="Linked Cell 18 2 3 2 2 2 2" xfId="19118" xr:uid="{F034A8FF-D7A0-4040-B783-B7F8EFDF6E65}"/>
    <cellStyle name="Linked Cell 18 2 3 2 2 3" xfId="19119" xr:uid="{DEFD6FCD-C0CD-4A85-84A2-5CCAA1E8D430}"/>
    <cellStyle name="Linked Cell 18 2 3 2 3" xfId="19120" xr:uid="{BEFC9A2B-55C1-450C-A063-EE697022CD2E}"/>
    <cellStyle name="Linked Cell 18 2 3 2 3 2" xfId="19121" xr:uid="{1ACD67CD-6789-4357-885F-67CE43CA650E}"/>
    <cellStyle name="Linked Cell 18 2 3 2 3 2 2" xfId="19122" xr:uid="{DA437A13-AF6C-4F3D-B5F0-65C9B0B6C60B}"/>
    <cellStyle name="Linked Cell 18 2 3 2 3 3" xfId="19123" xr:uid="{E955BFD0-6C63-419E-9093-F1B4BDF8F17C}"/>
    <cellStyle name="Linked Cell 18 2 3 2 4" xfId="19124" xr:uid="{F90EDEC1-D751-4FB9-B269-BB0DBAFFCF8A}"/>
    <cellStyle name="Linked Cell 18 2 3 2 4 2" xfId="19125" xr:uid="{FBF564E7-608A-44D3-9467-CE012553F9C9}"/>
    <cellStyle name="Linked Cell 18 2 3 2 4 2 2" xfId="19126" xr:uid="{77B7F5BD-B12F-4090-ABE2-B64D59F65601}"/>
    <cellStyle name="Linked Cell 18 2 3 2 4 3" xfId="19127" xr:uid="{01D1F92E-6FF4-415D-AA0B-F5A442085324}"/>
    <cellStyle name="Linked Cell 18 2 3 2 5" xfId="19128" xr:uid="{7CB2F4BA-4331-49BC-BDB4-A12FF4B8806A}"/>
    <cellStyle name="Linked Cell 18 2 3 2 5 2" xfId="19129" xr:uid="{AB8D1F6C-2B0D-40C1-B6E2-977FB3DAE257}"/>
    <cellStyle name="Linked Cell 18 2 3 2 5 2 2" xfId="19130" xr:uid="{DFCA91F5-6A26-4E22-88E0-153963BE4E70}"/>
    <cellStyle name="Linked Cell 18 2 3 2 5 3" xfId="19131" xr:uid="{19E06117-3460-4FB3-864F-9A0F3CEE657F}"/>
    <cellStyle name="Linked Cell 18 2 3 2 6" xfId="19132" xr:uid="{EA276668-735A-4841-B69A-40A43837621C}"/>
    <cellStyle name="Linked Cell 18 2 3 2 6 2" xfId="19133" xr:uid="{E2B2F43E-4FFF-44D0-BF12-2EFEB71BE20E}"/>
    <cellStyle name="Linked Cell 18 2 3 2 6 2 2" xfId="19134" xr:uid="{AD7D4063-1752-43ED-A976-AFBD86FDE9EF}"/>
    <cellStyle name="Linked Cell 18 2 3 2 6 3" xfId="19135" xr:uid="{D7E10C32-ABF0-4F9B-BC52-2265D96EF3EC}"/>
    <cellStyle name="Linked Cell 18 2 3 2 7" xfId="19136" xr:uid="{F2EE0783-3B85-4FC4-A514-E81DA2920C48}"/>
    <cellStyle name="Linked Cell 18 2 3 2 7 2" xfId="19137" xr:uid="{946EEAEF-29C5-42A1-8E45-6A041BEEAFEB}"/>
    <cellStyle name="Linked Cell 18 2 3 2 7 2 2" xfId="19138" xr:uid="{61C15A1C-3C95-41C8-96FE-D8D3EF9B1260}"/>
    <cellStyle name="Linked Cell 18 2 3 2 7 3" xfId="19139" xr:uid="{7DB0C43A-D950-4C0C-ADEC-99C531BF36C1}"/>
    <cellStyle name="Linked Cell 18 2 3 2 8" xfId="19140" xr:uid="{E6EF48A5-B862-4DDD-9574-CF2BE305288D}"/>
    <cellStyle name="Linked Cell 18 2 3 2 8 2" xfId="19141" xr:uid="{4FDDDB22-FD85-4D44-83E1-B118B262FAD8}"/>
    <cellStyle name="Linked Cell 18 2 3 2 8 2 2" xfId="19142" xr:uid="{F6F9A4AE-7572-42B1-8CC0-2E98628AB213}"/>
    <cellStyle name="Linked Cell 18 2 3 2 8 3" xfId="19143" xr:uid="{4BFE88A6-BA71-42E6-A693-8E946E6E62FA}"/>
    <cellStyle name="Linked Cell 18 2 3 2 9" xfId="19144" xr:uid="{CD701354-64F7-4398-AC69-9ED602A6AA08}"/>
    <cellStyle name="Linked Cell 18 2 3 2 9 2" xfId="19145" xr:uid="{978969BB-762C-421D-8620-A04576E69BA3}"/>
    <cellStyle name="Linked Cell 18 2 3 2 9 2 2" xfId="19146" xr:uid="{D43C03A9-65C6-427D-A70E-641FF171F3B8}"/>
    <cellStyle name="Linked Cell 18 2 3 2 9 3" xfId="19147" xr:uid="{C1A41282-AD62-4B4D-BC91-6377A86D5B3C}"/>
    <cellStyle name="Linked Cell 18 2 3 3" xfId="19148" xr:uid="{856FC370-60F8-40FF-83DF-BF21E67214F2}"/>
    <cellStyle name="Linked Cell 18 2 3 3 10" xfId="19149" xr:uid="{952A71A7-688E-4647-8332-7401D4F2A8F7}"/>
    <cellStyle name="Linked Cell 18 2 3 3 10 2" xfId="19150" xr:uid="{492C710E-286B-48FD-ADDA-FCDB3F2BDC02}"/>
    <cellStyle name="Linked Cell 18 2 3 3 11" xfId="19151" xr:uid="{B8A53585-2E6C-47FF-92D1-BB2549C3C315}"/>
    <cellStyle name="Linked Cell 18 2 3 3 2" xfId="19152" xr:uid="{F2BAD4EF-9291-4B08-ADED-CCAE664EAF01}"/>
    <cellStyle name="Linked Cell 18 2 3 3 2 2" xfId="19153" xr:uid="{01DFA367-6CF3-4B1A-A680-6D893E75D54A}"/>
    <cellStyle name="Linked Cell 18 2 3 3 2 2 2" xfId="19154" xr:uid="{ED8DEC83-6391-42FC-8B0B-D29CD8A59259}"/>
    <cellStyle name="Linked Cell 18 2 3 3 2 3" xfId="19155" xr:uid="{DE87B1B2-2DB3-40E3-8CF5-A57D3078519F}"/>
    <cellStyle name="Linked Cell 18 2 3 3 3" xfId="19156" xr:uid="{3A5AB870-66B6-4663-A058-816B5CE2DF4E}"/>
    <cellStyle name="Linked Cell 18 2 3 3 3 2" xfId="19157" xr:uid="{A9D7C6F6-59DB-4F1E-87A3-8F31B16F0C93}"/>
    <cellStyle name="Linked Cell 18 2 3 3 3 2 2" xfId="19158" xr:uid="{CB98609B-50A2-447B-9249-F9928DDBE6C4}"/>
    <cellStyle name="Linked Cell 18 2 3 3 3 3" xfId="19159" xr:uid="{9A180177-AA4A-4057-8E39-DF1B108D1B33}"/>
    <cellStyle name="Linked Cell 18 2 3 3 4" xfId="19160" xr:uid="{4B0EB3D9-6519-4B2F-BA4A-536113333634}"/>
    <cellStyle name="Linked Cell 18 2 3 3 4 2" xfId="19161" xr:uid="{09D578B1-0E0B-42F5-A785-056F33744CF6}"/>
    <cellStyle name="Linked Cell 18 2 3 3 4 2 2" xfId="19162" xr:uid="{F0127AF9-C622-49D4-B522-891D50E82957}"/>
    <cellStyle name="Linked Cell 18 2 3 3 4 3" xfId="19163" xr:uid="{18B5A695-DEC6-4801-A541-C7C8AB3929E5}"/>
    <cellStyle name="Linked Cell 18 2 3 3 5" xfId="19164" xr:uid="{DF02FCFA-9180-4CB1-B80A-24D45FAD3E2B}"/>
    <cellStyle name="Linked Cell 18 2 3 3 5 2" xfId="19165" xr:uid="{6B5242BA-2343-4A16-A515-F2A72853A5FA}"/>
    <cellStyle name="Linked Cell 18 2 3 3 5 2 2" xfId="19166" xr:uid="{466661DF-FDA2-4187-8B30-4B29E8687976}"/>
    <cellStyle name="Linked Cell 18 2 3 3 5 3" xfId="19167" xr:uid="{7253BF26-5A0F-4559-9768-FF7F43C93263}"/>
    <cellStyle name="Linked Cell 18 2 3 3 6" xfId="19168" xr:uid="{E9C07DBA-BD4A-4161-A34B-82B1A6F4C2E1}"/>
    <cellStyle name="Linked Cell 18 2 3 3 6 2" xfId="19169" xr:uid="{5CF219CD-D10C-4754-8CB9-E5B37A674EF1}"/>
    <cellStyle name="Linked Cell 18 2 3 3 6 2 2" xfId="19170" xr:uid="{F04B262B-A312-4A8B-BB7B-1CE6E5290383}"/>
    <cellStyle name="Linked Cell 18 2 3 3 6 3" xfId="19171" xr:uid="{2A2EA5B0-6BB1-4B7B-A947-AEEED519B941}"/>
    <cellStyle name="Linked Cell 18 2 3 3 7" xfId="19172" xr:uid="{07CB0DF6-C724-4299-B7A6-E69F8698823A}"/>
    <cellStyle name="Linked Cell 18 2 3 3 7 2" xfId="19173" xr:uid="{7E6C982D-920A-4D19-A541-DC5C27F0F87E}"/>
    <cellStyle name="Linked Cell 18 2 3 3 7 2 2" xfId="19174" xr:uid="{699C465D-B2AD-491B-B0BE-6EF10E402D66}"/>
    <cellStyle name="Linked Cell 18 2 3 3 7 3" xfId="19175" xr:uid="{C8999575-ED96-468C-9797-E21F45A6AD97}"/>
    <cellStyle name="Linked Cell 18 2 3 3 8" xfId="19176" xr:uid="{00205A0B-28EF-48BC-BEBF-196B564C150C}"/>
    <cellStyle name="Linked Cell 18 2 3 3 8 2" xfId="19177" xr:uid="{1A984FC9-2E02-4724-8DB6-DA9FA4E6886C}"/>
    <cellStyle name="Linked Cell 18 2 3 3 8 2 2" xfId="19178" xr:uid="{3CB79485-61E0-4763-B7D3-94C0D277CA4C}"/>
    <cellStyle name="Linked Cell 18 2 3 3 8 3" xfId="19179" xr:uid="{826A7F65-7003-408D-B229-B4FD76577585}"/>
    <cellStyle name="Linked Cell 18 2 3 3 9" xfId="19180" xr:uid="{A5CE091B-C0CE-4232-8F86-30319BBE69E5}"/>
    <cellStyle name="Linked Cell 18 2 3 3 9 2" xfId="19181" xr:uid="{318F73B2-E576-49B6-9018-0CACD95D74FD}"/>
    <cellStyle name="Linked Cell 18 2 3 3 9 2 2" xfId="19182" xr:uid="{EA440E3A-D9A6-4F55-AEB2-5933F0990ADD}"/>
    <cellStyle name="Linked Cell 18 2 3 3 9 3" xfId="19183" xr:uid="{75A2C6D7-BF35-46A0-A54C-DDB450A40895}"/>
    <cellStyle name="Linked Cell 18 2 3 4" xfId="19184" xr:uid="{BB047DA4-9721-45C9-A63A-205983D6308E}"/>
    <cellStyle name="Linked Cell 18 2 3 4 2" xfId="19185" xr:uid="{39357CCD-030D-4DAE-B3BC-1883D3EF8D42}"/>
    <cellStyle name="Linked Cell 18 2 3 4 2 2" xfId="19186" xr:uid="{31509FA4-B4A6-464B-9BD9-4FF9589EDAD5}"/>
    <cellStyle name="Linked Cell 18 2 3 4 3" xfId="19187" xr:uid="{03AF493B-85F6-4B4D-9F5C-F3D1EB5255B5}"/>
    <cellStyle name="Linked Cell 18 2 3 5" xfId="19188" xr:uid="{047CCE24-88AD-4BC2-AE1B-E744C8D64712}"/>
    <cellStyle name="Linked Cell 18 2 3 5 2" xfId="19189" xr:uid="{2E5B3668-B596-468F-A195-901A30CF819E}"/>
    <cellStyle name="Linked Cell 18 2 3 5 2 2" xfId="19190" xr:uid="{C6EA82AC-EF84-42B1-908D-D1A0E7BE209F}"/>
    <cellStyle name="Linked Cell 18 2 3 5 3" xfId="19191" xr:uid="{8EE65E62-A1E5-4808-8E90-F5EE07CEC057}"/>
    <cellStyle name="Linked Cell 18 2 3 6" xfId="19192" xr:uid="{7B4476A2-55B7-474F-8F73-4DC49F3C2C8A}"/>
    <cellStyle name="Linked Cell 18 2 3 6 2" xfId="19193" xr:uid="{FDE31CB2-F38B-4CA5-ABF8-FAF8C8872F0E}"/>
    <cellStyle name="Linked Cell 18 2 3 6 2 2" xfId="19194" xr:uid="{A8ED0D09-9861-445D-879F-0F641BC635F5}"/>
    <cellStyle name="Linked Cell 18 2 3 6 3" xfId="19195" xr:uid="{3B4A6307-4BBE-4153-B40B-BD5F1811764B}"/>
    <cellStyle name="Linked Cell 18 2 3 7" xfId="19196" xr:uid="{DAD759E5-12E3-4439-B97F-F2F4C08B4BDC}"/>
    <cellStyle name="Linked Cell 18 2 3 7 2" xfId="19197" xr:uid="{C5EB5D2F-10C0-45CD-BD82-37F16CFF1B94}"/>
    <cellStyle name="Linked Cell 18 2 3 7 2 2" xfId="19198" xr:uid="{68F8028D-A8FD-4C16-B149-F41661E129A4}"/>
    <cellStyle name="Linked Cell 18 2 3 7 3" xfId="19199" xr:uid="{498D5988-E339-4E2E-8D47-0D3CC890F111}"/>
    <cellStyle name="Linked Cell 18 2 3 8" xfId="19200" xr:uid="{8F979EE8-187A-4487-842F-C32B79EB03C0}"/>
    <cellStyle name="Linked Cell 18 2 3 8 2" xfId="19201" xr:uid="{28293721-B55F-40D5-8969-998815EE02BA}"/>
    <cellStyle name="Linked Cell 18 2 3 8 2 2" xfId="19202" xr:uid="{9010AB79-99BA-446B-957F-23048D50069F}"/>
    <cellStyle name="Linked Cell 18 2 3 8 3" xfId="19203" xr:uid="{9C5B193E-932E-40E6-B6FF-E80452198217}"/>
    <cellStyle name="Linked Cell 18 2 3 9" xfId="19204" xr:uid="{A7D2091F-47A9-4E31-9CA0-85272FC2FDBC}"/>
    <cellStyle name="Linked Cell 18 2 3 9 2" xfId="19205" xr:uid="{ED96863A-B134-4290-A270-577B8BD38C9A}"/>
    <cellStyle name="Linked Cell 18 2 3 9 2 2" xfId="19206" xr:uid="{59183645-F8A3-4A9D-ABF1-4E20F2A31577}"/>
    <cellStyle name="Linked Cell 18 2 3 9 3" xfId="19207" xr:uid="{2681325A-13FF-41EA-B6AB-5EF5D0E32D01}"/>
    <cellStyle name="Linked Cell 18 2 4" xfId="19208" xr:uid="{46A2AA16-F7BB-4E3A-8A12-B24329E9D45A}"/>
    <cellStyle name="Linked Cell 18 2 4 10" xfId="19209" xr:uid="{DECB7062-D8C0-41B5-8DC0-56C2B482F187}"/>
    <cellStyle name="Linked Cell 18 2 4 10 2" xfId="19210" xr:uid="{D8D2EAE7-9819-4A2B-A339-5DF94DCD75AC}"/>
    <cellStyle name="Linked Cell 18 2 4 10 2 2" xfId="19211" xr:uid="{09CFB077-9FE8-46DE-84F0-B5309C8778D0}"/>
    <cellStyle name="Linked Cell 18 2 4 10 3" xfId="19212" xr:uid="{5B18987A-4BD3-44A2-863D-30DB46575355}"/>
    <cellStyle name="Linked Cell 18 2 4 11" xfId="19213" xr:uid="{0F390F73-9CFD-4B26-B303-FFE04A0FE5CD}"/>
    <cellStyle name="Linked Cell 18 2 4 11 2" xfId="19214" xr:uid="{5358DF9F-9AFA-419A-8FBD-3807C87ECC69}"/>
    <cellStyle name="Linked Cell 18 2 4 12" xfId="19215" xr:uid="{EC54E58F-9D79-41B3-B93F-B89F444C2A13}"/>
    <cellStyle name="Linked Cell 18 2 4 2" xfId="19216" xr:uid="{18ED3088-0B83-4EB4-AEBB-9135455F329E}"/>
    <cellStyle name="Linked Cell 18 2 4 2 10" xfId="19217" xr:uid="{07EAEBDF-E551-4B52-BF41-3D6D2B9FB85D}"/>
    <cellStyle name="Linked Cell 18 2 4 2 10 2" xfId="19218" xr:uid="{F2092369-7F64-463C-8F5A-8B156C7C962F}"/>
    <cellStyle name="Linked Cell 18 2 4 2 11" xfId="19219" xr:uid="{BC5F312A-9BF2-4CD0-88FA-47AEDAF586F5}"/>
    <cellStyle name="Linked Cell 18 2 4 2 2" xfId="19220" xr:uid="{8B0C7DDE-F9BA-4675-AD67-3273BA9B8481}"/>
    <cellStyle name="Linked Cell 18 2 4 2 2 2" xfId="19221" xr:uid="{BB64F4C0-97D2-4E9F-89D4-81BB1CC416D8}"/>
    <cellStyle name="Linked Cell 18 2 4 2 2 2 2" xfId="19222" xr:uid="{BA44FE1A-FCC3-4C96-8E0B-AB43CED45DDD}"/>
    <cellStyle name="Linked Cell 18 2 4 2 2 3" xfId="19223" xr:uid="{3B4FDAF4-EE0E-4F66-82E8-8B04DAEF25D6}"/>
    <cellStyle name="Linked Cell 18 2 4 2 3" xfId="19224" xr:uid="{58E6F5DD-F1E4-4B95-977B-A4EC96247D88}"/>
    <cellStyle name="Linked Cell 18 2 4 2 3 2" xfId="19225" xr:uid="{83E1A35B-5A3A-447D-BCCF-E6C8F344ECCF}"/>
    <cellStyle name="Linked Cell 18 2 4 2 3 2 2" xfId="19226" xr:uid="{DA8AF82D-3393-463E-9815-2D5C3D1AD66D}"/>
    <cellStyle name="Linked Cell 18 2 4 2 3 3" xfId="19227" xr:uid="{841AC95B-8173-4EFE-9AA6-949720B2AD71}"/>
    <cellStyle name="Linked Cell 18 2 4 2 4" xfId="19228" xr:uid="{DC15CE3E-09FB-4457-9D5D-B4D85B4D476F}"/>
    <cellStyle name="Linked Cell 18 2 4 2 4 2" xfId="19229" xr:uid="{41708716-BF4F-4C5B-A19E-6F6E59F0B4F0}"/>
    <cellStyle name="Linked Cell 18 2 4 2 4 2 2" xfId="19230" xr:uid="{4220B27C-12DD-42EC-96BD-CF70CE4C18AB}"/>
    <cellStyle name="Linked Cell 18 2 4 2 4 3" xfId="19231" xr:uid="{663DBE39-4FF0-4B1E-87D1-E9178D7100A4}"/>
    <cellStyle name="Linked Cell 18 2 4 2 5" xfId="19232" xr:uid="{75326E89-1D91-4093-B310-55095EB560E0}"/>
    <cellStyle name="Linked Cell 18 2 4 2 5 2" xfId="19233" xr:uid="{6134FBFD-E2A8-4094-BB6C-552D4409F645}"/>
    <cellStyle name="Linked Cell 18 2 4 2 5 2 2" xfId="19234" xr:uid="{3931A237-E4D5-4C53-BC70-282C6F189344}"/>
    <cellStyle name="Linked Cell 18 2 4 2 5 3" xfId="19235" xr:uid="{03A2278A-026C-41EE-843F-E017FF355134}"/>
    <cellStyle name="Linked Cell 18 2 4 2 6" xfId="19236" xr:uid="{6AA1FFC2-05D8-4803-8911-4655DF92F0FC}"/>
    <cellStyle name="Linked Cell 18 2 4 2 6 2" xfId="19237" xr:uid="{FF6E2812-0C0E-4DA1-82B0-803537399026}"/>
    <cellStyle name="Linked Cell 18 2 4 2 6 2 2" xfId="19238" xr:uid="{E12B5C35-8972-4419-A1F8-BA43E2D346A3}"/>
    <cellStyle name="Linked Cell 18 2 4 2 6 3" xfId="19239" xr:uid="{48589924-98B3-4047-A04E-1159F7DF64BC}"/>
    <cellStyle name="Linked Cell 18 2 4 2 7" xfId="19240" xr:uid="{71B3D171-7888-405B-858D-EDA1933F7672}"/>
    <cellStyle name="Linked Cell 18 2 4 2 7 2" xfId="19241" xr:uid="{12617CE8-B485-4C53-BDB0-9E2BBA6253BF}"/>
    <cellStyle name="Linked Cell 18 2 4 2 7 2 2" xfId="19242" xr:uid="{E5445ED9-0B3E-4259-9E1C-7CDF06FEA631}"/>
    <cellStyle name="Linked Cell 18 2 4 2 7 3" xfId="19243" xr:uid="{051293B0-ED22-4304-A8D0-FE01714CF0DC}"/>
    <cellStyle name="Linked Cell 18 2 4 2 8" xfId="19244" xr:uid="{DE04CD02-AB02-4263-94A0-DEBE9FB8A841}"/>
    <cellStyle name="Linked Cell 18 2 4 2 8 2" xfId="19245" xr:uid="{8A0A6886-75AB-4857-8A7C-4523479D8810}"/>
    <cellStyle name="Linked Cell 18 2 4 2 8 2 2" xfId="19246" xr:uid="{22922E4C-3C16-4F0E-B786-DBF4698ED834}"/>
    <cellStyle name="Linked Cell 18 2 4 2 8 3" xfId="19247" xr:uid="{CF26FAE0-C76A-4ECD-83EA-48BC9650D05B}"/>
    <cellStyle name="Linked Cell 18 2 4 2 9" xfId="19248" xr:uid="{F474D864-D8C3-426F-920E-9796CB76E321}"/>
    <cellStyle name="Linked Cell 18 2 4 2 9 2" xfId="19249" xr:uid="{14489473-6529-4B0A-AA02-831CC10B1D59}"/>
    <cellStyle name="Linked Cell 18 2 4 2 9 2 2" xfId="19250" xr:uid="{CB7BCC15-1296-4767-A1CF-11CA1AB6DD73}"/>
    <cellStyle name="Linked Cell 18 2 4 2 9 3" xfId="19251" xr:uid="{1558EF38-4E91-43B2-86E7-4D26CB8EFAB6}"/>
    <cellStyle name="Linked Cell 18 2 4 3" xfId="19252" xr:uid="{480E3E01-767C-4AB5-B1E9-AE3C11C0392C}"/>
    <cellStyle name="Linked Cell 18 2 4 3 2" xfId="19253" xr:uid="{ECE5EFA2-0E8E-47A1-A2A7-0B82469D7662}"/>
    <cellStyle name="Linked Cell 18 2 4 3 2 2" xfId="19254" xr:uid="{1F2CEDDF-3DAB-4748-8126-8284650841D6}"/>
    <cellStyle name="Linked Cell 18 2 4 3 3" xfId="19255" xr:uid="{2F7E82D1-092E-4B75-8854-79DC5DA2AC80}"/>
    <cellStyle name="Linked Cell 18 2 4 4" xfId="19256" xr:uid="{EA64BDD5-8EC0-4186-B5EC-3B7BC53DD218}"/>
    <cellStyle name="Linked Cell 18 2 4 4 2" xfId="19257" xr:uid="{63FEB5AF-F972-4A80-B466-40B2D16B7574}"/>
    <cellStyle name="Linked Cell 18 2 4 4 2 2" xfId="19258" xr:uid="{1176FCA9-5C00-435F-9C68-8ADEDC911026}"/>
    <cellStyle name="Linked Cell 18 2 4 4 3" xfId="19259" xr:uid="{4DBB8FEE-5B5B-4EB5-B631-738E6E230BA9}"/>
    <cellStyle name="Linked Cell 18 2 4 5" xfId="19260" xr:uid="{8B5F8D6F-845F-4499-9805-C0C4E451F717}"/>
    <cellStyle name="Linked Cell 18 2 4 5 2" xfId="19261" xr:uid="{01FC5E01-FC8A-4BA9-9821-AAA6309FA699}"/>
    <cellStyle name="Linked Cell 18 2 4 5 2 2" xfId="19262" xr:uid="{1CFE24BB-46F2-48C0-9173-8E186FBA9906}"/>
    <cellStyle name="Linked Cell 18 2 4 5 3" xfId="19263" xr:uid="{551DE2B6-BDA7-4581-9DCD-60F423523396}"/>
    <cellStyle name="Linked Cell 18 2 4 6" xfId="19264" xr:uid="{BC0A1170-3573-4A54-AF75-1138CA513D13}"/>
    <cellStyle name="Linked Cell 18 2 4 6 2" xfId="19265" xr:uid="{BB07E053-1E60-4EF4-9737-B6DDD8126228}"/>
    <cellStyle name="Linked Cell 18 2 4 6 2 2" xfId="19266" xr:uid="{9ADB7143-BD5B-462F-BF8A-F2CC712E5ED6}"/>
    <cellStyle name="Linked Cell 18 2 4 6 3" xfId="19267" xr:uid="{6ECF346C-EEFB-42FF-973E-7D0008039B17}"/>
    <cellStyle name="Linked Cell 18 2 4 7" xfId="19268" xr:uid="{282B74A3-EED6-455A-988E-0E5B3DADD69B}"/>
    <cellStyle name="Linked Cell 18 2 4 7 2" xfId="19269" xr:uid="{287221DB-9020-4A24-A364-1ACA5BC19ED1}"/>
    <cellStyle name="Linked Cell 18 2 4 7 2 2" xfId="19270" xr:uid="{F2C17678-7994-4EFC-844B-CE8B11346D59}"/>
    <cellStyle name="Linked Cell 18 2 4 7 3" xfId="19271" xr:uid="{5A794F1E-B5F8-4843-B87A-A73B496D1DDF}"/>
    <cellStyle name="Linked Cell 18 2 4 8" xfId="19272" xr:uid="{E7948589-D125-4B53-B686-0DB1660918E1}"/>
    <cellStyle name="Linked Cell 18 2 4 8 2" xfId="19273" xr:uid="{2328452C-FB0F-4445-8354-ECD78503FAB3}"/>
    <cellStyle name="Linked Cell 18 2 4 8 2 2" xfId="19274" xr:uid="{659F9AEA-F5F4-4CC2-B526-71955774B397}"/>
    <cellStyle name="Linked Cell 18 2 4 8 3" xfId="19275" xr:uid="{4CD70838-7720-4FBD-8609-B27693C34E69}"/>
    <cellStyle name="Linked Cell 18 2 4 9" xfId="19276" xr:uid="{4EC9466A-6BD9-458A-B98A-EE70B831EBBA}"/>
    <cellStyle name="Linked Cell 18 2 4 9 2" xfId="19277" xr:uid="{79D19FDE-4261-4CA1-A0B6-4959B72DA782}"/>
    <cellStyle name="Linked Cell 18 2 4 9 2 2" xfId="19278" xr:uid="{0CF5F8F4-2740-4030-9A8E-92796A0D7A8F}"/>
    <cellStyle name="Linked Cell 18 2 4 9 3" xfId="19279" xr:uid="{99A20082-1397-45D9-9611-5DDD7F7FF34D}"/>
    <cellStyle name="Linked Cell 18 2 5" xfId="19280" xr:uid="{2BE0DA16-433E-43B6-AD7E-F6FFCC227F25}"/>
    <cellStyle name="Linked Cell 18 2 5 10" xfId="19281" xr:uid="{85CC5BCE-9E68-4ABD-ACC0-7C5B49FCC952}"/>
    <cellStyle name="Linked Cell 18 2 5 10 2" xfId="19282" xr:uid="{202F4C15-F94C-4E04-ACB6-7B6BF4B7650E}"/>
    <cellStyle name="Linked Cell 18 2 5 11" xfId="19283" xr:uid="{33DED9FF-E2CC-4A30-AF01-CFFF7438BEBF}"/>
    <cellStyle name="Linked Cell 18 2 5 2" xfId="19284" xr:uid="{56D46117-5283-4627-9F25-BEE9B8BE1CC2}"/>
    <cellStyle name="Linked Cell 18 2 5 2 2" xfId="19285" xr:uid="{8075C2E6-57B4-4274-901C-07DE89034A5F}"/>
    <cellStyle name="Linked Cell 18 2 5 2 2 2" xfId="19286" xr:uid="{FF7AECD4-DF7C-4EF5-9563-E21F8AD32D4A}"/>
    <cellStyle name="Linked Cell 18 2 5 2 3" xfId="19287" xr:uid="{8FAD6E19-606E-431C-82AA-AB1514BA915B}"/>
    <cellStyle name="Linked Cell 18 2 5 3" xfId="19288" xr:uid="{ECCC4F81-6B32-4DAA-8DB1-D55485166847}"/>
    <cellStyle name="Linked Cell 18 2 5 3 2" xfId="19289" xr:uid="{6DFB6016-CD9A-4678-A1D8-45EBFC791C0D}"/>
    <cellStyle name="Linked Cell 18 2 5 3 2 2" xfId="19290" xr:uid="{B796F109-FAB7-4609-AD92-1E5CD799138D}"/>
    <cellStyle name="Linked Cell 18 2 5 3 3" xfId="19291" xr:uid="{0E72D00C-1E77-456F-BD98-752D6852E421}"/>
    <cellStyle name="Linked Cell 18 2 5 4" xfId="19292" xr:uid="{CB4EE5EB-6E06-49D1-BB37-CF19AD73A100}"/>
    <cellStyle name="Linked Cell 18 2 5 4 2" xfId="19293" xr:uid="{A7D6394E-DC38-48A7-802E-F633D2B57BBA}"/>
    <cellStyle name="Linked Cell 18 2 5 4 2 2" xfId="19294" xr:uid="{2771831C-D9BF-40D9-A621-4174347FBC07}"/>
    <cellStyle name="Linked Cell 18 2 5 4 3" xfId="19295" xr:uid="{B0548B2E-092D-4334-8052-CF997D4E5A2D}"/>
    <cellStyle name="Linked Cell 18 2 5 5" xfId="19296" xr:uid="{9B8FF0D3-999B-4496-99C4-8106DE2E96BD}"/>
    <cellStyle name="Linked Cell 18 2 5 5 2" xfId="19297" xr:uid="{1FE9E240-815C-4A8B-BB50-7446189F7C72}"/>
    <cellStyle name="Linked Cell 18 2 5 5 2 2" xfId="19298" xr:uid="{1544FBFF-F484-4EBF-AE0E-DDC306BB564D}"/>
    <cellStyle name="Linked Cell 18 2 5 5 3" xfId="19299" xr:uid="{216369CC-383C-478A-AC6B-27DDA832D6BC}"/>
    <cellStyle name="Linked Cell 18 2 5 6" xfId="19300" xr:uid="{92A6EDD2-1002-449B-BCFD-A9114180A2F1}"/>
    <cellStyle name="Linked Cell 18 2 5 6 2" xfId="19301" xr:uid="{0B6982B5-44A8-40CF-B5B0-76437CD6F3EA}"/>
    <cellStyle name="Linked Cell 18 2 5 6 2 2" xfId="19302" xr:uid="{83900FF2-8CAD-492A-A48D-2ED34B37BD83}"/>
    <cellStyle name="Linked Cell 18 2 5 6 3" xfId="19303" xr:uid="{801D5DD7-A6EC-4B9D-BB97-A240B4DED26B}"/>
    <cellStyle name="Linked Cell 18 2 5 7" xfId="19304" xr:uid="{6B3F0E62-3C24-410D-9D9F-04C7047C2935}"/>
    <cellStyle name="Linked Cell 18 2 5 7 2" xfId="19305" xr:uid="{CCAFBFB3-943A-4DD0-BCDD-D52C3ADA0366}"/>
    <cellStyle name="Linked Cell 18 2 5 7 2 2" xfId="19306" xr:uid="{1171F9F2-7276-4FC0-9ACC-4143FFB01917}"/>
    <cellStyle name="Linked Cell 18 2 5 7 3" xfId="19307" xr:uid="{D37B91D2-AEC5-4919-A2CC-BA14FD1A6692}"/>
    <cellStyle name="Linked Cell 18 2 5 8" xfId="19308" xr:uid="{D4EE0707-E350-4486-86F9-37C54A73C68F}"/>
    <cellStyle name="Linked Cell 18 2 5 8 2" xfId="19309" xr:uid="{1964204C-6AEF-49F4-B615-59AF0C83231D}"/>
    <cellStyle name="Linked Cell 18 2 5 8 2 2" xfId="19310" xr:uid="{8920C078-17E9-4C57-9303-71C9DCC498E8}"/>
    <cellStyle name="Linked Cell 18 2 5 8 3" xfId="19311" xr:uid="{A4A8657D-C7AF-4281-8190-58BF1EADD059}"/>
    <cellStyle name="Linked Cell 18 2 5 9" xfId="19312" xr:uid="{AA83D348-529D-42DB-8B35-D2C392825184}"/>
    <cellStyle name="Linked Cell 18 2 5 9 2" xfId="19313" xr:uid="{A1084EBD-97FB-447D-BAD2-0DE09974DF8E}"/>
    <cellStyle name="Linked Cell 18 2 5 9 2 2" xfId="19314" xr:uid="{726F2B4B-3447-498F-98CD-76CE19A04917}"/>
    <cellStyle name="Linked Cell 18 2 5 9 3" xfId="19315" xr:uid="{DDB59AE5-7C2C-4475-8045-E50AC925D686}"/>
    <cellStyle name="Linked Cell 18 2 6" xfId="19316" xr:uid="{3D630CAB-52CA-4F88-858E-7D8820A34D0A}"/>
    <cellStyle name="Linked Cell 18 2 6 2" xfId="19317" xr:uid="{8E8A9994-72A4-4203-B9BB-D5C91EEC64E5}"/>
    <cellStyle name="Linked Cell 18 2 6 2 2" xfId="19318" xr:uid="{58137090-DAC0-4C59-9B79-D46973941FA9}"/>
    <cellStyle name="Linked Cell 18 2 6 3" xfId="19319" xr:uid="{153FD237-96AC-4B7D-95F3-1174586964BE}"/>
    <cellStyle name="Linked Cell 18 2 7" xfId="19320" xr:uid="{FBBF253A-2853-4CD7-8793-1E3D95F08FA9}"/>
    <cellStyle name="Linked Cell 18 2 7 2" xfId="19321" xr:uid="{AF647B47-974C-4B80-A468-A268851F4BAA}"/>
    <cellStyle name="Linked Cell 18 2 7 2 2" xfId="19322" xr:uid="{03C84E9B-F0C7-4C89-B68F-253E0B274425}"/>
    <cellStyle name="Linked Cell 18 2 7 3" xfId="19323" xr:uid="{B7EF877D-B982-4078-BD97-54C1DACA763F}"/>
    <cellStyle name="Linked Cell 18 2 8" xfId="19324" xr:uid="{A745AA23-F215-48D5-BD1B-3D855F594899}"/>
    <cellStyle name="Linked Cell 18 2 8 2" xfId="19325" xr:uid="{199B9EFD-9340-4BB1-942D-B98201555210}"/>
    <cellStyle name="Linked Cell 18 2 8 2 2" xfId="19326" xr:uid="{775C234C-4AE4-48CD-8CCE-C31C7710D099}"/>
    <cellStyle name="Linked Cell 18 2 8 3" xfId="19327" xr:uid="{4915F8D6-F16C-4112-B4D7-9004ECFE81CC}"/>
    <cellStyle name="Linked Cell 18 2 9" xfId="19328" xr:uid="{156436D7-8EA2-422B-B957-3E5E5633560F}"/>
    <cellStyle name="Linked Cell 18 2 9 2" xfId="19329" xr:uid="{3DFD8B53-5B55-472E-B4C8-E3A250551FC0}"/>
    <cellStyle name="Linked Cell 18 2 9 2 2" xfId="19330" xr:uid="{5A858E6F-1A7C-4F69-AB7C-A97E45CF8954}"/>
    <cellStyle name="Linked Cell 18 2 9 3" xfId="19331" xr:uid="{3D82879C-9B69-4F73-9243-CB91CD538FE6}"/>
    <cellStyle name="Linked Cell 18 3" xfId="19332" xr:uid="{66594A82-63BE-47C2-BA0D-24001BF5E07C}"/>
    <cellStyle name="Linked Cell 18 3 10" xfId="19333" xr:uid="{B160C7D8-E984-49CD-A5EB-1A17EACAE71F}"/>
    <cellStyle name="Linked Cell 18 3 10 2" xfId="19334" xr:uid="{0562F589-4CAC-4731-A974-348FCEB5FE68}"/>
    <cellStyle name="Linked Cell 18 3 10 2 2" xfId="19335" xr:uid="{47C55ACA-E9FE-4907-8095-A35F241B925A}"/>
    <cellStyle name="Linked Cell 18 3 10 3" xfId="19336" xr:uid="{F2FFC4CC-2CCB-412C-A665-055437CB3C77}"/>
    <cellStyle name="Linked Cell 18 3 11" xfId="19337" xr:uid="{35A55ABD-D276-4CE2-812C-E48AFC01EC13}"/>
    <cellStyle name="Linked Cell 18 3 11 2" xfId="19338" xr:uid="{BA699806-FCAF-41A2-B513-FA18B88A2662}"/>
    <cellStyle name="Linked Cell 18 3 11 2 2" xfId="19339" xr:uid="{7A289294-7293-4A01-BFE2-B5EA92378CBD}"/>
    <cellStyle name="Linked Cell 18 3 11 3" xfId="19340" xr:uid="{B030BC6E-2FE9-4518-B4F5-F6FCD88690B0}"/>
    <cellStyle name="Linked Cell 18 3 12" xfId="19341" xr:uid="{487AC16A-4FDE-42E1-A796-C1D4801B3350}"/>
    <cellStyle name="Linked Cell 18 3 12 2" xfId="19342" xr:uid="{7D3C5CC5-E6D8-4253-9E7B-B20D8CDB45A9}"/>
    <cellStyle name="Linked Cell 18 3 12 2 2" xfId="19343" xr:uid="{B7E05BC4-9EDB-4675-BBE4-6D6408F762AE}"/>
    <cellStyle name="Linked Cell 18 3 12 3" xfId="19344" xr:uid="{660258B9-3C3A-401B-A141-899F697EFE7C}"/>
    <cellStyle name="Linked Cell 18 3 13" xfId="19345" xr:uid="{51EFC448-F755-4D90-AA3D-018A73BABBE6}"/>
    <cellStyle name="Linked Cell 18 3 13 2" xfId="19346" xr:uid="{2086F7AA-58B7-4F8F-A78C-CC34F6AF7005}"/>
    <cellStyle name="Linked Cell 18 3 14" xfId="19347" xr:uid="{A6884882-1212-4842-A985-3FCA8D15B00B}"/>
    <cellStyle name="Linked Cell 18 3 2" xfId="19348" xr:uid="{A283D184-D1F9-48C1-927E-C780670CE54F}"/>
    <cellStyle name="Linked Cell 18 3 2 10" xfId="19349" xr:uid="{A74C54D7-5EB7-4581-A839-7FC27936D987}"/>
    <cellStyle name="Linked Cell 18 3 2 10 2" xfId="19350" xr:uid="{0AB129A7-26D1-4DE5-B47E-85BA31E2F175}"/>
    <cellStyle name="Linked Cell 18 3 2 10 2 2" xfId="19351" xr:uid="{25F13502-B60B-44A7-B11D-800EE3491344}"/>
    <cellStyle name="Linked Cell 18 3 2 10 3" xfId="19352" xr:uid="{1F6262C8-48AC-4CC5-B05E-0ADB53347B7C}"/>
    <cellStyle name="Linked Cell 18 3 2 11" xfId="19353" xr:uid="{3A668942-692A-40B6-A0C9-DC74D6E07909}"/>
    <cellStyle name="Linked Cell 18 3 2 11 2" xfId="19354" xr:uid="{48586A92-8ADA-465A-86ED-C6939BC2A2FF}"/>
    <cellStyle name="Linked Cell 18 3 2 11 2 2" xfId="19355" xr:uid="{63CABDA6-3D01-4EE2-81CC-574FAF1F250D}"/>
    <cellStyle name="Linked Cell 18 3 2 11 3" xfId="19356" xr:uid="{04514286-6445-4914-8109-772D95F882E3}"/>
    <cellStyle name="Linked Cell 18 3 2 12" xfId="19357" xr:uid="{343C3200-13CD-4960-9EB1-C43EC09ED6DB}"/>
    <cellStyle name="Linked Cell 18 3 2 12 2" xfId="19358" xr:uid="{B64B7AAD-38D9-4BCB-B053-1B6F0531305C}"/>
    <cellStyle name="Linked Cell 18 3 2 13" xfId="19359" xr:uid="{60D63FE6-3F81-4C3E-BBE0-2F82288C0612}"/>
    <cellStyle name="Linked Cell 18 3 2 2" xfId="19360" xr:uid="{597D5699-0408-417B-A9DE-A67F97804EC1}"/>
    <cellStyle name="Linked Cell 18 3 2 2 10" xfId="19361" xr:uid="{A797B8A6-8B8E-4D3C-A611-E017C9F6746B}"/>
    <cellStyle name="Linked Cell 18 3 2 2 10 2" xfId="19362" xr:uid="{40A78953-262C-4B64-8D62-A4E185717BEB}"/>
    <cellStyle name="Linked Cell 18 3 2 2 10 2 2" xfId="19363" xr:uid="{FE9C3327-4769-4470-9503-62EAE4638CEB}"/>
    <cellStyle name="Linked Cell 18 3 2 2 10 3" xfId="19364" xr:uid="{EB69D45A-0957-453F-8FC6-2FE29263E2C8}"/>
    <cellStyle name="Linked Cell 18 3 2 2 11" xfId="19365" xr:uid="{F3F2E7E1-0018-48EC-B60B-ED000CE7ABCC}"/>
    <cellStyle name="Linked Cell 18 3 2 2 11 2" xfId="19366" xr:uid="{AA283F09-3680-46C1-A731-61E89A870817}"/>
    <cellStyle name="Linked Cell 18 3 2 2 12" xfId="19367" xr:uid="{5B4AA091-291B-46D4-A93F-D34D38601A0D}"/>
    <cellStyle name="Linked Cell 18 3 2 2 2" xfId="19368" xr:uid="{AC6FDBEA-3545-4DEF-B5EB-CAE621141451}"/>
    <cellStyle name="Linked Cell 18 3 2 2 2 2" xfId="19369" xr:uid="{B8161749-8D15-40C9-A003-41CE98D34330}"/>
    <cellStyle name="Linked Cell 18 3 2 2 2 2 2" xfId="19370" xr:uid="{53C39024-5ECA-4699-B4D4-D1C5FA6812BB}"/>
    <cellStyle name="Linked Cell 18 3 2 2 2 3" xfId="19371" xr:uid="{0393D581-108B-480A-AB62-3E1590FC1BD7}"/>
    <cellStyle name="Linked Cell 18 3 2 2 3" xfId="19372" xr:uid="{1D1DF7A4-4787-4E2C-8FDB-A56052D46D8E}"/>
    <cellStyle name="Linked Cell 18 3 2 2 3 2" xfId="19373" xr:uid="{377F94CC-E020-4EF6-8BEA-ABA0779F3E8A}"/>
    <cellStyle name="Linked Cell 18 3 2 2 3 2 2" xfId="19374" xr:uid="{F6FBA819-9B1E-463A-A6C0-4A99AC897F11}"/>
    <cellStyle name="Linked Cell 18 3 2 2 3 3" xfId="19375" xr:uid="{2FED67C2-0B0B-40B3-9B55-AAD5B8FE0E7B}"/>
    <cellStyle name="Linked Cell 18 3 2 2 4" xfId="19376" xr:uid="{37C09823-6842-4001-ADAA-F0A62A2CF418}"/>
    <cellStyle name="Linked Cell 18 3 2 2 4 2" xfId="19377" xr:uid="{3BD96945-E261-46DA-B395-EA5B002C30EC}"/>
    <cellStyle name="Linked Cell 18 3 2 2 4 2 2" xfId="19378" xr:uid="{127A5119-A339-4312-A6C2-D3D88B0C3833}"/>
    <cellStyle name="Linked Cell 18 3 2 2 4 3" xfId="19379" xr:uid="{7F5359C7-8E0A-4667-95A6-89AF11DE909F}"/>
    <cellStyle name="Linked Cell 18 3 2 2 5" xfId="19380" xr:uid="{8BDCBBC0-F664-4946-BD5C-13690726339A}"/>
    <cellStyle name="Linked Cell 18 3 2 2 5 2" xfId="19381" xr:uid="{81D6B158-38D0-483F-86DA-87A0F190CF05}"/>
    <cellStyle name="Linked Cell 18 3 2 2 5 2 2" xfId="19382" xr:uid="{3730E6A1-34B0-4B70-9D44-39592F2F086C}"/>
    <cellStyle name="Linked Cell 18 3 2 2 5 3" xfId="19383" xr:uid="{044D3A65-0D35-449F-9504-BABEC8C88464}"/>
    <cellStyle name="Linked Cell 18 3 2 2 6" xfId="19384" xr:uid="{F579987A-AC26-4E4E-A26F-89D250E284C3}"/>
    <cellStyle name="Linked Cell 18 3 2 2 6 2" xfId="19385" xr:uid="{509FA5E9-6A62-4D4D-8568-6823CB7ECFBF}"/>
    <cellStyle name="Linked Cell 18 3 2 2 6 2 2" xfId="19386" xr:uid="{529C998C-798F-4E3F-8960-C32FAF55527E}"/>
    <cellStyle name="Linked Cell 18 3 2 2 6 3" xfId="19387" xr:uid="{6640106A-8E75-4958-8739-66A8249F56E4}"/>
    <cellStyle name="Linked Cell 18 3 2 2 7" xfId="19388" xr:uid="{B5370E4E-CDC5-46F7-96A2-2CFD61510755}"/>
    <cellStyle name="Linked Cell 18 3 2 2 7 2" xfId="19389" xr:uid="{C02D60EE-E758-4E25-BE66-DF96E4ABAAB2}"/>
    <cellStyle name="Linked Cell 18 3 2 2 7 2 2" xfId="19390" xr:uid="{DE72AD53-EA1D-4E6D-960F-73E304197523}"/>
    <cellStyle name="Linked Cell 18 3 2 2 7 3" xfId="19391" xr:uid="{1211809E-7568-4F12-B312-F9467B664278}"/>
    <cellStyle name="Linked Cell 18 3 2 2 8" xfId="19392" xr:uid="{B6F51A4A-CF59-49C7-B927-7513011E4FD9}"/>
    <cellStyle name="Linked Cell 18 3 2 2 8 2" xfId="19393" xr:uid="{56B6BDDA-7CC2-4242-A893-3FB6C789E5B1}"/>
    <cellStyle name="Linked Cell 18 3 2 2 8 2 2" xfId="19394" xr:uid="{1580099E-A761-4D17-BBFD-7128311D5FAB}"/>
    <cellStyle name="Linked Cell 18 3 2 2 8 3" xfId="19395" xr:uid="{E4D983E9-C71E-41E5-9924-7C1D2D6D6BB5}"/>
    <cellStyle name="Linked Cell 18 3 2 2 9" xfId="19396" xr:uid="{BEDDB047-5E65-45D9-B634-5313882596F1}"/>
    <cellStyle name="Linked Cell 18 3 2 2 9 2" xfId="19397" xr:uid="{93AAD3EF-C928-459B-8FCD-6153E37C03C8}"/>
    <cellStyle name="Linked Cell 18 3 2 2 9 2 2" xfId="19398" xr:uid="{63084B2B-C75A-4389-930E-2EFF85008449}"/>
    <cellStyle name="Linked Cell 18 3 2 2 9 3" xfId="19399" xr:uid="{E233B94D-94AB-4C1F-9FC4-4AE5782091A5}"/>
    <cellStyle name="Linked Cell 18 3 2 3" xfId="19400" xr:uid="{09A04506-0563-42DB-A927-174BB9BA16A1}"/>
    <cellStyle name="Linked Cell 18 3 2 3 10" xfId="19401" xr:uid="{EFF4BD03-0E27-42EC-850B-FA4A4B6AE766}"/>
    <cellStyle name="Linked Cell 18 3 2 3 10 2" xfId="19402" xr:uid="{3EE5B9AD-26EE-4127-B808-FD153B1F138F}"/>
    <cellStyle name="Linked Cell 18 3 2 3 11" xfId="19403" xr:uid="{91ABD839-D7BB-4BDC-B08A-C77BBBEE40E8}"/>
    <cellStyle name="Linked Cell 18 3 2 3 2" xfId="19404" xr:uid="{1BFEC10D-E1E9-4277-A583-31C8E2B5CCE6}"/>
    <cellStyle name="Linked Cell 18 3 2 3 2 2" xfId="19405" xr:uid="{C6B13050-601E-4E9C-83BA-88CC21744A30}"/>
    <cellStyle name="Linked Cell 18 3 2 3 2 2 2" xfId="19406" xr:uid="{0AC2DC20-3A31-40C0-9D38-D0633F4DBF00}"/>
    <cellStyle name="Linked Cell 18 3 2 3 2 3" xfId="19407" xr:uid="{F8D8D9A5-4EEF-495B-B3F8-694A9DC4A3AE}"/>
    <cellStyle name="Linked Cell 18 3 2 3 3" xfId="19408" xr:uid="{47A45DB0-4775-4621-939B-9485A4C70146}"/>
    <cellStyle name="Linked Cell 18 3 2 3 3 2" xfId="19409" xr:uid="{65E75ABA-64AC-4B30-8A74-F708F29675A6}"/>
    <cellStyle name="Linked Cell 18 3 2 3 3 2 2" xfId="19410" xr:uid="{3D8C334C-BA2E-423C-A7C6-943F18088CCE}"/>
    <cellStyle name="Linked Cell 18 3 2 3 3 3" xfId="19411" xr:uid="{F7300BA4-548D-4F28-9A13-5EBB15901684}"/>
    <cellStyle name="Linked Cell 18 3 2 3 4" xfId="19412" xr:uid="{90B9C555-2E17-4B55-9E42-096E6CF16F7C}"/>
    <cellStyle name="Linked Cell 18 3 2 3 4 2" xfId="19413" xr:uid="{4005D4B6-EE9C-468F-BF92-E6FE02B142A9}"/>
    <cellStyle name="Linked Cell 18 3 2 3 4 2 2" xfId="19414" xr:uid="{5D8D8358-A85A-48F9-8412-F0F9374C1067}"/>
    <cellStyle name="Linked Cell 18 3 2 3 4 3" xfId="19415" xr:uid="{1B0BA430-AA02-45D4-9F47-37B46B46D798}"/>
    <cellStyle name="Linked Cell 18 3 2 3 5" xfId="19416" xr:uid="{CDE08409-E978-4761-A351-F1FCD7EA1C26}"/>
    <cellStyle name="Linked Cell 18 3 2 3 5 2" xfId="19417" xr:uid="{AC7A8FFF-FDED-48EE-BEA0-DBBE1E131126}"/>
    <cellStyle name="Linked Cell 18 3 2 3 5 2 2" xfId="19418" xr:uid="{2EC8CE9D-688F-4FAF-99F5-57F230C0027F}"/>
    <cellStyle name="Linked Cell 18 3 2 3 5 3" xfId="19419" xr:uid="{4577AFF4-BDE6-4BE6-B09D-7E2C2847E42D}"/>
    <cellStyle name="Linked Cell 18 3 2 3 6" xfId="19420" xr:uid="{079850C8-C4B7-4FAA-A228-5143CC18E679}"/>
    <cellStyle name="Linked Cell 18 3 2 3 6 2" xfId="19421" xr:uid="{90E7208D-0BB8-4DD0-A972-A5D589A8E83C}"/>
    <cellStyle name="Linked Cell 18 3 2 3 6 2 2" xfId="19422" xr:uid="{6ED15731-E1A9-4616-A457-67373A2B3259}"/>
    <cellStyle name="Linked Cell 18 3 2 3 6 3" xfId="19423" xr:uid="{0DF64CB8-8238-4368-BD1E-FCD9F767AFEE}"/>
    <cellStyle name="Linked Cell 18 3 2 3 7" xfId="19424" xr:uid="{5004103A-A4E0-49D7-87A1-750A633C3821}"/>
    <cellStyle name="Linked Cell 18 3 2 3 7 2" xfId="19425" xr:uid="{C0833791-C466-455F-979C-3C4792EC8F77}"/>
    <cellStyle name="Linked Cell 18 3 2 3 7 2 2" xfId="19426" xr:uid="{8EAB7864-8E99-4200-8DCE-02777086780A}"/>
    <cellStyle name="Linked Cell 18 3 2 3 7 3" xfId="19427" xr:uid="{32C8BD9E-DF63-4441-9727-8D61B2E313F3}"/>
    <cellStyle name="Linked Cell 18 3 2 3 8" xfId="19428" xr:uid="{98B15782-8AF5-49A3-8EED-EF582736FE30}"/>
    <cellStyle name="Linked Cell 18 3 2 3 8 2" xfId="19429" xr:uid="{C0B3A5DB-F1B0-4652-AF4C-DD4DEA8BA335}"/>
    <cellStyle name="Linked Cell 18 3 2 3 8 2 2" xfId="19430" xr:uid="{C9F1A399-2E90-46D6-B03B-DCF3F9F4293E}"/>
    <cellStyle name="Linked Cell 18 3 2 3 8 3" xfId="19431" xr:uid="{7F2490AF-788D-48B9-AA3E-6FAF59C5A986}"/>
    <cellStyle name="Linked Cell 18 3 2 3 9" xfId="19432" xr:uid="{DA2B1F68-3971-409C-8F23-657ECCC2166A}"/>
    <cellStyle name="Linked Cell 18 3 2 3 9 2" xfId="19433" xr:uid="{B412D237-C543-44EA-8C00-2D84C70084A0}"/>
    <cellStyle name="Linked Cell 18 3 2 3 9 2 2" xfId="19434" xr:uid="{741078A2-76C1-4930-AE3B-BF0A1E0A4F32}"/>
    <cellStyle name="Linked Cell 18 3 2 3 9 3" xfId="19435" xr:uid="{65D61E23-59B0-40AB-BA9B-053069D16CFB}"/>
    <cellStyle name="Linked Cell 18 3 2 4" xfId="19436" xr:uid="{2238A421-83E1-42C3-AB93-24E230F7A5E2}"/>
    <cellStyle name="Linked Cell 18 3 2 4 2" xfId="19437" xr:uid="{1311BCF8-7AA7-40C8-8628-66FA52D30EBC}"/>
    <cellStyle name="Linked Cell 18 3 2 4 2 2" xfId="19438" xr:uid="{4502F8FE-F47A-4B5D-A783-AB1E4BCCD2C3}"/>
    <cellStyle name="Linked Cell 18 3 2 4 3" xfId="19439" xr:uid="{952022B6-677A-45EB-A882-B79D84FDCF01}"/>
    <cellStyle name="Linked Cell 18 3 2 5" xfId="19440" xr:uid="{6B2D5DDF-E6A2-4706-A26D-F7F8D2A0F84D}"/>
    <cellStyle name="Linked Cell 18 3 2 5 2" xfId="19441" xr:uid="{09BD02D9-4B23-451B-8B8A-95B0689656B4}"/>
    <cellStyle name="Linked Cell 18 3 2 5 2 2" xfId="19442" xr:uid="{40014FCC-F192-423A-97EE-2AEB8BA2331F}"/>
    <cellStyle name="Linked Cell 18 3 2 5 3" xfId="19443" xr:uid="{8179B539-6CD5-4B0E-855F-85A0D1123CA4}"/>
    <cellStyle name="Linked Cell 18 3 2 6" xfId="19444" xr:uid="{FB248260-2F1B-4F78-B899-E3BA154BE321}"/>
    <cellStyle name="Linked Cell 18 3 2 6 2" xfId="19445" xr:uid="{306F1CB6-4CEA-46A8-AD6A-6E6988228B48}"/>
    <cellStyle name="Linked Cell 18 3 2 6 2 2" xfId="19446" xr:uid="{E42FA9E7-D3D7-47A5-96F6-487655F00381}"/>
    <cellStyle name="Linked Cell 18 3 2 6 3" xfId="19447" xr:uid="{21AF2737-D16D-4006-8A1E-D9AC39A19DD0}"/>
    <cellStyle name="Linked Cell 18 3 2 7" xfId="19448" xr:uid="{29512D5A-BB6B-40C4-8D8B-15832A3A14A2}"/>
    <cellStyle name="Linked Cell 18 3 2 7 2" xfId="19449" xr:uid="{F0B94502-2371-49D1-B5E8-706F779D68FF}"/>
    <cellStyle name="Linked Cell 18 3 2 7 2 2" xfId="19450" xr:uid="{B52DD4EB-1A12-4091-A7EA-81ED0B2B663D}"/>
    <cellStyle name="Linked Cell 18 3 2 7 3" xfId="19451" xr:uid="{B2137388-F5C3-412A-81D2-130525DDEC3F}"/>
    <cellStyle name="Linked Cell 18 3 2 8" xfId="19452" xr:uid="{DE7A58AE-4591-47F1-9B54-8A031E9E6294}"/>
    <cellStyle name="Linked Cell 18 3 2 8 2" xfId="19453" xr:uid="{A05D67AF-E6EF-4DEB-BA7C-6B1796C9095C}"/>
    <cellStyle name="Linked Cell 18 3 2 8 2 2" xfId="19454" xr:uid="{D85FD36B-C708-41E6-B985-F5A7660DAFD5}"/>
    <cellStyle name="Linked Cell 18 3 2 8 3" xfId="19455" xr:uid="{9A4250C8-8128-4C9D-8FDD-5B20E1936BE6}"/>
    <cellStyle name="Linked Cell 18 3 2 9" xfId="19456" xr:uid="{F061A7A2-0DC7-4761-ACDD-E760895448F5}"/>
    <cellStyle name="Linked Cell 18 3 2 9 2" xfId="19457" xr:uid="{20E27E13-7A0A-4D18-A5EC-1D75AE079708}"/>
    <cellStyle name="Linked Cell 18 3 2 9 2 2" xfId="19458" xr:uid="{F1F0BB74-D5FE-4301-8B7F-4C3220075445}"/>
    <cellStyle name="Linked Cell 18 3 2 9 3" xfId="19459" xr:uid="{1951FC6E-4930-471B-9CAB-8D69EAF9CC97}"/>
    <cellStyle name="Linked Cell 18 3 3" xfId="19460" xr:uid="{BB711130-C84C-4FDC-B605-73BB867050E1}"/>
    <cellStyle name="Linked Cell 18 3 3 10" xfId="19461" xr:uid="{0764D8DF-31F3-4F57-80A3-C597BE1727DE}"/>
    <cellStyle name="Linked Cell 18 3 3 10 2" xfId="19462" xr:uid="{B8F2CD54-4C17-44EE-94C5-57C90650CD6C}"/>
    <cellStyle name="Linked Cell 18 3 3 10 2 2" xfId="19463" xr:uid="{7A661EAB-5121-416F-B105-5684DC9A7AE2}"/>
    <cellStyle name="Linked Cell 18 3 3 10 3" xfId="19464" xr:uid="{06B97B07-CC3B-460A-8CF4-8D794E215FEF}"/>
    <cellStyle name="Linked Cell 18 3 3 11" xfId="19465" xr:uid="{199125C6-FE58-41A5-BF77-41AC9F2B297C}"/>
    <cellStyle name="Linked Cell 18 3 3 11 2" xfId="19466" xr:uid="{D2BF0D07-46C4-4B8B-9453-CA3F95889045}"/>
    <cellStyle name="Linked Cell 18 3 3 12" xfId="19467" xr:uid="{CEC51BD2-7647-4A91-9C57-357BF3B5ECB3}"/>
    <cellStyle name="Linked Cell 18 3 3 2" xfId="19468" xr:uid="{C7884F45-D71B-42DC-9219-B183460E45CF}"/>
    <cellStyle name="Linked Cell 18 3 3 2 10" xfId="19469" xr:uid="{5A464F6E-B26A-4F30-B01B-E0783709FEAF}"/>
    <cellStyle name="Linked Cell 18 3 3 2 10 2" xfId="19470" xr:uid="{932F0099-7D48-47AF-81BF-EAE694566F0C}"/>
    <cellStyle name="Linked Cell 18 3 3 2 11" xfId="19471" xr:uid="{776C8AB5-C9A8-4BF2-AD5A-F777C79FFB62}"/>
    <cellStyle name="Linked Cell 18 3 3 2 2" xfId="19472" xr:uid="{6DCA5C44-58C7-49DD-9DA6-02C1804356ED}"/>
    <cellStyle name="Linked Cell 18 3 3 2 2 2" xfId="19473" xr:uid="{14D32E37-DD70-4BA5-AD99-08B82D569746}"/>
    <cellStyle name="Linked Cell 18 3 3 2 2 2 2" xfId="19474" xr:uid="{029DF557-0683-47BB-9B1F-BB52810A9802}"/>
    <cellStyle name="Linked Cell 18 3 3 2 2 3" xfId="19475" xr:uid="{8C70C6A8-BDE3-44BC-86BD-0A37E87BA225}"/>
    <cellStyle name="Linked Cell 18 3 3 2 3" xfId="19476" xr:uid="{E2639CC6-B306-467C-800C-63E6BEAE317B}"/>
    <cellStyle name="Linked Cell 18 3 3 2 3 2" xfId="19477" xr:uid="{2C122EF6-507B-498C-BEAB-FC88F7E99602}"/>
    <cellStyle name="Linked Cell 18 3 3 2 3 2 2" xfId="19478" xr:uid="{F39DAA8D-1758-49EB-9EF2-BAF9052FAB97}"/>
    <cellStyle name="Linked Cell 18 3 3 2 3 3" xfId="19479" xr:uid="{9F8501EB-0DF3-42AD-8CA8-C2F6CDA4BB12}"/>
    <cellStyle name="Linked Cell 18 3 3 2 4" xfId="19480" xr:uid="{5785BDF2-FA11-4072-897C-81BD89CFCF4B}"/>
    <cellStyle name="Linked Cell 18 3 3 2 4 2" xfId="19481" xr:uid="{E3EB2E3E-D539-454B-A799-FB0C8A967F4E}"/>
    <cellStyle name="Linked Cell 18 3 3 2 4 2 2" xfId="19482" xr:uid="{4A9B0C3C-212C-45FE-BABA-81FE4942DECD}"/>
    <cellStyle name="Linked Cell 18 3 3 2 4 3" xfId="19483" xr:uid="{7423C221-8401-463F-A703-83544C8382EF}"/>
    <cellStyle name="Linked Cell 18 3 3 2 5" xfId="19484" xr:uid="{5705CE9C-3130-40B5-AC0F-A6CA465D4F3F}"/>
    <cellStyle name="Linked Cell 18 3 3 2 5 2" xfId="19485" xr:uid="{D2AC77CA-079E-4970-9FED-DE33ABE5D043}"/>
    <cellStyle name="Linked Cell 18 3 3 2 5 2 2" xfId="19486" xr:uid="{02D9581E-C163-4A0A-A3CD-A3CBE9A53975}"/>
    <cellStyle name="Linked Cell 18 3 3 2 5 3" xfId="19487" xr:uid="{561AEB4C-3986-4142-9AD5-AC748238DD3A}"/>
    <cellStyle name="Linked Cell 18 3 3 2 6" xfId="19488" xr:uid="{936FE453-1971-4440-B838-ED06C7D16DC7}"/>
    <cellStyle name="Linked Cell 18 3 3 2 6 2" xfId="19489" xr:uid="{207F1BBF-787D-4376-B6EE-151E8BEE12A7}"/>
    <cellStyle name="Linked Cell 18 3 3 2 6 2 2" xfId="19490" xr:uid="{F47120BF-0D16-47D1-84D9-5FF4514B65AD}"/>
    <cellStyle name="Linked Cell 18 3 3 2 6 3" xfId="19491" xr:uid="{229F2949-CD50-405D-A2B6-50FB04101D83}"/>
    <cellStyle name="Linked Cell 18 3 3 2 7" xfId="19492" xr:uid="{02F9BACD-BE90-4277-867A-9534960AA6A1}"/>
    <cellStyle name="Linked Cell 18 3 3 2 7 2" xfId="19493" xr:uid="{1F6BEFA5-886F-4D5C-85FC-16398FF34B9C}"/>
    <cellStyle name="Linked Cell 18 3 3 2 7 2 2" xfId="19494" xr:uid="{791D5C1C-CE9B-43B7-9F16-BB7ACB43F70F}"/>
    <cellStyle name="Linked Cell 18 3 3 2 7 3" xfId="19495" xr:uid="{EB1BD3AD-396E-453B-BB56-985FBEA20FFD}"/>
    <cellStyle name="Linked Cell 18 3 3 2 8" xfId="19496" xr:uid="{245BCF45-AE5D-448E-B775-C8C83CBCAA97}"/>
    <cellStyle name="Linked Cell 18 3 3 2 8 2" xfId="19497" xr:uid="{8E8B7668-A6E8-4D45-824A-3028FD20464A}"/>
    <cellStyle name="Linked Cell 18 3 3 2 8 2 2" xfId="19498" xr:uid="{1270D30C-5ABD-44B3-8001-5AD4B59B579D}"/>
    <cellStyle name="Linked Cell 18 3 3 2 8 3" xfId="19499" xr:uid="{BB56E963-5BF6-46A8-AB5D-7D7BD3D1688C}"/>
    <cellStyle name="Linked Cell 18 3 3 2 9" xfId="19500" xr:uid="{FCF0BF07-BB35-419A-81F7-6C43873AB2C8}"/>
    <cellStyle name="Linked Cell 18 3 3 2 9 2" xfId="19501" xr:uid="{E91F4C5D-C676-4D28-8049-AEB9E17BB1E0}"/>
    <cellStyle name="Linked Cell 18 3 3 2 9 2 2" xfId="19502" xr:uid="{D795082B-8243-4A4D-891E-111912380193}"/>
    <cellStyle name="Linked Cell 18 3 3 2 9 3" xfId="19503" xr:uid="{05409950-D832-405B-902F-F846F32941A2}"/>
    <cellStyle name="Linked Cell 18 3 3 3" xfId="19504" xr:uid="{4E65BA1B-FED6-4571-8148-86D56724E4AC}"/>
    <cellStyle name="Linked Cell 18 3 3 3 2" xfId="19505" xr:uid="{BFC62595-1C28-4F85-995C-2876E172C790}"/>
    <cellStyle name="Linked Cell 18 3 3 3 2 2" xfId="19506" xr:uid="{279F72AE-05A1-46AC-9B23-2620F6AA77A7}"/>
    <cellStyle name="Linked Cell 18 3 3 3 3" xfId="19507" xr:uid="{7386BBA5-7063-475C-92D6-1071CEB6A6B5}"/>
    <cellStyle name="Linked Cell 18 3 3 4" xfId="19508" xr:uid="{AF83DF80-F025-42DB-8982-96910458AF4E}"/>
    <cellStyle name="Linked Cell 18 3 3 4 2" xfId="19509" xr:uid="{8F28F285-CA2D-4D6E-81DC-85DFB53CC7FD}"/>
    <cellStyle name="Linked Cell 18 3 3 4 2 2" xfId="19510" xr:uid="{D1B6E826-2DFA-47F8-BBCB-3437134A4955}"/>
    <cellStyle name="Linked Cell 18 3 3 4 3" xfId="19511" xr:uid="{E9654CF5-1F8F-42B6-B28C-8D1B06519CF7}"/>
    <cellStyle name="Linked Cell 18 3 3 5" xfId="19512" xr:uid="{BA464854-855E-47A4-8F0D-E44A04C4A4DA}"/>
    <cellStyle name="Linked Cell 18 3 3 5 2" xfId="19513" xr:uid="{7AE7B670-81D0-4C22-A445-0D2ADFC7B4FE}"/>
    <cellStyle name="Linked Cell 18 3 3 5 2 2" xfId="19514" xr:uid="{C6A6EDB8-DB78-4916-B2E6-AD605E093DB1}"/>
    <cellStyle name="Linked Cell 18 3 3 5 3" xfId="19515" xr:uid="{F9E6AEFD-345E-4907-8BB8-65D29432CCB4}"/>
    <cellStyle name="Linked Cell 18 3 3 6" xfId="19516" xr:uid="{5D1E4F07-C878-43F4-BE51-DE97C856ABBC}"/>
    <cellStyle name="Linked Cell 18 3 3 6 2" xfId="19517" xr:uid="{C9C0783B-AA7E-45CD-9798-DB81306C8252}"/>
    <cellStyle name="Linked Cell 18 3 3 6 2 2" xfId="19518" xr:uid="{08B455EC-79E4-44F3-90BD-965A07C68F0B}"/>
    <cellStyle name="Linked Cell 18 3 3 6 3" xfId="19519" xr:uid="{25E57C5C-DEA1-4F28-A156-7A3B36A0C3F8}"/>
    <cellStyle name="Linked Cell 18 3 3 7" xfId="19520" xr:uid="{32436E7B-81E9-499E-8026-8C16170A33EA}"/>
    <cellStyle name="Linked Cell 18 3 3 7 2" xfId="19521" xr:uid="{94515C7A-D596-4AFE-82CF-9E4DD75BF7AB}"/>
    <cellStyle name="Linked Cell 18 3 3 7 2 2" xfId="19522" xr:uid="{6442F5AE-1877-4441-AC5D-44BE3BF073F2}"/>
    <cellStyle name="Linked Cell 18 3 3 7 3" xfId="19523" xr:uid="{2545CEB8-64F1-4522-9543-62B6BD74CA51}"/>
    <cellStyle name="Linked Cell 18 3 3 8" xfId="19524" xr:uid="{E19733D2-3A90-4D26-9DD0-5A01A5B0DA3A}"/>
    <cellStyle name="Linked Cell 18 3 3 8 2" xfId="19525" xr:uid="{16108B2C-AE6D-44E4-8B0B-9D1DA029C1FF}"/>
    <cellStyle name="Linked Cell 18 3 3 8 2 2" xfId="19526" xr:uid="{2963E19D-B34F-4A97-8144-DA9D38D8281C}"/>
    <cellStyle name="Linked Cell 18 3 3 8 3" xfId="19527" xr:uid="{73C2B933-6953-4CD1-97CE-251AB3B4150C}"/>
    <cellStyle name="Linked Cell 18 3 3 9" xfId="19528" xr:uid="{5273EA8B-BCB4-4963-AA6A-AC417C488DF6}"/>
    <cellStyle name="Linked Cell 18 3 3 9 2" xfId="19529" xr:uid="{A5174184-0B77-4382-A59F-FA34537579E1}"/>
    <cellStyle name="Linked Cell 18 3 3 9 2 2" xfId="19530" xr:uid="{B5DF3FD4-685E-4354-B7A9-5474A33E9637}"/>
    <cellStyle name="Linked Cell 18 3 3 9 3" xfId="19531" xr:uid="{CC2968FE-8FE4-49F7-9C19-877B13CB9996}"/>
    <cellStyle name="Linked Cell 18 3 4" xfId="19532" xr:uid="{95068F92-A5BE-4994-8178-747774F54FD2}"/>
    <cellStyle name="Linked Cell 18 3 4 10" xfId="19533" xr:uid="{28B587AD-9BF0-4D71-81CC-48752B0E0413}"/>
    <cellStyle name="Linked Cell 18 3 4 10 2" xfId="19534" xr:uid="{63E940E3-23F2-4186-8060-D667FE291839}"/>
    <cellStyle name="Linked Cell 18 3 4 11" xfId="19535" xr:uid="{9CE9DDC4-92C5-40A6-8206-7DA010D25F24}"/>
    <cellStyle name="Linked Cell 18 3 4 2" xfId="19536" xr:uid="{39B0D892-D283-4ACC-938E-628060DA5F2B}"/>
    <cellStyle name="Linked Cell 18 3 4 2 2" xfId="19537" xr:uid="{842475ED-57A4-4729-9515-55B2426551E3}"/>
    <cellStyle name="Linked Cell 18 3 4 2 2 2" xfId="19538" xr:uid="{ABA4188E-351E-4062-8BFC-303F21147EE5}"/>
    <cellStyle name="Linked Cell 18 3 4 2 3" xfId="19539" xr:uid="{937E7818-F218-4C5B-AB53-5C10B6D89FAE}"/>
    <cellStyle name="Linked Cell 18 3 4 3" xfId="19540" xr:uid="{C76CA1DC-3D2F-43CA-9DC2-13D5F4C6A5E9}"/>
    <cellStyle name="Linked Cell 18 3 4 3 2" xfId="19541" xr:uid="{43F869EB-A45B-4E9D-B0C7-32744771442F}"/>
    <cellStyle name="Linked Cell 18 3 4 3 2 2" xfId="19542" xr:uid="{127747BE-FC2D-4295-9F6E-1F13E63F1C1B}"/>
    <cellStyle name="Linked Cell 18 3 4 3 3" xfId="19543" xr:uid="{2EC40095-DEB6-4D08-B3B0-F1451118C41A}"/>
    <cellStyle name="Linked Cell 18 3 4 4" xfId="19544" xr:uid="{C15173A3-96A4-4FFB-A114-BB6018D4210E}"/>
    <cellStyle name="Linked Cell 18 3 4 4 2" xfId="19545" xr:uid="{3D42DDDB-11F4-4835-9313-42441D4ADB73}"/>
    <cellStyle name="Linked Cell 18 3 4 4 2 2" xfId="19546" xr:uid="{D905ABAC-B4B1-4853-960B-718B26500F02}"/>
    <cellStyle name="Linked Cell 18 3 4 4 3" xfId="19547" xr:uid="{3A22C1F1-3C61-4491-A787-FF86EA25B778}"/>
    <cellStyle name="Linked Cell 18 3 4 5" xfId="19548" xr:uid="{DB25505E-4FA5-4E7C-9219-047B470DC5D9}"/>
    <cellStyle name="Linked Cell 18 3 4 5 2" xfId="19549" xr:uid="{A4870103-59D3-41F8-B645-80BF6C2AEB00}"/>
    <cellStyle name="Linked Cell 18 3 4 5 2 2" xfId="19550" xr:uid="{13AA5FF8-8145-41A5-9D7C-A772ADEA87A0}"/>
    <cellStyle name="Linked Cell 18 3 4 5 3" xfId="19551" xr:uid="{B1C3D562-DD67-46F2-846A-BF0B0DF1D171}"/>
    <cellStyle name="Linked Cell 18 3 4 6" xfId="19552" xr:uid="{E18BA91F-6743-421D-BABB-3B63CC0936E9}"/>
    <cellStyle name="Linked Cell 18 3 4 6 2" xfId="19553" xr:uid="{E2737FCD-5255-469A-8C22-69F0402233C3}"/>
    <cellStyle name="Linked Cell 18 3 4 6 2 2" xfId="19554" xr:uid="{8564AA82-93D1-4D0B-B48E-068342E8F121}"/>
    <cellStyle name="Linked Cell 18 3 4 6 3" xfId="19555" xr:uid="{8952648E-5051-4BF7-9011-C6293E1A6186}"/>
    <cellStyle name="Linked Cell 18 3 4 7" xfId="19556" xr:uid="{8223B289-5A80-4826-83BB-FDE795015599}"/>
    <cellStyle name="Linked Cell 18 3 4 7 2" xfId="19557" xr:uid="{19108A36-5CAA-4461-AF36-AF82DEB56BD2}"/>
    <cellStyle name="Linked Cell 18 3 4 7 2 2" xfId="19558" xr:uid="{AB0B5EE4-99EA-4E92-8DA9-907E5099F689}"/>
    <cellStyle name="Linked Cell 18 3 4 7 3" xfId="19559" xr:uid="{90BB4ECB-A42D-4682-86EE-E918A739A52E}"/>
    <cellStyle name="Linked Cell 18 3 4 8" xfId="19560" xr:uid="{29B8A389-48EF-4A8C-8186-7DD4B50D2414}"/>
    <cellStyle name="Linked Cell 18 3 4 8 2" xfId="19561" xr:uid="{6813B51A-2E23-41F2-8036-E3A6345D7E60}"/>
    <cellStyle name="Linked Cell 18 3 4 8 2 2" xfId="19562" xr:uid="{2FE08839-7985-40C2-B1D1-5C272431220F}"/>
    <cellStyle name="Linked Cell 18 3 4 8 3" xfId="19563" xr:uid="{E4D137E3-2D1D-445E-84FB-40DEB36B70B4}"/>
    <cellStyle name="Linked Cell 18 3 4 9" xfId="19564" xr:uid="{CCE06E75-C233-4692-8ED5-280D3C38F8E8}"/>
    <cellStyle name="Linked Cell 18 3 4 9 2" xfId="19565" xr:uid="{3EF1DF00-3162-4736-A7DE-6ACA43417378}"/>
    <cellStyle name="Linked Cell 18 3 4 9 2 2" xfId="19566" xr:uid="{52E4EDD8-DB2C-4C3F-B3A7-936E5F2DFCF7}"/>
    <cellStyle name="Linked Cell 18 3 4 9 3" xfId="19567" xr:uid="{CEF24AC9-8CDC-4A80-A4EE-8BB2ED62499A}"/>
    <cellStyle name="Linked Cell 18 3 5" xfId="19568" xr:uid="{7FB21C0E-96A8-40BF-9667-87F83F3BD2C0}"/>
    <cellStyle name="Linked Cell 18 3 5 2" xfId="19569" xr:uid="{1C90B16D-8F72-48BC-AAED-B607E34BE879}"/>
    <cellStyle name="Linked Cell 18 3 5 2 2" xfId="19570" xr:uid="{4A8E77F2-F0B9-46F7-93A6-845A37D7884F}"/>
    <cellStyle name="Linked Cell 18 3 5 3" xfId="19571" xr:uid="{4BF38857-EDAA-42ED-BCE5-10D775B6E4B2}"/>
    <cellStyle name="Linked Cell 18 3 6" xfId="19572" xr:uid="{AACBDF68-6E04-4641-814A-0A334188AB7C}"/>
    <cellStyle name="Linked Cell 18 3 6 2" xfId="19573" xr:uid="{25420EB0-910E-4BD2-8BBC-865EBE525678}"/>
    <cellStyle name="Linked Cell 18 3 6 2 2" xfId="19574" xr:uid="{1EA4A1CC-4287-41B8-96F6-2994D492F50D}"/>
    <cellStyle name="Linked Cell 18 3 6 3" xfId="19575" xr:uid="{DF2A7C4A-565B-49AC-83F9-2C4BC6C96C1E}"/>
    <cellStyle name="Linked Cell 18 3 7" xfId="19576" xr:uid="{1DC2D459-C54C-47E4-BE62-DD896A190897}"/>
    <cellStyle name="Linked Cell 18 3 7 2" xfId="19577" xr:uid="{15E0D3C0-F6E2-48B4-AC57-1435030F7F05}"/>
    <cellStyle name="Linked Cell 18 3 7 2 2" xfId="19578" xr:uid="{5A548F99-A3BD-4413-9AE3-99BD1EC5A6C9}"/>
    <cellStyle name="Linked Cell 18 3 7 3" xfId="19579" xr:uid="{687572AF-2B6A-4FC2-9116-5C6BD633A720}"/>
    <cellStyle name="Linked Cell 18 3 8" xfId="19580" xr:uid="{D7BFABF8-9634-4634-8346-C59987774057}"/>
    <cellStyle name="Linked Cell 18 3 8 2" xfId="19581" xr:uid="{AFC26400-6925-4931-BE48-2B0B3D8D60A0}"/>
    <cellStyle name="Linked Cell 18 3 8 2 2" xfId="19582" xr:uid="{035FD063-BD5F-43DD-8234-76769CCE109A}"/>
    <cellStyle name="Linked Cell 18 3 8 3" xfId="19583" xr:uid="{A0E52651-F0CA-4C7A-AADD-234CB71A6044}"/>
    <cellStyle name="Linked Cell 18 3 9" xfId="19584" xr:uid="{3F6EE6C5-6FE7-4A31-9AD6-891063481A43}"/>
    <cellStyle name="Linked Cell 18 3 9 2" xfId="19585" xr:uid="{2D0339A6-7EE6-4032-A625-8E23FB75A82C}"/>
    <cellStyle name="Linked Cell 18 3 9 2 2" xfId="19586" xr:uid="{345150D9-78AC-49C6-B79E-F5B9D03ECDF0}"/>
    <cellStyle name="Linked Cell 18 3 9 3" xfId="19587" xr:uid="{D3B8847F-65CF-44E5-8534-9AEACE8750AC}"/>
    <cellStyle name="Linked Cell 18 4" xfId="19588" xr:uid="{7863897B-AACF-43C5-841C-0DF9FEA8BE9D}"/>
    <cellStyle name="Linked Cell 18 4 10" xfId="19589" xr:uid="{9A49E337-1F11-4C4B-BBDB-0C2EBD9D47D2}"/>
    <cellStyle name="Linked Cell 18 4 10 2" xfId="19590" xr:uid="{DFF37AE9-F9BC-43DC-B2B3-D5EE7C2CB2A0}"/>
    <cellStyle name="Linked Cell 18 4 10 2 2" xfId="19591" xr:uid="{C79C45DA-009D-4A4B-9780-D079B496A81E}"/>
    <cellStyle name="Linked Cell 18 4 10 3" xfId="19592" xr:uid="{67BA8D7A-09E0-4DA5-AADF-73289F4F9A8C}"/>
    <cellStyle name="Linked Cell 18 4 11" xfId="19593" xr:uid="{10F83114-A961-40C2-8061-28D2DC939354}"/>
    <cellStyle name="Linked Cell 18 4 11 2" xfId="19594" xr:uid="{27E54282-0038-4002-924D-617951200026}"/>
    <cellStyle name="Linked Cell 18 4 11 2 2" xfId="19595" xr:uid="{03AA8C97-B248-4D9B-B955-68213CCADC7F}"/>
    <cellStyle name="Linked Cell 18 4 11 3" xfId="19596" xr:uid="{8236D82C-4C40-4A07-A81D-D005E2D72BD8}"/>
    <cellStyle name="Linked Cell 18 4 12" xfId="19597" xr:uid="{2DC3A9B4-BC2D-4CDF-A4D1-6B0BDC149777}"/>
    <cellStyle name="Linked Cell 18 4 12 2" xfId="19598" xr:uid="{5DDD2F15-0D08-4EE7-8E50-987B7DB63EDF}"/>
    <cellStyle name="Linked Cell 18 4 13" xfId="19599" xr:uid="{4210A83C-107C-44CF-93CE-61084D6B9D73}"/>
    <cellStyle name="Linked Cell 18 4 2" xfId="19600" xr:uid="{F92C93FC-41FE-49F8-8422-0D3DD6B70C24}"/>
    <cellStyle name="Linked Cell 18 4 2 10" xfId="19601" xr:uid="{04766CF7-89E4-45B9-B212-5C01D4FDDAAF}"/>
    <cellStyle name="Linked Cell 18 4 2 10 2" xfId="19602" xr:uid="{CD61956B-7258-481E-A01B-F8DFE441B8C1}"/>
    <cellStyle name="Linked Cell 18 4 2 10 2 2" xfId="19603" xr:uid="{282FBA22-0251-4E6B-A392-5EC39142F506}"/>
    <cellStyle name="Linked Cell 18 4 2 10 3" xfId="19604" xr:uid="{BA499C32-A05E-48A6-A99E-E84CE0DE08D9}"/>
    <cellStyle name="Linked Cell 18 4 2 11" xfId="19605" xr:uid="{66462B34-9C01-4DA0-8099-3F9D2E8616F5}"/>
    <cellStyle name="Linked Cell 18 4 2 11 2" xfId="19606" xr:uid="{27CA4685-64A1-4432-B342-0B6526FC64A6}"/>
    <cellStyle name="Linked Cell 18 4 2 12" xfId="19607" xr:uid="{06171BC8-F2F6-4BF4-B867-6CE79A87F449}"/>
    <cellStyle name="Linked Cell 18 4 2 2" xfId="19608" xr:uid="{5D57E5FD-40EA-474E-A88E-75F1135D303F}"/>
    <cellStyle name="Linked Cell 18 4 2 2 2" xfId="19609" xr:uid="{EFAA590D-333A-4BD1-9968-EEE21B158436}"/>
    <cellStyle name="Linked Cell 18 4 2 2 2 2" xfId="19610" xr:uid="{54FCA837-2758-478C-9DC4-8D9D46D9E007}"/>
    <cellStyle name="Linked Cell 18 4 2 2 3" xfId="19611" xr:uid="{91C13C32-660F-43C4-B72F-B1A6956751E6}"/>
    <cellStyle name="Linked Cell 18 4 2 3" xfId="19612" xr:uid="{9BDF2A07-C701-4BFB-BF26-FE4AC7523421}"/>
    <cellStyle name="Linked Cell 18 4 2 3 2" xfId="19613" xr:uid="{BBBF3AF1-7CF2-45CA-B12B-2F35DB5A412F}"/>
    <cellStyle name="Linked Cell 18 4 2 3 2 2" xfId="19614" xr:uid="{5ED73C00-571F-4684-91E6-F099D4F72A7E}"/>
    <cellStyle name="Linked Cell 18 4 2 3 3" xfId="19615" xr:uid="{5A25D111-B7FA-4E74-84CD-1C52A1E41F2B}"/>
    <cellStyle name="Linked Cell 18 4 2 4" xfId="19616" xr:uid="{1F5D80FF-84BC-4305-A91C-234335FD64E0}"/>
    <cellStyle name="Linked Cell 18 4 2 4 2" xfId="19617" xr:uid="{2FB18150-D2E3-499D-8A30-6240C8267AAF}"/>
    <cellStyle name="Linked Cell 18 4 2 4 2 2" xfId="19618" xr:uid="{5B38BF7D-5C92-47D8-A480-3975FC80A80E}"/>
    <cellStyle name="Linked Cell 18 4 2 4 3" xfId="19619" xr:uid="{65426334-8362-4498-86DB-A7891967A18C}"/>
    <cellStyle name="Linked Cell 18 4 2 5" xfId="19620" xr:uid="{E1F30A84-8C3B-4D5E-AA31-26A416C4F057}"/>
    <cellStyle name="Linked Cell 18 4 2 5 2" xfId="19621" xr:uid="{6151AF28-D673-409A-A84B-0E40BC6FC84F}"/>
    <cellStyle name="Linked Cell 18 4 2 5 2 2" xfId="19622" xr:uid="{3AF6B00C-ECC5-48E0-9556-E25A4D14B72C}"/>
    <cellStyle name="Linked Cell 18 4 2 5 3" xfId="19623" xr:uid="{52B6A519-555E-42D3-BD1B-5F48C56F983F}"/>
    <cellStyle name="Linked Cell 18 4 2 6" xfId="19624" xr:uid="{88F58CC6-C43A-4A1D-A364-33FAC5A2E768}"/>
    <cellStyle name="Linked Cell 18 4 2 6 2" xfId="19625" xr:uid="{C060C1B4-CADB-4C13-8867-F608B1BBB4BC}"/>
    <cellStyle name="Linked Cell 18 4 2 6 2 2" xfId="19626" xr:uid="{B20645C2-E3F6-466C-9E94-3D11ADE36D03}"/>
    <cellStyle name="Linked Cell 18 4 2 6 3" xfId="19627" xr:uid="{EABB9803-3C81-4BEA-B88A-E1E92D8A5B85}"/>
    <cellStyle name="Linked Cell 18 4 2 7" xfId="19628" xr:uid="{5D4A5549-247C-4160-89AB-A77CA9AEC6BB}"/>
    <cellStyle name="Linked Cell 18 4 2 7 2" xfId="19629" xr:uid="{3316C060-EA19-4E36-9D15-6DB32989C6A3}"/>
    <cellStyle name="Linked Cell 18 4 2 7 2 2" xfId="19630" xr:uid="{9D95BD9B-C4FD-43F8-9C49-E4BB68F979AF}"/>
    <cellStyle name="Linked Cell 18 4 2 7 3" xfId="19631" xr:uid="{6E987B8B-7EB2-4150-B486-6ADEF87411D4}"/>
    <cellStyle name="Linked Cell 18 4 2 8" xfId="19632" xr:uid="{950C7F87-43F8-4256-B2F1-F2FC00FD133B}"/>
    <cellStyle name="Linked Cell 18 4 2 8 2" xfId="19633" xr:uid="{D6593584-98E7-469B-952F-E7D977FCF8E2}"/>
    <cellStyle name="Linked Cell 18 4 2 8 2 2" xfId="19634" xr:uid="{291DA02D-F909-44B3-8EFB-5E240AFB1671}"/>
    <cellStyle name="Linked Cell 18 4 2 8 3" xfId="19635" xr:uid="{74B74254-6409-4B7B-B8D5-5832ED8C9D41}"/>
    <cellStyle name="Linked Cell 18 4 2 9" xfId="19636" xr:uid="{33774D17-C9CE-4886-9077-095257076DA8}"/>
    <cellStyle name="Linked Cell 18 4 2 9 2" xfId="19637" xr:uid="{02E4765F-37C6-4051-80B1-0AD16F28C545}"/>
    <cellStyle name="Linked Cell 18 4 2 9 2 2" xfId="19638" xr:uid="{4EF27D76-7229-48F4-BE70-A762FF26C3BD}"/>
    <cellStyle name="Linked Cell 18 4 2 9 3" xfId="19639" xr:uid="{F197CC0A-76DD-48EF-8B2B-20B884A74B3B}"/>
    <cellStyle name="Linked Cell 18 4 3" xfId="19640" xr:uid="{C61A8EE9-936D-48D3-82FD-1FDCD3A7548A}"/>
    <cellStyle name="Linked Cell 18 4 3 10" xfId="19641" xr:uid="{1E0B7C66-2485-438F-8CE0-CBB453A413DE}"/>
    <cellStyle name="Linked Cell 18 4 3 10 2" xfId="19642" xr:uid="{E1D54F6E-2645-49A7-BF90-5FB2346462CB}"/>
    <cellStyle name="Linked Cell 18 4 3 11" xfId="19643" xr:uid="{823F70C3-DFFF-42AC-9719-58913321A83A}"/>
    <cellStyle name="Linked Cell 18 4 3 2" xfId="19644" xr:uid="{46A81145-5C11-4CB7-8C8D-24F000E5A3B4}"/>
    <cellStyle name="Linked Cell 18 4 3 2 2" xfId="19645" xr:uid="{58C768B9-8669-48DC-AD5D-2505CC196569}"/>
    <cellStyle name="Linked Cell 18 4 3 2 2 2" xfId="19646" xr:uid="{7822D55C-A7C4-4296-AA0F-CE5C1F194DC2}"/>
    <cellStyle name="Linked Cell 18 4 3 2 3" xfId="19647" xr:uid="{26972A8F-C676-49FB-905B-AEDF903C3726}"/>
    <cellStyle name="Linked Cell 18 4 3 3" xfId="19648" xr:uid="{3F930DE4-793A-40D9-AE8C-D8B91B29C377}"/>
    <cellStyle name="Linked Cell 18 4 3 3 2" xfId="19649" xr:uid="{DB71EC39-44C7-46D5-B1EF-C634013195EB}"/>
    <cellStyle name="Linked Cell 18 4 3 3 2 2" xfId="19650" xr:uid="{5D8A08E4-73F4-4938-B901-810EA31270EE}"/>
    <cellStyle name="Linked Cell 18 4 3 3 3" xfId="19651" xr:uid="{8004FCE8-D4A6-41B7-BFC3-CD86263435D6}"/>
    <cellStyle name="Linked Cell 18 4 3 4" xfId="19652" xr:uid="{0FB37E03-917F-4229-A72F-BAF4D77062BC}"/>
    <cellStyle name="Linked Cell 18 4 3 4 2" xfId="19653" xr:uid="{517924F0-DC7D-45AC-9DB3-9ABD14AF948F}"/>
    <cellStyle name="Linked Cell 18 4 3 4 2 2" xfId="19654" xr:uid="{EDD72377-3F33-4F42-96CD-8C482E427D99}"/>
    <cellStyle name="Linked Cell 18 4 3 4 3" xfId="19655" xr:uid="{B2F00292-9372-42B3-82C3-DBD5E4B19BF9}"/>
    <cellStyle name="Linked Cell 18 4 3 5" xfId="19656" xr:uid="{BE162D24-465A-4844-B1AF-1204605A70A6}"/>
    <cellStyle name="Linked Cell 18 4 3 5 2" xfId="19657" xr:uid="{BB70E0D7-D9E5-4AB8-AC4E-217186E083AB}"/>
    <cellStyle name="Linked Cell 18 4 3 5 2 2" xfId="19658" xr:uid="{770E36AB-A90F-4EC4-99F5-82B94A3A103D}"/>
    <cellStyle name="Linked Cell 18 4 3 5 3" xfId="19659" xr:uid="{B8FF7047-5E9B-4587-A053-50DAB60D8B8D}"/>
    <cellStyle name="Linked Cell 18 4 3 6" xfId="19660" xr:uid="{80883A76-7487-475E-85F2-F61C5E7CA679}"/>
    <cellStyle name="Linked Cell 18 4 3 6 2" xfId="19661" xr:uid="{BA3AF750-DB92-4F76-B8A1-44FAC616B5B5}"/>
    <cellStyle name="Linked Cell 18 4 3 6 2 2" xfId="19662" xr:uid="{E0F1B808-A677-4A15-A32A-690F57370711}"/>
    <cellStyle name="Linked Cell 18 4 3 6 3" xfId="19663" xr:uid="{8E3325EE-7046-4E35-B54F-B4563687EE32}"/>
    <cellStyle name="Linked Cell 18 4 3 7" xfId="19664" xr:uid="{3A98B565-FD7D-458F-AABE-915A0F277900}"/>
    <cellStyle name="Linked Cell 18 4 3 7 2" xfId="19665" xr:uid="{25D82ABF-5DC3-4E38-899D-42427400F8C5}"/>
    <cellStyle name="Linked Cell 18 4 3 7 2 2" xfId="19666" xr:uid="{C24D1F36-02B4-4DE9-894B-BCDC063930E3}"/>
    <cellStyle name="Linked Cell 18 4 3 7 3" xfId="19667" xr:uid="{492DA946-6D81-43C6-ABDE-B71C2A5E87E3}"/>
    <cellStyle name="Linked Cell 18 4 3 8" xfId="19668" xr:uid="{D9778441-BC6C-4E5C-A903-12F2B12F2DB7}"/>
    <cellStyle name="Linked Cell 18 4 3 8 2" xfId="19669" xr:uid="{BCF0DE6D-0671-4DE9-90B7-782FF9F3499F}"/>
    <cellStyle name="Linked Cell 18 4 3 8 2 2" xfId="19670" xr:uid="{4341898F-E863-46B6-95C8-6BB5E898E63B}"/>
    <cellStyle name="Linked Cell 18 4 3 8 3" xfId="19671" xr:uid="{18F8FD10-1C46-4603-B9DC-B6BEDBD4D730}"/>
    <cellStyle name="Linked Cell 18 4 3 9" xfId="19672" xr:uid="{E32F84BB-F8F1-44C5-9187-5DCEA8CC8200}"/>
    <cellStyle name="Linked Cell 18 4 3 9 2" xfId="19673" xr:uid="{ADAF9813-FDC9-4CA8-AE84-36F0E1ADCC10}"/>
    <cellStyle name="Linked Cell 18 4 3 9 2 2" xfId="19674" xr:uid="{906344AA-621E-4A1F-A6A5-67945638238C}"/>
    <cellStyle name="Linked Cell 18 4 3 9 3" xfId="19675" xr:uid="{8AD191E9-65C5-4CCA-9916-83347707FA81}"/>
    <cellStyle name="Linked Cell 18 4 4" xfId="19676" xr:uid="{34A410F0-C7B4-43EA-964F-88FAD3D11F56}"/>
    <cellStyle name="Linked Cell 18 4 4 2" xfId="19677" xr:uid="{10D8CC08-D2D9-4C3C-9BC0-E6D0F6EBF119}"/>
    <cellStyle name="Linked Cell 18 4 4 2 2" xfId="19678" xr:uid="{056F5452-2DD9-4830-8FBD-5F8A7411C0E2}"/>
    <cellStyle name="Linked Cell 18 4 4 3" xfId="19679" xr:uid="{51EDA07B-E20E-4E0D-BC9B-2AF44924F38D}"/>
    <cellStyle name="Linked Cell 18 4 5" xfId="19680" xr:uid="{8DD4E04B-F48D-4543-9681-4760B22A1F0D}"/>
    <cellStyle name="Linked Cell 18 4 5 2" xfId="19681" xr:uid="{110005AE-6265-4E36-B052-6CB938A1E888}"/>
    <cellStyle name="Linked Cell 18 4 5 2 2" xfId="19682" xr:uid="{8CA9E90D-1E93-46A5-94AC-DD888FCA1F91}"/>
    <cellStyle name="Linked Cell 18 4 5 3" xfId="19683" xr:uid="{32F4A91D-C380-467C-8066-93247ED1DEB8}"/>
    <cellStyle name="Linked Cell 18 4 6" xfId="19684" xr:uid="{64123B13-B3B7-41C8-88FC-F2D55C45434E}"/>
    <cellStyle name="Linked Cell 18 4 6 2" xfId="19685" xr:uid="{3C5DB59D-D284-4A92-9C08-A103FB637B01}"/>
    <cellStyle name="Linked Cell 18 4 6 2 2" xfId="19686" xr:uid="{74457394-76B8-4E5C-850E-805953E8A5B7}"/>
    <cellStyle name="Linked Cell 18 4 6 3" xfId="19687" xr:uid="{EC2A6DCE-0B94-4DCD-9CB5-EDE6E3F06DA3}"/>
    <cellStyle name="Linked Cell 18 4 7" xfId="19688" xr:uid="{6CFA037B-5E9C-4CCD-94AD-4B4C3DBF543B}"/>
    <cellStyle name="Linked Cell 18 4 7 2" xfId="19689" xr:uid="{08F0F484-FDFD-4C67-B708-ECD8FA8C7D04}"/>
    <cellStyle name="Linked Cell 18 4 7 2 2" xfId="19690" xr:uid="{47E13804-051E-4592-80EA-766A31ABF686}"/>
    <cellStyle name="Linked Cell 18 4 7 3" xfId="19691" xr:uid="{DCB6CC58-918E-4255-BB2D-5A2108BAA5C9}"/>
    <cellStyle name="Linked Cell 18 4 8" xfId="19692" xr:uid="{B84981D5-2B8E-46B4-90A0-7462051F5869}"/>
    <cellStyle name="Linked Cell 18 4 8 2" xfId="19693" xr:uid="{FD799BB2-8841-4069-87D5-777D2C476197}"/>
    <cellStyle name="Linked Cell 18 4 8 2 2" xfId="19694" xr:uid="{DEF1759A-C6F2-49DE-8ABB-DDE59D3C668E}"/>
    <cellStyle name="Linked Cell 18 4 8 3" xfId="19695" xr:uid="{D3A8FDCA-E61E-4426-8CFE-44C72C568611}"/>
    <cellStyle name="Linked Cell 18 4 9" xfId="19696" xr:uid="{D68309ED-42DE-4316-A47A-7F3195396CA3}"/>
    <cellStyle name="Linked Cell 18 4 9 2" xfId="19697" xr:uid="{E6C07EAB-CB6A-4D59-9A58-448429EED329}"/>
    <cellStyle name="Linked Cell 18 4 9 2 2" xfId="19698" xr:uid="{8EE5DD9B-1D0B-444A-98B9-D58B6E946FF3}"/>
    <cellStyle name="Linked Cell 18 4 9 3" xfId="19699" xr:uid="{AB4B2EA5-C43A-4185-80FC-311D4785A7E8}"/>
    <cellStyle name="Linked Cell 19" xfId="19700" xr:uid="{6258CA41-EF67-4E27-85D4-6B8711F1B81C}"/>
    <cellStyle name="Linked Cell 19 2" xfId="19701" xr:uid="{17F60BF5-D1C4-40C5-9153-8241FE1A7A1E}"/>
    <cellStyle name="Linked Cell 19 2 10" xfId="19702" xr:uid="{3602896F-9AE0-41A9-9B11-309D5936AEFA}"/>
    <cellStyle name="Linked Cell 19 2 10 2" xfId="19703" xr:uid="{FA3D5185-31BA-457E-B79D-F33F78AE72B3}"/>
    <cellStyle name="Linked Cell 19 2 10 2 2" xfId="19704" xr:uid="{6FFC4FB6-6B83-4A4E-9325-7E475BD9BBE2}"/>
    <cellStyle name="Linked Cell 19 2 10 3" xfId="19705" xr:uid="{0C69E78F-B0F8-4160-AD71-82B3DB2C97BA}"/>
    <cellStyle name="Linked Cell 19 2 11" xfId="19706" xr:uid="{6AA7E313-6E67-4B0A-8D21-C51677D0BCBA}"/>
    <cellStyle name="Linked Cell 19 2 11 2" xfId="19707" xr:uid="{B1CF9C5E-A8EC-4CEC-9D6A-26BDD5630EF1}"/>
    <cellStyle name="Linked Cell 19 2 11 2 2" xfId="19708" xr:uid="{71185238-236D-409D-9371-F39A818E29D1}"/>
    <cellStyle name="Linked Cell 19 2 11 3" xfId="19709" xr:uid="{2F6629C7-6E83-4B6C-BA2F-81DC60AFC0A1}"/>
    <cellStyle name="Linked Cell 19 2 12" xfId="19710" xr:uid="{5F1A03BA-C7A7-47F6-8A57-BACFBD7FF185}"/>
    <cellStyle name="Linked Cell 19 2 12 2" xfId="19711" xr:uid="{D1571238-896C-4A30-BFEE-83CEAADF9A68}"/>
    <cellStyle name="Linked Cell 19 2 12 2 2" xfId="19712" xr:uid="{7257910A-F3F7-4671-A37A-18C465CB0802}"/>
    <cellStyle name="Linked Cell 19 2 12 3" xfId="19713" xr:uid="{643C76B4-1FDF-479B-9235-D55EC93A408B}"/>
    <cellStyle name="Linked Cell 19 2 13" xfId="19714" xr:uid="{7F640244-3328-4939-B857-685BF65487D4}"/>
    <cellStyle name="Linked Cell 19 2 13 2" xfId="19715" xr:uid="{2BBFAA48-5807-4D91-8199-0C17D7984AA0}"/>
    <cellStyle name="Linked Cell 19 2 13 2 2" xfId="19716" xr:uid="{BBF46CED-13D6-4FD8-9B12-9CE1EEAE853C}"/>
    <cellStyle name="Linked Cell 19 2 13 3" xfId="19717" xr:uid="{DF915CCB-B276-42A7-8867-B2493B3BA374}"/>
    <cellStyle name="Linked Cell 19 2 14" xfId="19718" xr:uid="{46B7ADEB-FEE4-4539-B58C-F9FC026CCF51}"/>
    <cellStyle name="Linked Cell 19 2 14 2" xfId="19719" xr:uid="{87B5E37C-469E-44CD-B17C-7FAB205E214E}"/>
    <cellStyle name="Linked Cell 19 2 15" xfId="19720" xr:uid="{731496F9-A512-46E6-9229-2A594D21FBFE}"/>
    <cellStyle name="Linked Cell 19 2 2" xfId="19721" xr:uid="{3A44B0D9-D690-4550-A3B1-A78CB3F119AF}"/>
    <cellStyle name="Linked Cell 19 2 2 10" xfId="19722" xr:uid="{B9D1CF20-F7D2-468B-8C08-09C9D62DB06D}"/>
    <cellStyle name="Linked Cell 19 2 2 10 2" xfId="19723" xr:uid="{8E1BF9EE-A497-4D8E-9A8D-61AD0E97F56D}"/>
    <cellStyle name="Linked Cell 19 2 2 10 2 2" xfId="19724" xr:uid="{35299425-0AB5-4B85-929C-FCD394BAFB0D}"/>
    <cellStyle name="Linked Cell 19 2 2 10 3" xfId="19725" xr:uid="{BE7C19BB-285B-4286-A860-7FD69AF625C6}"/>
    <cellStyle name="Linked Cell 19 2 2 11" xfId="19726" xr:uid="{07DE792C-ED88-432F-93FA-BB8E0FE1A138}"/>
    <cellStyle name="Linked Cell 19 2 2 11 2" xfId="19727" xr:uid="{81C193ED-57CE-436C-AB34-FA885527282E}"/>
    <cellStyle name="Linked Cell 19 2 2 11 2 2" xfId="19728" xr:uid="{47079D3B-9D6D-4C69-A905-E8BFBCA2B495}"/>
    <cellStyle name="Linked Cell 19 2 2 11 3" xfId="19729" xr:uid="{27CB3C4D-2804-4B1F-B734-ADCD2BA452F9}"/>
    <cellStyle name="Linked Cell 19 2 2 12" xfId="19730" xr:uid="{E92EDDDD-90C2-4BE6-866F-2E665E929991}"/>
    <cellStyle name="Linked Cell 19 2 2 12 2" xfId="19731" xr:uid="{A2B79D10-BDC2-42F9-B096-72638E1B62D3}"/>
    <cellStyle name="Linked Cell 19 2 2 12 2 2" xfId="19732" xr:uid="{8F5E1104-BD06-493A-9E74-61CF3A2E4F17}"/>
    <cellStyle name="Linked Cell 19 2 2 12 3" xfId="19733" xr:uid="{721C7D54-D002-4179-B53D-351301B27367}"/>
    <cellStyle name="Linked Cell 19 2 2 13" xfId="19734" xr:uid="{84225D39-1FEB-4641-A6F7-EAF4099A9A68}"/>
    <cellStyle name="Linked Cell 19 2 2 13 2" xfId="19735" xr:uid="{06D8936B-B14A-45F7-B81C-D07B37447754}"/>
    <cellStyle name="Linked Cell 19 2 2 14" xfId="19736" xr:uid="{19E5B6D3-38EA-4636-8815-066BB3DFBA7C}"/>
    <cellStyle name="Linked Cell 19 2 2 2" xfId="19737" xr:uid="{44DF24C5-7C23-489F-8F13-6B416936A39A}"/>
    <cellStyle name="Linked Cell 19 2 2 2 10" xfId="19738" xr:uid="{9752A744-ADEF-4579-B74A-39E320CB0B66}"/>
    <cellStyle name="Linked Cell 19 2 2 2 10 2" xfId="19739" xr:uid="{1F4DE4BE-F484-458C-9E2A-32E9FD7BEEFD}"/>
    <cellStyle name="Linked Cell 19 2 2 2 10 2 2" xfId="19740" xr:uid="{1128E370-6918-483D-BE83-7ADE14356369}"/>
    <cellStyle name="Linked Cell 19 2 2 2 10 3" xfId="19741" xr:uid="{DBB42C6B-06DF-4B29-98AA-4F35BD3764A6}"/>
    <cellStyle name="Linked Cell 19 2 2 2 11" xfId="19742" xr:uid="{27FEDCE2-97DD-4147-AD2F-473CA594FC9B}"/>
    <cellStyle name="Linked Cell 19 2 2 2 11 2" xfId="19743" xr:uid="{E1784BDE-5D5F-4D13-B892-11C4D0992C92}"/>
    <cellStyle name="Linked Cell 19 2 2 2 11 2 2" xfId="19744" xr:uid="{B56C362E-78BD-4FB3-99D2-D22A36CF1496}"/>
    <cellStyle name="Linked Cell 19 2 2 2 11 3" xfId="19745" xr:uid="{B645DE0C-7A7F-4A7B-BB58-43C5D1C1B207}"/>
    <cellStyle name="Linked Cell 19 2 2 2 12" xfId="19746" xr:uid="{23D4423C-13F1-44EA-B4C5-D86DB385C713}"/>
    <cellStyle name="Linked Cell 19 2 2 2 12 2" xfId="19747" xr:uid="{BF2E07CD-FF9F-4C9C-91A2-C807725790C2}"/>
    <cellStyle name="Linked Cell 19 2 2 2 13" xfId="19748" xr:uid="{D41769A6-FABA-4D15-BC43-81352E93E02A}"/>
    <cellStyle name="Linked Cell 19 2 2 2 2" xfId="19749" xr:uid="{D4A6001C-D8FC-4C6F-8F3C-6B52E90F0BD7}"/>
    <cellStyle name="Linked Cell 19 2 2 2 2 10" xfId="19750" xr:uid="{80F9C59A-1516-4477-B37B-DBE01E0EAC42}"/>
    <cellStyle name="Linked Cell 19 2 2 2 2 10 2" xfId="19751" xr:uid="{E984FB4F-C2E4-401E-8D99-6D61731E0D59}"/>
    <cellStyle name="Linked Cell 19 2 2 2 2 10 2 2" xfId="19752" xr:uid="{B70274E0-ED78-49FB-B782-6BF785E4A615}"/>
    <cellStyle name="Linked Cell 19 2 2 2 2 10 3" xfId="19753" xr:uid="{6A6B533E-36E7-45EE-83C5-10899105D7ED}"/>
    <cellStyle name="Linked Cell 19 2 2 2 2 11" xfId="19754" xr:uid="{7C3764FE-CB08-4B65-AA96-17756E17C47D}"/>
    <cellStyle name="Linked Cell 19 2 2 2 2 11 2" xfId="19755" xr:uid="{F26E9A44-45F1-4DA3-B205-CE66F09C7439}"/>
    <cellStyle name="Linked Cell 19 2 2 2 2 12" xfId="19756" xr:uid="{BD3B3D12-444B-4A3F-9797-5242E60764E5}"/>
    <cellStyle name="Linked Cell 19 2 2 2 2 2" xfId="19757" xr:uid="{D98A09F7-075E-4C95-A3FA-EFB5AB3B6629}"/>
    <cellStyle name="Linked Cell 19 2 2 2 2 2 2" xfId="19758" xr:uid="{9DA3DA66-4991-47D5-939F-2B3796A1D255}"/>
    <cellStyle name="Linked Cell 19 2 2 2 2 2 2 2" xfId="19759" xr:uid="{447D9ADB-A20D-40A3-AD90-EFAADBAB4FD9}"/>
    <cellStyle name="Linked Cell 19 2 2 2 2 2 3" xfId="19760" xr:uid="{EFD51458-B3D3-44C8-9AF8-B0399F4C7622}"/>
    <cellStyle name="Linked Cell 19 2 2 2 2 3" xfId="19761" xr:uid="{989EE713-18DB-4961-8AB7-8BCEE1EE8F77}"/>
    <cellStyle name="Linked Cell 19 2 2 2 2 3 2" xfId="19762" xr:uid="{563CD7A6-E9D6-4348-85DE-4ECFE120D964}"/>
    <cellStyle name="Linked Cell 19 2 2 2 2 3 2 2" xfId="19763" xr:uid="{DFC65224-B3B0-4A9F-AB6C-58FCF36D2412}"/>
    <cellStyle name="Linked Cell 19 2 2 2 2 3 3" xfId="19764" xr:uid="{FE8B85EE-5BD5-48C7-A52E-F2BD0B30F47E}"/>
    <cellStyle name="Linked Cell 19 2 2 2 2 4" xfId="19765" xr:uid="{2AC6DFE1-62A1-4E8D-A0A4-2B53D8290080}"/>
    <cellStyle name="Linked Cell 19 2 2 2 2 4 2" xfId="19766" xr:uid="{CB17D89D-3098-4CA7-9BCE-81112DFCBF41}"/>
    <cellStyle name="Linked Cell 19 2 2 2 2 4 2 2" xfId="19767" xr:uid="{22D619A8-1596-4606-89E7-BFF33463FE13}"/>
    <cellStyle name="Linked Cell 19 2 2 2 2 4 3" xfId="19768" xr:uid="{B14446A9-8942-4CC4-BDFB-22926D7B06B8}"/>
    <cellStyle name="Linked Cell 19 2 2 2 2 5" xfId="19769" xr:uid="{B32074AB-3D87-454B-B6C8-351BC2CB4051}"/>
    <cellStyle name="Linked Cell 19 2 2 2 2 5 2" xfId="19770" xr:uid="{5EE327C4-81DB-43B7-A476-3B64BEC94816}"/>
    <cellStyle name="Linked Cell 19 2 2 2 2 5 2 2" xfId="19771" xr:uid="{D0E721DC-C882-4749-84E3-5073CCA2B530}"/>
    <cellStyle name="Linked Cell 19 2 2 2 2 5 3" xfId="19772" xr:uid="{9CABA218-FC8E-42EC-B824-2561BEE7109C}"/>
    <cellStyle name="Linked Cell 19 2 2 2 2 6" xfId="19773" xr:uid="{64DE77E7-1F59-46FD-AB2D-030A637D67B4}"/>
    <cellStyle name="Linked Cell 19 2 2 2 2 6 2" xfId="19774" xr:uid="{5A0577CF-D29E-4660-AAF7-650BF08D0F58}"/>
    <cellStyle name="Linked Cell 19 2 2 2 2 6 2 2" xfId="19775" xr:uid="{EB309633-8BD7-4655-8AB1-3A63E6EA41D1}"/>
    <cellStyle name="Linked Cell 19 2 2 2 2 6 3" xfId="19776" xr:uid="{C8D34D5D-9CAC-401D-A74A-0557B1571AC0}"/>
    <cellStyle name="Linked Cell 19 2 2 2 2 7" xfId="19777" xr:uid="{1B5280F3-46BB-4578-BE05-5C3FD35F5168}"/>
    <cellStyle name="Linked Cell 19 2 2 2 2 7 2" xfId="19778" xr:uid="{4B797025-D958-4A2B-A022-35D377450E8D}"/>
    <cellStyle name="Linked Cell 19 2 2 2 2 7 2 2" xfId="19779" xr:uid="{0C6A2975-28CE-47B9-8D84-139A80009A84}"/>
    <cellStyle name="Linked Cell 19 2 2 2 2 7 3" xfId="19780" xr:uid="{E723E96F-5908-4432-8C5A-81C1462D7016}"/>
    <cellStyle name="Linked Cell 19 2 2 2 2 8" xfId="19781" xr:uid="{5A00A07B-5527-467B-8697-3A64606FFCA1}"/>
    <cellStyle name="Linked Cell 19 2 2 2 2 8 2" xfId="19782" xr:uid="{3ACC5350-316F-4B56-83D6-793F4C767863}"/>
    <cellStyle name="Linked Cell 19 2 2 2 2 8 2 2" xfId="19783" xr:uid="{E3A81656-A6A2-4516-BF8A-A143F792F5B7}"/>
    <cellStyle name="Linked Cell 19 2 2 2 2 8 3" xfId="19784" xr:uid="{31D3ACA3-9505-4607-BFFB-0E7C006C20E0}"/>
    <cellStyle name="Linked Cell 19 2 2 2 2 9" xfId="19785" xr:uid="{698DDF87-CA55-4317-B6DA-42C6DC002659}"/>
    <cellStyle name="Linked Cell 19 2 2 2 2 9 2" xfId="19786" xr:uid="{7E2EEE5F-B819-4CB3-9F2C-AEEA12307217}"/>
    <cellStyle name="Linked Cell 19 2 2 2 2 9 2 2" xfId="19787" xr:uid="{0B495787-3CBB-4230-9AB3-CEB031A425DB}"/>
    <cellStyle name="Linked Cell 19 2 2 2 2 9 3" xfId="19788" xr:uid="{311A31E4-61FF-4AA0-8462-905318FBBCB5}"/>
    <cellStyle name="Linked Cell 19 2 2 2 3" xfId="19789" xr:uid="{045E04BB-155B-4E23-BF02-11B9A33558BE}"/>
    <cellStyle name="Linked Cell 19 2 2 2 3 10" xfId="19790" xr:uid="{E2868935-1FF8-44C2-B8F8-F4C452183F0A}"/>
    <cellStyle name="Linked Cell 19 2 2 2 3 10 2" xfId="19791" xr:uid="{FF1AA916-19F3-4C7C-962C-305778FE7257}"/>
    <cellStyle name="Linked Cell 19 2 2 2 3 11" xfId="19792" xr:uid="{F84D8DE2-4B53-45C4-B8CD-A2E82BBB9689}"/>
    <cellStyle name="Linked Cell 19 2 2 2 3 2" xfId="19793" xr:uid="{1B66C0CF-93E4-4FCC-A60F-4C02563E7747}"/>
    <cellStyle name="Linked Cell 19 2 2 2 3 2 2" xfId="19794" xr:uid="{4F76C855-98E0-4B31-8547-26E478DDF572}"/>
    <cellStyle name="Linked Cell 19 2 2 2 3 2 2 2" xfId="19795" xr:uid="{E6FA81E8-1340-48B2-B748-ADB7540921BA}"/>
    <cellStyle name="Linked Cell 19 2 2 2 3 2 3" xfId="19796" xr:uid="{8E069DBE-7F98-4B4E-BA50-73EB70A1DA83}"/>
    <cellStyle name="Linked Cell 19 2 2 2 3 3" xfId="19797" xr:uid="{B11C9339-2A7E-4A67-9630-19334DC6D4DC}"/>
    <cellStyle name="Linked Cell 19 2 2 2 3 3 2" xfId="19798" xr:uid="{B7EE2669-E83B-4E81-ADCA-91B87AC498B7}"/>
    <cellStyle name="Linked Cell 19 2 2 2 3 3 2 2" xfId="19799" xr:uid="{4861C391-CA3C-4FB1-96E0-5C2BFD6D557D}"/>
    <cellStyle name="Linked Cell 19 2 2 2 3 3 3" xfId="19800" xr:uid="{A4A42F49-1EDD-4AD7-B5B8-23861C87BF7B}"/>
    <cellStyle name="Linked Cell 19 2 2 2 3 4" xfId="19801" xr:uid="{1BFA0E3B-E559-4064-9CAB-BC8DE517EBCD}"/>
    <cellStyle name="Linked Cell 19 2 2 2 3 4 2" xfId="19802" xr:uid="{D307D176-6CC6-456C-9615-0163948BFFA0}"/>
    <cellStyle name="Linked Cell 19 2 2 2 3 4 2 2" xfId="19803" xr:uid="{8EF1DB77-2861-41C6-9C53-91C61E90B205}"/>
    <cellStyle name="Linked Cell 19 2 2 2 3 4 3" xfId="19804" xr:uid="{2E3238CA-8176-4E2B-A8BC-5AF9CBE348DE}"/>
    <cellStyle name="Linked Cell 19 2 2 2 3 5" xfId="19805" xr:uid="{8668B4B1-AF95-4C07-AD40-67ACD2110C3B}"/>
    <cellStyle name="Linked Cell 19 2 2 2 3 5 2" xfId="19806" xr:uid="{C3CCA327-757C-4B43-B480-360D81B41E3C}"/>
    <cellStyle name="Linked Cell 19 2 2 2 3 5 2 2" xfId="19807" xr:uid="{E468A64D-0FBB-469B-8654-5EBA81D8089C}"/>
    <cellStyle name="Linked Cell 19 2 2 2 3 5 3" xfId="19808" xr:uid="{54E687D4-F5BF-401C-9DFE-EE1F70EFBB85}"/>
    <cellStyle name="Linked Cell 19 2 2 2 3 6" xfId="19809" xr:uid="{12657D6F-7700-4C02-B5BF-B6BE70D3A027}"/>
    <cellStyle name="Linked Cell 19 2 2 2 3 6 2" xfId="19810" xr:uid="{B44BC192-4698-44BB-8A17-A60D0D93A429}"/>
    <cellStyle name="Linked Cell 19 2 2 2 3 6 2 2" xfId="19811" xr:uid="{40CB21CE-BF4A-4CD0-9159-305A32DA0742}"/>
    <cellStyle name="Linked Cell 19 2 2 2 3 6 3" xfId="19812" xr:uid="{BA940D14-B336-4535-AECB-5AAAE0DDB83B}"/>
    <cellStyle name="Linked Cell 19 2 2 2 3 7" xfId="19813" xr:uid="{53A79951-3A5C-46A3-A4E9-DB2D5C1380AE}"/>
    <cellStyle name="Linked Cell 19 2 2 2 3 7 2" xfId="19814" xr:uid="{ACDDC8E7-4711-486D-9F35-264C4500DF69}"/>
    <cellStyle name="Linked Cell 19 2 2 2 3 7 2 2" xfId="19815" xr:uid="{77E6D241-DC3E-417A-BE7B-4E6649C632C6}"/>
    <cellStyle name="Linked Cell 19 2 2 2 3 7 3" xfId="19816" xr:uid="{7A3F2CFD-1F69-47D9-86CE-0FB94E65015B}"/>
    <cellStyle name="Linked Cell 19 2 2 2 3 8" xfId="19817" xr:uid="{DC32B5F0-C754-4DB7-A143-F9A6F582BBF2}"/>
    <cellStyle name="Linked Cell 19 2 2 2 3 8 2" xfId="19818" xr:uid="{5F686B4C-5007-4336-8D7A-27118DE5DD99}"/>
    <cellStyle name="Linked Cell 19 2 2 2 3 8 2 2" xfId="19819" xr:uid="{54B44447-E369-47E5-9BB4-9CD6A1DEB777}"/>
    <cellStyle name="Linked Cell 19 2 2 2 3 8 3" xfId="19820" xr:uid="{91E4309D-1DBB-4848-BD7F-06C80210B1FF}"/>
    <cellStyle name="Linked Cell 19 2 2 2 3 9" xfId="19821" xr:uid="{C3789BAC-3CE8-47DB-B755-512D7E6FC3B0}"/>
    <cellStyle name="Linked Cell 19 2 2 2 3 9 2" xfId="19822" xr:uid="{33D41F54-F39A-468C-95A1-350FE6B48159}"/>
    <cellStyle name="Linked Cell 19 2 2 2 3 9 2 2" xfId="19823" xr:uid="{B330E373-2E6B-4BE6-957F-F783BF5B762E}"/>
    <cellStyle name="Linked Cell 19 2 2 2 3 9 3" xfId="19824" xr:uid="{EC40D58D-2C09-4F3A-88F2-28EF4271CFC4}"/>
    <cellStyle name="Linked Cell 19 2 2 2 4" xfId="19825" xr:uid="{1282F1A9-5ADC-42A6-9279-024EE9CFA91B}"/>
    <cellStyle name="Linked Cell 19 2 2 2 4 2" xfId="19826" xr:uid="{88C491BD-6E57-45FA-A600-F3113B379EDC}"/>
    <cellStyle name="Linked Cell 19 2 2 2 4 2 2" xfId="19827" xr:uid="{BFE7C516-3651-4DD9-9BA1-2E780FD1544B}"/>
    <cellStyle name="Linked Cell 19 2 2 2 4 3" xfId="19828" xr:uid="{FAF2631D-2793-4B97-A0FD-A1589E192876}"/>
    <cellStyle name="Linked Cell 19 2 2 2 5" xfId="19829" xr:uid="{FD948049-64BA-45B5-AC4D-18E06FEE1101}"/>
    <cellStyle name="Linked Cell 19 2 2 2 5 2" xfId="19830" xr:uid="{E0DC641B-775B-4E9A-92A2-BEC2CCD95E63}"/>
    <cellStyle name="Linked Cell 19 2 2 2 5 2 2" xfId="19831" xr:uid="{FC911A78-10BB-4ABA-B11B-4931380F33B7}"/>
    <cellStyle name="Linked Cell 19 2 2 2 5 3" xfId="19832" xr:uid="{232925EF-F25B-49E9-9271-7EF5504EA354}"/>
    <cellStyle name="Linked Cell 19 2 2 2 6" xfId="19833" xr:uid="{E89FFB62-619E-444E-9F36-2DA346CCE280}"/>
    <cellStyle name="Linked Cell 19 2 2 2 6 2" xfId="19834" xr:uid="{F38B537B-A8F9-4092-958A-78EC96D14602}"/>
    <cellStyle name="Linked Cell 19 2 2 2 6 2 2" xfId="19835" xr:uid="{0F463CAC-4716-418C-AE21-3C19486C6C99}"/>
    <cellStyle name="Linked Cell 19 2 2 2 6 3" xfId="19836" xr:uid="{1523FDF9-5FCC-405E-A177-3C351214C70E}"/>
    <cellStyle name="Linked Cell 19 2 2 2 7" xfId="19837" xr:uid="{4C092823-84C6-47B2-B62F-146F71BE3C3A}"/>
    <cellStyle name="Linked Cell 19 2 2 2 7 2" xfId="19838" xr:uid="{D35E152A-0F66-4984-84EE-42E16B5C8B3D}"/>
    <cellStyle name="Linked Cell 19 2 2 2 7 2 2" xfId="19839" xr:uid="{459FF758-D6A4-4E1C-8DE1-58111BA02101}"/>
    <cellStyle name="Linked Cell 19 2 2 2 7 3" xfId="19840" xr:uid="{9CEBFBB2-9BF6-46D5-9217-ED5B1FB4FC1B}"/>
    <cellStyle name="Linked Cell 19 2 2 2 8" xfId="19841" xr:uid="{59E80B42-89D9-40D3-9FE9-14205B7BD236}"/>
    <cellStyle name="Linked Cell 19 2 2 2 8 2" xfId="19842" xr:uid="{7E439422-C644-4C36-A5CC-ABC9818C754B}"/>
    <cellStyle name="Linked Cell 19 2 2 2 8 2 2" xfId="19843" xr:uid="{54F49F09-6B0C-4D29-A440-7D1CF86B4016}"/>
    <cellStyle name="Linked Cell 19 2 2 2 8 3" xfId="19844" xr:uid="{95FB766F-281E-40C4-B883-F9418C03AA1C}"/>
    <cellStyle name="Linked Cell 19 2 2 2 9" xfId="19845" xr:uid="{FDCC2E4C-128F-4746-9F1D-ED36910E4990}"/>
    <cellStyle name="Linked Cell 19 2 2 2 9 2" xfId="19846" xr:uid="{2C479A69-B6D8-4B4C-9785-7ECA04F780FA}"/>
    <cellStyle name="Linked Cell 19 2 2 2 9 2 2" xfId="19847" xr:uid="{60069323-5D1C-40CA-AFAD-4F8EDEE869A5}"/>
    <cellStyle name="Linked Cell 19 2 2 2 9 3" xfId="19848" xr:uid="{6DC39754-7709-410E-B1BE-5C956C11B648}"/>
    <cellStyle name="Linked Cell 19 2 2 3" xfId="19849" xr:uid="{8F51D84D-DD0C-4DDB-9B7E-34239D48C02C}"/>
    <cellStyle name="Linked Cell 19 2 2 3 10" xfId="19850" xr:uid="{31A06B5B-47CC-409B-BDCE-507A5F846967}"/>
    <cellStyle name="Linked Cell 19 2 2 3 10 2" xfId="19851" xr:uid="{DA2302A4-C864-4087-A46E-C824C4EEB247}"/>
    <cellStyle name="Linked Cell 19 2 2 3 10 2 2" xfId="19852" xr:uid="{4282A15E-9B6B-4657-9630-AFA784C29729}"/>
    <cellStyle name="Linked Cell 19 2 2 3 10 3" xfId="19853" xr:uid="{D5C1D6FA-5964-4631-95D7-39A665639F5A}"/>
    <cellStyle name="Linked Cell 19 2 2 3 11" xfId="19854" xr:uid="{D5E06778-86A5-49D9-9D60-2219FD052C41}"/>
    <cellStyle name="Linked Cell 19 2 2 3 11 2" xfId="19855" xr:uid="{867BB9B0-4F72-44BD-B588-7F992BFC1EE8}"/>
    <cellStyle name="Linked Cell 19 2 2 3 12" xfId="19856" xr:uid="{42417810-ADE9-4B57-8152-185449EEFAE1}"/>
    <cellStyle name="Linked Cell 19 2 2 3 2" xfId="19857" xr:uid="{CE884D56-B17F-4C77-B55E-B26C39547142}"/>
    <cellStyle name="Linked Cell 19 2 2 3 2 10" xfId="19858" xr:uid="{0DB5F6E2-9FB6-42B8-A235-CDB8C5407B53}"/>
    <cellStyle name="Linked Cell 19 2 2 3 2 10 2" xfId="19859" xr:uid="{DE11C731-D663-4AB0-94B7-53B153BC5163}"/>
    <cellStyle name="Linked Cell 19 2 2 3 2 11" xfId="19860" xr:uid="{D05B6E6F-88D0-46C9-86BA-2CB6F91D4C6C}"/>
    <cellStyle name="Linked Cell 19 2 2 3 2 2" xfId="19861" xr:uid="{2E8DE258-CA30-49CE-B0B7-4AFC999A11A1}"/>
    <cellStyle name="Linked Cell 19 2 2 3 2 2 2" xfId="19862" xr:uid="{1E43C83F-46AD-4F13-93C3-F45C677CFD5E}"/>
    <cellStyle name="Linked Cell 19 2 2 3 2 2 2 2" xfId="19863" xr:uid="{90047DAF-5883-438A-9A99-911F7F8A584B}"/>
    <cellStyle name="Linked Cell 19 2 2 3 2 2 3" xfId="19864" xr:uid="{1F007A49-DF8B-4B7A-9EA2-D22448962290}"/>
    <cellStyle name="Linked Cell 19 2 2 3 2 3" xfId="19865" xr:uid="{C2790B29-025C-4227-9BA8-D8346E4915A7}"/>
    <cellStyle name="Linked Cell 19 2 2 3 2 3 2" xfId="19866" xr:uid="{8E69BC6E-4EA9-4644-87EB-CE56325780B3}"/>
    <cellStyle name="Linked Cell 19 2 2 3 2 3 2 2" xfId="19867" xr:uid="{2A8D0D75-B6D9-4112-9294-3B79E54346C0}"/>
    <cellStyle name="Linked Cell 19 2 2 3 2 3 3" xfId="19868" xr:uid="{5ABD1453-146B-4233-B013-4DB43AB7B05C}"/>
    <cellStyle name="Linked Cell 19 2 2 3 2 4" xfId="19869" xr:uid="{66484EC6-C0E1-456C-A3DF-90C6C490507D}"/>
    <cellStyle name="Linked Cell 19 2 2 3 2 4 2" xfId="19870" xr:uid="{FF0F736F-743F-42AD-8E25-4DA8AF10C39F}"/>
    <cellStyle name="Linked Cell 19 2 2 3 2 4 2 2" xfId="19871" xr:uid="{BE459C10-2584-4D77-BB5A-6911F1F6B1A0}"/>
    <cellStyle name="Linked Cell 19 2 2 3 2 4 3" xfId="19872" xr:uid="{7824FEC4-D442-4A36-9A8B-31F02CE5EEFD}"/>
    <cellStyle name="Linked Cell 19 2 2 3 2 5" xfId="19873" xr:uid="{E1B69EE0-D2FD-4C1A-A55A-BBD38038CC4D}"/>
    <cellStyle name="Linked Cell 19 2 2 3 2 5 2" xfId="19874" xr:uid="{0EFDD8B8-0DE1-4DE5-8BB8-17B27EB6A5AF}"/>
    <cellStyle name="Linked Cell 19 2 2 3 2 5 2 2" xfId="19875" xr:uid="{A4582050-85E4-4988-B2AD-B5F03A1D9B7F}"/>
    <cellStyle name="Linked Cell 19 2 2 3 2 5 3" xfId="19876" xr:uid="{12664E70-DCBF-492A-B809-D8907CE7FE12}"/>
    <cellStyle name="Linked Cell 19 2 2 3 2 6" xfId="19877" xr:uid="{F39DE019-160F-4D22-A5FC-21665E776790}"/>
    <cellStyle name="Linked Cell 19 2 2 3 2 6 2" xfId="19878" xr:uid="{68B0A217-C823-488D-A41D-9A7C3352EDD9}"/>
    <cellStyle name="Linked Cell 19 2 2 3 2 6 2 2" xfId="19879" xr:uid="{3762B156-9753-427C-B805-722E3B07E739}"/>
    <cellStyle name="Linked Cell 19 2 2 3 2 6 3" xfId="19880" xr:uid="{7E113264-F705-4C63-80FD-C8AE04D7278D}"/>
    <cellStyle name="Linked Cell 19 2 2 3 2 7" xfId="19881" xr:uid="{2A464F79-F054-468F-912B-A1711B188FE3}"/>
    <cellStyle name="Linked Cell 19 2 2 3 2 7 2" xfId="19882" xr:uid="{201B6DE8-BFD4-4C4C-A5F7-53CF4AF22B49}"/>
    <cellStyle name="Linked Cell 19 2 2 3 2 7 2 2" xfId="19883" xr:uid="{C9F537F4-4002-43F5-9CC4-0698D7EEDAD3}"/>
    <cellStyle name="Linked Cell 19 2 2 3 2 7 3" xfId="19884" xr:uid="{6BEF3133-F348-4342-AD78-56EB1C8E0ED3}"/>
    <cellStyle name="Linked Cell 19 2 2 3 2 8" xfId="19885" xr:uid="{354F4369-7DF5-45E7-8D9D-B100B9E80BF2}"/>
    <cellStyle name="Linked Cell 19 2 2 3 2 8 2" xfId="19886" xr:uid="{304280DC-1B8A-4FFC-A399-64BFFBFD1280}"/>
    <cellStyle name="Linked Cell 19 2 2 3 2 8 2 2" xfId="19887" xr:uid="{BE05C5A5-5BCE-486B-A784-04E22DA5376B}"/>
    <cellStyle name="Linked Cell 19 2 2 3 2 8 3" xfId="19888" xr:uid="{10CFECB0-27C1-40C0-BCFC-D294E3F446AB}"/>
    <cellStyle name="Linked Cell 19 2 2 3 2 9" xfId="19889" xr:uid="{634BE22A-2964-4122-90C2-E169B1C70C9A}"/>
    <cellStyle name="Linked Cell 19 2 2 3 2 9 2" xfId="19890" xr:uid="{899FDDE5-7442-478E-9F9B-BFC8CA4DFF44}"/>
    <cellStyle name="Linked Cell 19 2 2 3 2 9 2 2" xfId="19891" xr:uid="{F7C386D6-8427-4BCA-8307-D1B801C19D8C}"/>
    <cellStyle name="Linked Cell 19 2 2 3 2 9 3" xfId="19892" xr:uid="{D3985D42-7DE9-45B4-A1B3-2269F8906811}"/>
    <cellStyle name="Linked Cell 19 2 2 3 3" xfId="19893" xr:uid="{0B0AFA37-288E-4AF9-A3BE-E35AD72EF16D}"/>
    <cellStyle name="Linked Cell 19 2 2 3 3 2" xfId="19894" xr:uid="{B4281EB7-12A9-4464-8F84-E0B4662C04DE}"/>
    <cellStyle name="Linked Cell 19 2 2 3 3 2 2" xfId="19895" xr:uid="{2E521D64-C7E9-42A4-B856-5E62338DA4A6}"/>
    <cellStyle name="Linked Cell 19 2 2 3 3 3" xfId="19896" xr:uid="{EADAD968-4E87-402E-A995-B3D42DFFB0AF}"/>
    <cellStyle name="Linked Cell 19 2 2 3 4" xfId="19897" xr:uid="{6ED513E1-146F-4CB9-8859-5BE8C0C260C8}"/>
    <cellStyle name="Linked Cell 19 2 2 3 4 2" xfId="19898" xr:uid="{92C8F093-8CB7-4677-9FBC-60FA54545084}"/>
    <cellStyle name="Linked Cell 19 2 2 3 4 2 2" xfId="19899" xr:uid="{C0F897AF-F059-4FCA-ABAA-BF3DA0AB48F5}"/>
    <cellStyle name="Linked Cell 19 2 2 3 4 3" xfId="19900" xr:uid="{E86075FA-D48C-429E-89F9-4AC9B8D003A5}"/>
    <cellStyle name="Linked Cell 19 2 2 3 5" xfId="19901" xr:uid="{0F9D80F4-A37B-4C79-A95E-48ACDBAA89ED}"/>
    <cellStyle name="Linked Cell 19 2 2 3 5 2" xfId="19902" xr:uid="{1A53C658-782F-4927-BD4D-C256E72D5722}"/>
    <cellStyle name="Linked Cell 19 2 2 3 5 2 2" xfId="19903" xr:uid="{7FB0EB1B-92F8-4FA5-B3FA-7E6319B3726A}"/>
    <cellStyle name="Linked Cell 19 2 2 3 5 3" xfId="19904" xr:uid="{EE39CF2B-E740-42FB-B0F6-4851006E589F}"/>
    <cellStyle name="Linked Cell 19 2 2 3 6" xfId="19905" xr:uid="{CE08ED2B-897F-4950-871B-B96CD168D1D8}"/>
    <cellStyle name="Linked Cell 19 2 2 3 6 2" xfId="19906" xr:uid="{F26119CA-2BE6-422F-B8C6-B1AC95182AC4}"/>
    <cellStyle name="Linked Cell 19 2 2 3 6 2 2" xfId="19907" xr:uid="{DBB555AB-5BD4-4035-990A-5DB3B063D230}"/>
    <cellStyle name="Linked Cell 19 2 2 3 6 3" xfId="19908" xr:uid="{962D58DC-2157-4919-A936-644954313C8D}"/>
    <cellStyle name="Linked Cell 19 2 2 3 7" xfId="19909" xr:uid="{168F2E6A-BCA1-4129-B864-BF13055A5004}"/>
    <cellStyle name="Linked Cell 19 2 2 3 7 2" xfId="19910" xr:uid="{D6FCFA38-2A5D-40C9-8BBF-BA69C4C161F2}"/>
    <cellStyle name="Linked Cell 19 2 2 3 7 2 2" xfId="19911" xr:uid="{9C1130F3-088D-4590-8E97-64C8BF9C0461}"/>
    <cellStyle name="Linked Cell 19 2 2 3 7 3" xfId="19912" xr:uid="{C004F32F-3E69-48AD-AD15-3A2AA63FAA76}"/>
    <cellStyle name="Linked Cell 19 2 2 3 8" xfId="19913" xr:uid="{B826D17F-2D5A-4948-BD9A-E7E938254188}"/>
    <cellStyle name="Linked Cell 19 2 2 3 8 2" xfId="19914" xr:uid="{FA1A5900-0B61-470C-AD59-DCD674838E57}"/>
    <cellStyle name="Linked Cell 19 2 2 3 8 2 2" xfId="19915" xr:uid="{D89D6357-8337-4A28-A44E-71D7A9D0EF8B}"/>
    <cellStyle name="Linked Cell 19 2 2 3 8 3" xfId="19916" xr:uid="{E19948F1-3C70-4AB8-B61D-D67B9CEC0577}"/>
    <cellStyle name="Linked Cell 19 2 2 3 9" xfId="19917" xr:uid="{5FBDFFD6-F805-4E07-92D0-4C320C3E7C7B}"/>
    <cellStyle name="Linked Cell 19 2 2 3 9 2" xfId="19918" xr:uid="{98C01429-1A59-4B8B-AA6D-BB6389BFD06C}"/>
    <cellStyle name="Linked Cell 19 2 2 3 9 2 2" xfId="19919" xr:uid="{677AA1DB-7D6A-4716-9E90-956D8C33C761}"/>
    <cellStyle name="Linked Cell 19 2 2 3 9 3" xfId="19920" xr:uid="{BEE0C1FC-B840-42DD-9EA6-4E046FCC8E26}"/>
    <cellStyle name="Linked Cell 19 2 2 4" xfId="19921" xr:uid="{81992336-358D-46E0-BE57-490036145698}"/>
    <cellStyle name="Linked Cell 19 2 2 4 10" xfId="19922" xr:uid="{3FF642C8-CCE8-498F-96E1-3A9B2E98102F}"/>
    <cellStyle name="Linked Cell 19 2 2 4 10 2" xfId="19923" xr:uid="{72109634-B6FE-412C-83DF-8765FA063538}"/>
    <cellStyle name="Linked Cell 19 2 2 4 11" xfId="19924" xr:uid="{7A79C027-6943-4337-B223-83903B07F709}"/>
    <cellStyle name="Linked Cell 19 2 2 4 2" xfId="19925" xr:uid="{7D987EA2-858C-485A-9F21-36E51D9E3CE7}"/>
    <cellStyle name="Linked Cell 19 2 2 4 2 2" xfId="19926" xr:uid="{4638ACDD-DF11-4EFC-A410-6D7A255FE0D7}"/>
    <cellStyle name="Linked Cell 19 2 2 4 2 2 2" xfId="19927" xr:uid="{5AAB9E6C-179A-48EC-9C45-6CD985101D25}"/>
    <cellStyle name="Linked Cell 19 2 2 4 2 3" xfId="19928" xr:uid="{C839FED9-2CBD-49C7-B6D2-C0213A42B87F}"/>
    <cellStyle name="Linked Cell 19 2 2 4 3" xfId="19929" xr:uid="{737EF582-6E84-4300-A0C1-5AC48BF4B392}"/>
    <cellStyle name="Linked Cell 19 2 2 4 3 2" xfId="19930" xr:uid="{C353D6D9-D07F-4B59-82E4-68DCEE5C1953}"/>
    <cellStyle name="Linked Cell 19 2 2 4 3 2 2" xfId="19931" xr:uid="{1EF4A918-9FC4-47BF-B9BF-7D71F20B5426}"/>
    <cellStyle name="Linked Cell 19 2 2 4 3 3" xfId="19932" xr:uid="{2B6A5425-146D-45AC-A2C8-519F3B03CAEE}"/>
    <cellStyle name="Linked Cell 19 2 2 4 4" xfId="19933" xr:uid="{0DA6BF4F-FD09-4FFC-B0EE-E1AA7B2A061A}"/>
    <cellStyle name="Linked Cell 19 2 2 4 4 2" xfId="19934" xr:uid="{E27818D3-CF0C-427A-B861-199601BD0C60}"/>
    <cellStyle name="Linked Cell 19 2 2 4 4 2 2" xfId="19935" xr:uid="{C06F242B-3CDC-4DD2-9A16-CDA3B182076A}"/>
    <cellStyle name="Linked Cell 19 2 2 4 4 3" xfId="19936" xr:uid="{550B69FB-3340-4532-99A1-E70DB4995AE3}"/>
    <cellStyle name="Linked Cell 19 2 2 4 5" xfId="19937" xr:uid="{E4B8281A-F1AD-42A2-AC46-D7D0EE6EE0AE}"/>
    <cellStyle name="Linked Cell 19 2 2 4 5 2" xfId="19938" xr:uid="{ED63743F-EF06-4B32-8966-BD7FED0DB601}"/>
    <cellStyle name="Linked Cell 19 2 2 4 5 2 2" xfId="19939" xr:uid="{F1AD7AA6-6D34-49E0-9AD2-D536D7589888}"/>
    <cellStyle name="Linked Cell 19 2 2 4 5 3" xfId="19940" xr:uid="{F00B26F9-9D8B-477A-B3D3-60C1903B7233}"/>
    <cellStyle name="Linked Cell 19 2 2 4 6" xfId="19941" xr:uid="{ECCCCEA4-C814-42E6-ABAE-BB134FDDDB04}"/>
    <cellStyle name="Linked Cell 19 2 2 4 6 2" xfId="19942" xr:uid="{09019FB0-916C-4482-BAD2-CF372BC1AA10}"/>
    <cellStyle name="Linked Cell 19 2 2 4 6 2 2" xfId="19943" xr:uid="{22B1A4E1-0A7C-4587-B77F-2327C6245D50}"/>
    <cellStyle name="Linked Cell 19 2 2 4 6 3" xfId="19944" xr:uid="{6A3F5165-E989-4F8F-A675-63510EA3BDD2}"/>
    <cellStyle name="Linked Cell 19 2 2 4 7" xfId="19945" xr:uid="{EDAC7E2E-07F9-4EB9-A01F-A3FA7E1F4801}"/>
    <cellStyle name="Linked Cell 19 2 2 4 7 2" xfId="19946" xr:uid="{D4648505-C85F-428C-8B76-2333DE550085}"/>
    <cellStyle name="Linked Cell 19 2 2 4 7 2 2" xfId="19947" xr:uid="{C1428C98-CBC2-4CED-BB6B-8C90DE28915B}"/>
    <cellStyle name="Linked Cell 19 2 2 4 7 3" xfId="19948" xr:uid="{C9A17A59-67F6-412A-AB30-BC4AE24BDA79}"/>
    <cellStyle name="Linked Cell 19 2 2 4 8" xfId="19949" xr:uid="{C1B4B934-2FF5-462A-B69F-F0E3AD122B24}"/>
    <cellStyle name="Linked Cell 19 2 2 4 8 2" xfId="19950" xr:uid="{B7322012-CB52-4F62-B225-8007C176C42B}"/>
    <cellStyle name="Linked Cell 19 2 2 4 8 2 2" xfId="19951" xr:uid="{26771DB2-02AB-478E-83C2-DFD8FACF57B2}"/>
    <cellStyle name="Linked Cell 19 2 2 4 8 3" xfId="19952" xr:uid="{A1D81CE4-4F77-4EB2-8402-A502223F935D}"/>
    <cellStyle name="Linked Cell 19 2 2 4 9" xfId="19953" xr:uid="{5E1279FA-3923-447F-A902-E6EE3EA9AA4C}"/>
    <cellStyle name="Linked Cell 19 2 2 4 9 2" xfId="19954" xr:uid="{69ADCCEB-67BC-49B9-9413-8C755B5C530F}"/>
    <cellStyle name="Linked Cell 19 2 2 4 9 2 2" xfId="19955" xr:uid="{4B074EBB-7218-48AA-9306-1DAED1C8CD7B}"/>
    <cellStyle name="Linked Cell 19 2 2 4 9 3" xfId="19956" xr:uid="{F061396A-40F4-4F50-B1BF-A1B8348F577A}"/>
    <cellStyle name="Linked Cell 19 2 2 5" xfId="19957" xr:uid="{53C7F959-8079-4800-9E05-8F28109BC8F8}"/>
    <cellStyle name="Linked Cell 19 2 2 5 2" xfId="19958" xr:uid="{644CB8D3-A40C-44AE-9CBF-343277D29095}"/>
    <cellStyle name="Linked Cell 19 2 2 5 2 2" xfId="19959" xr:uid="{CA42CA7C-65BC-483F-8C56-4A50AECC6FB6}"/>
    <cellStyle name="Linked Cell 19 2 2 5 3" xfId="19960" xr:uid="{9E1F503A-68B0-4AA4-A581-D06791B490D4}"/>
    <cellStyle name="Linked Cell 19 2 2 6" xfId="19961" xr:uid="{2065F301-57AC-4FE5-AF86-432F23FEDA8C}"/>
    <cellStyle name="Linked Cell 19 2 2 6 2" xfId="19962" xr:uid="{8D9BCD63-64B9-40B2-90EE-E8CFCABE1122}"/>
    <cellStyle name="Linked Cell 19 2 2 6 2 2" xfId="19963" xr:uid="{7BD71D3F-B75E-4825-A591-11A199265BA1}"/>
    <cellStyle name="Linked Cell 19 2 2 6 3" xfId="19964" xr:uid="{B6089315-3541-4DDB-A529-2BFC3917E64B}"/>
    <cellStyle name="Linked Cell 19 2 2 7" xfId="19965" xr:uid="{9355E022-9AE9-4469-9B62-D0A0E7086D06}"/>
    <cellStyle name="Linked Cell 19 2 2 7 2" xfId="19966" xr:uid="{1F2A95A0-53B1-4496-923D-DE5D6F23FFFC}"/>
    <cellStyle name="Linked Cell 19 2 2 7 2 2" xfId="19967" xr:uid="{EB0FA286-4D68-4042-B90C-E7A7AB2F6FAE}"/>
    <cellStyle name="Linked Cell 19 2 2 7 3" xfId="19968" xr:uid="{71A0534A-1660-4242-8D2F-DB55F9C3734E}"/>
    <cellStyle name="Linked Cell 19 2 2 8" xfId="19969" xr:uid="{1ED331A7-FB1D-4C15-AF5D-A39814610BDC}"/>
    <cellStyle name="Linked Cell 19 2 2 8 2" xfId="19970" xr:uid="{61FA5352-B335-4CE5-A622-818E77067217}"/>
    <cellStyle name="Linked Cell 19 2 2 8 2 2" xfId="19971" xr:uid="{9CFE4E07-31F4-4D56-8F13-4724A14C745A}"/>
    <cellStyle name="Linked Cell 19 2 2 8 3" xfId="19972" xr:uid="{9690294C-2209-4F15-8E96-B071558DEF3E}"/>
    <cellStyle name="Linked Cell 19 2 2 9" xfId="19973" xr:uid="{5D9ED534-5192-4619-BDCF-A68CC71244CD}"/>
    <cellStyle name="Linked Cell 19 2 2 9 2" xfId="19974" xr:uid="{D93E126D-6EE3-4DB4-9A54-25322209DD73}"/>
    <cellStyle name="Linked Cell 19 2 2 9 2 2" xfId="19975" xr:uid="{DF788BEB-44DF-4FD3-89A6-AFB5CC033FFF}"/>
    <cellStyle name="Linked Cell 19 2 2 9 3" xfId="19976" xr:uid="{C5246BB4-86A0-4E01-B66D-2D791CBF342D}"/>
    <cellStyle name="Linked Cell 19 2 3" xfId="19977" xr:uid="{77648171-C3D4-44E5-A225-0C179F3C8E28}"/>
    <cellStyle name="Linked Cell 19 2 3 10" xfId="19978" xr:uid="{3F8A5B32-3CB1-481F-ACA2-8B64AFF339BE}"/>
    <cellStyle name="Linked Cell 19 2 3 10 2" xfId="19979" xr:uid="{4EB602A3-4273-4C0F-BF58-A09A00A5F3F6}"/>
    <cellStyle name="Linked Cell 19 2 3 10 2 2" xfId="19980" xr:uid="{AD7A99A1-CC68-468A-A359-9CE25F0E6B60}"/>
    <cellStyle name="Linked Cell 19 2 3 10 3" xfId="19981" xr:uid="{1C9BD9E3-E13B-4626-9C6F-DD4F6EF382FF}"/>
    <cellStyle name="Linked Cell 19 2 3 11" xfId="19982" xr:uid="{EA4552F6-0FFB-4F5B-920D-7DC31254E7D0}"/>
    <cellStyle name="Linked Cell 19 2 3 11 2" xfId="19983" xr:uid="{33CE9B32-A183-48D4-8997-F5D3D489F988}"/>
    <cellStyle name="Linked Cell 19 2 3 11 2 2" xfId="19984" xr:uid="{32A19540-0C00-4C96-99E5-707B8623E501}"/>
    <cellStyle name="Linked Cell 19 2 3 11 3" xfId="19985" xr:uid="{5B8BA96B-0638-4256-A455-44EF47BBDC1A}"/>
    <cellStyle name="Linked Cell 19 2 3 12" xfId="19986" xr:uid="{3D539156-98FA-456D-9C26-4B71A50CD075}"/>
    <cellStyle name="Linked Cell 19 2 3 12 2" xfId="19987" xr:uid="{CF545F5E-9F85-4140-8726-E21A7ECC5997}"/>
    <cellStyle name="Linked Cell 19 2 3 13" xfId="19988" xr:uid="{DBCA28DC-818F-499D-A08B-68E1929D8E71}"/>
    <cellStyle name="Linked Cell 19 2 3 2" xfId="19989" xr:uid="{BA35E20A-8658-4627-8466-80103E333B3E}"/>
    <cellStyle name="Linked Cell 19 2 3 2 10" xfId="19990" xr:uid="{2743C60E-91D1-440B-BC26-8E87393A7E96}"/>
    <cellStyle name="Linked Cell 19 2 3 2 10 2" xfId="19991" xr:uid="{B21DE3B2-2CE8-4ED3-B35A-4FAAF10788E2}"/>
    <cellStyle name="Linked Cell 19 2 3 2 10 2 2" xfId="19992" xr:uid="{31A426EE-8945-4AAF-B6C3-AA92C6310C83}"/>
    <cellStyle name="Linked Cell 19 2 3 2 10 3" xfId="19993" xr:uid="{9600C9F7-6C08-415F-9676-96FD01D95A14}"/>
    <cellStyle name="Linked Cell 19 2 3 2 11" xfId="19994" xr:uid="{2E32E1CE-9931-4C4F-8F7D-D38B5295E7F0}"/>
    <cellStyle name="Linked Cell 19 2 3 2 11 2" xfId="19995" xr:uid="{942511D8-8AE1-4FF2-94F5-89EE135551DA}"/>
    <cellStyle name="Linked Cell 19 2 3 2 12" xfId="19996" xr:uid="{CD111841-6AD0-4D0E-AC64-B56A8B180F3B}"/>
    <cellStyle name="Linked Cell 19 2 3 2 2" xfId="19997" xr:uid="{D6346CDE-B2F9-4988-B08D-FEECF9EBC356}"/>
    <cellStyle name="Linked Cell 19 2 3 2 2 2" xfId="19998" xr:uid="{15A2BB76-0DE0-455E-A214-D7FCDA6E5C73}"/>
    <cellStyle name="Linked Cell 19 2 3 2 2 2 2" xfId="19999" xr:uid="{1972B126-2CB1-4CF2-B8C5-2F70B4A7358E}"/>
    <cellStyle name="Linked Cell 19 2 3 2 2 3" xfId="20000" xr:uid="{87BC2FB3-41F3-4611-86D3-4FDF1D322A2A}"/>
    <cellStyle name="Linked Cell 19 2 3 2 3" xfId="20001" xr:uid="{A4C9F772-705A-4C00-BF03-5F206FD5A531}"/>
    <cellStyle name="Linked Cell 19 2 3 2 3 2" xfId="20002" xr:uid="{AB10897F-7F86-4237-91ED-F739543044BD}"/>
    <cellStyle name="Linked Cell 19 2 3 2 3 2 2" xfId="20003" xr:uid="{C99CB37E-DD39-479D-A36C-FF057C151E88}"/>
    <cellStyle name="Linked Cell 19 2 3 2 3 3" xfId="20004" xr:uid="{B684B35F-6B29-4A4B-994B-F1883898BF9E}"/>
    <cellStyle name="Linked Cell 19 2 3 2 4" xfId="20005" xr:uid="{F316F894-09DF-44CF-99F9-501D7DFFAA7F}"/>
    <cellStyle name="Linked Cell 19 2 3 2 4 2" xfId="20006" xr:uid="{9B9B62E3-09E9-473D-9A60-958632A24ABE}"/>
    <cellStyle name="Linked Cell 19 2 3 2 4 2 2" xfId="20007" xr:uid="{CD2B80FC-A933-4837-9641-5DA98ABEA061}"/>
    <cellStyle name="Linked Cell 19 2 3 2 4 3" xfId="20008" xr:uid="{99B08D12-2E51-44D0-ABE3-C882207CCDE7}"/>
    <cellStyle name="Linked Cell 19 2 3 2 5" xfId="20009" xr:uid="{C2BE0E6E-94A5-45B4-A46D-49CA3D585358}"/>
    <cellStyle name="Linked Cell 19 2 3 2 5 2" xfId="20010" xr:uid="{D1A547C8-2A0C-4F66-9109-69600487C8AE}"/>
    <cellStyle name="Linked Cell 19 2 3 2 5 2 2" xfId="20011" xr:uid="{A395C396-A98D-456A-B31E-69C8FD0F234F}"/>
    <cellStyle name="Linked Cell 19 2 3 2 5 3" xfId="20012" xr:uid="{9F49F4D6-9B8D-41F1-83E2-9BE99B5A32C2}"/>
    <cellStyle name="Linked Cell 19 2 3 2 6" xfId="20013" xr:uid="{E1D5EDC6-F7E3-47D7-A780-E3C4FAD4487F}"/>
    <cellStyle name="Linked Cell 19 2 3 2 6 2" xfId="20014" xr:uid="{248BB4E6-BF30-4D3C-81AB-1AB8B9D92E45}"/>
    <cellStyle name="Linked Cell 19 2 3 2 6 2 2" xfId="20015" xr:uid="{F9652C1F-BEC7-4476-88EB-5DCC9C8EE6C4}"/>
    <cellStyle name="Linked Cell 19 2 3 2 6 3" xfId="20016" xr:uid="{35409DCE-091C-4B2E-BA6D-47AA8A9BF145}"/>
    <cellStyle name="Linked Cell 19 2 3 2 7" xfId="20017" xr:uid="{6EB89AAE-05FF-4FA2-81DA-CEF3A22581D8}"/>
    <cellStyle name="Linked Cell 19 2 3 2 7 2" xfId="20018" xr:uid="{4C29EE0D-0FF2-48FC-831E-A5C51FC5DE4E}"/>
    <cellStyle name="Linked Cell 19 2 3 2 7 2 2" xfId="20019" xr:uid="{BB62DD05-6DD7-449C-906B-C86610522DB5}"/>
    <cellStyle name="Linked Cell 19 2 3 2 7 3" xfId="20020" xr:uid="{0B91E6E0-941D-4C93-9F1F-CEE7B113217D}"/>
    <cellStyle name="Linked Cell 19 2 3 2 8" xfId="20021" xr:uid="{64B1F8F2-FABC-44F3-BC6D-D145EB1A6804}"/>
    <cellStyle name="Linked Cell 19 2 3 2 8 2" xfId="20022" xr:uid="{3C40B5CB-F385-4116-897A-3F09C24B8256}"/>
    <cellStyle name="Linked Cell 19 2 3 2 8 2 2" xfId="20023" xr:uid="{0B573697-3351-4C2C-BA31-AE581108DDBF}"/>
    <cellStyle name="Linked Cell 19 2 3 2 8 3" xfId="20024" xr:uid="{80B165C1-AD4E-4E26-8D94-C9A803F55DE1}"/>
    <cellStyle name="Linked Cell 19 2 3 2 9" xfId="20025" xr:uid="{3A61BC4B-3637-4499-8AED-6E7D18D84552}"/>
    <cellStyle name="Linked Cell 19 2 3 2 9 2" xfId="20026" xr:uid="{9D1811A2-074E-453A-8D56-2C453EE4319B}"/>
    <cellStyle name="Linked Cell 19 2 3 2 9 2 2" xfId="20027" xr:uid="{A2BDB624-E514-490A-9015-BCECEED3E3D3}"/>
    <cellStyle name="Linked Cell 19 2 3 2 9 3" xfId="20028" xr:uid="{B8551DA9-2CC9-4C3F-9B8A-27049FF55A71}"/>
    <cellStyle name="Linked Cell 19 2 3 3" xfId="20029" xr:uid="{53A85A55-6A49-451F-82A2-5F0674A9A5F9}"/>
    <cellStyle name="Linked Cell 19 2 3 3 10" xfId="20030" xr:uid="{DEB82D69-7AB2-4144-86EF-38B737C2265F}"/>
    <cellStyle name="Linked Cell 19 2 3 3 10 2" xfId="20031" xr:uid="{98FBA657-9871-4B5B-81EA-E9392EC5537A}"/>
    <cellStyle name="Linked Cell 19 2 3 3 11" xfId="20032" xr:uid="{B06C947B-3761-462B-B74D-DDE8604F6815}"/>
    <cellStyle name="Linked Cell 19 2 3 3 2" xfId="20033" xr:uid="{D21C6B96-25B8-4EBB-A747-842D7BEC8625}"/>
    <cellStyle name="Linked Cell 19 2 3 3 2 2" xfId="20034" xr:uid="{73F424D2-3A1B-48F6-ACF7-142117F9BF97}"/>
    <cellStyle name="Linked Cell 19 2 3 3 2 2 2" xfId="20035" xr:uid="{E03DA0E0-2968-4CD4-B798-6D3EE6B8EC58}"/>
    <cellStyle name="Linked Cell 19 2 3 3 2 3" xfId="20036" xr:uid="{B840ABF4-C92C-49BF-BA40-133319743D63}"/>
    <cellStyle name="Linked Cell 19 2 3 3 3" xfId="20037" xr:uid="{3E08A717-CEDE-4F74-9DE1-ED5E545EAB1C}"/>
    <cellStyle name="Linked Cell 19 2 3 3 3 2" xfId="20038" xr:uid="{6148D094-A72A-40F9-911C-883AD395C58F}"/>
    <cellStyle name="Linked Cell 19 2 3 3 3 2 2" xfId="20039" xr:uid="{5C328361-50A1-4BFC-B0B0-AE304930D662}"/>
    <cellStyle name="Linked Cell 19 2 3 3 3 3" xfId="20040" xr:uid="{842EA3A6-5280-483F-81D4-77FBBBE576FD}"/>
    <cellStyle name="Linked Cell 19 2 3 3 4" xfId="20041" xr:uid="{EB27BB30-D397-4CA3-890F-E07AD2F86D6B}"/>
    <cellStyle name="Linked Cell 19 2 3 3 4 2" xfId="20042" xr:uid="{0A77B5E5-991D-4D14-A967-30BCBBDE96DF}"/>
    <cellStyle name="Linked Cell 19 2 3 3 4 2 2" xfId="20043" xr:uid="{840DD52C-48E3-4E23-B770-FFAFAE6C3B98}"/>
    <cellStyle name="Linked Cell 19 2 3 3 4 3" xfId="20044" xr:uid="{B5529B97-8F37-4414-B9FB-A0DC3199F266}"/>
    <cellStyle name="Linked Cell 19 2 3 3 5" xfId="20045" xr:uid="{8E2F2594-6C90-4AE1-8874-C203CF2CF545}"/>
    <cellStyle name="Linked Cell 19 2 3 3 5 2" xfId="20046" xr:uid="{2C9EA015-4388-45E2-9C62-3E838C92C1D0}"/>
    <cellStyle name="Linked Cell 19 2 3 3 5 2 2" xfId="20047" xr:uid="{364F5C56-6D95-465C-AB10-BD7FFFB6BA63}"/>
    <cellStyle name="Linked Cell 19 2 3 3 5 3" xfId="20048" xr:uid="{BFDB42D9-98F9-4DDF-9E56-4989C34E37D2}"/>
    <cellStyle name="Linked Cell 19 2 3 3 6" xfId="20049" xr:uid="{6DE7E2CD-3C3C-467A-9F0F-C6BDB705962F}"/>
    <cellStyle name="Linked Cell 19 2 3 3 6 2" xfId="20050" xr:uid="{B0F21E86-3421-434D-919F-FF0EEF40F5D6}"/>
    <cellStyle name="Linked Cell 19 2 3 3 6 2 2" xfId="20051" xr:uid="{A644BCF0-308C-4341-B731-9EFC2567AD4C}"/>
    <cellStyle name="Linked Cell 19 2 3 3 6 3" xfId="20052" xr:uid="{DA154994-A4FD-490A-91CE-C302FE201F9C}"/>
    <cellStyle name="Linked Cell 19 2 3 3 7" xfId="20053" xr:uid="{5FF61CF5-BF14-4A88-9DD6-F61CA702DD4E}"/>
    <cellStyle name="Linked Cell 19 2 3 3 7 2" xfId="20054" xr:uid="{15310ACA-6F43-48A3-B1D0-0ACEEE378F26}"/>
    <cellStyle name="Linked Cell 19 2 3 3 7 2 2" xfId="20055" xr:uid="{DA84A30D-A7F0-4E2B-A7A5-8E9D6F4583EB}"/>
    <cellStyle name="Linked Cell 19 2 3 3 7 3" xfId="20056" xr:uid="{B4916144-2AAC-474C-8A92-D5351D555444}"/>
    <cellStyle name="Linked Cell 19 2 3 3 8" xfId="20057" xr:uid="{40895905-117A-4D00-A174-F01364D344C1}"/>
    <cellStyle name="Linked Cell 19 2 3 3 8 2" xfId="20058" xr:uid="{798F3DAE-2684-4E3E-9CBC-4B01D4B48752}"/>
    <cellStyle name="Linked Cell 19 2 3 3 8 2 2" xfId="20059" xr:uid="{6370AD9A-2449-4477-8AAF-D828AC703AB2}"/>
    <cellStyle name="Linked Cell 19 2 3 3 8 3" xfId="20060" xr:uid="{346279B1-8708-4A66-ADCB-AFBC2351B98F}"/>
    <cellStyle name="Linked Cell 19 2 3 3 9" xfId="20061" xr:uid="{FFE92BF8-DE5B-460E-AEE2-D0EBAAABDFE7}"/>
    <cellStyle name="Linked Cell 19 2 3 3 9 2" xfId="20062" xr:uid="{E08EE014-6069-4B2B-BEFF-9386F93CA093}"/>
    <cellStyle name="Linked Cell 19 2 3 3 9 2 2" xfId="20063" xr:uid="{3045738A-15F8-4ECE-9539-948165AF89B9}"/>
    <cellStyle name="Linked Cell 19 2 3 3 9 3" xfId="20064" xr:uid="{05E6C35B-3E97-4AE3-ACE7-B564FB79E710}"/>
    <cellStyle name="Linked Cell 19 2 3 4" xfId="20065" xr:uid="{6A2D9B26-A812-4935-99F3-839AD792AD50}"/>
    <cellStyle name="Linked Cell 19 2 3 4 2" xfId="20066" xr:uid="{09E15176-5C58-43D9-8C3D-53173C5ED94D}"/>
    <cellStyle name="Linked Cell 19 2 3 4 2 2" xfId="20067" xr:uid="{8A5B15B6-8928-418D-A90B-48C8EC828048}"/>
    <cellStyle name="Linked Cell 19 2 3 4 3" xfId="20068" xr:uid="{C16AC31A-9A78-4245-AAA5-224DCD8B8115}"/>
    <cellStyle name="Linked Cell 19 2 3 5" xfId="20069" xr:uid="{11018FF9-AA09-4C45-8A6C-F966B2573AE6}"/>
    <cellStyle name="Linked Cell 19 2 3 5 2" xfId="20070" xr:uid="{198A10AB-44A6-494C-B8D4-24EAC96FEB8E}"/>
    <cellStyle name="Linked Cell 19 2 3 5 2 2" xfId="20071" xr:uid="{3B31B9B7-6618-44BE-897A-102DCD0AE643}"/>
    <cellStyle name="Linked Cell 19 2 3 5 3" xfId="20072" xr:uid="{C913E53D-D85E-448D-B7DD-9EA0D6098DD9}"/>
    <cellStyle name="Linked Cell 19 2 3 6" xfId="20073" xr:uid="{3C784046-5C8F-467A-A34E-FF996F982BFB}"/>
    <cellStyle name="Linked Cell 19 2 3 6 2" xfId="20074" xr:uid="{4D399E20-6242-4072-B290-954D367AE3E0}"/>
    <cellStyle name="Linked Cell 19 2 3 6 2 2" xfId="20075" xr:uid="{69E59C61-51A3-4602-9ADF-0B0F08BC0FAD}"/>
    <cellStyle name="Linked Cell 19 2 3 6 3" xfId="20076" xr:uid="{BEBA13E4-0DAC-45B1-9580-D3496566C3F5}"/>
    <cellStyle name="Linked Cell 19 2 3 7" xfId="20077" xr:uid="{109A3D0D-D573-40CA-8E14-370C8095E5B6}"/>
    <cellStyle name="Linked Cell 19 2 3 7 2" xfId="20078" xr:uid="{A7983885-83B0-4C66-A7B4-3264A137A999}"/>
    <cellStyle name="Linked Cell 19 2 3 7 2 2" xfId="20079" xr:uid="{3CAB0A11-A43B-486F-9321-30BFBCEEEC98}"/>
    <cellStyle name="Linked Cell 19 2 3 7 3" xfId="20080" xr:uid="{4DA6F7DF-CAC8-4236-9393-A62A88AF6C1E}"/>
    <cellStyle name="Linked Cell 19 2 3 8" xfId="20081" xr:uid="{9C6931BA-DB31-49C0-82A0-63A422C1DF07}"/>
    <cellStyle name="Linked Cell 19 2 3 8 2" xfId="20082" xr:uid="{0D3C6372-F1C2-4FA0-A38D-9B0CBFE5FE86}"/>
    <cellStyle name="Linked Cell 19 2 3 8 2 2" xfId="20083" xr:uid="{7D1EC085-CAAE-426E-B0AD-63522B9F3003}"/>
    <cellStyle name="Linked Cell 19 2 3 8 3" xfId="20084" xr:uid="{CE1D60B1-FB2A-404F-BE2A-47EE384A2697}"/>
    <cellStyle name="Linked Cell 19 2 3 9" xfId="20085" xr:uid="{4B6F62E6-1EE8-4273-8953-63604C6E689C}"/>
    <cellStyle name="Linked Cell 19 2 3 9 2" xfId="20086" xr:uid="{288DF459-C753-495C-A7A5-0624B84050CA}"/>
    <cellStyle name="Linked Cell 19 2 3 9 2 2" xfId="20087" xr:uid="{462EEE28-C1E2-4BDF-96EE-631A914F096A}"/>
    <cellStyle name="Linked Cell 19 2 3 9 3" xfId="20088" xr:uid="{D77DD112-C808-4205-AC2F-58732B39781E}"/>
    <cellStyle name="Linked Cell 19 2 4" xfId="20089" xr:uid="{BCEB5130-4F42-410D-AFAD-2B4D2BC14664}"/>
    <cellStyle name="Linked Cell 19 2 4 10" xfId="20090" xr:uid="{DBAEF61E-8356-40E8-90F4-6F83CD44B983}"/>
    <cellStyle name="Linked Cell 19 2 4 10 2" xfId="20091" xr:uid="{E784DC5B-A034-4E36-8353-BC02EF06EBF4}"/>
    <cellStyle name="Linked Cell 19 2 4 10 2 2" xfId="20092" xr:uid="{91B9ABF8-39BF-4D4F-AB05-1BBD30DAF443}"/>
    <cellStyle name="Linked Cell 19 2 4 10 3" xfId="20093" xr:uid="{9558FE8A-C433-43AA-8878-E45C64E3E180}"/>
    <cellStyle name="Linked Cell 19 2 4 11" xfId="20094" xr:uid="{FE37C68A-A64D-4F0C-887F-D0085ACAEB09}"/>
    <cellStyle name="Linked Cell 19 2 4 11 2" xfId="20095" xr:uid="{2220B600-0E94-4473-9999-912AD04E2B43}"/>
    <cellStyle name="Linked Cell 19 2 4 12" xfId="20096" xr:uid="{246EBC3E-29CD-4E31-B8E6-F6446E022BC2}"/>
    <cellStyle name="Linked Cell 19 2 4 2" xfId="20097" xr:uid="{6AF9BF04-E9C1-481B-B7E1-2B225D636714}"/>
    <cellStyle name="Linked Cell 19 2 4 2 10" xfId="20098" xr:uid="{CA823347-26D1-474E-A3D7-321582A2A108}"/>
    <cellStyle name="Linked Cell 19 2 4 2 10 2" xfId="20099" xr:uid="{C1BAEDC3-630C-41A7-B368-59198B9271D1}"/>
    <cellStyle name="Linked Cell 19 2 4 2 11" xfId="20100" xr:uid="{8CFDFE24-CA48-4ED8-9D10-D7A0786D9A7C}"/>
    <cellStyle name="Linked Cell 19 2 4 2 2" xfId="20101" xr:uid="{348689C8-CB49-47F7-8FB8-5E65C25C6244}"/>
    <cellStyle name="Linked Cell 19 2 4 2 2 2" xfId="20102" xr:uid="{589D9583-3CE8-458E-8843-3B2826B4778E}"/>
    <cellStyle name="Linked Cell 19 2 4 2 2 2 2" xfId="20103" xr:uid="{C62ED595-35FB-4E77-AE86-B0E737898671}"/>
    <cellStyle name="Linked Cell 19 2 4 2 2 3" xfId="20104" xr:uid="{C0EE740D-902B-4B21-B9D5-708D05D9242A}"/>
    <cellStyle name="Linked Cell 19 2 4 2 3" xfId="20105" xr:uid="{2E143185-CF7F-458A-9254-461ACF0C15A1}"/>
    <cellStyle name="Linked Cell 19 2 4 2 3 2" xfId="20106" xr:uid="{D0E65BA0-8859-4CCF-AA4C-557302AA309E}"/>
    <cellStyle name="Linked Cell 19 2 4 2 3 2 2" xfId="20107" xr:uid="{673A2BD5-56FB-4918-A6C9-53233F0BD066}"/>
    <cellStyle name="Linked Cell 19 2 4 2 3 3" xfId="20108" xr:uid="{182E2E23-C84D-43A9-8375-2F3ABA94F2C7}"/>
    <cellStyle name="Linked Cell 19 2 4 2 4" xfId="20109" xr:uid="{872A1BF4-513E-4B46-8AEC-73CB61673372}"/>
    <cellStyle name="Linked Cell 19 2 4 2 4 2" xfId="20110" xr:uid="{C0166B22-F5FC-4322-9E76-D11A2B424DAF}"/>
    <cellStyle name="Linked Cell 19 2 4 2 4 2 2" xfId="20111" xr:uid="{F1035EA8-3C05-4751-85D0-92850A3DB779}"/>
    <cellStyle name="Linked Cell 19 2 4 2 4 3" xfId="20112" xr:uid="{5EF78064-7BFA-444C-99CB-F152AC1D28E6}"/>
    <cellStyle name="Linked Cell 19 2 4 2 5" xfId="20113" xr:uid="{22A9FB23-E37C-464E-A651-4BAF78BD8547}"/>
    <cellStyle name="Linked Cell 19 2 4 2 5 2" xfId="20114" xr:uid="{A0FC5893-AF86-45A9-89E4-66F36D718DDA}"/>
    <cellStyle name="Linked Cell 19 2 4 2 5 2 2" xfId="20115" xr:uid="{264FA5EA-B618-4A57-89B7-C98483FEB4E7}"/>
    <cellStyle name="Linked Cell 19 2 4 2 5 3" xfId="20116" xr:uid="{FD59B2EC-A337-4EC7-BF04-F33BAC1562D2}"/>
    <cellStyle name="Linked Cell 19 2 4 2 6" xfId="20117" xr:uid="{34968F10-DAF7-43A0-929C-B1BD6731DD73}"/>
    <cellStyle name="Linked Cell 19 2 4 2 6 2" xfId="20118" xr:uid="{2CE1E076-0690-49F1-AA8C-CE43F947DF59}"/>
    <cellStyle name="Linked Cell 19 2 4 2 6 2 2" xfId="20119" xr:uid="{328CCFD5-CC1C-49CD-802C-20C4E770F726}"/>
    <cellStyle name="Linked Cell 19 2 4 2 6 3" xfId="20120" xr:uid="{57F38683-CA48-4F0B-8DFB-F047CD839F65}"/>
    <cellStyle name="Linked Cell 19 2 4 2 7" xfId="20121" xr:uid="{4FA00BC0-0E59-48E8-8BC1-32556B354CFA}"/>
    <cellStyle name="Linked Cell 19 2 4 2 7 2" xfId="20122" xr:uid="{B4498CCE-F936-49CA-BC0D-6CB209DF976D}"/>
    <cellStyle name="Linked Cell 19 2 4 2 7 2 2" xfId="20123" xr:uid="{F387E9A6-163A-4A89-9EB3-E54E5EC173D3}"/>
    <cellStyle name="Linked Cell 19 2 4 2 7 3" xfId="20124" xr:uid="{46DB23CD-923A-468A-9AA9-54A458E285DF}"/>
    <cellStyle name="Linked Cell 19 2 4 2 8" xfId="20125" xr:uid="{8D29F37F-0F7C-42D3-B82F-384C8C7D301B}"/>
    <cellStyle name="Linked Cell 19 2 4 2 8 2" xfId="20126" xr:uid="{B4EC5B72-210F-44FA-8A77-B51F612E62CB}"/>
    <cellStyle name="Linked Cell 19 2 4 2 8 2 2" xfId="20127" xr:uid="{28038DB1-A811-4904-AC2D-77511861BCD5}"/>
    <cellStyle name="Linked Cell 19 2 4 2 8 3" xfId="20128" xr:uid="{1A908A22-9D87-481D-966C-CD49405E5F3B}"/>
    <cellStyle name="Linked Cell 19 2 4 2 9" xfId="20129" xr:uid="{64CA8904-34BD-4852-9A72-FF548F545A84}"/>
    <cellStyle name="Linked Cell 19 2 4 2 9 2" xfId="20130" xr:uid="{BE1A9B4C-CA64-4E81-B7F1-1BB53A04C7C4}"/>
    <cellStyle name="Linked Cell 19 2 4 2 9 2 2" xfId="20131" xr:uid="{61E220DC-520D-4C03-B0FF-82F7EDE8464D}"/>
    <cellStyle name="Linked Cell 19 2 4 2 9 3" xfId="20132" xr:uid="{D41B4EC2-F7DB-422C-88E8-D5B44196B7EF}"/>
    <cellStyle name="Linked Cell 19 2 4 3" xfId="20133" xr:uid="{6B056651-12E5-4E58-8AD9-C4393DE7CAEC}"/>
    <cellStyle name="Linked Cell 19 2 4 3 2" xfId="20134" xr:uid="{42E2E8F2-624C-4B45-82E2-568CF929E4F2}"/>
    <cellStyle name="Linked Cell 19 2 4 3 2 2" xfId="20135" xr:uid="{28155510-9778-4062-B61D-B289F4DA9F00}"/>
    <cellStyle name="Linked Cell 19 2 4 3 3" xfId="20136" xr:uid="{B5C7847F-1593-4B33-9FE3-B141E52DD4DF}"/>
    <cellStyle name="Linked Cell 19 2 4 4" xfId="20137" xr:uid="{3F2FF570-6503-44E3-A2D5-6185E47361DA}"/>
    <cellStyle name="Linked Cell 19 2 4 4 2" xfId="20138" xr:uid="{AE90C988-0C53-4F7F-83A8-36C5A540F046}"/>
    <cellStyle name="Linked Cell 19 2 4 4 2 2" xfId="20139" xr:uid="{2B504534-74E4-4104-8E5B-362208F15F8F}"/>
    <cellStyle name="Linked Cell 19 2 4 4 3" xfId="20140" xr:uid="{BFA62F02-171A-4637-9CCD-AA00D2E29A9C}"/>
    <cellStyle name="Linked Cell 19 2 4 5" xfId="20141" xr:uid="{D1AB66B2-2AD4-4858-94E9-AC424AA751B6}"/>
    <cellStyle name="Linked Cell 19 2 4 5 2" xfId="20142" xr:uid="{04DD8AE6-332C-47B8-B92C-0348A8369445}"/>
    <cellStyle name="Linked Cell 19 2 4 5 2 2" xfId="20143" xr:uid="{5DC5CBA0-5357-4B0E-9590-0AC31B229ADA}"/>
    <cellStyle name="Linked Cell 19 2 4 5 3" xfId="20144" xr:uid="{D0D328AE-4DB2-467C-8B79-E6B3C76DF21F}"/>
    <cellStyle name="Linked Cell 19 2 4 6" xfId="20145" xr:uid="{8C502AB3-2546-474E-BC38-5C1D19886978}"/>
    <cellStyle name="Linked Cell 19 2 4 6 2" xfId="20146" xr:uid="{CAF548CC-041E-4944-A684-7C99F7903D8F}"/>
    <cellStyle name="Linked Cell 19 2 4 6 2 2" xfId="20147" xr:uid="{37A8027F-B4B0-4E31-9B09-EDA58B5569BC}"/>
    <cellStyle name="Linked Cell 19 2 4 6 3" xfId="20148" xr:uid="{19B0FC6F-59DD-489C-8DEF-98B4022E8F02}"/>
    <cellStyle name="Linked Cell 19 2 4 7" xfId="20149" xr:uid="{5BC4E36C-1CD0-47D3-8EE6-7989BECB4563}"/>
    <cellStyle name="Linked Cell 19 2 4 7 2" xfId="20150" xr:uid="{E198C4C6-DB8F-450F-9304-0EF1BD7C0889}"/>
    <cellStyle name="Linked Cell 19 2 4 7 2 2" xfId="20151" xr:uid="{AC25E630-D164-409D-A19C-FC530B237548}"/>
    <cellStyle name="Linked Cell 19 2 4 7 3" xfId="20152" xr:uid="{39463C17-E10A-43E1-B93C-F3497C30F7AB}"/>
    <cellStyle name="Linked Cell 19 2 4 8" xfId="20153" xr:uid="{A3DF1349-F15B-423F-8B9D-F3CCF9307F4B}"/>
    <cellStyle name="Linked Cell 19 2 4 8 2" xfId="20154" xr:uid="{600BAAA0-8D8F-4DFC-8416-35ACF50044B2}"/>
    <cellStyle name="Linked Cell 19 2 4 8 2 2" xfId="20155" xr:uid="{A228B9BD-98D7-4E7C-BD8B-00532806BAEE}"/>
    <cellStyle name="Linked Cell 19 2 4 8 3" xfId="20156" xr:uid="{EFE90A6F-ADB7-4482-91DA-DC525B66BD30}"/>
    <cellStyle name="Linked Cell 19 2 4 9" xfId="20157" xr:uid="{823F13FB-7471-4138-9905-09D5C853B6E5}"/>
    <cellStyle name="Linked Cell 19 2 4 9 2" xfId="20158" xr:uid="{818D0307-7B2F-45A5-948F-C275E77AC18C}"/>
    <cellStyle name="Linked Cell 19 2 4 9 2 2" xfId="20159" xr:uid="{5B78118C-46C2-4B18-AC3E-BFB47F37D8E9}"/>
    <cellStyle name="Linked Cell 19 2 4 9 3" xfId="20160" xr:uid="{9EA11D82-75F9-4C98-9AD2-54568224F388}"/>
    <cellStyle name="Linked Cell 19 2 5" xfId="20161" xr:uid="{8267A511-230E-495F-B72E-CD20E93763E9}"/>
    <cellStyle name="Linked Cell 19 2 5 10" xfId="20162" xr:uid="{3975CE1A-463D-4FFF-8C23-7281DCB341C7}"/>
    <cellStyle name="Linked Cell 19 2 5 10 2" xfId="20163" xr:uid="{4A7CB2F2-207C-4DCC-A7CC-FE84CE8B2689}"/>
    <cellStyle name="Linked Cell 19 2 5 11" xfId="20164" xr:uid="{6224A04C-3C05-4042-A2C4-818DDB1055AE}"/>
    <cellStyle name="Linked Cell 19 2 5 2" xfId="20165" xr:uid="{3EBA2634-0289-44C5-88F4-7E51382FE41C}"/>
    <cellStyle name="Linked Cell 19 2 5 2 2" xfId="20166" xr:uid="{6ACBE4BF-C452-497A-837A-D8A17DC37092}"/>
    <cellStyle name="Linked Cell 19 2 5 2 2 2" xfId="20167" xr:uid="{A3D5551F-7422-45C9-BC45-75CDE20F4338}"/>
    <cellStyle name="Linked Cell 19 2 5 2 3" xfId="20168" xr:uid="{E6782FF5-EC76-4988-8285-8CE74E272D7A}"/>
    <cellStyle name="Linked Cell 19 2 5 3" xfId="20169" xr:uid="{6380A9D0-A820-47B2-A69F-8DBE7421CC63}"/>
    <cellStyle name="Linked Cell 19 2 5 3 2" xfId="20170" xr:uid="{279F49B3-3F28-496C-8C7C-0DD3F2655A23}"/>
    <cellStyle name="Linked Cell 19 2 5 3 2 2" xfId="20171" xr:uid="{06952F9D-6C0E-46D0-BA20-1BC4E9283F93}"/>
    <cellStyle name="Linked Cell 19 2 5 3 3" xfId="20172" xr:uid="{8F2F3B22-97E9-4D49-8852-A8BBCC851A18}"/>
    <cellStyle name="Linked Cell 19 2 5 4" xfId="20173" xr:uid="{046A213F-1565-4D06-8307-EE09A4A234D3}"/>
    <cellStyle name="Linked Cell 19 2 5 4 2" xfId="20174" xr:uid="{601540F7-5182-4F50-94E6-80BD234FC5CD}"/>
    <cellStyle name="Linked Cell 19 2 5 4 2 2" xfId="20175" xr:uid="{7DA1AFE8-D63E-477F-A654-AC6DF85C23A3}"/>
    <cellStyle name="Linked Cell 19 2 5 4 3" xfId="20176" xr:uid="{E59D53B9-27C5-41CB-8B4A-0FEFA5DA52FE}"/>
    <cellStyle name="Linked Cell 19 2 5 5" xfId="20177" xr:uid="{53A357A7-C98C-4778-AD84-F34D342D210C}"/>
    <cellStyle name="Linked Cell 19 2 5 5 2" xfId="20178" xr:uid="{F3A2AFB1-32F7-41E0-8F99-582835B765BF}"/>
    <cellStyle name="Linked Cell 19 2 5 5 2 2" xfId="20179" xr:uid="{8D7782EC-A085-45EE-8CD3-9CFDEBF0CF9F}"/>
    <cellStyle name="Linked Cell 19 2 5 5 3" xfId="20180" xr:uid="{F908F269-C86B-4085-B636-D48E7E0A260E}"/>
    <cellStyle name="Linked Cell 19 2 5 6" xfId="20181" xr:uid="{7797168B-51FD-4855-8113-7A281C388933}"/>
    <cellStyle name="Linked Cell 19 2 5 6 2" xfId="20182" xr:uid="{A48BB9C1-FE45-4171-9FA1-5CBED2457602}"/>
    <cellStyle name="Linked Cell 19 2 5 6 2 2" xfId="20183" xr:uid="{59327B79-B300-4AE5-8836-396E846CD92F}"/>
    <cellStyle name="Linked Cell 19 2 5 6 3" xfId="20184" xr:uid="{9ABF5CFA-0EC4-4AB3-B1CA-AA1D1F339329}"/>
    <cellStyle name="Linked Cell 19 2 5 7" xfId="20185" xr:uid="{621D9871-582E-4689-A1C4-2AE10ECB8666}"/>
    <cellStyle name="Linked Cell 19 2 5 7 2" xfId="20186" xr:uid="{85D5C062-50B1-4282-B167-E1B4A6D3A53C}"/>
    <cellStyle name="Linked Cell 19 2 5 7 2 2" xfId="20187" xr:uid="{CB28A1C1-409B-458C-B782-3F06BC1129E5}"/>
    <cellStyle name="Linked Cell 19 2 5 7 3" xfId="20188" xr:uid="{E5B7A23D-BB48-480D-B351-6F44D1132FE5}"/>
    <cellStyle name="Linked Cell 19 2 5 8" xfId="20189" xr:uid="{DE5B28EC-1F31-430F-97F5-C421C4D98D4F}"/>
    <cellStyle name="Linked Cell 19 2 5 8 2" xfId="20190" xr:uid="{59CB5BBB-0C21-4238-A23D-D8EF075ED336}"/>
    <cellStyle name="Linked Cell 19 2 5 8 2 2" xfId="20191" xr:uid="{113F8109-C4FA-4439-A719-A26E8014617D}"/>
    <cellStyle name="Linked Cell 19 2 5 8 3" xfId="20192" xr:uid="{1315DC4D-68E3-4C89-B481-D19E21483434}"/>
    <cellStyle name="Linked Cell 19 2 5 9" xfId="20193" xr:uid="{E469702A-49E5-4E77-B158-8A0F911A78BE}"/>
    <cellStyle name="Linked Cell 19 2 5 9 2" xfId="20194" xr:uid="{D3DAE59E-5294-4805-A5FC-814D838CF84A}"/>
    <cellStyle name="Linked Cell 19 2 5 9 2 2" xfId="20195" xr:uid="{D3F8B65B-1E91-411D-B2EF-FDB50EE6E716}"/>
    <cellStyle name="Linked Cell 19 2 5 9 3" xfId="20196" xr:uid="{C7E020D1-9A46-4874-A5E4-D1247DC2B39B}"/>
    <cellStyle name="Linked Cell 19 2 6" xfId="20197" xr:uid="{AC49CC47-B23A-4468-86D5-645C0D403218}"/>
    <cellStyle name="Linked Cell 19 2 6 2" xfId="20198" xr:uid="{47AECDFC-3EA9-447C-9159-BF3A6F1ADA9E}"/>
    <cellStyle name="Linked Cell 19 2 6 2 2" xfId="20199" xr:uid="{A3764FB3-DFD2-408B-9B85-54DF654CD5EA}"/>
    <cellStyle name="Linked Cell 19 2 6 3" xfId="20200" xr:uid="{901ABE27-500C-41F3-9292-7C8DD19D06F0}"/>
    <cellStyle name="Linked Cell 19 2 7" xfId="20201" xr:uid="{97117C0C-4252-4E93-A0B1-FEF9F5894E41}"/>
    <cellStyle name="Linked Cell 19 2 7 2" xfId="20202" xr:uid="{C003A9AD-E7BC-42DE-B225-E86A3F44EC07}"/>
    <cellStyle name="Linked Cell 19 2 7 2 2" xfId="20203" xr:uid="{BCDE9B4A-C859-4646-8390-6F9E240BF24D}"/>
    <cellStyle name="Linked Cell 19 2 7 3" xfId="20204" xr:uid="{E2831ED1-4C74-41CB-8E4A-52124FE37438}"/>
    <cellStyle name="Linked Cell 19 2 8" xfId="20205" xr:uid="{A0059E3E-F4EC-4C7C-9FB9-56C76A6E6B61}"/>
    <cellStyle name="Linked Cell 19 2 8 2" xfId="20206" xr:uid="{E8904CDA-2616-4036-A443-E70D453427D6}"/>
    <cellStyle name="Linked Cell 19 2 8 2 2" xfId="20207" xr:uid="{6BEC9ABB-F7F9-4D75-A78E-6319029C4082}"/>
    <cellStyle name="Linked Cell 19 2 8 3" xfId="20208" xr:uid="{C0299110-FB68-4B8B-BC68-C97B8E44451F}"/>
    <cellStyle name="Linked Cell 19 2 9" xfId="20209" xr:uid="{025AB761-8166-46EB-BF98-D437B6C276BD}"/>
    <cellStyle name="Linked Cell 19 2 9 2" xfId="20210" xr:uid="{7E83EEF0-1F89-48D9-8170-61651BAD4B0C}"/>
    <cellStyle name="Linked Cell 19 2 9 2 2" xfId="20211" xr:uid="{172DE9DA-E854-4E52-8815-675AED42FBCA}"/>
    <cellStyle name="Linked Cell 19 2 9 3" xfId="20212" xr:uid="{B2FBF7FA-64EC-4DF4-8F2E-DED8F10AE22A}"/>
    <cellStyle name="Linked Cell 19 3" xfId="20213" xr:uid="{B07F4F57-24A7-4597-A72D-C2819DCEB4A4}"/>
    <cellStyle name="Linked Cell 19 3 10" xfId="20214" xr:uid="{16495993-F735-4868-8234-0B18CCC7C574}"/>
    <cellStyle name="Linked Cell 19 3 10 2" xfId="20215" xr:uid="{33DE8E71-F110-4AA5-BA08-5140CC11616D}"/>
    <cellStyle name="Linked Cell 19 3 10 2 2" xfId="20216" xr:uid="{CD63DBEF-0933-4859-BF0C-74322E8FD1B6}"/>
    <cellStyle name="Linked Cell 19 3 10 3" xfId="20217" xr:uid="{5C345E73-97FA-4FC6-9D1E-72A02099BA50}"/>
    <cellStyle name="Linked Cell 19 3 11" xfId="20218" xr:uid="{3510C94D-C9F9-48BD-A5BB-D63A58415F69}"/>
    <cellStyle name="Linked Cell 19 3 11 2" xfId="20219" xr:uid="{441A72B0-3838-4998-ACF5-1ADE6BC4B716}"/>
    <cellStyle name="Linked Cell 19 3 11 2 2" xfId="20220" xr:uid="{BB68205E-7819-44D4-93C4-19808A66038B}"/>
    <cellStyle name="Linked Cell 19 3 11 3" xfId="20221" xr:uid="{71BEB373-8642-424F-8996-BF9E4F75FC00}"/>
    <cellStyle name="Linked Cell 19 3 12" xfId="20222" xr:uid="{6470C439-C693-454D-AC89-61C312D2E619}"/>
    <cellStyle name="Linked Cell 19 3 12 2" xfId="20223" xr:uid="{76DFC5A9-6BB0-46D6-A1F1-12864B81F832}"/>
    <cellStyle name="Linked Cell 19 3 12 2 2" xfId="20224" xr:uid="{D2DD13CE-7011-40DD-8070-9A817ACC204C}"/>
    <cellStyle name="Linked Cell 19 3 12 3" xfId="20225" xr:uid="{47B73DE5-28B5-4837-BD5E-8DF2C935FAF5}"/>
    <cellStyle name="Linked Cell 19 3 13" xfId="20226" xr:uid="{999D934B-B29B-437A-B883-2BE7FF5201E7}"/>
    <cellStyle name="Linked Cell 19 3 13 2" xfId="20227" xr:uid="{D7A892E6-115A-4663-B3A6-49A255006C5A}"/>
    <cellStyle name="Linked Cell 19 3 14" xfId="20228" xr:uid="{B9DB8833-3155-4661-BAD0-96B5E7B35969}"/>
    <cellStyle name="Linked Cell 19 3 2" xfId="20229" xr:uid="{3A84C8F6-9DEB-4E6B-A580-1D2A4F4E5551}"/>
    <cellStyle name="Linked Cell 19 3 2 10" xfId="20230" xr:uid="{A090D9ED-2315-4410-BE50-EF938F4E9579}"/>
    <cellStyle name="Linked Cell 19 3 2 10 2" xfId="20231" xr:uid="{8509FDBA-D22B-4B93-A980-A97562923890}"/>
    <cellStyle name="Linked Cell 19 3 2 10 2 2" xfId="20232" xr:uid="{73D5383C-0FDE-4A51-BE69-026CB8500114}"/>
    <cellStyle name="Linked Cell 19 3 2 10 3" xfId="20233" xr:uid="{C730C716-C3CC-4F78-8081-516AB7F414B3}"/>
    <cellStyle name="Linked Cell 19 3 2 11" xfId="20234" xr:uid="{1274216F-0555-4B44-9FBA-B7FB7A5ACD4C}"/>
    <cellStyle name="Linked Cell 19 3 2 11 2" xfId="20235" xr:uid="{55A33269-732C-42BF-877B-EF9593B554D3}"/>
    <cellStyle name="Linked Cell 19 3 2 11 2 2" xfId="20236" xr:uid="{FD92470D-D1BC-44DF-829C-7B53846E0C5C}"/>
    <cellStyle name="Linked Cell 19 3 2 11 3" xfId="20237" xr:uid="{DBD90467-7F32-403A-A6FE-3CAD3ABC7004}"/>
    <cellStyle name="Linked Cell 19 3 2 12" xfId="20238" xr:uid="{BE1179E7-63EB-429A-9E54-494F015D5A9F}"/>
    <cellStyle name="Linked Cell 19 3 2 12 2" xfId="20239" xr:uid="{945C2763-E402-4215-BAC2-ABC93BC0AC23}"/>
    <cellStyle name="Linked Cell 19 3 2 13" xfId="20240" xr:uid="{B988624D-5AF2-48D1-85BD-576B15580F3B}"/>
    <cellStyle name="Linked Cell 19 3 2 2" xfId="20241" xr:uid="{A06AE1FC-42F6-4170-80BB-22EE27ED8C6B}"/>
    <cellStyle name="Linked Cell 19 3 2 2 10" xfId="20242" xr:uid="{32C39F1C-B5EA-4910-9E0D-0C0D72CD5F1E}"/>
    <cellStyle name="Linked Cell 19 3 2 2 10 2" xfId="20243" xr:uid="{8C4F6878-D467-47F1-8C04-FE32A815A043}"/>
    <cellStyle name="Linked Cell 19 3 2 2 10 2 2" xfId="20244" xr:uid="{F58BE8A8-6C8E-42EB-A37E-A7861CBAE9F5}"/>
    <cellStyle name="Linked Cell 19 3 2 2 10 3" xfId="20245" xr:uid="{87C0C919-B4C3-456F-AF24-FF1D0D58EF3A}"/>
    <cellStyle name="Linked Cell 19 3 2 2 11" xfId="20246" xr:uid="{B83F273A-3086-4C58-9A5B-5865283BED62}"/>
    <cellStyle name="Linked Cell 19 3 2 2 11 2" xfId="20247" xr:uid="{534474E9-E1E4-4326-B322-193094CEBC40}"/>
    <cellStyle name="Linked Cell 19 3 2 2 12" xfId="20248" xr:uid="{3EF73FF0-6080-4040-859E-A07C11C0CC45}"/>
    <cellStyle name="Linked Cell 19 3 2 2 2" xfId="20249" xr:uid="{0AA1A137-1151-478E-8787-7C3A74242CC2}"/>
    <cellStyle name="Linked Cell 19 3 2 2 2 2" xfId="20250" xr:uid="{D386A239-9561-4B2B-9471-A5DB1BEBBFE9}"/>
    <cellStyle name="Linked Cell 19 3 2 2 2 2 2" xfId="20251" xr:uid="{367FCBE4-11AC-43CD-BC1E-136560CD4C59}"/>
    <cellStyle name="Linked Cell 19 3 2 2 2 3" xfId="20252" xr:uid="{FA13B3E9-CCEE-4423-BC3D-6DF9CE11A662}"/>
    <cellStyle name="Linked Cell 19 3 2 2 3" xfId="20253" xr:uid="{CCAB941F-D674-43F2-8A42-1DCAD8D4063E}"/>
    <cellStyle name="Linked Cell 19 3 2 2 3 2" xfId="20254" xr:uid="{81C5B66D-FDBD-433A-88D8-196656B88926}"/>
    <cellStyle name="Linked Cell 19 3 2 2 3 2 2" xfId="20255" xr:uid="{5EC026F8-1A05-482C-9C26-6B7EF9D5F8D1}"/>
    <cellStyle name="Linked Cell 19 3 2 2 3 3" xfId="20256" xr:uid="{BD209774-BF15-4516-909A-06F5A0784AA7}"/>
    <cellStyle name="Linked Cell 19 3 2 2 4" xfId="20257" xr:uid="{3C5B1528-E7D5-4C36-92E3-CD79F5E5AE51}"/>
    <cellStyle name="Linked Cell 19 3 2 2 4 2" xfId="20258" xr:uid="{2F711D75-9801-49E0-831D-FF0F47A07D40}"/>
    <cellStyle name="Linked Cell 19 3 2 2 4 2 2" xfId="20259" xr:uid="{27CE54AE-31CA-4DCB-A384-B320288E7B1E}"/>
    <cellStyle name="Linked Cell 19 3 2 2 4 3" xfId="20260" xr:uid="{43DB0889-1328-4FB6-A3DD-69BEC7483DAB}"/>
    <cellStyle name="Linked Cell 19 3 2 2 5" xfId="20261" xr:uid="{D50450EF-7211-414F-A436-17802F94B14E}"/>
    <cellStyle name="Linked Cell 19 3 2 2 5 2" xfId="20262" xr:uid="{BFAB0CB4-C8B5-4714-ACCD-800EDBEE9886}"/>
    <cellStyle name="Linked Cell 19 3 2 2 5 2 2" xfId="20263" xr:uid="{9D1212AB-FA66-438E-8DE1-C9C99555A146}"/>
    <cellStyle name="Linked Cell 19 3 2 2 5 3" xfId="20264" xr:uid="{824767C9-9E67-4A85-A17B-CEA326E10609}"/>
    <cellStyle name="Linked Cell 19 3 2 2 6" xfId="20265" xr:uid="{446476BD-E3FF-4FC3-9177-6E3C0B35F6E9}"/>
    <cellStyle name="Linked Cell 19 3 2 2 6 2" xfId="20266" xr:uid="{F00DF683-43A5-4D11-95A6-A0DDF6988815}"/>
    <cellStyle name="Linked Cell 19 3 2 2 6 2 2" xfId="20267" xr:uid="{6AD57335-0033-4BEA-8289-F46096AF0344}"/>
    <cellStyle name="Linked Cell 19 3 2 2 6 3" xfId="20268" xr:uid="{52683FC8-EBCA-44D8-AEEC-B725B3362C9D}"/>
    <cellStyle name="Linked Cell 19 3 2 2 7" xfId="20269" xr:uid="{91937051-4E35-425D-87C9-BD7FD3A0B4DA}"/>
    <cellStyle name="Linked Cell 19 3 2 2 7 2" xfId="20270" xr:uid="{92E75E6A-E97E-4A25-9220-FE172F5757EA}"/>
    <cellStyle name="Linked Cell 19 3 2 2 7 2 2" xfId="20271" xr:uid="{4F05ABE7-2A3B-452F-A29A-54E4C86F316A}"/>
    <cellStyle name="Linked Cell 19 3 2 2 7 3" xfId="20272" xr:uid="{8B385B3A-40DB-46BB-B39B-C3A24F741953}"/>
    <cellStyle name="Linked Cell 19 3 2 2 8" xfId="20273" xr:uid="{ACE3BE3A-BF59-476B-A09D-06F8AFA1FB50}"/>
    <cellStyle name="Linked Cell 19 3 2 2 8 2" xfId="20274" xr:uid="{9A488C17-F76A-4396-AC7F-259B242CCFFA}"/>
    <cellStyle name="Linked Cell 19 3 2 2 8 2 2" xfId="20275" xr:uid="{6C7989BC-3D91-4E43-884B-424404C4BCF2}"/>
    <cellStyle name="Linked Cell 19 3 2 2 8 3" xfId="20276" xr:uid="{AD4CA2B6-E934-4482-9C6C-39B03074B3F1}"/>
    <cellStyle name="Linked Cell 19 3 2 2 9" xfId="20277" xr:uid="{DD06B2B4-9901-4347-9046-95BAE9F71326}"/>
    <cellStyle name="Linked Cell 19 3 2 2 9 2" xfId="20278" xr:uid="{95F1255A-5960-4D79-BB3F-71D5D09948B1}"/>
    <cellStyle name="Linked Cell 19 3 2 2 9 2 2" xfId="20279" xr:uid="{162F0AFE-A675-406F-8435-076AF11297A0}"/>
    <cellStyle name="Linked Cell 19 3 2 2 9 3" xfId="20280" xr:uid="{5060F0BE-573F-437B-A98D-3DC5378A1D68}"/>
    <cellStyle name="Linked Cell 19 3 2 3" xfId="20281" xr:uid="{B2D413E6-8D51-4E39-84AE-82B69CC9F928}"/>
    <cellStyle name="Linked Cell 19 3 2 3 10" xfId="20282" xr:uid="{F706CA85-757E-46C6-8F78-6EA17CBB32AC}"/>
    <cellStyle name="Linked Cell 19 3 2 3 10 2" xfId="20283" xr:uid="{244C5BAE-D20A-4996-958F-6F42816A6E50}"/>
    <cellStyle name="Linked Cell 19 3 2 3 11" xfId="20284" xr:uid="{F94A5BB2-4C00-4740-ACC8-4EEF288B0A22}"/>
    <cellStyle name="Linked Cell 19 3 2 3 2" xfId="20285" xr:uid="{FD7024BB-4964-4337-9A17-EA51C5B15E12}"/>
    <cellStyle name="Linked Cell 19 3 2 3 2 2" xfId="20286" xr:uid="{AA113164-E0A2-40B1-A2BA-E240BF4CC04E}"/>
    <cellStyle name="Linked Cell 19 3 2 3 2 2 2" xfId="20287" xr:uid="{A3FD4F3E-A9B0-4566-A5B7-0F3303D23F00}"/>
    <cellStyle name="Linked Cell 19 3 2 3 2 3" xfId="20288" xr:uid="{B6DDAB12-F4DE-40F0-9E03-CE8C6D1ABC6B}"/>
    <cellStyle name="Linked Cell 19 3 2 3 3" xfId="20289" xr:uid="{68BE3AA6-B46C-4022-A0CC-71C53F80B188}"/>
    <cellStyle name="Linked Cell 19 3 2 3 3 2" xfId="20290" xr:uid="{CE4F9E75-00A0-4D6D-A9AC-310C997A7CA8}"/>
    <cellStyle name="Linked Cell 19 3 2 3 3 2 2" xfId="20291" xr:uid="{2763A710-8F92-4C21-863E-E379FC95E46D}"/>
    <cellStyle name="Linked Cell 19 3 2 3 3 3" xfId="20292" xr:uid="{774D0DE0-1C3F-4249-BB93-EA76F7FA39A9}"/>
    <cellStyle name="Linked Cell 19 3 2 3 4" xfId="20293" xr:uid="{71B3D357-A7E2-4423-9744-9D88D4258DF2}"/>
    <cellStyle name="Linked Cell 19 3 2 3 4 2" xfId="20294" xr:uid="{8F4E5262-D145-4360-A9C0-8B537C5BD0BF}"/>
    <cellStyle name="Linked Cell 19 3 2 3 4 2 2" xfId="20295" xr:uid="{2DD55D39-5674-4EB4-95CD-CFD43EB14C3B}"/>
    <cellStyle name="Linked Cell 19 3 2 3 4 3" xfId="20296" xr:uid="{483AFBF3-9961-4888-8DBB-7ADEF5EA9B4D}"/>
    <cellStyle name="Linked Cell 19 3 2 3 5" xfId="20297" xr:uid="{B55ADC54-FE8B-49EA-882B-3B06E2E77381}"/>
    <cellStyle name="Linked Cell 19 3 2 3 5 2" xfId="20298" xr:uid="{B0E8D1D1-DE04-4AC5-9335-A0ADE18F93FB}"/>
    <cellStyle name="Linked Cell 19 3 2 3 5 2 2" xfId="20299" xr:uid="{388EC6C8-963D-44E1-B129-9EDBAB98255D}"/>
    <cellStyle name="Linked Cell 19 3 2 3 5 3" xfId="20300" xr:uid="{A340DADC-7732-4012-B885-91F06AD0F4C3}"/>
    <cellStyle name="Linked Cell 19 3 2 3 6" xfId="20301" xr:uid="{E07F6217-F5E8-4970-A8B4-313F1D48A3FB}"/>
    <cellStyle name="Linked Cell 19 3 2 3 6 2" xfId="20302" xr:uid="{2BA968D3-A98B-462A-AD4A-F852CD453E4F}"/>
    <cellStyle name="Linked Cell 19 3 2 3 6 2 2" xfId="20303" xr:uid="{B73F7E6A-6B30-4DDF-BA70-27B47F22AFA2}"/>
    <cellStyle name="Linked Cell 19 3 2 3 6 3" xfId="20304" xr:uid="{10AB084A-4688-41B4-9F06-019777A58B61}"/>
    <cellStyle name="Linked Cell 19 3 2 3 7" xfId="20305" xr:uid="{BEC4AF17-A1A0-45C0-B0E4-052E447CCFC5}"/>
    <cellStyle name="Linked Cell 19 3 2 3 7 2" xfId="20306" xr:uid="{573BF6F7-0482-45B7-963C-30462C51BD39}"/>
    <cellStyle name="Linked Cell 19 3 2 3 7 2 2" xfId="20307" xr:uid="{CC877EEF-D24F-4902-B124-F8FC4C6CC652}"/>
    <cellStyle name="Linked Cell 19 3 2 3 7 3" xfId="20308" xr:uid="{AEFCC059-B0E5-4155-80D2-81C8FA17BDBE}"/>
    <cellStyle name="Linked Cell 19 3 2 3 8" xfId="20309" xr:uid="{03174E30-4B04-43EF-B7F6-3FCAA30068FB}"/>
    <cellStyle name="Linked Cell 19 3 2 3 8 2" xfId="20310" xr:uid="{6262EE15-43BF-4A81-A1A1-8050989DE4D2}"/>
    <cellStyle name="Linked Cell 19 3 2 3 8 2 2" xfId="20311" xr:uid="{F0C9F6DB-F7C6-4C85-9A8D-C22AD2405C17}"/>
    <cellStyle name="Linked Cell 19 3 2 3 8 3" xfId="20312" xr:uid="{D6965AEF-0A41-4FB5-9918-E7D8F13CE5BF}"/>
    <cellStyle name="Linked Cell 19 3 2 3 9" xfId="20313" xr:uid="{2F747EA3-F21B-4B2A-8390-164A68D3BB47}"/>
    <cellStyle name="Linked Cell 19 3 2 3 9 2" xfId="20314" xr:uid="{73ABFC48-4F1D-438C-AC80-5BA03E53BA15}"/>
    <cellStyle name="Linked Cell 19 3 2 3 9 2 2" xfId="20315" xr:uid="{0198535E-8EAE-4BEB-B02D-A82FBA78F077}"/>
    <cellStyle name="Linked Cell 19 3 2 3 9 3" xfId="20316" xr:uid="{E32B3BD5-B948-43BC-ACE8-F9A96819DEF4}"/>
    <cellStyle name="Linked Cell 19 3 2 4" xfId="20317" xr:uid="{5C08965D-F85A-45AB-B80A-1647CC596B7D}"/>
    <cellStyle name="Linked Cell 19 3 2 4 2" xfId="20318" xr:uid="{96F88B65-4C68-457C-A180-020D86DB8728}"/>
    <cellStyle name="Linked Cell 19 3 2 4 2 2" xfId="20319" xr:uid="{86BE3153-7277-40B3-B8F9-17943D238955}"/>
    <cellStyle name="Linked Cell 19 3 2 4 3" xfId="20320" xr:uid="{537EE014-9347-4CEF-88E6-EDFD686249F9}"/>
    <cellStyle name="Linked Cell 19 3 2 5" xfId="20321" xr:uid="{C683FBD5-941D-46B4-BE5D-CC393783B7C2}"/>
    <cellStyle name="Linked Cell 19 3 2 5 2" xfId="20322" xr:uid="{6C19FF37-218A-4ED2-924F-4CEFB4D9F708}"/>
    <cellStyle name="Linked Cell 19 3 2 5 2 2" xfId="20323" xr:uid="{93796564-8A04-44B3-8BA8-6F15D84CDF06}"/>
    <cellStyle name="Linked Cell 19 3 2 5 3" xfId="20324" xr:uid="{1736F815-0CDB-4695-B49F-0901A848E828}"/>
    <cellStyle name="Linked Cell 19 3 2 6" xfId="20325" xr:uid="{42D3B27B-1C95-4553-8A15-FAC486680A3B}"/>
    <cellStyle name="Linked Cell 19 3 2 6 2" xfId="20326" xr:uid="{D454A019-5CAF-4FF7-8A2A-64A6E179B52A}"/>
    <cellStyle name="Linked Cell 19 3 2 6 2 2" xfId="20327" xr:uid="{B3862ABF-3D61-431B-A51F-DA304FB0BB92}"/>
    <cellStyle name="Linked Cell 19 3 2 6 3" xfId="20328" xr:uid="{3263DDB8-DF69-4A21-96EC-9C02BDF6DCEC}"/>
    <cellStyle name="Linked Cell 19 3 2 7" xfId="20329" xr:uid="{76A74685-A84D-4100-B22C-D1A36FD2067F}"/>
    <cellStyle name="Linked Cell 19 3 2 7 2" xfId="20330" xr:uid="{70D2ACD9-BDAC-43EE-B8A4-5EB1D9683AFF}"/>
    <cellStyle name="Linked Cell 19 3 2 7 2 2" xfId="20331" xr:uid="{9FFF8214-4E34-4431-B9FA-620B4A564E05}"/>
    <cellStyle name="Linked Cell 19 3 2 7 3" xfId="20332" xr:uid="{02E6E55F-3708-4E9C-B0C5-A523DD084CFD}"/>
    <cellStyle name="Linked Cell 19 3 2 8" xfId="20333" xr:uid="{BF35A8A9-00D3-4F1F-B585-6D00D9F5756C}"/>
    <cellStyle name="Linked Cell 19 3 2 8 2" xfId="20334" xr:uid="{1C55B7ED-B906-4BD6-9B4B-C88A88F7BFE1}"/>
    <cellStyle name="Linked Cell 19 3 2 8 2 2" xfId="20335" xr:uid="{C5B4FAE1-EDE6-4149-945B-3883496DC11F}"/>
    <cellStyle name="Linked Cell 19 3 2 8 3" xfId="20336" xr:uid="{D0B0A0A2-D97E-439D-BA2F-C545CBECED17}"/>
    <cellStyle name="Linked Cell 19 3 2 9" xfId="20337" xr:uid="{037960F5-0CDA-4471-AB95-8121A9A64450}"/>
    <cellStyle name="Linked Cell 19 3 2 9 2" xfId="20338" xr:uid="{1B1514B3-5043-453B-8196-4406216B6338}"/>
    <cellStyle name="Linked Cell 19 3 2 9 2 2" xfId="20339" xr:uid="{AB1F4041-51AF-4687-978B-FD5C2CB07AF1}"/>
    <cellStyle name="Linked Cell 19 3 2 9 3" xfId="20340" xr:uid="{F23517AB-CECF-4022-BF99-71EDFE9B4780}"/>
    <cellStyle name="Linked Cell 19 3 3" xfId="20341" xr:uid="{118F8CEA-1FD1-4C27-89BD-52FF349709EE}"/>
    <cellStyle name="Linked Cell 19 3 3 10" xfId="20342" xr:uid="{AAA9995B-221B-4E5D-8521-7D6311ADBD3D}"/>
    <cellStyle name="Linked Cell 19 3 3 10 2" xfId="20343" xr:uid="{3645B4AA-B1E7-428B-B47A-A6C6D6F163F8}"/>
    <cellStyle name="Linked Cell 19 3 3 10 2 2" xfId="20344" xr:uid="{B8321228-4C71-4877-97C7-BF2E36DE618F}"/>
    <cellStyle name="Linked Cell 19 3 3 10 3" xfId="20345" xr:uid="{250F4B75-D228-405C-BBB1-EE500A3111CF}"/>
    <cellStyle name="Linked Cell 19 3 3 11" xfId="20346" xr:uid="{8E3659E7-2F1C-4D9C-AB6E-CEE5E165D9C5}"/>
    <cellStyle name="Linked Cell 19 3 3 11 2" xfId="20347" xr:uid="{72BBA3E1-7160-4F69-8EE4-048BEBB8BB53}"/>
    <cellStyle name="Linked Cell 19 3 3 12" xfId="20348" xr:uid="{146AFC96-4980-4E20-9808-0E021CD80A77}"/>
    <cellStyle name="Linked Cell 19 3 3 2" xfId="20349" xr:uid="{DB52DA6A-0E16-4C21-919E-85B83E70925B}"/>
    <cellStyle name="Linked Cell 19 3 3 2 10" xfId="20350" xr:uid="{1013EE54-E362-40B4-AEA0-A47023BA59EA}"/>
    <cellStyle name="Linked Cell 19 3 3 2 10 2" xfId="20351" xr:uid="{225F9A70-41C1-4776-8CF8-37C12998DDC0}"/>
    <cellStyle name="Linked Cell 19 3 3 2 11" xfId="20352" xr:uid="{52EFA8DF-B6BE-455C-AEE8-8B4394391F47}"/>
    <cellStyle name="Linked Cell 19 3 3 2 2" xfId="20353" xr:uid="{0D85E844-7900-44F6-937D-2A20FF2BD78E}"/>
    <cellStyle name="Linked Cell 19 3 3 2 2 2" xfId="20354" xr:uid="{645E19BA-7C06-450E-B081-CFEDA0A295DB}"/>
    <cellStyle name="Linked Cell 19 3 3 2 2 2 2" xfId="20355" xr:uid="{92F242A0-4EA6-4EDC-AA53-0DE8280E7F5D}"/>
    <cellStyle name="Linked Cell 19 3 3 2 2 3" xfId="20356" xr:uid="{585220A2-D400-4EB4-885F-3F415D5B3948}"/>
    <cellStyle name="Linked Cell 19 3 3 2 3" xfId="20357" xr:uid="{25CA510B-E8EB-4188-9270-6A42E09A7AE4}"/>
    <cellStyle name="Linked Cell 19 3 3 2 3 2" xfId="20358" xr:uid="{C7D19A98-5BB2-4758-9577-27987F301037}"/>
    <cellStyle name="Linked Cell 19 3 3 2 3 2 2" xfId="20359" xr:uid="{676F3B09-4B23-42CA-AE75-7118C3396864}"/>
    <cellStyle name="Linked Cell 19 3 3 2 3 3" xfId="20360" xr:uid="{55FFA203-05F8-4BB9-8C11-D3548783A606}"/>
    <cellStyle name="Linked Cell 19 3 3 2 4" xfId="20361" xr:uid="{141B4CB2-4D7A-46C7-869D-75FB7C39AFE7}"/>
    <cellStyle name="Linked Cell 19 3 3 2 4 2" xfId="20362" xr:uid="{8CD6CD5A-A2AD-45BC-94AB-937ED4FB7576}"/>
    <cellStyle name="Linked Cell 19 3 3 2 4 2 2" xfId="20363" xr:uid="{E1333992-A5F6-428D-A29E-A0D3ED532E51}"/>
    <cellStyle name="Linked Cell 19 3 3 2 4 3" xfId="20364" xr:uid="{81F8E3F7-23F9-4368-9E5D-B0B1862E6DF0}"/>
    <cellStyle name="Linked Cell 19 3 3 2 5" xfId="20365" xr:uid="{A0EDC563-B0C5-4849-A954-71D7C82F6097}"/>
    <cellStyle name="Linked Cell 19 3 3 2 5 2" xfId="20366" xr:uid="{43DAD616-FCEF-4F61-9C9E-002592C121A1}"/>
    <cellStyle name="Linked Cell 19 3 3 2 5 2 2" xfId="20367" xr:uid="{E94A51FF-80CE-435D-997A-1F3CD1088194}"/>
    <cellStyle name="Linked Cell 19 3 3 2 5 3" xfId="20368" xr:uid="{668022F0-A104-46DF-B3B2-4EA93EC6607B}"/>
    <cellStyle name="Linked Cell 19 3 3 2 6" xfId="20369" xr:uid="{D8A8B50D-7F3C-4007-870E-FC4671F445ED}"/>
    <cellStyle name="Linked Cell 19 3 3 2 6 2" xfId="20370" xr:uid="{363506D5-6B76-4FB6-8FFF-2F2AE77A755B}"/>
    <cellStyle name="Linked Cell 19 3 3 2 6 2 2" xfId="20371" xr:uid="{00265877-1351-4145-8380-DE7B84D2FB8A}"/>
    <cellStyle name="Linked Cell 19 3 3 2 6 3" xfId="20372" xr:uid="{459E7DDA-71D4-4344-9E97-8097EE27C4B9}"/>
    <cellStyle name="Linked Cell 19 3 3 2 7" xfId="20373" xr:uid="{17E14209-1384-4D71-A2E6-A4CB7294E62D}"/>
    <cellStyle name="Linked Cell 19 3 3 2 7 2" xfId="20374" xr:uid="{120C60E2-B20F-4165-80F1-49D9E6CBDEDE}"/>
    <cellStyle name="Linked Cell 19 3 3 2 7 2 2" xfId="20375" xr:uid="{40BAB397-C3F5-424C-AE00-FCB9298399F1}"/>
    <cellStyle name="Linked Cell 19 3 3 2 7 3" xfId="20376" xr:uid="{582C880A-3505-4662-88B7-CF7CA9B6A36E}"/>
    <cellStyle name="Linked Cell 19 3 3 2 8" xfId="20377" xr:uid="{C62C43A8-791E-4D4C-9CBF-1B87AD63E713}"/>
    <cellStyle name="Linked Cell 19 3 3 2 8 2" xfId="20378" xr:uid="{7230A1BA-843D-46B6-80BD-41888F7834E5}"/>
    <cellStyle name="Linked Cell 19 3 3 2 8 2 2" xfId="20379" xr:uid="{71094361-687C-447F-A0BE-B216423DF966}"/>
    <cellStyle name="Linked Cell 19 3 3 2 8 3" xfId="20380" xr:uid="{6EE8AAAE-4F7A-4E5B-B807-3B1CA02ABDEB}"/>
    <cellStyle name="Linked Cell 19 3 3 2 9" xfId="20381" xr:uid="{5BAFBB49-E1AD-49B8-AD18-9070C1F50924}"/>
    <cellStyle name="Linked Cell 19 3 3 2 9 2" xfId="20382" xr:uid="{AA1D9005-A332-42D5-8AE9-8441CE7F8501}"/>
    <cellStyle name="Linked Cell 19 3 3 2 9 2 2" xfId="20383" xr:uid="{63F2EC42-FFEA-44FF-AF23-2300E6523917}"/>
    <cellStyle name="Linked Cell 19 3 3 2 9 3" xfId="20384" xr:uid="{2D9C9849-B713-4E46-9908-65CF161B845F}"/>
    <cellStyle name="Linked Cell 19 3 3 3" xfId="20385" xr:uid="{6F0804D0-C785-442B-AF51-9FB7ED03C72B}"/>
    <cellStyle name="Linked Cell 19 3 3 3 2" xfId="20386" xr:uid="{2CE6CC19-C68C-46C8-AB01-1226A4C2B0D6}"/>
    <cellStyle name="Linked Cell 19 3 3 3 2 2" xfId="20387" xr:uid="{97F94FE9-435B-4475-8275-33E35F48F615}"/>
    <cellStyle name="Linked Cell 19 3 3 3 3" xfId="20388" xr:uid="{B3C9623C-4EE6-4ADC-8E3D-3ECCCAEAE112}"/>
    <cellStyle name="Linked Cell 19 3 3 4" xfId="20389" xr:uid="{8BF4774E-B229-417D-BF84-548CDE1D7649}"/>
    <cellStyle name="Linked Cell 19 3 3 4 2" xfId="20390" xr:uid="{67FFD150-A87A-4E48-9AB6-5FB815C098A8}"/>
    <cellStyle name="Linked Cell 19 3 3 4 2 2" xfId="20391" xr:uid="{4AFADE0F-063D-4E04-BABB-8E639C664A2A}"/>
    <cellStyle name="Linked Cell 19 3 3 4 3" xfId="20392" xr:uid="{935E3DF5-1ABD-44D1-A649-FADB302E7AB5}"/>
    <cellStyle name="Linked Cell 19 3 3 5" xfId="20393" xr:uid="{7C36D2E3-DC87-43B0-BAF8-6C231D75EA2C}"/>
    <cellStyle name="Linked Cell 19 3 3 5 2" xfId="20394" xr:uid="{7BA9DEBF-2F1A-45B0-A8E5-1B152E7163BA}"/>
    <cellStyle name="Linked Cell 19 3 3 5 2 2" xfId="20395" xr:uid="{3EB037E1-5F1A-4D2A-A0D5-8A5281DB22FA}"/>
    <cellStyle name="Linked Cell 19 3 3 5 3" xfId="20396" xr:uid="{7B3CC36A-B730-4989-8268-5DDB8376ADAA}"/>
    <cellStyle name="Linked Cell 19 3 3 6" xfId="20397" xr:uid="{21D5EE2E-971D-42AA-8C67-DB3DF9ACF340}"/>
    <cellStyle name="Linked Cell 19 3 3 6 2" xfId="20398" xr:uid="{5AC33E7F-CDDF-40D2-BA04-DC1913B92956}"/>
    <cellStyle name="Linked Cell 19 3 3 6 2 2" xfId="20399" xr:uid="{C805D591-B7A4-4126-B89D-A7C316D51416}"/>
    <cellStyle name="Linked Cell 19 3 3 6 3" xfId="20400" xr:uid="{0AB72EBE-E4B0-4CF4-8898-8A76A151C44C}"/>
    <cellStyle name="Linked Cell 19 3 3 7" xfId="20401" xr:uid="{322525BA-ECA3-42D3-861F-86E4DC92FC12}"/>
    <cellStyle name="Linked Cell 19 3 3 7 2" xfId="20402" xr:uid="{C30EA485-2682-42D3-9751-3FC4A109466B}"/>
    <cellStyle name="Linked Cell 19 3 3 7 2 2" xfId="20403" xr:uid="{6BECB32F-F2C0-4258-BD16-DE7D81A31FBC}"/>
    <cellStyle name="Linked Cell 19 3 3 7 3" xfId="20404" xr:uid="{91F0B8F2-D437-4754-8696-CBF525B7A6E6}"/>
    <cellStyle name="Linked Cell 19 3 3 8" xfId="20405" xr:uid="{60CFC41B-799E-49EA-ADC8-D781DF1F3010}"/>
    <cellStyle name="Linked Cell 19 3 3 8 2" xfId="20406" xr:uid="{A27EAC81-03DA-4079-A62B-8EFF5A83F31B}"/>
    <cellStyle name="Linked Cell 19 3 3 8 2 2" xfId="20407" xr:uid="{9A97D92F-C7CC-448A-92E8-4666814DD456}"/>
    <cellStyle name="Linked Cell 19 3 3 8 3" xfId="20408" xr:uid="{C7F1E4B6-40A6-45EF-9635-22146104D8A6}"/>
    <cellStyle name="Linked Cell 19 3 3 9" xfId="20409" xr:uid="{58968DFF-09A1-4804-A7AD-5C5904DA4824}"/>
    <cellStyle name="Linked Cell 19 3 3 9 2" xfId="20410" xr:uid="{299AE788-5080-4F64-A454-2FC1C4656E12}"/>
    <cellStyle name="Linked Cell 19 3 3 9 2 2" xfId="20411" xr:uid="{955F456F-9ADC-4B17-8654-CB50A16E44B8}"/>
    <cellStyle name="Linked Cell 19 3 3 9 3" xfId="20412" xr:uid="{FC72133D-E797-4E08-93EC-E629F4AE232B}"/>
    <cellStyle name="Linked Cell 19 3 4" xfId="20413" xr:uid="{2F15AA82-6393-4229-BD9F-E4640A89923E}"/>
    <cellStyle name="Linked Cell 19 3 4 10" xfId="20414" xr:uid="{BEFFFEBB-A333-4E9A-B499-C492A5D42B13}"/>
    <cellStyle name="Linked Cell 19 3 4 10 2" xfId="20415" xr:uid="{2AD48421-9237-4DEB-BE39-F64C454E24BC}"/>
    <cellStyle name="Linked Cell 19 3 4 11" xfId="20416" xr:uid="{FB99FB8E-9D86-44A0-8540-C20EE53666CE}"/>
    <cellStyle name="Linked Cell 19 3 4 2" xfId="20417" xr:uid="{323F91B0-AB80-4B6E-B892-BD0F2F73F5E9}"/>
    <cellStyle name="Linked Cell 19 3 4 2 2" xfId="20418" xr:uid="{02BAB5E4-589C-465F-8E45-6305DE7A5755}"/>
    <cellStyle name="Linked Cell 19 3 4 2 2 2" xfId="20419" xr:uid="{11F3DE40-B22B-48F1-9419-8C1234CB1849}"/>
    <cellStyle name="Linked Cell 19 3 4 2 3" xfId="20420" xr:uid="{6B237562-EC33-42AC-AD4B-92EF4E30FF49}"/>
    <cellStyle name="Linked Cell 19 3 4 3" xfId="20421" xr:uid="{63381104-870E-4F6B-A0F1-95FB7267C845}"/>
    <cellStyle name="Linked Cell 19 3 4 3 2" xfId="20422" xr:uid="{04419EB1-87C6-4014-AE17-259463B76ED3}"/>
    <cellStyle name="Linked Cell 19 3 4 3 2 2" xfId="20423" xr:uid="{4F1F23A9-40FE-4239-9591-446603DDB64E}"/>
    <cellStyle name="Linked Cell 19 3 4 3 3" xfId="20424" xr:uid="{A9A3A0E4-9E82-4D03-B0FD-1C3EA6665ED2}"/>
    <cellStyle name="Linked Cell 19 3 4 4" xfId="20425" xr:uid="{BE3087D0-7FF2-4770-AA60-374E99D1018F}"/>
    <cellStyle name="Linked Cell 19 3 4 4 2" xfId="20426" xr:uid="{8FA95038-19D2-4CD3-A690-EED8E562FA86}"/>
    <cellStyle name="Linked Cell 19 3 4 4 2 2" xfId="20427" xr:uid="{CF7487A5-DBF1-4F65-85A7-E5E5FF5E2742}"/>
    <cellStyle name="Linked Cell 19 3 4 4 3" xfId="20428" xr:uid="{D98D2C23-E435-4689-BC67-AE837CDD5B15}"/>
    <cellStyle name="Linked Cell 19 3 4 5" xfId="20429" xr:uid="{866E71CD-945D-4E0C-BCFA-94FF69DD7C2B}"/>
    <cellStyle name="Linked Cell 19 3 4 5 2" xfId="20430" xr:uid="{CF20103C-295C-41D0-A9EC-954058F7D44C}"/>
    <cellStyle name="Linked Cell 19 3 4 5 2 2" xfId="20431" xr:uid="{25CF3D3E-6A36-4038-80B2-1A9F388AA9BC}"/>
    <cellStyle name="Linked Cell 19 3 4 5 3" xfId="20432" xr:uid="{80F3BC10-63D6-4D2F-913D-C291A2F78BBF}"/>
    <cellStyle name="Linked Cell 19 3 4 6" xfId="20433" xr:uid="{26CE90F2-30BC-460E-B343-578E937AC64C}"/>
    <cellStyle name="Linked Cell 19 3 4 6 2" xfId="20434" xr:uid="{7B6EEC8D-2333-43DA-9D42-1C4833BED563}"/>
    <cellStyle name="Linked Cell 19 3 4 6 2 2" xfId="20435" xr:uid="{552AF61C-0446-4C0D-A098-EC6340617ECE}"/>
    <cellStyle name="Linked Cell 19 3 4 6 3" xfId="20436" xr:uid="{80B4401A-C4A7-46F9-A435-F01CA203CA71}"/>
    <cellStyle name="Linked Cell 19 3 4 7" xfId="20437" xr:uid="{59046B9E-81CE-4529-B340-4F9612033148}"/>
    <cellStyle name="Linked Cell 19 3 4 7 2" xfId="20438" xr:uid="{9F7C8F97-6938-4985-BD4F-FE7983FD8739}"/>
    <cellStyle name="Linked Cell 19 3 4 7 2 2" xfId="20439" xr:uid="{7C658963-2C41-4B0A-967D-024B33769F63}"/>
    <cellStyle name="Linked Cell 19 3 4 7 3" xfId="20440" xr:uid="{69339155-5BB6-4590-8DBB-399AF91DB8A3}"/>
    <cellStyle name="Linked Cell 19 3 4 8" xfId="20441" xr:uid="{3DD4CDD4-BDF6-4ADF-ADE3-AEC5953A75A1}"/>
    <cellStyle name="Linked Cell 19 3 4 8 2" xfId="20442" xr:uid="{69CC810D-3FEF-4162-A4F7-5FC0750DBC80}"/>
    <cellStyle name="Linked Cell 19 3 4 8 2 2" xfId="20443" xr:uid="{B7264E3C-4DA7-44AA-A9C7-FD02311E4DFF}"/>
    <cellStyle name="Linked Cell 19 3 4 8 3" xfId="20444" xr:uid="{E9FEB0F9-EAEC-415E-90F8-18575E151EA0}"/>
    <cellStyle name="Linked Cell 19 3 4 9" xfId="20445" xr:uid="{62F71163-35E7-47F7-B5A4-369FBD8CFF70}"/>
    <cellStyle name="Linked Cell 19 3 4 9 2" xfId="20446" xr:uid="{EF2AE31C-3F0E-42D2-9EB2-E43494C9F375}"/>
    <cellStyle name="Linked Cell 19 3 4 9 2 2" xfId="20447" xr:uid="{9BF7A91E-204C-4DF9-AB7B-F193FB942C2C}"/>
    <cellStyle name="Linked Cell 19 3 4 9 3" xfId="20448" xr:uid="{FFD84078-1638-48EA-9268-DE7A9461EC78}"/>
    <cellStyle name="Linked Cell 19 3 5" xfId="20449" xr:uid="{59D553A5-C68B-43B3-86C1-1323A746D574}"/>
    <cellStyle name="Linked Cell 19 3 5 2" xfId="20450" xr:uid="{26A06FF2-3329-48DB-99B8-CC4F34E615D0}"/>
    <cellStyle name="Linked Cell 19 3 5 2 2" xfId="20451" xr:uid="{F3FD4122-713E-497F-8767-1A6AAEF3B5A1}"/>
    <cellStyle name="Linked Cell 19 3 5 3" xfId="20452" xr:uid="{D4ABA275-642C-4D2F-BC6D-4262D7933EC3}"/>
    <cellStyle name="Linked Cell 19 3 6" xfId="20453" xr:uid="{1DAEDF22-8A17-4DC3-886C-769D56B013F1}"/>
    <cellStyle name="Linked Cell 19 3 6 2" xfId="20454" xr:uid="{2BD1B402-DE8B-46C7-A9D2-C9CB6B643013}"/>
    <cellStyle name="Linked Cell 19 3 6 2 2" xfId="20455" xr:uid="{DCFF48A9-69DF-49C7-A4F8-49D3C94817A4}"/>
    <cellStyle name="Linked Cell 19 3 6 3" xfId="20456" xr:uid="{6C362237-EB9E-4868-ABB5-07E49FE35C21}"/>
    <cellStyle name="Linked Cell 19 3 7" xfId="20457" xr:uid="{9CDA8902-D676-42F2-9417-82072E56C7E0}"/>
    <cellStyle name="Linked Cell 19 3 7 2" xfId="20458" xr:uid="{45DAD9D7-E15A-4E83-AAB0-BE5904476B0E}"/>
    <cellStyle name="Linked Cell 19 3 7 2 2" xfId="20459" xr:uid="{3B8CB574-F4BE-4C9F-AF45-1E6D20C02B32}"/>
    <cellStyle name="Linked Cell 19 3 7 3" xfId="20460" xr:uid="{7381DA16-BB0D-4DE5-B7B8-3ECB81D34EB2}"/>
    <cellStyle name="Linked Cell 19 3 8" xfId="20461" xr:uid="{F8359071-C076-4884-B6FA-B7CE2CED41EA}"/>
    <cellStyle name="Linked Cell 19 3 8 2" xfId="20462" xr:uid="{490663E5-3A57-4774-81A7-3C420B2550D2}"/>
    <cellStyle name="Linked Cell 19 3 8 2 2" xfId="20463" xr:uid="{E2814FFD-8F0A-4052-BE45-4443200FC829}"/>
    <cellStyle name="Linked Cell 19 3 8 3" xfId="20464" xr:uid="{3436BDAD-B037-4ACB-A405-77E385707C23}"/>
    <cellStyle name="Linked Cell 19 3 9" xfId="20465" xr:uid="{791A5F2A-F935-444F-8A74-3A4D5360D4BE}"/>
    <cellStyle name="Linked Cell 19 3 9 2" xfId="20466" xr:uid="{FB0F5FBE-9ECE-4598-B847-73919629E6BF}"/>
    <cellStyle name="Linked Cell 19 3 9 2 2" xfId="20467" xr:uid="{1EFE19F7-0CC1-49C0-A8C3-7F4436AB462C}"/>
    <cellStyle name="Linked Cell 19 3 9 3" xfId="20468" xr:uid="{75BFF802-FAD8-45D4-B0F1-7165FC968773}"/>
    <cellStyle name="Linked Cell 19 4" xfId="20469" xr:uid="{335B9C7C-339A-4FCF-83E6-7DE8A9570B97}"/>
    <cellStyle name="Linked Cell 19 4 10" xfId="20470" xr:uid="{87EF06A9-85CF-4C75-83EC-5C99F32CC1C1}"/>
    <cellStyle name="Linked Cell 19 4 10 2" xfId="20471" xr:uid="{63B82E83-0E7C-43BE-9C60-DCA823BEA969}"/>
    <cellStyle name="Linked Cell 19 4 10 2 2" xfId="20472" xr:uid="{9F7296AA-1625-4C3A-A87B-DB2BE7CD1354}"/>
    <cellStyle name="Linked Cell 19 4 10 3" xfId="20473" xr:uid="{438EF3F3-C061-42ED-B110-D5D28C1EC8E6}"/>
    <cellStyle name="Linked Cell 19 4 11" xfId="20474" xr:uid="{024EE260-40A3-4D87-9EFA-FD5456D4A314}"/>
    <cellStyle name="Linked Cell 19 4 11 2" xfId="20475" xr:uid="{7404C8C4-982E-45E0-9CD1-B7A2A42DACBC}"/>
    <cellStyle name="Linked Cell 19 4 11 2 2" xfId="20476" xr:uid="{3951BFC9-66A3-4210-9FB1-4D5039188A08}"/>
    <cellStyle name="Linked Cell 19 4 11 3" xfId="20477" xr:uid="{CB00B634-D368-4A35-9501-FE7E6FB3318D}"/>
    <cellStyle name="Linked Cell 19 4 12" xfId="20478" xr:uid="{80FC1901-95B2-460B-871F-B3FDE12FFF87}"/>
    <cellStyle name="Linked Cell 19 4 12 2" xfId="20479" xr:uid="{9232EFA6-F8A2-4616-8EE2-886D432DC665}"/>
    <cellStyle name="Linked Cell 19 4 13" xfId="20480" xr:uid="{CDFFBF89-5DD9-4A82-86F0-F8FB7E01C6B5}"/>
    <cellStyle name="Linked Cell 19 4 2" xfId="20481" xr:uid="{1C50F36A-3AD7-4BFA-9DBF-36FC8C1ED225}"/>
    <cellStyle name="Linked Cell 19 4 2 10" xfId="20482" xr:uid="{CE78AD2E-C5C2-4A20-B3E1-2932F2FD573D}"/>
    <cellStyle name="Linked Cell 19 4 2 10 2" xfId="20483" xr:uid="{DD48D94A-2976-4427-A6B3-A429883BC2A9}"/>
    <cellStyle name="Linked Cell 19 4 2 10 2 2" xfId="20484" xr:uid="{DC1F3EEB-277B-44D1-A6D2-BFF20799A2DD}"/>
    <cellStyle name="Linked Cell 19 4 2 10 3" xfId="20485" xr:uid="{050BBE96-9D81-4C9D-B814-F02FB059C161}"/>
    <cellStyle name="Linked Cell 19 4 2 11" xfId="20486" xr:uid="{0F781BB0-D246-4045-A9F4-FCE6F832B2B6}"/>
    <cellStyle name="Linked Cell 19 4 2 11 2" xfId="20487" xr:uid="{4F26E58F-985A-43AD-B785-3E2C4D17087C}"/>
    <cellStyle name="Linked Cell 19 4 2 12" xfId="20488" xr:uid="{548E69FE-83CD-4655-9BC3-D3BEFFFD531F}"/>
    <cellStyle name="Linked Cell 19 4 2 2" xfId="20489" xr:uid="{9F33017F-28F0-4194-B7CE-7294E29AC077}"/>
    <cellStyle name="Linked Cell 19 4 2 2 2" xfId="20490" xr:uid="{8CA33BCD-D20C-426B-8450-F763A8729176}"/>
    <cellStyle name="Linked Cell 19 4 2 2 2 2" xfId="20491" xr:uid="{A37EA898-C812-45A7-AFD7-D4D2B6F1D93A}"/>
    <cellStyle name="Linked Cell 19 4 2 2 3" xfId="20492" xr:uid="{316053A2-0835-4F73-9286-352ED57D06D9}"/>
    <cellStyle name="Linked Cell 19 4 2 3" xfId="20493" xr:uid="{D1659982-7C98-4406-BE81-16D4E8D285B9}"/>
    <cellStyle name="Linked Cell 19 4 2 3 2" xfId="20494" xr:uid="{24B7A5A9-85DC-45A6-97C1-24EE4B831B18}"/>
    <cellStyle name="Linked Cell 19 4 2 3 2 2" xfId="20495" xr:uid="{BA7C5545-261C-46D4-8D8A-FF31852AA03D}"/>
    <cellStyle name="Linked Cell 19 4 2 3 3" xfId="20496" xr:uid="{E1BEEDE5-8438-4EE2-B4D3-893439D80C6D}"/>
    <cellStyle name="Linked Cell 19 4 2 4" xfId="20497" xr:uid="{72B0A7A8-7377-4A5B-9572-6033E80CC55F}"/>
    <cellStyle name="Linked Cell 19 4 2 4 2" xfId="20498" xr:uid="{7E849CD2-43B4-45C3-BEDE-58B5DF1FF33A}"/>
    <cellStyle name="Linked Cell 19 4 2 4 2 2" xfId="20499" xr:uid="{DBAC1BB7-2547-4242-A682-420C5B0867CB}"/>
    <cellStyle name="Linked Cell 19 4 2 4 3" xfId="20500" xr:uid="{FD4805EB-55E7-4FD0-848B-3DC68057E9CC}"/>
    <cellStyle name="Linked Cell 19 4 2 5" xfId="20501" xr:uid="{63A84A6F-0283-4C03-9FC1-3D5640DFDBC9}"/>
    <cellStyle name="Linked Cell 19 4 2 5 2" xfId="20502" xr:uid="{ED150464-6E6E-47F4-A4B1-1C1D02BF4607}"/>
    <cellStyle name="Linked Cell 19 4 2 5 2 2" xfId="20503" xr:uid="{54F6CCC2-ABE8-4E85-B32A-950570353EBC}"/>
    <cellStyle name="Linked Cell 19 4 2 5 3" xfId="20504" xr:uid="{8B4C142C-6D79-4C3E-AD29-3ED415560C1C}"/>
    <cellStyle name="Linked Cell 19 4 2 6" xfId="20505" xr:uid="{4333D6A3-4AB8-46A9-A5EC-C1668B893EC1}"/>
    <cellStyle name="Linked Cell 19 4 2 6 2" xfId="20506" xr:uid="{150613C1-B35F-4D84-9928-662A5896C43B}"/>
    <cellStyle name="Linked Cell 19 4 2 6 2 2" xfId="20507" xr:uid="{1146C442-603C-462D-86F5-3C92FE8FF436}"/>
    <cellStyle name="Linked Cell 19 4 2 6 3" xfId="20508" xr:uid="{1C059CC7-7754-4552-BFF1-DA403A5B1C6C}"/>
    <cellStyle name="Linked Cell 19 4 2 7" xfId="20509" xr:uid="{53322FF6-6EFE-454C-9044-B88BDB13EFB9}"/>
    <cellStyle name="Linked Cell 19 4 2 7 2" xfId="20510" xr:uid="{83AE7267-01C0-4A98-882D-B09517E67A0F}"/>
    <cellStyle name="Linked Cell 19 4 2 7 2 2" xfId="20511" xr:uid="{57D632F9-7102-40FD-B2D4-5F0CECC63C91}"/>
    <cellStyle name="Linked Cell 19 4 2 7 3" xfId="20512" xr:uid="{702D80C7-2670-453F-ABC4-E9776907C936}"/>
    <cellStyle name="Linked Cell 19 4 2 8" xfId="20513" xr:uid="{6A7D7A1A-CB3A-4B2F-88CB-E310BE6B7BD4}"/>
    <cellStyle name="Linked Cell 19 4 2 8 2" xfId="20514" xr:uid="{46BF2FDA-8C69-4AB2-9A15-2EB08BC45966}"/>
    <cellStyle name="Linked Cell 19 4 2 8 2 2" xfId="20515" xr:uid="{6AFC1351-B549-4703-B0EF-06E75CB0B479}"/>
    <cellStyle name="Linked Cell 19 4 2 8 3" xfId="20516" xr:uid="{B9C236B5-4505-4E6F-9C59-4669F769BD84}"/>
    <cellStyle name="Linked Cell 19 4 2 9" xfId="20517" xr:uid="{7323584B-441E-454B-98A1-B28FF64DAD13}"/>
    <cellStyle name="Linked Cell 19 4 2 9 2" xfId="20518" xr:uid="{3A7D2A04-E183-4DDF-AF0F-97F259379B25}"/>
    <cellStyle name="Linked Cell 19 4 2 9 2 2" xfId="20519" xr:uid="{92B6EFD0-52C1-4B3D-AAA5-2036F7FD698D}"/>
    <cellStyle name="Linked Cell 19 4 2 9 3" xfId="20520" xr:uid="{FB896107-4E58-4CDF-B440-13444481ADC0}"/>
    <cellStyle name="Linked Cell 19 4 3" xfId="20521" xr:uid="{7761B639-82C3-47F7-A6A0-98F19365A7BA}"/>
    <cellStyle name="Linked Cell 19 4 3 10" xfId="20522" xr:uid="{68CB39C3-FC02-41EE-B817-55329C9A1402}"/>
    <cellStyle name="Linked Cell 19 4 3 10 2" xfId="20523" xr:uid="{60CA4CA5-3CFD-488A-9A24-A1E4B5FD8BCE}"/>
    <cellStyle name="Linked Cell 19 4 3 11" xfId="20524" xr:uid="{A8363127-26B3-4127-A20B-4545331C02FE}"/>
    <cellStyle name="Linked Cell 19 4 3 2" xfId="20525" xr:uid="{5B1BFA72-29E4-4F9B-BCC8-9557D1884A07}"/>
    <cellStyle name="Linked Cell 19 4 3 2 2" xfId="20526" xr:uid="{4BDCD76B-C0DB-4758-B8DE-50370419D345}"/>
    <cellStyle name="Linked Cell 19 4 3 2 2 2" xfId="20527" xr:uid="{A49D01D5-6C03-4042-82ED-43983EB95CA6}"/>
    <cellStyle name="Linked Cell 19 4 3 2 3" xfId="20528" xr:uid="{7BF6E36E-1619-44B8-B82D-0FB1F07ADF95}"/>
    <cellStyle name="Linked Cell 19 4 3 3" xfId="20529" xr:uid="{06CD34AE-5952-424E-9DC8-D3540CAE2F4E}"/>
    <cellStyle name="Linked Cell 19 4 3 3 2" xfId="20530" xr:uid="{32E1BE9D-05B9-42D7-BEBA-A3234D99A77A}"/>
    <cellStyle name="Linked Cell 19 4 3 3 2 2" xfId="20531" xr:uid="{485E7EC4-2C24-4C4A-ACEE-CFF14AB9752B}"/>
    <cellStyle name="Linked Cell 19 4 3 3 3" xfId="20532" xr:uid="{84095E11-BF05-4809-9367-0FEAA52E5A3A}"/>
    <cellStyle name="Linked Cell 19 4 3 4" xfId="20533" xr:uid="{A4E4F1AF-35E4-4FC5-BE19-9C7B872E8B4E}"/>
    <cellStyle name="Linked Cell 19 4 3 4 2" xfId="20534" xr:uid="{590C4F0D-8A53-47C4-8CBA-75C75A4FBAB3}"/>
    <cellStyle name="Linked Cell 19 4 3 4 2 2" xfId="20535" xr:uid="{EA4B193A-59C0-4378-B61B-F677CBAC016C}"/>
    <cellStyle name="Linked Cell 19 4 3 4 3" xfId="20536" xr:uid="{1776CC30-B5FD-4861-ADBA-1A13870A8927}"/>
    <cellStyle name="Linked Cell 19 4 3 5" xfId="20537" xr:uid="{AA7437B0-A82D-4B3B-9F56-FADDCFC8A2AE}"/>
    <cellStyle name="Linked Cell 19 4 3 5 2" xfId="20538" xr:uid="{10049461-86FA-4E6C-BA42-A0875759A53A}"/>
    <cellStyle name="Linked Cell 19 4 3 5 2 2" xfId="20539" xr:uid="{92010288-4464-4D12-8762-0FCB8F4A32B6}"/>
    <cellStyle name="Linked Cell 19 4 3 5 3" xfId="20540" xr:uid="{5FBC0FD4-BE38-453E-A981-33403F0A417C}"/>
    <cellStyle name="Linked Cell 19 4 3 6" xfId="20541" xr:uid="{A2FB6B27-678D-4880-A007-AD44BD42450F}"/>
    <cellStyle name="Linked Cell 19 4 3 6 2" xfId="20542" xr:uid="{9FFCF9F7-05FE-40CD-805B-5D1457CA4D38}"/>
    <cellStyle name="Linked Cell 19 4 3 6 2 2" xfId="20543" xr:uid="{C29F3D92-1A8B-437F-87D9-77B8A4B56B42}"/>
    <cellStyle name="Linked Cell 19 4 3 6 3" xfId="20544" xr:uid="{7AEE8E9C-8F79-4A2B-87F3-DE764CD0C51B}"/>
    <cellStyle name="Linked Cell 19 4 3 7" xfId="20545" xr:uid="{F41ECAC7-AC78-49DF-AD7C-261A63F29241}"/>
    <cellStyle name="Linked Cell 19 4 3 7 2" xfId="20546" xr:uid="{3CBB4CEA-6BDB-48F8-B8A7-DB16152B005F}"/>
    <cellStyle name="Linked Cell 19 4 3 7 2 2" xfId="20547" xr:uid="{FE0FF5E6-2294-491B-8DB5-C2A16FDAE76F}"/>
    <cellStyle name="Linked Cell 19 4 3 7 3" xfId="20548" xr:uid="{048674C2-124A-4CA5-A0EA-3959A01C9EA9}"/>
    <cellStyle name="Linked Cell 19 4 3 8" xfId="20549" xr:uid="{3E35498D-EAB8-4CD9-9233-494FB4F3449A}"/>
    <cellStyle name="Linked Cell 19 4 3 8 2" xfId="20550" xr:uid="{EF60BDDA-7EF4-452F-8852-7E65362B8F71}"/>
    <cellStyle name="Linked Cell 19 4 3 8 2 2" xfId="20551" xr:uid="{A6556437-77CC-4B16-A1B3-94FB91374702}"/>
    <cellStyle name="Linked Cell 19 4 3 8 3" xfId="20552" xr:uid="{7BA40AE7-9BDF-489B-81DD-11D5C7CB586C}"/>
    <cellStyle name="Linked Cell 19 4 3 9" xfId="20553" xr:uid="{3D1023CF-CAA6-414A-A91C-1BD6613C679A}"/>
    <cellStyle name="Linked Cell 19 4 3 9 2" xfId="20554" xr:uid="{8EA97F27-65AF-41B5-B5D2-7B886B9BAF6D}"/>
    <cellStyle name="Linked Cell 19 4 3 9 2 2" xfId="20555" xr:uid="{DDFF2137-C021-4C57-826C-9443D3FE2A46}"/>
    <cellStyle name="Linked Cell 19 4 3 9 3" xfId="20556" xr:uid="{559B2D84-4035-45AC-AF81-B7D6A96597F4}"/>
    <cellStyle name="Linked Cell 19 4 4" xfId="20557" xr:uid="{5CCE5D0F-44FE-4882-9B19-C544654A2171}"/>
    <cellStyle name="Linked Cell 19 4 4 2" xfId="20558" xr:uid="{2C193E5E-E248-4CA2-B85F-6F832E1D63CE}"/>
    <cellStyle name="Linked Cell 19 4 4 2 2" xfId="20559" xr:uid="{4DA70B33-9BE9-45CA-87A9-68AD92BF3B9C}"/>
    <cellStyle name="Linked Cell 19 4 4 3" xfId="20560" xr:uid="{26A83B43-7A28-4DA8-8CFB-1AB84D03FE9F}"/>
    <cellStyle name="Linked Cell 19 4 5" xfId="20561" xr:uid="{51CE08D7-9927-4D23-B291-7029D097CFF8}"/>
    <cellStyle name="Linked Cell 19 4 5 2" xfId="20562" xr:uid="{B18029BE-E2FD-41EC-AFE6-283371D972B6}"/>
    <cellStyle name="Linked Cell 19 4 5 2 2" xfId="20563" xr:uid="{9DEDD7A6-F41F-4128-9BB6-CD173BDD0E76}"/>
    <cellStyle name="Linked Cell 19 4 5 3" xfId="20564" xr:uid="{8110D250-76C0-4B82-86DB-64BAD50F6A76}"/>
    <cellStyle name="Linked Cell 19 4 6" xfId="20565" xr:uid="{B2669D1F-55F4-4DA5-BA99-E36627C8B742}"/>
    <cellStyle name="Linked Cell 19 4 6 2" xfId="20566" xr:uid="{94CEAED5-716A-4EFA-BEFC-9B85BCBED159}"/>
    <cellStyle name="Linked Cell 19 4 6 2 2" xfId="20567" xr:uid="{F85E3618-AF0E-4590-9C0F-AA19EDD83997}"/>
    <cellStyle name="Linked Cell 19 4 6 3" xfId="20568" xr:uid="{4ACF1630-3735-4509-8543-15EEF6CB9AB1}"/>
    <cellStyle name="Linked Cell 19 4 7" xfId="20569" xr:uid="{5CFF395F-BA5B-4EAB-B6F3-7EB47F0BE7E7}"/>
    <cellStyle name="Linked Cell 19 4 7 2" xfId="20570" xr:uid="{7E253E38-8B08-4773-AF2E-82B6CEB25907}"/>
    <cellStyle name="Linked Cell 19 4 7 2 2" xfId="20571" xr:uid="{DE76D787-662E-4F23-87CA-2DB375A39322}"/>
    <cellStyle name="Linked Cell 19 4 7 3" xfId="20572" xr:uid="{AFE886E0-4514-466A-8441-6656D13B3C40}"/>
    <cellStyle name="Linked Cell 19 4 8" xfId="20573" xr:uid="{DCD00E9D-D417-4416-AE0A-01EC4FC06D7B}"/>
    <cellStyle name="Linked Cell 19 4 8 2" xfId="20574" xr:uid="{FAE39D1B-B378-4CC1-A889-EB9E37E3D34C}"/>
    <cellStyle name="Linked Cell 19 4 8 2 2" xfId="20575" xr:uid="{7E34B50A-BEA9-4621-8C11-17197B5FF000}"/>
    <cellStyle name="Linked Cell 19 4 8 3" xfId="20576" xr:uid="{2941DD36-B782-4DA8-ADEB-E90CB06B6F38}"/>
    <cellStyle name="Linked Cell 19 4 9" xfId="20577" xr:uid="{8B774E91-C3A4-47D9-AC66-7755BA828FD8}"/>
    <cellStyle name="Linked Cell 19 4 9 2" xfId="20578" xr:uid="{4EF180FC-2B3C-4F90-9DF3-E900504AEBF3}"/>
    <cellStyle name="Linked Cell 19 4 9 2 2" xfId="20579" xr:uid="{AE519FE0-CE1E-48EC-BB84-33BED3BCBCA1}"/>
    <cellStyle name="Linked Cell 19 4 9 3" xfId="20580" xr:uid="{BB7F9B40-FEDA-439F-BA39-B9772F08C020}"/>
    <cellStyle name="Linked Cell 2" xfId="20581" xr:uid="{D5733E8F-08EE-493F-B794-DC92195F789C}"/>
    <cellStyle name="Linked Cell 2 2" xfId="20582" xr:uid="{F1978D53-E010-436A-9F80-E83EF2CFDBC9}"/>
    <cellStyle name="Linked Cell 2 2 10" xfId="20583" xr:uid="{916C8F7A-3084-4E94-9044-DD604A92D451}"/>
    <cellStyle name="Linked Cell 2 2 10 2" xfId="20584" xr:uid="{36E0D756-7F17-4ADE-82C7-E3EE081003B2}"/>
    <cellStyle name="Linked Cell 2 2 10 2 2" xfId="20585" xr:uid="{251044CF-690E-4784-9790-4F54EA104A72}"/>
    <cellStyle name="Linked Cell 2 2 10 3" xfId="20586" xr:uid="{D5B79913-123B-4885-97D1-CFCA36A7A1A5}"/>
    <cellStyle name="Linked Cell 2 2 11" xfId="20587" xr:uid="{F692F760-A59B-47A9-B450-DBE3A2896411}"/>
    <cellStyle name="Linked Cell 2 2 11 2" xfId="20588" xr:uid="{089964AF-F881-4AB2-88CA-DED91E976657}"/>
    <cellStyle name="Linked Cell 2 2 11 2 2" xfId="20589" xr:uid="{0F479D17-7D8C-4685-8AEE-93CE3D908CF1}"/>
    <cellStyle name="Linked Cell 2 2 11 3" xfId="20590" xr:uid="{E75FDF67-E9A0-4220-9B65-0CC4A860A25D}"/>
    <cellStyle name="Linked Cell 2 2 12" xfId="20591" xr:uid="{495C3368-BE0A-408B-A9BA-BFD976A72E4D}"/>
    <cellStyle name="Linked Cell 2 2 12 2" xfId="20592" xr:uid="{093BECCF-663A-495D-A9EE-1CEFAA32EB38}"/>
    <cellStyle name="Linked Cell 2 2 12 2 2" xfId="20593" xr:uid="{4D47481C-5F8B-4436-986D-8BCB71F1E7B1}"/>
    <cellStyle name="Linked Cell 2 2 12 3" xfId="20594" xr:uid="{A6ACFB38-7E9D-4F4D-9949-41F834BDF974}"/>
    <cellStyle name="Linked Cell 2 2 13" xfId="20595" xr:uid="{D871B698-EC9C-425D-940D-B9D3DCD1E3ED}"/>
    <cellStyle name="Linked Cell 2 2 13 2" xfId="20596" xr:uid="{1495F21E-9984-4111-9389-A95277AE7910}"/>
    <cellStyle name="Linked Cell 2 2 13 2 2" xfId="20597" xr:uid="{95499CDB-95A8-4A86-A82C-6CEFF245F8D0}"/>
    <cellStyle name="Linked Cell 2 2 13 3" xfId="20598" xr:uid="{0105C401-2A50-4C6F-A27C-0E8CB8E019E0}"/>
    <cellStyle name="Linked Cell 2 2 14" xfId="20599" xr:uid="{DBA93571-D3C4-48DC-B6A0-85780F703279}"/>
    <cellStyle name="Linked Cell 2 2 14 2" xfId="20600" xr:uid="{305F389D-DE3A-4800-8D26-5E19D7BB9BD3}"/>
    <cellStyle name="Linked Cell 2 2 15" xfId="20601" xr:uid="{E9B63C16-9DB9-46A7-B169-1D3D334F7030}"/>
    <cellStyle name="Linked Cell 2 2 2" xfId="20602" xr:uid="{1FE11528-3AD0-4FAF-A665-817D680C69C7}"/>
    <cellStyle name="Linked Cell 2 2 2 10" xfId="20603" xr:uid="{0C44D772-C028-4FAA-A250-AB9087C102A0}"/>
    <cellStyle name="Linked Cell 2 2 2 10 2" xfId="20604" xr:uid="{59CF264F-C8D3-4379-8235-4FD618667A69}"/>
    <cellStyle name="Linked Cell 2 2 2 10 2 2" xfId="20605" xr:uid="{C047E9EC-A3DE-47DE-BB04-E9488A9DF90E}"/>
    <cellStyle name="Linked Cell 2 2 2 10 3" xfId="20606" xr:uid="{A4431FC5-02A7-4CE0-B320-64CEFC1E2CF2}"/>
    <cellStyle name="Linked Cell 2 2 2 11" xfId="20607" xr:uid="{C65A8717-423C-4316-AFAA-3F5E9F263C94}"/>
    <cellStyle name="Linked Cell 2 2 2 11 2" xfId="20608" xr:uid="{D0CEB49F-2171-476C-BD18-952AD73A0522}"/>
    <cellStyle name="Linked Cell 2 2 2 11 2 2" xfId="20609" xr:uid="{3C1C426C-A807-4F2B-A787-8B9CF76BFAF8}"/>
    <cellStyle name="Linked Cell 2 2 2 11 3" xfId="20610" xr:uid="{C478C101-129E-4781-9129-BB3B7DB18953}"/>
    <cellStyle name="Linked Cell 2 2 2 12" xfId="20611" xr:uid="{A7EDA6FD-35D3-43EE-B200-BE0CC930175A}"/>
    <cellStyle name="Linked Cell 2 2 2 12 2" xfId="20612" xr:uid="{440603D9-07A3-4D96-A173-FFBDE17E854C}"/>
    <cellStyle name="Linked Cell 2 2 2 12 2 2" xfId="20613" xr:uid="{A8D2D4A5-3E1C-48C2-883A-2582B62FFB82}"/>
    <cellStyle name="Linked Cell 2 2 2 12 3" xfId="20614" xr:uid="{51F9FA59-3B5B-4299-A5B7-2CD80094325A}"/>
    <cellStyle name="Linked Cell 2 2 2 13" xfId="20615" xr:uid="{95DA3647-0AF7-4240-8D65-C8EBB05914E0}"/>
    <cellStyle name="Linked Cell 2 2 2 13 2" xfId="20616" xr:uid="{1E6184DC-A1FF-4FB4-AAB4-C95B7BF3FFA6}"/>
    <cellStyle name="Linked Cell 2 2 2 14" xfId="20617" xr:uid="{D3F4E32F-F745-424C-9EFA-FD945C4CD89F}"/>
    <cellStyle name="Linked Cell 2 2 2 2" xfId="20618" xr:uid="{17F5C0F8-540B-4F4F-AB98-D2F8D221FE71}"/>
    <cellStyle name="Linked Cell 2 2 2 2 10" xfId="20619" xr:uid="{8D00DC9A-94A1-4AFA-940F-FE1A33EEF3BB}"/>
    <cellStyle name="Linked Cell 2 2 2 2 10 2" xfId="20620" xr:uid="{77C7E477-9CCC-4EC0-A6FD-3DC9C96B4989}"/>
    <cellStyle name="Linked Cell 2 2 2 2 10 2 2" xfId="20621" xr:uid="{A0CEA247-B321-44F1-8097-ED6634CDAFBA}"/>
    <cellStyle name="Linked Cell 2 2 2 2 10 3" xfId="20622" xr:uid="{1365774E-D92B-4264-A2F1-B68CF6236B22}"/>
    <cellStyle name="Linked Cell 2 2 2 2 11" xfId="20623" xr:uid="{01D0ABA4-6371-4826-AA9A-19B26BFFC93B}"/>
    <cellStyle name="Linked Cell 2 2 2 2 11 2" xfId="20624" xr:uid="{9D17D74D-2648-48E0-A3B6-3ACE767AC075}"/>
    <cellStyle name="Linked Cell 2 2 2 2 11 2 2" xfId="20625" xr:uid="{97933EC8-7174-42E3-9A58-927352B71380}"/>
    <cellStyle name="Linked Cell 2 2 2 2 11 3" xfId="20626" xr:uid="{B860D634-119C-4327-AB29-389394E790F1}"/>
    <cellStyle name="Linked Cell 2 2 2 2 12" xfId="20627" xr:uid="{14FEC4B3-D6E6-4338-AF65-05F3449C0491}"/>
    <cellStyle name="Linked Cell 2 2 2 2 12 2" xfId="20628" xr:uid="{CF59FAF6-2B57-47F7-9FD2-76E17A1A6AA1}"/>
    <cellStyle name="Linked Cell 2 2 2 2 13" xfId="20629" xr:uid="{48B4B0CE-421E-4CE6-B899-F6B086F58ED5}"/>
    <cellStyle name="Linked Cell 2 2 2 2 2" xfId="20630" xr:uid="{0A0752ED-65B6-4180-96B8-2D71F6ADD744}"/>
    <cellStyle name="Linked Cell 2 2 2 2 2 10" xfId="20631" xr:uid="{7559EFBD-3CAE-425B-9518-F33420901052}"/>
    <cellStyle name="Linked Cell 2 2 2 2 2 10 2" xfId="20632" xr:uid="{A4BCE41A-28EE-4919-AADA-3427416AA9FC}"/>
    <cellStyle name="Linked Cell 2 2 2 2 2 10 2 2" xfId="20633" xr:uid="{22C9892C-5744-42C1-B30E-FA3BCBF2E307}"/>
    <cellStyle name="Linked Cell 2 2 2 2 2 10 3" xfId="20634" xr:uid="{1E71FEB7-3068-45DB-AF84-8EDB00B601E8}"/>
    <cellStyle name="Linked Cell 2 2 2 2 2 11" xfId="20635" xr:uid="{87A3455E-8EE7-4149-B54A-2DD34BBEA2F5}"/>
    <cellStyle name="Linked Cell 2 2 2 2 2 11 2" xfId="20636" xr:uid="{A9DD427A-F3B3-476F-9DE0-BEEDA5BEB282}"/>
    <cellStyle name="Linked Cell 2 2 2 2 2 12" xfId="20637" xr:uid="{88F40EDF-0A83-4BA0-9F48-3ECCF4401A3C}"/>
    <cellStyle name="Linked Cell 2 2 2 2 2 2" xfId="20638" xr:uid="{27B84C1C-9E9D-41C4-9772-04FBED55BAA7}"/>
    <cellStyle name="Linked Cell 2 2 2 2 2 2 2" xfId="20639" xr:uid="{C8CC5A19-66F7-4043-9DD5-74DF57E115FA}"/>
    <cellStyle name="Linked Cell 2 2 2 2 2 2 2 2" xfId="20640" xr:uid="{668C394F-ECC4-4DA7-B83A-BDC7E82B54B7}"/>
    <cellStyle name="Linked Cell 2 2 2 2 2 2 3" xfId="20641" xr:uid="{B6E9A4E9-49DC-4F34-85B8-47AC7662363D}"/>
    <cellStyle name="Linked Cell 2 2 2 2 2 3" xfId="20642" xr:uid="{918C411B-FF7D-4149-8077-81B3347BBFE2}"/>
    <cellStyle name="Linked Cell 2 2 2 2 2 3 2" xfId="20643" xr:uid="{A7A0F62F-B16B-4FC6-9524-0ACDF2D2FC29}"/>
    <cellStyle name="Linked Cell 2 2 2 2 2 3 2 2" xfId="20644" xr:uid="{E34ABCA7-B63B-4CA4-AFB7-A4190E9AF5A2}"/>
    <cellStyle name="Linked Cell 2 2 2 2 2 3 3" xfId="20645" xr:uid="{40AE0F8C-3911-4941-A7AE-988C36B5D3F5}"/>
    <cellStyle name="Linked Cell 2 2 2 2 2 4" xfId="20646" xr:uid="{5A3D9B59-4DBD-434F-B266-14273BEF9E4C}"/>
    <cellStyle name="Linked Cell 2 2 2 2 2 4 2" xfId="20647" xr:uid="{5A06598F-BF02-4A2B-9FA4-D2EDF8AF525A}"/>
    <cellStyle name="Linked Cell 2 2 2 2 2 4 2 2" xfId="20648" xr:uid="{6001C703-05F9-42A4-B9B0-085FB5FD3B12}"/>
    <cellStyle name="Linked Cell 2 2 2 2 2 4 3" xfId="20649" xr:uid="{0BF77B8C-4F26-4B54-8C60-EC75FB2BBBC2}"/>
    <cellStyle name="Linked Cell 2 2 2 2 2 5" xfId="20650" xr:uid="{79AEA113-822B-4605-B91C-F1C41CF07D8C}"/>
    <cellStyle name="Linked Cell 2 2 2 2 2 5 2" xfId="20651" xr:uid="{323747B1-EE9F-4165-A1A9-EB3C2AEDA0CD}"/>
    <cellStyle name="Linked Cell 2 2 2 2 2 5 2 2" xfId="20652" xr:uid="{A5A05C57-C79B-4C22-9B46-31B803221529}"/>
    <cellStyle name="Linked Cell 2 2 2 2 2 5 3" xfId="20653" xr:uid="{40EAE85C-5279-400C-ACC7-01F369B2A77C}"/>
    <cellStyle name="Linked Cell 2 2 2 2 2 6" xfId="20654" xr:uid="{E10EC183-14D4-47F7-9AB9-861661F14AB1}"/>
    <cellStyle name="Linked Cell 2 2 2 2 2 6 2" xfId="20655" xr:uid="{34A81545-2EBA-43F5-B0F7-D83FE9B3561B}"/>
    <cellStyle name="Linked Cell 2 2 2 2 2 6 2 2" xfId="20656" xr:uid="{89343C6F-6B34-426A-B7F1-943F7631094C}"/>
    <cellStyle name="Linked Cell 2 2 2 2 2 6 3" xfId="20657" xr:uid="{C8896041-B6BA-4E27-901D-726009A4E9AD}"/>
    <cellStyle name="Linked Cell 2 2 2 2 2 7" xfId="20658" xr:uid="{41024C69-D71F-4DB2-AA5B-16ABEE24E637}"/>
    <cellStyle name="Linked Cell 2 2 2 2 2 7 2" xfId="20659" xr:uid="{FEE9552D-1FDE-491C-A333-BD6BE54BEE83}"/>
    <cellStyle name="Linked Cell 2 2 2 2 2 7 2 2" xfId="20660" xr:uid="{9EFC365C-214B-4C23-9772-B6899CB9BD66}"/>
    <cellStyle name="Linked Cell 2 2 2 2 2 7 3" xfId="20661" xr:uid="{41CB9856-3D59-48B2-B1C5-B2347EADDCB1}"/>
    <cellStyle name="Linked Cell 2 2 2 2 2 8" xfId="20662" xr:uid="{1E1C0896-1AD2-4E7B-926D-EFEF5F9C6D52}"/>
    <cellStyle name="Linked Cell 2 2 2 2 2 8 2" xfId="20663" xr:uid="{624CF734-260F-43D6-B8DD-4EABDA08F9B9}"/>
    <cellStyle name="Linked Cell 2 2 2 2 2 8 2 2" xfId="20664" xr:uid="{3732B241-2D77-4979-BE1F-41A976F22954}"/>
    <cellStyle name="Linked Cell 2 2 2 2 2 8 3" xfId="20665" xr:uid="{43F34993-407B-4950-B5DB-F99623982B48}"/>
    <cellStyle name="Linked Cell 2 2 2 2 2 9" xfId="20666" xr:uid="{7C67DA97-B73B-4781-B17B-68A168DF096B}"/>
    <cellStyle name="Linked Cell 2 2 2 2 2 9 2" xfId="20667" xr:uid="{7D804114-BDA4-433B-BD3E-64A2315E0186}"/>
    <cellStyle name="Linked Cell 2 2 2 2 2 9 2 2" xfId="20668" xr:uid="{56A0BF43-E531-4BF6-8C4E-1DB40E25CB30}"/>
    <cellStyle name="Linked Cell 2 2 2 2 2 9 3" xfId="20669" xr:uid="{389A4DD1-4E39-4CAF-A107-6AEEA29E1AAE}"/>
    <cellStyle name="Linked Cell 2 2 2 2 3" xfId="20670" xr:uid="{41D2EA8B-5BE9-4C19-B24B-393226733F54}"/>
    <cellStyle name="Linked Cell 2 2 2 2 3 10" xfId="20671" xr:uid="{87A6AE5E-69D0-4288-BEDC-1AF99F5F6B49}"/>
    <cellStyle name="Linked Cell 2 2 2 2 3 10 2" xfId="20672" xr:uid="{D969F747-E3A9-4191-9509-768942B35992}"/>
    <cellStyle name="Linked Cell 2 2 2 2 3 11" xfId="20673" xr:uid="{946E2CCE-CFE2-450A-858A-B0D186DCB3DB}"/>
    <cellStyle name="Linked Cell 2 2 2 2 3 2" xfId="20674" xr:uid="{226477BF-E8DE-4166-926B-8CA8F454F59D}"/>
    <cellStyle name="Linked Cell 2 2 2 2 3 2 2" xfId="20675" xr:uid="{5C28926F-BBDD-4AF6-BDFC-EFDF03A658ED}"/>
    <cellStyle name="Linked Cell 2 2 2 2 3 2 2 2" xfId="20676" xr:uid="{97EF448A-937F-4409-866E-5FE58B93EE52}"/>
    <cellStyle name="Linked Cell 2 2 2 2 3 2 3" xfId="20677" xr:uid="{5C4F9A2F-AEA0-4AC4-837C-BD3B423D759D}"/>
    <cellStyle name="Linked Cell 2 2 2 2 3 3" xfId="20678" xr:uid="{DAB5439A-97EB-4F7B-A8D7-6606EE3914D6}"/>
    <cellStyle name="Linked Cell 2 2 2 2 3 3 2" xfId="20679" xr:uid="{D9E3301F-8E5C-44EF-8348-751345EC5BCF}"/>
    <cellStyle name="Linked Cell 2 2 2 2 3 3 2 2" xfId="20680" xr:uid="{5CD5AA00-3F45-4E55-90F2-194899E89882}"/>
    <cellStyle name="Linked Cell 2 2 2 2 3 3 3" xfId="20681" xr:uid="{36F0B9B0-F1D4-4569-B5F2-98A02A3EF97F}"/>
    <cellStyle name="Linked Cell 2 2 2 2 3 4" xfId="20682" xr:uid="{7477EAEF-EB01-41E6-B57B-CA3DB56DB60B}"/>
    <cellStyle name="Linked Cell 2 2 2 2 3 4 2" xfId="20683" xr:uid="{3F0A24ED-DA75-42B1-AF3A-C327F93A7BDF}"/>
    <cellStyle name="Linked Cell 2 2 2 2 3 4 2 2" xfId="20684" xr:uid="{D1F48DED-BB19-49D0-BABB-3F14F3F8E141}"/>
    <cellStyle name="Linked Cell 2 2 2 2 3 4 3" xfId="20685" xr:uid="{E084E6EC-10FC-44BF-8DC5-7D7BD18E6385}"/>
    <cellStyle name="Linked Cell 2 2 2 2 3 5" xfId="20686" xr:uid="{A407710D-8C6C-492E-A88E-E084D97706C7}"/>
    <cellStyle name="Linked Cell 2 2 2 2 3 5 2" xfId="20687" xr:uid="{31E0F059-074F-4CA3-98C8-C0A5E4C73708}"/>
    <cellStyle name="Linked Cell 2 2 2 2 3 5 2 2" xfId="20688" xr:uid="{EF350B2C-F28B-46E4-A472-C4131D92E46B}"/>
    <cellStyle name="Linked Cell 2 2 2 2 3 5 3" xfId="20689" xr:uid="{06708FF7-C4FC-4EC3-9101-7C71E352243C}"/>
    <cellStyle name="Linked Cell 2 2 2 2 3 6" xfId="20690" xr:uid="{0B65FF99-97A1-449A-862E-EE2A0F916531}"/>
    <cellStyle name="Linked Cell 2 2 2 2 3 6 2" xfId="20691" xr:uid="{4FFE87FA-A5A9-42B6-AA24-D1FAB0D5F304}"/>
    <cellStyle name="Linked Cell 2 2 2 2 3 6 2 2" xfId="20692" xr:uid="{7CC321A4-8506-47E5-9E11-A43FF5F2A20D}"/>
    <cellStyle name="Linked Cell 2 2 2 2 3 6 3" xfId="20693" xr:uid="{E444CCEC-F715-462F-86E3-340F64335ADA}"/>
    <cellStyle name="Linked Cell 2 2 2 2 3 7" xfId="20694" xr:uid="{1FFFB33D-BEA6-48AF-A73F-E751A5AB108D}"/>
    <cellStyle name="Linked Cell 2 2 2 2 3 7 2" xfId="20695" xr:uid="{C79002AB-9264-4530-9632-40182313C409}"/>
    <cellStyle name="Linked Cell 2 2 2 2 3 7 2 2" xfId="20696" xr:uid="{3A35AAAF-BEF6-410D-958D-94581AE88543}"/>
    <cellStyle name="Linked Cell 2 2 2 2 3 7 3" xfId="20697" xr:uid="{2B939C11-5F57-4C0B-9F9C-C52C47B49ABE}"/>
    <cellStyle name="Linked Cell 2 2 2 2 3 8" xfId="20698" xr:uid="{8AD40711-183B-4643-ABFC-85A99BB66C71}"/>
    <cellStyle name="Linked Cell 2 2 2 2 3 8 2" xfId="20699" xr:uid="{FFE49B6B-2E04-44F0-9B43-96C2E06A120E}"/>
    <cellStyle name="Linked Cell 2 2 2 2 3 8 2 2" xfId="20700" xr:uid="{22DA6F31-2D94-467E-85E1-6DBCD4879470}"/>
    <cellStyle name="Linked Cell 2 2 2 2 3 8 3" xfId="20701" xr:uid="{9F1660A4-B667-4890-B68B-E37C253861C1}"/>
    <cellStyle name="Linked Cell 2 2 2 2 3 9" xfId="20702" xr:uid="{02FF2ED5-2D15-429A-9E58-F5EAE2E797C8}"/>
    <cellStyle name="Linked Cell 2 2 2 2 3 9 2" xfId="20703" xr:uid="{6617D239-EF91-4F86-8906-3D8B04ED9CBB}"/>
    <cellStyle name="Linked Cell 2 2 2 2 3 9 2 2" xfId="20704" xr:uid="{73C9E14E-3FCC-44F7-B61E-659EACE105F1}"/>
    <cellStyle name="Linked Cell 2 2 2 2 3 9 3" xfId="20705" xr:uid="{0C9926DD-BC12-42AA-88AE-62A5BBC9AD71}"/>
    <cellStyle name="Linked Cell 2 2 2 2 4" xfId="20706" xr:uid="{79085981-3CBD-4926-8C7C-ABBC29DEEB63}"/>
    <cellStyle name="Linked Cell 2 2 2 2 4 2" xfId="20707" xr:uid="{D314BD18-58E0-42E3-89C7-CE80453CCCC2}"/>
    <cellStyle name="Linked Cell 2 2 2 2 4 2 2" xfId="20708" xr:uid="{49382A5E-3EA7-4424-B557-DC01C5B444C2}"/>
    <cellStyle name="Linked Cell 2 2 2 2 4 3" xfId="20709" xr:uid="{59999F09-82E5-45AA-B421-0866B584F560}"/>
    <cellStyle name="Linked Cell 2 2 2 2 5" xfId="20710" xr:uid="{A78FEF9A-E5A0-4045-A16F-541209705141}"/>
    <cellStyle name="Linked Cell 2 2 2 2 5 2" xfId="20711" xr:uid="{A883B59B-BFBE-465B-8463-89D0302B907E}"/>
    <cellStyle name="Linked Cell 2 2 2 2 5 2 2" xfId="20712" xr:uid="{2DC5F01B-2E72-4466-A6DE-48331C79A018}"/>
    <cellStyle name="Linked Cell 2 2 2 2 5 3" xfId="20713" xr:uid="{3B665C9D-9265-4300-857C-C4F9A80BC93A}"/>
    <cellStyle name="Linked Cell 2 2 2 2 6" xfId="20714" xr:uid="{D91D6E73-746D-4356-B157-F27A3B2C2652}"/>
    <cellStyle name="Linked Cell 2 2 2 2 6 2" xfId="20715" xr:uid="{9FC4FDFF-07DB-4559-A345-C7D6B851A816}"/>
    <cellStyle name="Linked Cell 2 2 2 2 6 2 2" xfId="20716" xr:uid="{E473E1D3-854B-403C-9EEA-BBE6D40A2C4B}"/>
    <cellStyle name="Linked Cell 2 2 2 2 6 3" xfId="20717" xr:uid="{94F022C0-6637-4FEC-82D2-D4A43B1FB6C7}"/>
    <cellStyle name="Linked Cell 2 2 2 2 7" xfId="20718" xr:uid="{A7297F41-25FF-48DE-AFD4-C1CE02B2294A}"/>
    <cellStyle name="Linked Cell 2 2 2 2 7 2" xfId="20719" xr:uid="{B8D23F1D-19DA-4F75-B63D-85605F2208D4}"/>
    <cellStyle name="Linked Cell 2 2 2 2 7 2 2" xfId="20720" xr:uid="{7F12F2F2-295A-46E4-B24E-3D385C7C159F}"/>
    <cellStyle name="Linked Cell 2 2 2 2 7 3" xfId="20721" xr:uid="{221BEFE5-6916-494F-8364-A40C7B2D6E0B}"/>
    <cellStyle name="Linked Cell 2 2 2 2 8" xfId="20722" xr:uid="{56EE2A91-F2F8-4CEC-87C0-EBAE2451E0A3}"/>
    <cellStyle name="Linked Cell 2 2 2 2 8 2" xfId="20723" xr:uid="{9645C9B9-9DE8-4767-89D8-18395EBE9854}"/>
    <cellStyle name="Linked Cell 2 2 2 2 8 2 2" xfId="20724" xr:uid="{FA1B39CB-6015-4D33-8621-28BD04C820EA}"/>
    <cellStyle name="Linked Cell 2 2 2 2 8 3" xfId="20725" xr:uid="{EEBAD553-C5EB-4165-BB13-76668F80833C}"/>
    <cellStyle name="Linked Cell 2 2 2 2 9" xfId="20726" xr:uid="{5DD469B2-3B70-4778-AEE1-31AE2A8C1624}"/>
    <cellStyle name="Linked Cell 2 2 2 2 9 2" xfId="20727" xr:uid="{FDEDC086-0099-4DBD-9676-98767FFF0E7C}"/>
    <cellStyle name="Linked Cell 2 2 2 2 9 2 2" xfId="20728" xr:uid="{8171A0AC-3712-4CC6-B6D4-8ECEAC784C9B}"/>
    <cellStyle name="Linked Cell 2 2 2 2 9 3" xfId="20729" xr:uid="{35D522D7-5676-410E-9B5A-630331D08EA1}"/>
    <cellStyle name="Linked Cell 2 2 2 3" xfId="20730" xr:uid="{1218C265-B9A9-4E35-822D-7146949DECC1}"/>
    <cellStyle name="Linked Cell 2 2 2 3 10" xfId="20731" xr:uid="{30DC176B-A808-4B8E-B555-651D969DFD84}"/>
    <cellStyle name="Linked Cell 2 2 2 3 10 2" xfId="20732" xr:uid="{43E6658F-151C-4D19-80E0-7C1F41C01CE3}"/>
    <cellStyle name="Linked Cell 2 2 2 3 10 2 2" xfId="20733" xr:uid="{3261B648-3660-48B6-A4AB-A47AA2F8FA1C}"/>
    <cellStyle name="Linked Cell 2 2 2 3 10 3" xfId="20734" xr:uid="{9C0FB820-93E3-48CA-BF7C-854FCD48D116}"/>
    <cellStyle name="Linked Cell 2 2 2 3 11" xfId="20735" xr:uid="{1A27B414-BCBE-4B5E-BFBF-D4F5B8147A1B}"/>
    <cellStyle name="Linked Cell 2 2 2 3 11 2" xfId="20736" xr:uid="{A9F2B361-AE1C-4353-BE30-E3EA568FD8F4}"/>
    <cellStyle name="Linked Cell 2 2 2 3 12" xfId="20737" xr:uid="{6ED23056-E049-4225-A32D-C06E637D9A20}"/>
    <cellStyle name="Linked Cell 2 2 2 3 2" xfId="20738" xr:uid="{6B5377D1-1706-4C22-BA19-390C6AA98271}"/>
    <cellStyle name="Linked Cell 2 2 2 3 2 10" xfId="20739" xr:uid="{FCBA18AF-B263-42DC-8AC6-76A100B17AB7}"/>
    <cellStyle name="Linked Cell 2 2 2 3 2 10 2" xfId="20740" xr:uid="{83D7F736-927C-4F2E-AA8D-7CB7F93D5D40}"/>
    <cellStyle name="Linked Cell 2 2 2 3 2 11" xfId="20741" xr:uid="{19BECF29-F8F3-44B0-9A27-D484AAAF2C3C}"/>
    <cellStyle name="Linked Cell 2 2 2 3 2 2" xfId="20742" xr:uid="{664FBB6B-CA5A-487E-94A3-2AFA4EFDCD45}"/>
    <cellStyle name="Linked Cell 2 2 2 3 2 2 2" xfId="20743" xr:uid="{1B26CE9A-B01F-4D72-A95C-DF840F9BC40E}"/>
    <cellStyle name="Linked Cell 2 2 2 3 2 2 2 2" xfId="20744" xr:uid="{485E5A28-B47C-4E69-BF6F-329781F72D6C}"/>
    <cellStyle name="Linked Cell 2 2 2 3 2 2 3" xfId="20745" xr:uid="{78A85171-5FB8-45CB-845A-9E8D44A47F08}"/>
    <cellStyle name="Linked Cell 2 2 2 3 2 3" xfId="20746" xr:uid="{422B5FE3-CF0A-4145-A7BA-308D20443A22}"/>
    <cellStyle name="Linked Cell 2 2 2 3 2 3 2" xfId="20747" xr:uid="{3E649B9E-F6CE-40F4-B82A-A35C00A9881F}"/>
    <cellStyle name="Linked Cell 2 2 2 3 2 3 2 2" xfId="20748" xr:uid="{3327C030-7B1B-4F06-A22E-DB97F3979101}"/>
    <cellStyle name="Linked Cell 2 2 2 3 2 3 3" xfId="20749" xr:uid="{0ADD7F87-346C-48FA-8EBC-CBEC202F2BDA}"/>
    <cellStyle name="Linked Cell 2 2 2 3 2 4" xfId="20750" xr:uid="{70F849CE-749D-4AED-9675-4484A9F76D3A}"/>
    <cellStyle name="Linked Cell 2 2 2 3 2 4 2" xfId="20751" xr:uid="{9CD86AD7-2508-4819-9432-69FB6AA54DD9}"/>
    <cellStyle name="Linked Cell 2 2 2 3 2 4 2 2" xfId="20752" xr:uid="{156E800E-D54B-465E-824B-090765FD4F14}"/>
    <cellStyle name="Linked Cell 2 2 2 3 2 4 3" xfId="20753" xr:uid="{AE89EF22-5356-4B6F-9CFC-433A6E5B4B37}"/>
    <cellStyle name="Linked Cell 2 2 2 3 2 5" xfId="20754" xr:uid="{0A096E01-B91C-4F15-B0C7-F921F53C3F80}"/>
    <cellStyle name="Linked Cell 2 2 2 3 2 5 2" xfId="20755" xr:uid="{4B68D5C5-B3F9-4B30-9CDA-0173B1AA51D0}"/>
    <cellStyle name="Linked Cell 2 2 2 3 2 5 2 2" xfId="20756" xr:uid="{87E5CFBD-4536-44E9-B02F-324BC3ED1461}"/>
    <cellStyle name="Linked Cell 2 2 2 3 2 5 3" xfId="20757" xr:uid="{644C6D93-DD17-4CAD-BFE2-663EC58F8E08}"/>
    <cellStyle name="Linked Cell 2 2 2 3 2 6" xfId="20758" xr:uid="{6EE57D6F-46A4-42C2-AE89-11A9CA8D5313}"/>
    <cellStyle name="Linked Cell 2 2 2 3 2 6 2" xfId="20759" xr:uid="{002956D3-DB1D-4140-8A2F-DCEA828135F5}"/>
    <cellStyle name="Linked Cell 2 2 2 3 2 6 2 2" xfId="20760" xr:uid="{BE86C0D3-A1EE-4C7B-A722-FF9120E50765}"/>
    <cellStyle name="Linked Cell 2 2 2 3 2 6 3" xfId="20761" xr:uid="{82E11694-F08D-46E1-801C-6196175D10A1}"/>
    <cellStyle name="Linked Cell 2 2 2 3 2 7" xfId="20762" xr:uid="{B40D3AEA-828D-4D87-9879-520C31671BE3}"/>
    <cellStyle name="Linked Cell 2 2 2 3 2 7 2" xfId="20763" xr:uid="{49659029-A2A2-482B-83DC-333B34421D7A}"/>
    <cellStyle name="Linked Cell 2 2 2 3 2 7 2 2" xfId="20764" xr:uid="{A0F1FB7A-ACA7-499A-BF51-DC3E0FC9C0A2}"/>
    <cellStyle name="Linked Cell 2 2 2 3 2 7 3" xfId="20765" xr:uid="{5F2129B1-20D6-4B12-8502-B69D2A60363B}"/>
    <cellStyle name="Linked Cell 2 2 2 3 2 8" xfId="20766" xr:uid="{90527ABF-9FEF-476D-ABE8-077C4282BD12}"/>
    <cellStyle name="Linked Cell 2 2 2 3 2 8 2" xfId="20767" xr:uid="{EA868158-7777-4755-9E1D-E00CF96053A8}"/>
    <cellStyle name="Linked Cell 2 2 2 3 2 8 2 2" xfId="20768" xr:uid="{AD85CD76-E135-401C-A2EB-CD8C3974AD47}"/>
    <cellStyle name="Linked Cell 2 2 2 3 2 8 3" xfId="20769" xr:uid="{BC0BE217-5A2B-4ED2-BCFB-93827D67EA22}"/>
    <cellStyle name="Linked Cell 2 2 2 3 2 9" xfId="20770" xr:uid="{3E77080B-AD8B-466F-B45D-E2845080F45E}"/>
    <cellStyle name="Linked Cell 2 2 2 3 2 9 2" xfId="20771" xr:uid="{B55DDB40-F41B-4714-99E0-40B98B29DAB7}"/>
    <cellStyle name="Linked Cell 2 2 2 3 2 9 2 2" xfId="20772" xr:uid="{1817A6CC-2AE6-48FB-BB97-5BBBE9DECA9D}"/>
    <cellStyle name="Linked Cell 2 2 2 3 2 9 3" xfId="20773" xr:uid="{92296695-7E16-4567-8EEB-2C00E2EF5EFE}"/>
    <cellStyle name="Linked Cell 2 2 2 3 3" xfId="20774" xr:uid="{B39106F3-A028-4528-9014-EEF0F8A9342F}"/>
    <cellStyle name="Linked Cell 2 2 2 3 3 2" xfId="20775" xr:uid="{91581A17-C255-4776-A39D-AD6389B01276}"/>
    <cellStyle name="Linked Cell 2 2 2 3 3 2 2" xfId="20776" xr:uid="{5D346F73-D7B6-44C1-8017-75A7B5A24DB3}"/>
    <cellStyle name="Linked Cell 2 2 2 3 3 3" xfId="20777" xr:uid="{94C1782E-CF8F-447F-874B-78414B17659B}"/>
    <cellStyle name="Linked Cell 2 2 2 3 4" xfId="20778" xr:uid="{F04EC1F1-03BF-4EA5-88DE-85F3FEF72E82}"/>
    <cellStyle name="Linked Cell 2 2 2 3 4 2" xfId="20779" xr:uid="{89110086-1E64-4687-9A5B-9965681B137C}"/>
    <cellStyle name="Linked Cell 2 2 2 3 4 2 2" xfId="20780" xr:uid="{84670A90-7BF5-4824-8073-49C9724C8405}"/>
    <cellStyle name="Linked Cell 2 2 2 3 4 3" xfId="20781" xr:uid="{F986D3C8-FD9E-4C0B-A549-2C6BF1A1AFBF}"/>
    <cellStyle name="Linked Cell 2 2 2 3 5" xfId="20782" xr:uid="{42390E32-8D7C-4F5D-9547-EB6CFEC9F05B}"/>
    <cellStyle name="Linked Cell 2 2 2 3 5 2" xfId="20783" xr:uid="{DB500F22-D90A-4BAB-A49F-F18C509EBC6F}"/>
    <cellStyle name="Linked Cell 2 2 2 3 5 2 2" xfId="20784" xr:uid="{DA21776B-A5F5-4843-8A88-4C2628398239}"/>
    <cellStyle name="Linked Cell 2 2 2 3 5 3" xfId="20785" xr:uid="{47DA8C91-6284-43A7-9029-F00B3BC0534C}"/>
    <cellStyle name="Linked Cell 2 2 2 3 6" xfId="20786" xr:uid="{5157CE2E-5A17-45BB-AF9B-5A780BFF4EF3}"/>
    <cellStyle name="Linked Cell 2 2 2 3 6 2" xfId="20787" xr:uid="{EE9CC029-CDA9-45CE-9EAE-2E15BF5FCFA9}"/>
    <cellStyle name="Linked Cell 2 2 2 3 6 2 2" xfId="20788" xr:uid="{97DC064C-C620-4FAA-A706-B83C5F6BC880}"/>
    <cellStyle name="Linked Cell 2 2 2 3 6 3" xfId="20789" xr:uid="{C1FA0AB6-407F-49C2-BD76-90E2A9D4FCD7}"/>
    <cellStyle name="Linked Cell 2 2 2 3 7" xfId="20790" xr:uid="{2778AF81-F3B4-48B5-A74A-EDF1572CD057}"/>
    <cellStyle name="Linked Cell 2 2 2 3 7 2" xfId="20791" xr:uid="{177E64B4-C867-4AB6-8A55-2001029B0C04}"/>
    <cellStyle name="Linked Cell 2 2 2 3 7 2 2" xfId="20792" xr:uid="{23EBEEAD-F4A0-45A7-92FB-3EE217DB9078}"/>
    <cellStyle name="Linked Cell 2 2 2 3 7 3" xfId="20793" xr:uid="{19CBAEB8-E542-4399-A4AE-D2AC62A50E63}"/>
    <cellStyle name="Linked Cell 2 2 2 3 8" xfId="20794" xr:uid="{4102775F-3449-4797-A513-BFC6A12C3955}"/>
    <cellStyle name="Linked Cell 2 2 2 3 8 2" xfId="20795" xr:uid="{94542AF2-53B7-4FDB-A98C-EFECE6E2DA03}"/>
    <cellStyle name="Linked Cell 2 2 2 3 8 2 2" xfId="20796" xr:uid="{DA89EEE1-C08C-497C-8A35-52BBDDBFCD31}"/>
    <cellStyle name="Linked Cell 2 2 2 3 8 3" xfId="20797" xr:uid="{F4F1347C-207C-477D-9CA4-98F0B9136C5D}"/>
    <cellStyle name="Linked Cell 2 2 2 3 9" xfId="20798" xr:uid="{EE8D39DD-CF2A-4AF8-9C81-646A64E07BB6}"/>
    <cellStyle name="Linked Cell 2 2 2 3 9 2" xfId="20799" xr:uid="{55F2F3D8-AF22-4E41-ABA9-74C9B077A8EA}"/>
    <cellStyle name="Linked Cell 2 2 2 3 9 2 2" xfId="20800" xr:uid="{533888D3-20D5-4DE9-932B-75298512D34B}"/>
    <cellStyle name="Linked Cell 2 2 2 3 9 3" xfId="20801" xr:uid="{B0E1A2C9-695D-4820-8154-9AE63AA26ABF}"/>
    <cellStyle name="Linked Cell 2 2 2 4" xfId="20802" xr:uid="{B4968AEC-0339-48AA-9F50-49691902A429}"/>
    <cellStyle name="Linked Cell 2 2 2 4 10" xfId="20803" xr:uid="{E49F4898-C250-4993-B901-66AA763CFB52}"/>
    <cellStyle name="Linked Cell 2 2 2 4 10 2" xfId="20804" xr:uid="{32F32DEF-F2C2-4818-91E5-7BB2C3E8EE12}"/>
    <cellStyle name="Linked Cell 2 2 2 4 11" xfId="20805" xr:uid="{4F3FA23E-B525-44B8-9CEF-A1E69DF8ECD8}"/>
    <cellStyle name="Linked Cell 2 2 2 4 2" xfId="20806" xr:uid="{8C334DD8-8DEA-4E33-9971-7BC6F57F5C5C}"/>
    <cellStyle name="Linked Cell 2 2 2 4 2 2" xfId="20807" xr:uid="{0E553839-3AAF-4A0A-B52A-D752F01F79A0}"/>
    <cellStyle name="Linked Cell 2 2 2 4 2 2 2" xfId="20808" xr:uid="{3B57DF5D-A04A-4590-850E-0F063BC05044}"/>
    <cellStyle name="Linked Cell 2 2 2 4 2 3" xfId="20809" xr:uid="{6A4E22E4-CCCA-436D-8E37-7F6DB6D32AFD}"/>
    <cellStyle name="Linked Cell 2 2 2 4 3" xfId="20810" xr:uid="{650D823B-AD7D-4A29-8C1A-3CB28788F1F3}"/>
    <cellStyle name="Linked Cell 2 2 2 4 3 2" xfId="20811" xr:uid="{0EB7652C-73E5-4327-9D0D-FE381F93AE48}"/>
    <cellStyle name="Linked Cell 2 2 2 4 3 2 2" xfId="20812" xr:uid="{479EF8C5-CE06-49A7-96B3-55601AF108AB}"/>
    <cellStyle name="Linked Cell 2 2 2 4 3 3" xfId="20813" xr:uid="{9BF39762-B299-4F21-B0F9-F917ADD7033D}"/>
    <cellStyle name="Linked Cell 2 2 2 4 4" xfId="20814" xr:uid="{1F51307F-7D36-4969-A116-CF2BD5D05769}"/>
    <cellStyle name="Linked Cell 2 2 2 4 4 2" xfId="20815" xr:uid="{06DDCD50-36AA-4772-8C06-8C8812C338E3}"/>
    <cellStyle name="Linked Cell 2 2 2 4 4 2 2" xfId="20816" xr:uid="{2ABB17F2-077F-4AB3-BF5B-5407A3F85D65}"/>
    <cellStyle name="Linked Cell 2 2 2 4 4 3" xfId="20817" xr:uid="{42D999E8-9D34-4F4D-A3FB-EDEBC45425E1}"/>
    <cellStyle name="Linked Cell 2 2 2 4 5" xfId="20818" xr:uid="{26AFD80C-CCF9-4592-A248-F6676DA55A94}"/>
    <cellStyle name="Linked Cell 2 2 2 4 5 2" xfId="20819" xr:uid="{A6AE33E2-5D61-4FD2-8DBF-A154E3627C4D}"/>
    <cellStyle name="Linked Cell 2 2 2 4 5 2 2" xfId="20820" xr:uid="{4A5502E9-BC67-4D25-8A17-FD45F7F54FD7}"/>
    <cellStyle name="Linked Cell 2 2 2 4 5 3" xfId="20821" xr:uid="{501491FA-41C0-48D9-8F55-E7521C525BBC}"/>
    <cellStyle name="Linked Cell 2 2 2 4 6" xfId="20822" xr:uid="{601A8D2F-F67A-4FFF-8F9D-B48A22E3BD7E}"/>
    <cellStyle name="Linked Cell 2 2 2 4 6 2" xfId="20823" xr:uid="{5E3869D0-3D40-4604-8FDE-93BF1617592B}"/>
    <cellStyle name="Linked Cell 2 2 2 4 6 2 2" xfId="20824" xr:uid="{0E701B17-24C6-4655-950D-DB53F461EC80}"/>
    <cellStyle name="Linked Cell 2 2 2 4 6 3" xfId="20825" xr:uid="{6D67E98F-C998-4807-B562-18D8A0759A6F}"/>
    <cellStyle name="Linked Cell 2 2 2 4 7" xfId="20826" xr:uid="{F3FCEC16-A269-41F2-9131-DCEE51CEDE5D}"/>
    <cellStyle name="Linked Cell 2 2 2 4 7 2" xfId="20827" xr:uid="{F93844E5-13BD-44BC-8BE9-472F38258E67}"/>
    <cellStyle name="Linked Cell 2 2 2 4 7 2 2" xfId="20828" xr:uid="{72467EC6-2303-4F02-9E8C-CF4E7AE9B7AA}"/>
    <cellStyle name="Linked Cell 2 2 2 4 7 3" xfId="20829" xr:uid="{3EBE20D0-3F2D-43D2-8214-3E8454153A65}"/>
    <cellStyle name="Linked Cell 2 2 2 4 8" xfId="20830" xr:uid="{345634A1-744F-4D22-A8DA-75AACD9EBF11}"/>
    <cellStyle name="Linked Cell 2 2 2 4 8 2" xfId="20831" xr:uid="{FD06748C-3E7C-46DF-919B-4460C2667CC8}"/>
    <cellStyle name="Linked Cell 2 2 2 4 8 2 2" xfId="20832" xr:uid="{AF3E8DAA-405D-409D-96F8-45C6D97CCB1B}"/>
    <cellStyle name="Linked Cell 2 2 2 4 8 3" xfId="20833" xr:uid="{EF17436C-AEF6-4DDE-84A0-091C2E43C2DB}"/>
    <cellStyle name="Linked Cell 2 2 2 4 9" xfId="20834" xr:uid="{A657F154-3767-47C0-8FAE-D7E002073487}"/>
    <cellStyle name="Linked Cell 2 2 2 4 9 2" xfId="20835" xr:uid="{0C91CFD4-CD0F-45BC-AC9A-25C158504EDA}"/>
    <cellStyle name="Linked Cell 2 2 2 4 9 2 2" xfId="20836" xr:uid="{FB52F2C5-373D-4B17-869B-34CF0C0E51BE}"/>
    <cellStyle name="Linked Cell 2 2 2 4 9 3" xfId="20837" xr:uid="{BF308C67-1446-4573-9450-9B1E6EC9FE5E}"/>
    <cellStyle name="Linked Cell 2 2 2 5" xfId="20838" xr:uid="{6A08807C-0A67-46C2-8848-0354C3E055B8}"/>
    <cellStyle name="Linked Cell 2 2 2 5 2" xfId="20839" xr:uid="{BEE4D79C-E14B-4DE5-99B7-FCDDC381FA37}"/>
    <cellStyle name="Linked Cell 2 2 2 5 2 2" xfId="20840" xr:uid="{2EA0F5EC-5B19-4154-9CDE-8181391BFAC4}"/>
    <cellStyle name="Linked Cell 2 2 2 5 3" xfId="20841" xr:uid="{1F433A47-41E3-4736-8E05-F671C10F848E}"/>
    <cellStyle name="Linked Cell 2 2 2 6" xfId="20842" xr:uid="{03C717D1-1119-49B4-8749-5BA99DFA85E6}"/>
    <cellStyle name="Linked Cell 2 2 2 6 2" xfId="20843" xr:uid="{895D5FF9-1D84-4C81-B794-E20A0940A052}"/>
    <cellStyle name="Linked Cell 2 2 2 6 2 2" xfId="20844" xr:uid="{91FF3739-1021-40F9-9ACF-9572EAE433C1}"/>
    <cellStyle name="Linked Cell 2 2 2 6 3" xfId="20845" xr:uid="{D31693CA-2269-4A2E-9893-93FB3CB55429}"/>
    <cellStyle name="Linked Cell 2 2 2 7" xfId="20846" xr:uid="{B1A34648-54AA-40BF-ACB7-868C437C92A9}"/>
    <cellStyle name="Linked Cell 2 2 2 7 2" xfId="20847" xr:uid="{76D44B4A-449F-498C-BC94-453EFD53404F}"/>
    <cellStyle name="Linked Cell 2 2 2 7 2 2" xfId="20848" xr:uid="{76BA629A-08D8-48CF-8D88-2736B8BB3E3E}"/>
    <cellStyle name="Linked Cell 2 2 2 7 3" xfId="20849" xr:uid="{9D7F3C85-DFBE-454E-86A0-6AB82EBAD2A8}"/>
    <cellStyle name="Linked Cell 2 2 2 8" xfId="20850" xr:uid="{CFBFB4B3-0555-41A0-84CD-8952FB48433E}"/>
    <cellStyle name="Linked Cell 2 2 2 8 2" xfId="20851" xr:uid="{56D080C7-7FF0-4FCB-9840-DD642C4E4E0E}"/>
    <cellStyle name="Linked Cell 2 2 2 8 2 2" xfId="20852" xr:uid="{9D57D0E5-C55A-4E6A-B628-B870C7250016}"/>
    <cellStyle name="Linked Cell 2 2 2 8 3" xfId="20853" xr:uid="{16FD76EF-5468-471B-B191-67255D04B53A}"/>
    <cellStyle name="Linked Cell 2 2 2 9" xfId="20854" xr:uid="{FA27EE0F-B1D4-43A5-9FF4-659AEC6E9589}"/>
    <cellStyle name="Linked Cell 2 2 2 9 2" xfId="20855" xr:uid="{AF6ECF3B-A476-45E9-AA7F-D887DB9FFCE0}"/>
    <cellStyle name="Linked Cell 2 2 2 9 2 2" xfId="20856" xr:uid="{2CD8B855-B361-4BAE-87B6-7260865D41B8}"/>
    <cellStyle name="Linked Cell 2 2 2 9 3" xfId="20857" xr:uid="{A2CDDB28-09BA-4CA3-9772-B24A2B9BC007}"/>
    <cellStyle name="Linked Cell 2 2 3" xfId="20858" xr:uid="{EB8AC926-1FFF-4D41-AEBE-56366C03A793}"/>
    <cellStyle name="Linked Cell 2 2 3 10" xfId="20859" xr:uid="{7BED98F9-E8A7-47E4-8630-A1AE2BE6AE7F}"/>
    <cellStyle name="Linked Cell 2 2 3 10 2" xfId="20860" xr:uid="{D4BCE45C-5384-4EBD-973D-F1201DAF986B}"/>
    <cellStyle name="Linked Cell 2 2 3 10 2 2" xfId="20861" xr:uid="{D901AC0A-D612-46A1-A03F-2896E2B99112}"/>
    <cellStyle name="Linked Cell 2 2 3 10 3" xfId="20862" xr:uid="{6AB76F74-1FAD-4A51-942E-AF1105F45D90}"/>
    <cellStyle name="Linked Cell 2 2 3 11" xfId="20863" xr:uid="{49B542EE-3114-4AE7-AD19-27B4A4F9D948}"/>
    <cellStyle name="Linked Cell 2 2 3 11 2" xfId="20864" xr:uid="{80716D4D-8A60-464A-BE4C-669F463433DB}"/>
    <cellStyle name="Linked Cell 2 2 3 11 2 2" xfId="20865" xr:uid="{CDBC2843-4BF2-4174-A8BE-DBC029BED5AA}"/>
    <cellStyle name="Linked Cell 2 2 3 11 3" xfId="20866" xr:uid="{47C886E6-57EC-4541-8FBF-3C081E458275}"/>
    <cellStyle name="Linked Cell 2 2 3 12" xfId="20867" xr:uid="{32224C70-E624-4A79-A8AA-D9AF36E50779}"/>
    <cellStyle name="Linked Cell 2 2 3 12 2" xfId="20868" xr:uid="{4488EA55-53FA-448C-98C5-92BCC4E9E353}"/>
    <cellStyle name="Linked Cell 2 2 3 13" xfId="20869" xr:uid="{9E22159E-F8C6-4BA3-ABCD-E53AC8453A9D}"/>
    <cellStyle name="Linked Cell 2 2 3 2" xfId="20870" xr:uid="{DA97CA7D-0AFC-4573-B0D7-C59EC991646F}"/>
    <cellStyle name="Linked Cell 2 2 3 2 10" xfId="20871" xr:uid="{85DDCA08-5B2F-4892-8815-D8A4EEED04A5}"/>
    <cellStyle name="Linked Cell 2 2 3 2 10 2" xfId="20872" xr:uid="{D9C0A701-BC82-46A7-A2A2-0379FDA6B1F0}"/>
    <cellStyle name="Linked Cell 2 2 3 2 10 2 2" xfId="20873" xr:uid="{EC333C9D-16C0-46EB-8839-B99B47918AE8}"/>
    <cellStyle name="Linked Cell 2 2 3 2 10 3" xfId="20874" xr:uid="{25D2ADC0-7F27-41DD-85D0-FF440BC49CBD}"/>
    <cellStyle name="Linked Cell 2 2 3 2 11" xfId="20875" xr:uid="{3FA9C45C-5044-4DB0-99AA-2172BE4D3C75}"/>
    <cellStyle name="Linked Cell 2 2 3 2 11 2" xfId="20876" xr:uid="{2C5D23CD-25C2-4E95-BCF6-6BB617E250F3}"/>
    <cellStyle name="Linked Cell 2 2 3 2 12" xfId="20877" xr:uid="{DFD619F4-6229-4E55-AFB3-D142B3B1D625}"/>
    <cellStyle name="Linked Cell 2 2 3 2 2" xfId="20878" xr:uid="{A507956F-4E19-4BD1-8EBD-43CF8D3E1920}"/>
    <cellStyle name="Linked Cell 2 2 3 2 2 2" xfId="20879" xr:uid="{AAD03739-8C2A-4B4C-A88D-7A3ED5722420}"/>
    <cellStyle name="Linked Cell 2 2 3 2 2 2 2" xfId="20880" xr:uid="{A55C6D06-85F7-4609-AAFA-DD89F959D074}"/>
    <cellStyle name="Linked Cell 2 2 3 2 2 3" xfId="20881" xr:uid="{06F728B2-445B-4CD5-9E9F-A8B1E4D3B6AF}"/>
    <cellStyle name="Linked Cell 2 2 3 2 3" xfId="20882" xr:uid="{E641FBAA-75F7-46CF-B1A4-7A88BE88FD1A}"/>
    <cellStyle name="Linked Cell 2 2 3 2 3 2" xfId="20883" xr:uid="{FDB282EB-E0BE-4552-A607-E8F056A602FB}"/>
    <cellStyle name="Linked Cell 2 2 3 2 3 2 2" xfId="20884" xr:uid="{8BC7C151-7F42-40AE-99B3-695E5AE785A7}"/>
    <cellStyle name="Linked Cell 2 2 3 2 3 3" xfId="20885" xr:uid="{FAC29681-ACC1-4447-AE72-BCBCF3C656D4}"/>
    <cellStyle name="Linked Cell 2 2 3 2 4" xfId="20886" xr:uid="{7892C97A-7526-4F77-864B-F2592823971A}"/>
    <cellStyle name="Linked Cell 2 2 3 2 4 2" xfId="20887" xr:uid="{30AC6EFF-946B-441D-A81E-240545678196}"/>
    <cellStyle name="Linked Cell 2 2 3 2 4 2 2" xfId="20888" xr:uid="{B5AA0A12-CE3F-426C-85B2-07095636625D}"/>
    <cellStyle name="Linked Cell 2 2 3 2 4 3" xfId="20889" xr:uid="{2D562DC6-EDA7-42BB-B797-5D65A39C9E82}"/>
    <cellStyle name="Linked Cell 2 2 3 2 5" xfId="20890" xr:uid="{9F036619-FD7C-44DE-9EC0-02502CBA5336}"/>
    <cellStyle name="Linked Cell 2 2 3 2 5 2" xfId="20891" xr:uid="{5B03BBE1-8027-4BEA-99EC-ED980CEE26B3}"/>
    <cellStyle name="Linked Cell 2 2 3 2 5 2 2" xfId="20892" xr:uid="{B0F8632D-D493-401F-AA90-9D2C48B16327}"/>
    <cellStyle name="Linked Cell 2 2 3 2 5 3" xfId="20893" xr:uid="{D641AFB4-BEF0-40A5-80DD-3F2B367D7A6E}"/>
    <cellStyle name="Linked Cell 2 2 3 2 6" xfId="20894" xr:uid="{E3A53E69-473D-4524-BFAF-CA8EECE26F82}"/>
    <cellStyle name="Linked Cell 2 2 3 2 6 2" xfId="20895" xr:uid="{220DD23B-B82C-4A86-BF6F-ED04A6D04C79}"/>
    <cellStyle name="Linked Cell 2 2 3 2 6 2 2" xfId="20896" xr:uid="{52F893F7-FBEF-4FC1-B846-57E4BA0BBBBE}"/>
    <cellStyle name="Linked Cell 2 2 3 2 6 3" xfId="20897" xr:uid="{C146DAD1-C2BE-40B3-91F7-660871BB9EC6}"/>
    <cellStyle name="Linked Cell 2 2 3 2 7" xfId="20898" xr:uid="{40AFBFC5-DF23-4331-B8F2-6E3BBBAF68F0}"/>
    <cellStyle name="Linked Cell 2 2 3 2 7 2" xfId="20899" xr:uid="{8192494E-0721-4B5E-90D0-15EB8293D314}"/>
    <cellStyle name="Linked Cell 2 2 3 2 7 2 2" xfId="20900" xr:uid="{AFA4B8AC-F355-4137-9828-E9D82A4A7808}"/>
    <cellStyle name="Linked Cell 2 2 3 2 7 3" xfId="20901" xr:uid="{AB74D05F-C6B9-4DA3-97CE-61615C0F07D8}"/>
    <cellStyle name="Linked Cell 2 2 3 2 8" xfId="20902" xr:uid="{AA5B1117-B19A-43D4-B2FC-EB5EEDC230D6}"/>
    <cellStyle name="Linked Cell 2 2 3 2 8 2" xfId="20903" xr:uid="{3C6D6991-56E6-49CD-9D0F-26B9146786B2}"/>
    <cellStyle name="Linked Cell 2 2 3 2 8 2 2" xfId="20904" xr:uid="{10F46C23-BA82-496A-9A6D-5C00467A7504}"/>
    <cellStyle name="Linked Cell 2 2 3 2 8 3" xfId="20905" xr:uid="{B56A342B-2C27-4A4C-8EE1-988118DEDBD8}"/>
    <cellStyle name="Linked Cell 2 2 3 2 9" xfId="20906" xr:uid="{246DA8F4-EFD8-4153-95B3-04D5D5FE28AC}"/>
    <cellStyle name="Linked Cell 2 2 3 2 9 2" xfId="20907" xr:uid="{17FAD756-BC0D-4B18-8148-67789734E4B5}"/>
    <cellStyle name="Linked Cell 2 2 3 2 9 2 2" xfId="20908" xr:uid="{1C759BAE-7ECF-4DDE-92D9-98AB95AC0E1D}"/>
    <cellStyle name="Linked Cell 2 2 3 2 9 3" xfId="20909" xr:uid="{783A7B79-5AE8-4605-99B0-A1456B37456A}"/>
    <cellStyle name="Linked Cell 2 2 3 3" xfId="20910" xr:uid="{E30332FA-B891-41F1-A0C6-ADB042D813B9}"/>
    <cellStyle name="Linked Cell 2 2 3 3 10" xfId="20911" xr:uid="{6225515D-9A8C-4BC7-A8F0-D462B619015C}"/>
    <cellStyle name="Linked Cell 2 2 3 3 10 2" xfId="20912" xr:uid="{794CC72D-64F9-4813-B063-B337092E8F12}"/>
    <cellStyle name="Linked Cell 2 2 3 3 11" xfId="20913" xr:uid="{A277C971-E418-4B50-A315-EFDB5845D811}"/>
    <cellStyle name="Linked Cell 2 2 3 3 2" xfId="20914" xr:uid="{BCD94CB6-025C-4B67-B237-BB46F7871450}"/>
    <cellStyle name="Linked Cell 2 2 3 3 2 2" xfId="20915" xr:uid="{B2438044-30D3-4BA2-830E-1C2BA0284C43}"/>
    <cellStyle name="Linked Cell 2 2 3 3 2 2 2" xfId="20916" xr:uid="{A40D785A-B29F-4562-B14B-7B73BD162892}"/>
    <cellStyle name="Linked Cell 2 2 3 3 2 3" xfId="20917" xr:uid="{43F6FD06-4FB2-4D07-B6D2-3C5A7035FB4D}"/>
    <cellStyle name="Linked Cell 2 2 3 3 3" xfId="20918" xr:uid="{3D93E20D-2798-493E-957D-DD63EA344B63}"/>
    <cellStyle name="Linked Cell 2 2 3 3 3 2" xfId="20919" xr:uid="{600BCB26-E955-4501-BA0F-FABB7C3BC162}"/>
    <cellStyle name="Linked Cell 2 2 3 3 3 2 2" xfId="20920" xr:uid="{6184E365-262C-4D5E-8F89-31391C682542}"/>
    <cellStyle name="Linked Cell 2 2 3 3 3 3" xfId="20921" xr:uid="{33EF52C2-EFAB-46FD-B535-08F6820C9D55}"/>
    <cellStyle name="Linked Cell 2 2 3 3 4" xfId="20922" xr:uid="{EDB48391-11BB-4185-B244-3FCEC3795495}"/>
    <cellStyle name="Linked Cell 2 2 3 3 4 2" xfId="20923" xr:uid="{9CDAF7FA-7699-473F-9C51-416CA5FCB6AD}"/>
    <cellStyle name="Linked Cell 2 2 3 3 4 2 2" xfId="20924" xr:uid="{5996C2D2-4D09-4A24-AE01-E672030275E9}"/>
    <cellStyle name="Linked Cell 2 2 3 3 4 3" xfId="20925" xr:uid="{164858BE-B00E-4C3F-8CF0-9B3CF1FE320E}"/>
    <cellStyle name="Linked Cell 2 2 3 3 5" xfId="20926" xr:uid="{8BA06D80-D706-431F-9B23-2779040A514B}"/>
    <cellStyle name="Linked Cell 2 2 3 3 5 2" xfId="20927" xr:uid="{F98CEFCB-2AD8-4395-A73D-AE44E2430DC8}"/>
    <cellStyle name="Linked Cell 2 2 3 3 5 2 2" xfId="20928" xr:uid="{ED16F1DD-7992-448F-9DE7-AC9B2076FE0D}"/>
    <cellStyle name="Linked Cell 2 2 3 3 5 3" xfId="20929" xr:uid="{0FEFD38C-2839-47F3-A61E-D00C80FA9FA9}"/>
    <cellStyle name="Linked Cell 2 2 3 3 6" xfId="20930" xr:uid="{050249EB-62C0-47F2-AF09-FC0BF4D75803}"/>
    <cellStyle name="Linked Cell 2 2 3 3 6 2" xfId="20931" xr:uid="{17437773-F306-4D22-8E17-6E61C7C62103}"/>
    <cellStyle name="Linked Cell 2 2 3 3 6 2 2" xfId="20932" xr:uid="{D0DE1391-5214-4343-A8E3-916B485E25C1}"/>
    <cellStyle name="Linked Cell 2 2 3 3 6 3" xfId="20933" xr:uid="{0BE99150-F18E-472D-B63B-A81A3D58518D}"/>
    <cellStyle name="Linked Cell 2 2 3 3 7" xfId="20934" xr:uid="{96204CD1-9AFB-4476-A182-C5A11CB5712A}"/>
    <cellStyle name="Linked Cell 2 2 3 3 7 2" xfId="20935" xr:uid="{89BA38F1-9B23-4127-AB79-6400F0B9EA05}"/>
    <cellStyle name="Linked Cell 2 2 3 3 7 2 2" xfId="20936" xr:uid="{3C4358D8-75AE-42AA-BA02-CE833B398081}"/>
    <cellStyle name="Linked Cell 2 2 3 3 7 3" xfId="20937" xr:uid="{A89FE1C3-BB39-4E8A-9F46-7C49BA594422}"/>
    <cellStyle name="Linked Cell 2 2 3 3 8" xfId="20938" xr:uid="{C9BCD3CC-C2C2-44E0-99B9-7B52C993D62F}"/>
    <cellStyle name="Linked Cell 2 2 3 3 8 2" xfId="20939" xr:uid="{9CDF9CFB-3FEE-4247-8623-C67C9B1CD64E}"/>
    <cellStyle name="Linked Cell 2 2 3 3 8 2 2" xfId="20940" xr:uid="{EDEDCBA4-4D9A-4D16-9D1F-3FA987011652}"/>
    <cellStyle name="Linked Cell 2 2 3 3 8 3" xfId="20941" xr:uid="{D4FB658F-EA2D-48CF-8917-59A5ABDD21A7}"/>
    <cellStyle name="Linked Cell 2 2 3 3 9" xfId="20942" xr:uid="{C1C662A7-D4EE-40D2-B43A-B8427ADD131D}"/>
    <cellStyle name="Linked Cell 2 2 3 3 9 2" xfId="20943" xr:uid="{EB32A7DE-7689-4E14-A5DD-6583BFD35D36}"/>
    <cellStyle name="Linked Cell 2 2 3 3 9 2 2" xfId="20944" xr:uid="{F73E9EB1-58C6-4D2D-8F93-CD6215C2A3EE}"/>
    <cellStyle name="Linked Cell 2 2 3 3 9 3" xfId="20945" xr:uid="{74A49B38-B1E8-4C05-849C-A5CD50C22071}"/>
    <cellStyle name="Linked Cell 2 2 3 4" xfId="20946" xr:uid="{E824B8EB-6D91-427F-B267-7A2532FFA130}"/>
    <cellStyle name="Linked Cell 2 2 3 4 2" xfId="20947" xr:uid="{B46FEE4B-268C-4506-B767-E5C961833267}"/>
    <cellStyle name="Linked Cell 2 2 3 4 2 2" xfId="20948" xr:uid="{79A1B915-00AB-4401-A934-7F24FD445A20}"/>
    <cellStyle name="Linked Cell 2 2 3 4 3" xfId="20949" xr:uid="{F3E8D65C-7074-46A6-8B5D-0E42E7610ADC}"/>
    <cellStyle name="Linked Cell 2 2 3 5" xfId="20950" xr:uid="{2F448D25-966A-42EE-85AA-2151D1990831}"/>
    <cellStyle name="Linked Cell 2 2 3 5 2" xfId="20951" xr:uid="{9DA7A7DA-4225-4BA1-889C-ED44629F9340}"/>
    <cellStyle name="Linked Cell 2 2 3 5 2 2" xfId="20952" xr:uid="{D546A699-0BCF-44AB-ABB6-120AF30A6010}"/>
    <cellStyle name="Linked Cell 2 2 3 5 3" xfId="20953" xr:uid="{9326BEC8-FF7D-453E-81A8-F483B9A0BF41}"/>
    <cellStyle name="Linked Cell 2 2 3 6" xfId="20954" xr:uid="{73086438-E346-4CF3-A62F-D2A6469BF0DA}"/>
    <cellStyle name="Linked Cell 2 2 3 6 2" xfId="20955" xr:uid="{13A03A57-F6DA-4B8E-9DA3-3BD2FCA5CA04}"/>
    <cellStyle name="Linked Cell 2 2 3 6 2 2" xfId="20956" xr:uid="{BE3A11D0-3046-44F1-8358-61C31462A4C8}"/>
    <cellStyle name="Linked Cell 2 2 3 6 3" xfId="20957" xr:uid="{95604934-86E5-45E3-9FCF-50AC25B63CA1}"/>
    <cellStyle name="Linked Cell 2 2 3 7" xfId="20958" xr:uid="{49C4A986-2141-420F-BAB4-57A4B9D9FF78}"/>
    <cellStyle name="Linked Cell 2 2 3 7 2" xfId="20959" xr:uid="{5FDD3349-CDD0-4222-9621-E52BABF4F14B}"/>
    <cellStyle name="Linked Cell 2 2 3 7 2 2" xfId="20960" xr:uid="{EDA1931A-B70D-490E-A26E-D0DCF56D197F}"/>
    <cellStyle name="Linked Cell 2 2 3 7 3" xfId="20961" xr:uid="{55593758-6019-4341-A54B-3DE75052345C}"/>
    <cellStyle name="Linked Cell 2 2 3 8" xfId="20962" xr:uid="{C257C2F0-5D3E-41DF-BD32-D94F82AF7842}"/>
    <cellStyle name="Linked Cell 2 2 3 8 2" xfId="20963" xr:uid="{79255B6F-20EC-4F8E-9F03-E4FC551EACA6}"/>
    <cellStyle name="Linked Cell 2 2 3 8 2 2" xfId="20964" xr:uid="{0C77B78D-D030-4B94-A7FE-88536EAFF667}"/>
    <cellStyle name="Linked Cell 2 2 3 8 3" xfId="20965" xr:uid="{D0A4F3DD-8F9B-4562-9568-0FBF7984A955}"/>
    <cellStyle name="Linked Cell 2 2 3 9" xfId="20966" xr:uid="{04FE0EED-B8C8-4C34-8697-B0ADF686636F}"/>
    <cellStyle name="Linked Cell 2 2 3 9 2" xfId="20967" xr:uid="{36830ED8-FA75-4D3A-B761-62EBD021C1C4}"/>
    <cellStyle name="Linked Cell 2 2 3 9 2 2" xfId="20968" xr:uid="{99B017C4-AF70-41C6-8D8B-6EE12B494059}"/>
    <cellStyle name="Linked Cell 2 2 3 9 3" xfId="20969" xr:uid="{BAA7228E-8F86-4EE6-A393-B6F56A4CECD2}"/>
    <cellStyle name="Linked Cell 2 2 4" xfId="20970" xr:uid="{A00F064C-4349-49E8-9D0D-687443107098}"/>
    <cellStyle name="Linked Cell 2 2 4 10" xfId="20971" xr:uid="{42469581-8F27-415A-95F6-B0659E351447}"/>
    <cellStyle name="Linked Cell 2 2 4 10 2" xfId="20972" xr:uid="{2B70A579-BA93-4EA0-9C6F-AF5C47562735}"/>
    <cellStyle name="Linked Cell 2 2 4 10 2 2" xfId="20973" xr:uid="{C6807501-1E93-450D-87EA-FBB915850B16}"/>
    <cellStyle name="Linked Cell 2 2 4 10 3" xfId="20974" xr:uid="{B8A64854-7383-444D-98A8-31C39E73EB69}"/>
    <cellStyle name="Linked Cell 2 2 4 11" xfId="20975" xr:uid="{FF1CE691-676A-4B43-9E5D-7EF6B25F7788}"/>
    <cellStyle name="Linked Cell 2 2 4 11 2" xfId="20976" xr:uid="{355A79E3-1059-408B-A2F0-743BC21FC5B1}"/>
    <cellStyle name="Linked Cell 2 2 4 12" xfId="20977" xr:uid="{5E95F3BD-E3B8-43A0-9681-B63AEDDB7560}"/>
    <cellStyle name="Linked Cell 2 2 4 2" xfId="20978" xr:uid="{4DA389B1-9659-4FF7-A9F7-5536ADA98034}"/>
    <cellStyle name="Linked Cell 2 2 4 2 10" xfId="20979" xr:uid="{437D59C9-6A20-4DE8-8173-11D6BD22EC4D}"/>
    <cellStyle name="Linked Cell 2 2 4 2 10 2" xfId="20980" xr:uid="{A72648DE-1A5C-4817-B46B-D20994221418}"/>
    <cellStyle name="Linked Cell 2 2 4 2 11" xfId="20981" xr:uid="{318F610E-0C8A-4686-B514-413B1CD2473B}"/>
    <cellStyle name="Linked Cell 2 2 4 2 2" xfId="20982" xr:uid="{76819744-B2C2-4FB9-8C3B-7E8719553B37}"/>
    <cellStyle name="Linked Cell 2 2 4 2 2 2" xfId="20983" xr:uid="{12EB3B03-66F6-480B-8886-59D2B298869A}"/>
    <cellStyle name="Linked Cell 2 2 4 2 2 2 2" xfId="20984" xr:uid="{3A5AB288-604D-4CF1-9FBE-CE01B184520B}"/>
    <cellStyle name="Linked Cell 2 2 4 2 2 3" xfId="20985" xr:uid="{B6F3BE7B-01D0-4D3C-A5E9-C83A888E7A5F}"/>
    <cellStyle name="Linked Cell 2 2 4 2 3" xfId="20986" xr:uid="{79158302-6ACB-4C42-80BA-9EF3C1CA4650}"/>
    <cellStyle name="Linked Cell 2 2 4 2 3 2" xfId="20987" xr:uid="{3C02EAE4-2C87-49B0-8B15-59EA2A237900}"/>
    <cellStyle name="Linked Cell 2 2 4 2 3 2 2" xfId="20988" xr:uid="{8EA4DB8D-2D43-4A87-8CFB-EA824F5DE64F}"/>
    <cellStyle name="Linked Cell 2 2 4 2 3 3" xfId="20989" xr:uid="{EAEE134B-4C66-4397-A106-3094E993E87D}"/>
    <cellStyle name="Linked Cell 2 2 4 2 4" xfId="20990" xr:uid="{4CB3F9FB-8C3B-4D6C-8397-90E79E242573}"/>
    <cellStyle name="Linked Cell 2 2 4 2 4 2" xfId="20991" xr:uid="{B3F98113-F8C8-4294-8C07-1933A36E9AB6}"/>
    <cellStyle name="Linked Cell 2 2 4 2 4 2 2" xfId="20992" xr:uid="{5E33899B-C3FE-4012-AF98-7BFA2A0E48FC}"/>
    <cellStyle name="Linked Cell 2 2 4 2 4 3" xfId="20993" xr:uid="{F2BD18A3-F989-4C70-8904-3A1285E27E2F}"/>
    <cellStyle name="Linked Cell 2 2 4 2 5" xfId="20994" xr:uid="{264117CE-8ADC-406E-A94A-2BB53B32C9BE}"/>
    <cellStyle name="Linked Cell 2 2 4 2 5 2" xfId="20995" xr:uid="{132BF8C8-BC04-453B-B990-75C5BC8749E8}"/>
    <cellStyle name="Linked Cell 2 2 4 2 5 2 2" xfId="20996" xr:uid="{E3A3F745-9D9D-469C-8585-D60BA61CF203}"/>
    <cellStyle name="Linked Cell 2 2 4 2 5 3" xfId="20997" xr:uid="{AA702515-FACD-4B6E-94B0-DAA6D1469023}"/>
    <cellStyle name="Linked Cell 2 2 4 2 6" xfId="20998" xr:uid="{BEEF9E73-52B4-45D2-9D54-B34ECB0EA2AD}"/>
    <cellStyle name="Linked Cell 2 2 4 2 6 2" xfId="20999" xr:uid="{E21DE188-0829-4F7C-8BC6-C72F3F77C57C}"/>
    <cellStyle name="Linked Cell 2 2 4 2 6 2 2" xfId="21000" xr:uid="{201E55B5-FF30-4CA7-B709-55CE64E11F9B}"/>
    <cellStyle name="Linked Cell 2 2 4 2 6 3" xfId="21001" xr:uid="{FCE2C8CD-9CFD-442E-8A07-C4848AA880FF}"/>
    <cellStyle name="Linked Cell 2 2 4 2 7" xfId="21002" xr:uid="{DB94556D-8777-46AB-9C40-6BBDAD5D7A8D}"/>
    <cellStyle name="Linked Cell 2 2 4 2 7 2" xfId="21003" xr:uid="{C8F44198-985C-488A-9583-AFA75BC8D8CE}"/>
    <cellStyle name="Linked Cell 2 2 4 2 7 2 2" xfId="21004" xr:uid="{B4D7FFDF-1CDE-4839-9D63-D9B3FCAE370F}"/>
    <cellStyle name="Linked Cell 2 2 4 2 7 3" xfId="21005" xr:uid="{D96BC1C1-AD6E-441D-B2E0-E93091170838}"/>
    <cellStyle name="Linked Cell 2 2 4 2 8" xfId="21006" xr:uid="{66A16D4B-C899-42D8-9E35-144B62349E38}"/>
    <cellStyle name="Linked Cell 2 2 4 2 8 2" xfId="21007" xr:uid="{AF9C4751-3726-49D8-8F58-E7E8FF36A954}"/>
    <cellStyle name="Linked Cell 2 2 4 2 8 2 2" xfId="21008" xr:uid="{2363907C-B4DB-4A77-9A6F-D7F3B1E1DE66}"/>
    <cellStyle name="Linked Cell 2 2 4 2 8 3" xfId="21009" xr:uid="{37E8CF1D-65D6-43A0-87ED-76D1ED3CCEA5}"/>
    <cellStyle name="Linked Cell 2 2 4 2 9" xfId="21010" xr:uid="{128492CB-274B-4A4A-AC51-888EB728A471}"/>
    <cellStyle name="Linked Cell 2 2 4 2 9 2" xfId="21011" xr:uid="{EF081503-BFFA-4574-8B9D-2A702EDD39CD}"/>
    <cellStyle name="Linked Cell 2 2 4 2 9 2 2" xfId="21012" xr:uid="{CE41DF91-D1DB-4E9C-90A9-DC29BB6C6157}"/>
    <cellStyle name="Linked Cell 2 2 4 2 9 3" xfId="21013" xr:uid="{A32AC7DE-53E7-45C7-8482-FED121F81134}"/>
    <cellStyle name="Linked Cell 2 2 4 3" xfId="21014" xr:uid="{86B141B5-9B25-4729-B68B-7741B9553D6A}"/>
    <cellStyle name="Linked Cell 2 2 4 3 2" xfId="21015" xr:uid="{EFE5F1FA-E3A1-43CC-8EF2-6EA8FD5CE9B8}"/>
    <cellStyle name="Linked Cell 2 2 4 3 2 2" xfId="21016" xr:uid="{F81BC150-B11D-4264-93D0-70D5D7B0176D}"/>
    <cellStyle name="Linked Cell 2 2 4 3 3" xfId="21017" xr:uid="{4D7BA777-8C23-4EE0-8057-FC793736C7D5}"/>
    <cellStyle name="Linked Cell 2 2 4 4" xfId="21018" xr:uid="{25A28A10-FECE-492E-A050-E04AD7D4A067}"/>
    <cellStyle name="Linked Cell 2 2 4 4 2" xfId="21019" xr:uid="{0D788B76-6995-481A-8E51-7758CA30741C}"/>
    <cellStyle name="Linked Cell 2 2 4 4 2 2" xfId="21020" xr:uid="{A34C0363-DC21-4BDD-9EAC-EAF236BCD040}"/>
    <cellStyle name="Linked Cell 2 2 4 4 3" xfId="21021" xr:uid="{E1AB0596-84A8-48B1-B126-67A6AAF22A1B}"/>
    <cellStyle name="Linked Cell 2 2 4 5" xfId="21022" xr:uid="{D273AB26-3BC8-49BA-8A95-F88DE4E0C7C5}"/>
    <cellStyle name="Linked Cell 2 2 4 5 2" xfId="21023" xr:uid="{66888524-296B-4B6F-A67A-96E72431987A}"/>
    <cellStyle name="Linked Cell 2 2 4 5 2 2" xfId="21024" xr:uid="{307599A8-933A-4E46-9F1A-4E9B94EF4B8C}"/>
    <cellStyle name="Linked Cell 2 2 4 5 3" xfId="21025" xr:uid="{16881223-6EF5-4A56-8781-A5BFD85E617E}"/>
    <cellStyle name="Linked Cell 2 2 4 6" xfId="21026" xr:uid="{D899186F-F8CF-40EE-8F0B-0D8DB4ECC7E4}"/>
    <cellStyle name="Linked Cell 2 2 4 6 2" xfId="21027" xr:uid="{87DDA03E-CA10-44EE-B5C2-D8B468D90A89}"/>
    <cellStyle name="Linked Cell 2 2 4 6 2 2" xfId="21028" xr:uid="{9EDFFD2E-64F1-4356-90A5-8635605803AE}"/>
    <cellStyle name="Linked Cell 2 2 4 6 3" xfId="21029" xr:uid="{3881B32F-E520-4CA2-8156-621054E70A80}"/>
    <cellStyle name="Linked Cell 2 2 4 7" xfId="21030" xr:uid="{E086656F-2E19-41CF-AAE7-05918C050F29}"/>
    <cellStyle name="Linked Cell 2 2 4 7 2" xfId="21031" xr:uid="{86F4D027-1137-428C-A7D0-911050E84D04}"/>
    <cellStyle name="Linked Cell 2 2 4 7 2 2" xfId="21032" xr:uid="{A5AFFB57-953A-4998-8FDC-4D37957FF3F2}"/>
    <cellStyle name="Linked Cell 2 2 4 7 3" xfId="21033" xr:uid="{E4C4E87F-4FE1-4ACB-BC68-5D9E4AA3A099}"/>
    <cellStyle name="Linked Cell 2 2 4 8" xfId="21034" xr:uid="{86733F1A-71CB-4A10-B4B7-1A2D7CD4A90C}"/>
    <cellStyle name="Linked Cell 2 2 4 8 2" xfId="21035" xr:uid="{D3D8B09F-3C0F-42E2-B473-4EA660D589F1}"/>
    <cellStyle name="Linked Cell 2 2 4 8 2 2" xfId="21036" xr:uid="{76286106-2C37-4865-8EA5-88AD0CF499D1}"/>
    <cellStyle name="Linked Cell 2 2 4 8 3" xfId="21037" xr:uid="{0FBE464E-C13D-4C52-8AA2-2F0E4961B77E}"/>
    <cellStyle name="Linked Cell 2 2 4 9" xfId="21038" xr:uid="{6714727F-1687-4678-B5E4-BD8FF2D393C1}"/>
    <cellStyle name="Linked Cell 2 2 4 9 2" xfId="21039" xr:uid="{AE46AF56-ADF2-417A-9BA0-F34F2E134D85}"/>
    <cellStyle name="Linked Cell 2 2 4 9 2 2" xfId="21040" xr:uid="{CEBE4F64-B49A-43B9-B6F0-66228D27B88C}"/>
    <cellStyle name="Linked Cell 2 2 4 9 3" xfId="21041" xr:uid="{591A7B89-587F-4762-80AE-252A79B402D3}"/>
    <cellStyle name="Linked Cell 2 2 5" xfId="21042" xr:uid="{0C0D0170-45D6-4C34-BD9B-E28CD55B0741}"/>
    <cellStyle name="Linked Cell 2 2 5 10" xfId="21043" xr:uid="{2DB45F1B-BDAB-4940-BFCC-3BF3FEDBEE89}"/>
    <cellStyle name="Linked Cell 2 2 5 10 2" xfId="21044" xr:uid="{3BB16899-87ED-4557-A133-4F556DF2A4DA}"/>
    <cellStyle name="Linked Cell 2 2 5 11" xfId="21045" xr:uid="{21A413C7-A7C6-4E46-BCBC-941F4ECBFC2E}"/>
    <cellStyle name="Linked Cell 2 2 5 2" xfId="21046" xr:uid="{B1E41910-87CF-46D3-B4E5-8C4625CC026B}"/>
    <cellStyle name="Linked Cell 2 2 5 2 2" xfId="21047" xr:uid="{C42937A3-A8EB-4FD0-BE02-A8CAEBD18E74}"/>
    <cellStyle name="Linked Cell 2 2 5 2 2 2" xfId="21048" xr:uid="{64BED046-C79A-4D12-8960-CDEBD9454DD1}"/>
    <cellStyle name="Linked Cell 2 2 5 2 3" xfId="21049" xr:uid="{1DAD71F8-8D51-4C00-973A-B3830194115B}"/>
    <cellStyle name="Linked Cell 2 2 5 3" xfId="21050" xr:uid="{988A39E0-536D-4E68-994D-A8D5C35054A8}"/>
    <cellStyle name="Linked Cell 2 2 5 3 2" xfId="21051" xr:uid="{A8654C49-C4A9-4C48-B5D7-535B208E3363}"/>
    <cellStyle name="Linked Cell 2 2 5 3 2 2" xfId="21052" xr:uid="{96934758-D66A-4077-BA48-6AA18A5654B5}"/>
    <cellStyle name="Linked Cell 2 2 5 3 3" xfId="21053" xr:uid="{CD38D66D-8BD2-4863-8DDC-80707D4552E0}"/>
    <cellStyle name="Linked Cell 2 2 5 4" xfId="21054" xr:uid="{C9758D79-FB93-429F-BC5E-17814B631FCC}"/>
    <cellStyle name="Linked Cell 2 2 5 4 2" xfId="21055" xr:uid="{E92B06BE-CE24-4717-B08C-3967F25ECBC5}"/>
    <cellStyle name="Linked Cell 2 2 5 4 2 2" xfId="21056" xr:uid="{F202323B-D3C6-490E-9AF8-228DD6AB695C}"/>
    <cellStyle name="Linked Cell 2 2 5 4 3" xfId="21057" xr:uid="{EE5B6821-2288-48D4-8A44-AEFFA406C16D}"/>
    <cellStyle name="Linked Cell 2 2 5 5" xfId="21058" xr:uid="{6C8FE508-CEAE-4FDF-8DF1-B94D9AC795F2}"/>
    <cellStyle name="Linked Cell 2 2 5 5 2" xfId="21059" xr:uid="{D3D9F8AD-3A52-47B6-B933-CB303CE68FC3}"/>
    <cellStyle name="Linked Cell 2 2 5 5 2 2" xfId="21060" xr:uid="{B7126554-B591-4D79-874F-2C62D180264F}"/>
    <cellStyle name="Linked Cell 2 2 5 5 3" xfId="21061" xr:uid="{C40570C9-9B33-4CA7-93AA-74938F0AA8E4}"/>
    <cellStyle name="Linked Cell 2 2 5 6" xfId="21062" xr:uid="{9750EB41-C80D-4925-9B39-624C26653954}"/>
    <cellStyle name="Linked Cell 2 2 5 6 2" xfId="21063" xr:uid="{E597F371-4062-4775-8E0B-1CDF0D2F2380}"/>
    <cellStyle name="Linked Cell 2 2 5 6 2 2" xfId="21064" xr:uid="{49FD60C8-6733-4DE0-9436-AB5CE33225C8}"/>
    <cellStyle name="Linked Cell 2 2 5 6 3" xfId="21065" xr:uid="{B9A91AC5-2A36-4616-920E-D30C99218CB8}"/>
    <cellStyle name="Linked Cell 2 2 5 7" xfId="21066" xr:uid="{0782891A-1F5B-439C-BBA6-E7F5F510AF65}"/>
    <cellStyle name="Linked Cell 2 2 5 7 2" xfId="21067" xr:uid="{11DEBDD5-65D5-4FA2-BB50-8ED8BEB43801}"/>
    <cellStyle name="Linked Cell 2 2 5 7 2 2" xfId="21068" xr:uid="{7683C025-5859-45A9-A393-03F031AFE9EF}"/>
    <cellStyle name="Linked Cell 2 2 5 7 3" xfId="21069" xr:uid="{6258C3E1-685A-4285-9037-F6AF67922057}"/>
    <cellStyle name="Linked Cell 2 2 5 8" xfId="21070" xr:uid="{A614EFFB-703D-47D7-A41D-F8E29DD0F439}"/>
    <cellStyle name="Linked Cell 2 2 5 8 2" xfId="21071" xr:uid="{54CE7125-C8D5-4D6B-8DDC-D7E349644F0B}"/>
    <cellStyle name="Linked Cell 2 2 5 8 2 2" xfId="21072" xr:uid="{5056E54F-EF9C-492E-A369-202F43089B56}"/>
    <cellStyle name="Linked Cell 2 2 5 8 3" xfId="21073" xr:uid="{3F67827B-153B-465C-8AEC-19F5C08D8121}"/>
    <cellStyle name="Linked Cell 2 2 5 9" xfId="21074" xr:uid="{E619CD7E-3893-4ED1-9C35-0327B561462A}"/>
    <cellStyle name="Linked Cell 2 2 5 9 2" xfId="21075" xr:uid="{631F972F-61E9-44A4-8749-A765FDD77487}"/>
    <cellStyle name="Linked Cell 2 2 5 9 2 2" xfId="21076" xr:uid="{3A4CC2BE-C320-4A84-AD6D-48EA546FC80A}"/>
    <cellStyle name="Linked Cell 2 2 5 9 3" xfId="21077" xr:uid="{DE4D9E80-7FAD-4E93-BE90-FED60D448CF5}"/>
    <cellStyle name="Linked Cell 2 2 6" xfId="21078" xr:uid="{8E395DF8-7D28-4D31-8E00-E3BBCD79F2A7}"/>
    <cellStyle name="Linked Cell 2 2 6 2" xfId="21079" xr:uid="{5CA8CB68-9636-4C3C-A2B2-8D3AB7E797ED}"/>
    <cellStyle name="Linked Cell 2 2 6 2 2" xfId="21080" xr:uid="{87DFE202-30CB-4A92-A840-E5244CD5C5B0}"/>
    <cellStyle name="Linked Cell 2 2 6 3" xfId="21081" xr:uid="{9392A748-3D08-465B-A2C4-235F13977F83}"/>
    <cellStyle name="Linked Cell 2 2 7" xfId="21082" xr:uid="{1C33524C-DFDB-4A6D-83A0-155EABCED739}"/>
    <cellStyle name="Linked Cell 2 2 7 2" xfId="21083" xr:uid="{A07B1C00-9F74-44A2-B9FE-222816747E1A}"/>
    <cellStyle name="Linked Cell 2 2 7 2 2" xfId="21084" xr:uid="{97A85FBF-79C4-458D-9006-8B2B0F7DD5BE}"/>
    <cellStyle name="Linked Cell 2 2 7 3" xfId="21085" xr:uid="{8227B309-5F77-4737-BD87-89071C6669F2}"/>
    <cellStyle name="Linked Cell 2 2 8" xfId="21086" xr:uid="{F05EEA28-7645-404C-A44D-6F52AA54DFC9}"/>
    <cellStyle name="Linked Cell 2 2 8 2" xfId="21087" xr:uid="{C7EF1338-5AFF-4E45-BAAB-797F0146DBD4}"/>
    <cellStyle name="Linked Cell 2 2 8 2 2" xfId="21088" xr:uid="{BA5BFA17-0F25-4D6D-9EEF-6BD05AE73B61}"/>
    <cellStyle name="Linked Cell 2 2 8 3" xfId="21089" xr:uid="{62FC5B09-13FD-4DEE-995F-98B047704D25}"/>
    <cellStyle name="Linked Cell 2 2 9" xfId="21090" xr:uid="{5C11DA72-9235-4827-A8E2-67A88EE7F9F9}"/>
    <cellStyle name="Linked Cell 2 2 9 2" xfId="21091" xr:uid="{FF0ED7D5-7A38-4931-8548-F5BBC6682440}"/>
    <cellStyle name="Linked Cell 2 2 9 2 2" xfId="21092" xr:uid="{7AC4CBD7-9C43-40CE-9352-AF19459CE3B6}"/>
    <cellStyle name="Linked Cell 2 2 9 3" xfId="21093" xr:uid="{FCF4A327-01B2-4D57-9FF8-A58CB6BE887E}"/>
    <cellStyle name="Linked Cell 2 3" xfId="21094" xr:uid="{4B8952C1-25B6-498B-B0ED-51ED1B6B0F7E}"/>
    <cellStyle name="Linked Cell 2 3 10" xfId="21095" xr:uid="{15AF789A-1F80-4A3C-A4BB-46184BBA0248}"/>
    <cellStyle name="Linked Cell 2 3 10 2" xfId="21096" xr:uid="{FBD73A97-AF39-483A-8BFB-6D29F1DE6D99}"/>
    <cellStyle name="Linked Cell 2 3 10 2 2" xfId="21097" xr:uid="{0B51DD71-A8A8-4708-AED9-50DC66A18846}"/>
    <cellStyle name="Linked Cell 2 3 10 3" xfId="21098" xr:uid="{D78372F6-2604-42AB-8EF2-33DA66F67B69}"/>
    <cellStyle name="Linked Cell 2 3 11" xfId="21099" xr:uid="{BC9F40EB-E07B-42E1-8217-1D5A4458F214}"/>
    <cellStyle name="Linked Cell 2 3 11 2" xfId="21100" xr:uid="{F70023DC-72DD-42B4-9C3D-24395920275C}"/>
    <cellStyle name="Linked Cell 2 3 11 2 2" xfId="21101" xr:uid="{1CD8715C-D316-48DC-AC39-AE7143B5C0DD}"/>
    <cellStyle name="Linked Cell 2 3 11 3" xfId="21102" xr:uid="{1025B1D4-A84B-4358-92D0-8F554E3D0D17}"/>
    <cellStyle name="Linked Cell 2 3 12" xfId="21103" xr:uid="{87B25EC7-1425-45A4-B339-CA3EB3416EC6}"/>
    <cellStyle name="Linked Cell 2 3 12 2" xfId="21104" xr:uid="{171D3DEC-3AA8-4CEF-ADC7-B2FAEF7993F4}"/>
    <cellStyle name="Linked Cell 2 3 12 2 2" xfId="21105" xr:uid="{0AECA7BF-B933-4A5A-A4BB-F70E04803CCE}"/>
    <cellStyle name="Linked Cell 2 3 12 3" xfId="21106" xr:uid="{8273E8AC-49E0-462E-A7CF-BDD933E5A993}"/>
    <cellStyle name="Linked Cell 2 3 13" xfId="21107" xr:uid="{4F412580-04FF-41ED-9DDD-93DA05364567}"/>
    <cellStyle name="Linked Cell 2 3 13 2" xfId="21108" xr:uid="{D29B3F0E-B402-49AD-BD6C-FD2B23B9B379}"/>
    <cellStyle name="Linked Cell 2 3 14" xfId="21109" xr:uid="{63B23166-0090-4714-9464-DED5F8CDAB96}"/>
    <cellStyle name="Linked Cell 2 3 2" xfId="21110" xr:uid="{CEE00CBC-579A-4418-82D3-B7470104389D}"/>
    <cellStyle name="Linked Cell 2 3 2 10" xfId="21111" xr:uid="{8E1B5B34-8715-490A-A7D0-A3C4D53854EB}"/>
    <cellStyle name="Linked Cell 2 3 2 10 2" xfId="21112" xr:uid="{2AF72B16-9A16-40FC-874B-47BADEFA0E9F}"/>
    <cellStyle name="Linked Cell 2 3 2 10 2 2" xfId="21113" xr:uid="{541ACA89-C104-4022-9E43-01ABEBE03654}"/>
    <cellStyle name="Linked Cell 2 3 2 10 3" xfId="21114" xr:uid="{1C74CE4C-1E47-44AB-8FD6-6B1BFBC3E90E}"/>
    <cellStyle name="Linked Cell 2 3 2 11" xfId="21115" xr:uid="{DC7D20CE-A05F-42AD-B27E-A9AE50104FB3}"/>
    <cellStyle name="Linked Cell 2 3 2 11 2" xfId="21116" xr:uid="{2FC7AE9F-D6AF-4F17-9C25-DA20E21BCDF3}"/>
    <cellStyle name="Linked Cell 2 3 2 11 2 2" xfId="21117" xr:uid="{AB9E37D9-A53D-4461-BB2D-C941FBFFD7C0}"/>
    <cellStyle name="Linked Cell 2 3 2 11 3" xfId="21118" xr:uid="{66FEA534-84AE-4557-9D2F-E7CF95C39847}"/>
    <cellStyle name="Linked Cell 2 3 2 12" xfId="21119" xr:uid="{5A866BE7-EFAE-4BF6-8BDB-E5D34C50CF03}"/>
    <cellStyle name="Linked Cell 2 3 2 12 2" xfId="21120" xr:uid="{47C84A06-436F-4403-A2EE-8F1E5F9EC7BA}"/>
    <cellStyle name="Linked Cell 2 3 2 13" xfId="21121" xr:uid="{24C43B8B-9AE5-439E-A108-D2EA45AAA9EA}"/>
    <cellStyle name="Linked Cell 2 3 2 2" xfId="21122" xr:uid="{BB70B3DA-9893-4C02-9765-C477B62EB1C6}"/>
    <cellStyle name="Linked Cell 2 3 2 2 10" xfId="21123" xr:uid="{B4F9DB46-0DDB-4090-8054-517513F07842}"/>
    <cellStyle name="Linked Cell 2 3 2 2 10 2" xfId="21124" xr:uid="{8BD7999C-CA40-44F6-9E33-0498A0DD6FCB}"/>
    <cellStyle name="Linked Cell 2 3 2 2 10 2 2" xfId="21125" xr:uid="{1D9AF043-B465-400F-98C8-6C3A528B6D59}"/>
    <cellStyle name="Linked Cell 2 3 2 2 10 3" xfId="21126" xr:uid="{D2C9923B-242F-492C-ADAC-079F27076C86}"/>
    <cellStyle name="Linked Cell 2 3 2 2 11" xfId="21127" xr:uid="{ADED1223-A959-4EB8-A193-439A4BD7B420}"/>
    <cellStyle name="Linked Cell 2 3 2 2 11 2" xfId="21128" xr:uid="{FA885059-2EE2-4904-8474-C12E803FF4D9}"/>
    <cellStyle name="Linked Cell 2 3 2 2 12" xfId="21129" xr:uid="{56F8C3B3-2661-4C84-875E-5B780135845D}"/>
    <cellStyle name="Linked Cell 2 3 2 2 2" xfId="21130" xr:uid="{E9513B0A-4068-4484-8C26-66A8ADEE5F42}"/>
    <cellStyle name="Linked Cell 2 3 2 2 2 2" xfId="21131" xr:uid="{5921EFC2-A0F2-4755-ABBE-DB6663B99251}"/>
    <cellStyle name="Linked Cell 2 3 2 2 2 2 2" xfId="21132" xr:uid="{F89FA8CE-5FBD-407D-9BB5-5791D666E778}"/>
    <cellStyle name="Linked Cell 2 3 2 2 2 3" xfId="21133" xr:uid="{EF42077D-624F-4C40-884C-F124F91819C9}"/>
    <cellStyle name="Linked Cell 2 3 2 2 3" xfId="21134" xr:uid="{A81EDCCD-4B55-41E9-A59C-8CFAA930E786}"/>
    <cellStyle name="Linked Cell 2 3 2 2 3 2" xfId="21135" xr:uid="{1AE525A0-B588-4BD9-BC15-597B27C94702}"/>
    <cellStyle name="Linked Cell 2 3 2 2 3 2 2" xfId="21136" xr:uid="{87AD67AB-26D1-4281-9D4F-DE0A72102DA5}"/>
    <cellStyle name="Linked Cell 2 3 2 2 3 3" xfId="21137" xr:uid="{A01C94C3-1C44-4C1C-85C3-E58256D0519D}"/>
    <cellStyle name="Linked Cell 2 3 2 2 4" xfId="21138" xr:uid="{EF043F4B-D64A-47D3-8356-9DEBB3C6E08E}"/>
    <cellStyle name="Linked Cell 2 3 2 2 4 2" xfId="21139" xr:uid="{8E5470F8-D834-40A5-A9EA-D5DA72817661}"/>
    <cellStyle name="Linked Cell 2 3 2 2 4 2 2" xfId="21140" xr:uid="{E646A0AC-34CE-4CC3-AF59-15339D02B7E6}"/>
    <cellStyle name="Linked Cell 2 3 2 2 4 3" xfId="21141" xr:uid="{D17B28AB-5044-45DB-8196-38EFAFF14A93}"/>
    <cellStyle name="Linked Cell 2 3 2 2 5" xfId="21142" xr:uid="{C5B298BD-9402-4062-9DE6-51FB0AA96D00}"/>
    <cellStyle name="Linked Cell 2 3 2 2 5 2" xfId="21143" xr:uid="{883AB1B5-2633-4C16-9DFC-4BA2953BCC94}"/>
    <cellStyle name="Linked Cell 2 3 2 2 5 2 2" xfId="21144" xr:uid="{E063B2ED-DA44-4F1C-8E42-AB6CB48F9291}"/>
    <cellStyle name="Linked Cell 2 3 2 2 5 3" xfId="21145" xr:uid="{2EE34C9F-02FB-4C0F-84DF-66EDCBCA3714}"/>
    <cellStyle name="Linked Cell 2 3 2 2 6" xfId="21146" xr:uid="{226EDC26-FC9C-4E08-BE67-96020BF56599}"/>
    <cellStyle name="Linked Cell 2 3 2 2 6 2" xfId="21147" xr:uid="{1D594FFA-C31E-43A9-9426-28F8D0B9E6FD}"/>
    <cellStyle name="Linked Cell 2 3 2 2 6 2 2" xfId="21148" xr:uid="{04DF15DB-09A6-4F6C-8D24-1071A21543EB}"/>
    <cellStyle name="Linked Cell 2 3 2 2 6 3" xfId="21149" xr:uid="{0705D659-2C66-48D8-BE99-1012890AD690}"/>
    <cellStyle name="Linked Cell 2 3 2 2 7" xfId="21150" xr:uid="{5BFEE12A-565C-42A4-899C-D07318890636}"/>
    <cellStyle name="Linked Cell 2 3 2 2 7 2" xfId="21151" xr:uid="{CA212921-B406-4682-8462-3495FA42D189}"/>
    <cellStyle name="Linked Cell 2 3 2 2 7 2 2" xfId="21152" xr:uid="{055F136D-0A86-4319-BF7D-06C94045B760}"/>
    <cellStyle name="Linked Cell 2 3 2 2 7 3" xfId="21153" xr:uid="{D4B4BC03-CCF3-49EC-8AEA-6BDDDE9B6993}"/>
    <cellStyle name="Linked Cell 2 3 2 2 8" xfId="21154" xr:uid="{EC043DB3-3351-4B9C-B9D5-E42065E974EC}"/>
    <cellStyle name="Linked Cell 2 3 2 2 8 2" xfId="21155" xr:uid="{6C49539B-5DFF-4DF0-9B18-05CAC6B42D0E}"/>
    <cellStyle name="Linked Cell 2 3 2 2 8 2 2" xfId="21156" xr:uid="{E06417E3-2FF2-4B83-92AF-CF805DBFD0A5}"/>
    <cellStyle name="Linked Cell 2 3 2 2 8 3" xfId="21157" xr:uid="{63DDEE7F-0325-48E1-B0C8-B5C718EC138E}"/>
    <cellStyle name="Linked Cell 2 3 2 2 9" xfId="21158" xr:uid="{600ABC99-3F45-42DE-B5D1-F7CA0D34A8A0}"/>
    <cellStyle name="Linked Cell 2 3 2 2 9 2" xfId="21159" xr:uid="{A8AFC705-34B2-4720-B3A3-D3F8C9321BEF}"/>
    <cellStyle name="Linked Cell 2 3 2 2 9 2 2" xfId="21160" xr:uid="{A639AD97-6DDA-4892-BC30-758BFF853EF0}"/>
    <cellStyle name="Linked Cell 2 3 2 2 9 3" xfId="21161" xr:uid="{68D0E3CB-E986-4873-A24E-D6CC7DCF46C1}"/>
    <cellStyle name="Linked Cell 2 3 2 3" xfId="21162" xr:uid="{E016FC47-9910-4798-A7BF-FF3CDE708703}"/>
    <cellStyle name="Linked Cell 2 3 2 3 10" xfId="21163" xr:uid="{9BC35A90-3AAC-4EC3-83A5-DF1C8FD015AD}"/>
    <cellStyle name="Linked Cell 2 3 2 3 10 2" xfId="21164" xr:uid="{05CC9DB2-D23B-4E90-9ED2-3BE5BD3DEAC7}"/>
    <cellStyle name="Linked Cell 2 3 2 3 11" xfId="21165" xr:uid="{1D28733E-B809-4589-83DE-768AE1E533E5}"/>
    <cellStyle name="Linked Cell 2 3 2 3 2" xfId="21166" xr:uid="{14BF7E1A-A933-44E8-A21A-3A6A66498165}"/>
    <cellStyle name="Linked Cell 2 3 2 3 2 2" xfId="21167" xr:uid="{0B187F43-74D9-4B94-81CB-15DD37E0CE71}"/>
    <cellStyle name="Linked Cell 2 3 2 3 2 2 2" xfId="21168" xr:uid="{A91E9474-BD0D-4199-ACFC-1015FC1CE1A3}"/>
    <cellStyle name="Linked Cell 2 3 2 3 2 3" xfId="21169" xr:uid="{7FD5351C-6D2E-4D29-A803-53C0965DDA9A}"/>
    <cellStyle name="Linked Cell 2 3 2 3 3" xfId="21170" xr:uid="{1A356687-34DA-4B9A-9229-779542A243DA}"/>
    <cellStyle name="Linked Cell 2 3 2 3 3 2" xfId="21171" xr:uid="{EA92CEF0-2C79-41E3-8CF2-9DAC4486AC8E}"/>
    <cellStyle name="Linked Cell 2 3 2 3 3 2 2" xfId="21172" xr:uid="{AAFDDE15-42D9-48EA-86B9-CD081FEA9F79}"/>
    <cellStyle name="Linked Cell 2 3 2 3 3 3" xfId="21173" xr:uid="{4D4B37C2-4CDD-48C3-BDE8-861CCE881C16}"/>
    <cellStyle name="Linked Cell 2 3 2 3 4" xfId="21174" xr:uid="{7D57F447-0562-47E1-BB8E-E890DD6AEEFB}"/>
    <cellStyle name="Linked Cell 2 3 2 3 4 2" xfId="21175" xr:uid="{58DB9C28-F51A-42F2-9CCB-A6A00CDAFBE7}"/>
    <cellStyle name="Linked Cell 2 3 2 3 4 2 2" xfId="21176" xr:uid="{C3ADCF82-B1C3-414B-8169-57660FBBFF4D}"/>
    <cellStyle name="Linked Cell 2 3 2 3 4 3" xfId="21177" xr:uid="{9ADD4F01-3ECB-4A89-8F4C-CFD2DC80A79A}"/>
    <cellStyle name="Linked Cell 2 3 2 3 5" xfId="21178" xr:uid="{BC0DD398-7A92-408A-B8B3-CCE7E806AAFD}"/>
    <cellStyle name="Linked Cell 2 3 2 3 5 2" xfId="21179" xr:uid="{31B904D5-9B49-4BD2-B79A-752102EF9D84}"/>
    <cellStyle name="Linked Cell 2 3 2 3 5 2 2" xfId="21180" xr:uid="{B331B18D-1401-4D8E-9E00-C10E673A8FB9}"/>
    <cellStyle name="Linked Cell 2 3 2 3 5 3" xfId="21181" xr:uid="{14CE94BC-4BA7-4FCE-8D0A-6F8CF62663AE}"/>
    <cellStyle name="Linked Cell 2 3 2 3 6" xfId="21182" xr:uid="{98B1B7BF-2633-4970-908F-A3923DA382FB}"/>
    <cellStyle name="Linked Cell 2 3 2 3 6 2" xfId="21183" xr:uid="{61AC0C6A-97E7-4AF0-8CC1-D489BA12427E}"/>
    <cellStyle name="Linked Cell 2 3 2 3 6 2 2" xfId="21184" xr:uid="{52BCF69C-9101-4C14-B27B-B69733FB99CD}"/>
    <cellStyle name="Linked Cell 2 3 2 3 6 3" xfId="21185" xr:uid="{C0CAB201-568E-4189-96C8-477D7670CD93}"/>
    <cellStyle name="Linked Cell 2 3 2 3 7" xfId="21186" xr:uid="{55DF2257-D70D-4CAA-AC59-B81B8EA346C3}"/>
    <cellStyle name="Linked Cell 2 3 2 3 7 2" xfId="21187" xr:uid="{EBBD8EDF-6EA4-44D5-BE1D-EAAEA13DFDF1}"/>
    <cellStyle name="Linked Cell 2 3 2 3 7 2 2" xfId="21188" xr:uid="{371FC12F-E036-435A-B4BB-DD30E80CDFDA}"/>
    <cellStyle name="Linked Cell 2 3 2 3 7 3" xfId="21189" xr:uid="{B9C849D1-5840-445B-8D1C-99C908225302}"/>
    <cellStyle name="Linked Cell 2 3 2 3 8" xfId="21190" xr:uid="{4B6655D9-C61A-4A4C-B4E7-864F7355CF05}"/>
    <cellStyle name="Linked Cell 2 3 2 3 8 2" xfId="21191" xr:uid="{975DA253-2DB5-4D80-96CE-D49D092FDBFF}"/>
    <cellStyle name="Linked Cell 2 3 2 3 8 2 2" xfId="21192" xr:uid="{4AA49633-8139-4905-8596-11B3BB0A419A}"/>
    <cellStyle name="Linked Cell 2 3 2 3 8 3" xfId="21193" xr:uid="{EBFE750E-7F93-431A-853E-913DD9194369}"/>
    <cellStyle name="Linked Cell 2 3 2 3 9" xfId="21194" xr:uid="{9C2C12B8-D799-42EA-BC57-8DDFB70C5C4A}"/>
    <cellStyle name="Linked Cell 2 3 2 3 9 2" xfId="21195" xr:uid="{2FA0074C-81B0-4EAD-ABC3-BE8A01C71971}"/>
    <cellStyle name="Linked Cell 2 3 2 3 9 2 2" xfId="21196" xr:uid="{6E9235C0-B2B5-4178-B9E0-165E02CF28F6}"/>
    <cellStyle name="Linked Cell 2 3 2 3 9 3" xfId="21197" xr:uid="{F879F324-01CA-44BE-BF4B-A6C8A6436DDD}"/>
    <cellStyle name="Linked Cell 2 3 2 4" xfId="21198" xr:uid="{70B8788B-2928-40D6-A9E8-6CABDC8999B1}"/>
    <cellStyle name="Linked Cell 2 3 2 4 2" xfId="21199" xr:uid="{A235FAEB-5B50-4D13-BBD3-A96A82E54C6E}"/>
    <cellStyle name="Linked Cell 2 3 2 4 2 2" xfId="21200" xr:uid="{6DAF5D12-939C-433F-8308-E12699127F28}"/>
    <cellStyle name="Linked Cell 2 3 2 4 3" xfId="21201" xr:uid="{C5A8B4E6-0ED6-4686-9D13-83EC7987F915}"/>
    <cellStyle name="Linked Cell 2 3 2 5" xfId="21202" xr:uid="{C2417A75-C7C0-49C7-A6AE-86A29FB86B19}"/>
    <cellStyle name="Linked Cell 2 3 2 5 2" xfId="21203" xr:uid="{220C730C-E422-4E6C-BAE5-5688C3D211C9}"/>
    <cellStyle name="Linked Cell 2 3 2 5 2 2" xfId="21204" xr:uid="{C30C5895-E6D5-4495-80DB-A7F07ECE74DF}"/>
    <cellStyle name="Linked Cell 2 3 2 5 3" xfId="21205" xr:uid="{7666497E-7AAC-4578-B872-C86CD7DD01FC}"/>
    <cellStyle name="Linked Cell 2 3 2 6" xfId="21206" xr:uid="{24820441-DA30-4C56-9BCC-D7E06962D996}"/>
    <cellStyle name="Linked Cell 2 3 2 6 2" xfId="21207" xr:uid="{7BF7B388-D9F8-4B9B-AD1A-EE428C357190}"/>
    <cellStyle name="Linked Cell 2 3 2 6 2 2" xfId="21208" xr:uid="{99C6496C-7523-46DA-B5A4-EFE500A507C4}"/>
    <cellStyle name="Linked Cell 2 3 2 6 3" xfId="21209" xr:uid="{E5D79384-02FC-4F09-BA84-33121E5E54A4}"/>
    <cellStyle name="Linked Cell 2 3 2 7" xfId="21210" xr:uid="{D18FF9D3-B292-4CF3-B0F1-1F1B8FC9B31A}"/>
    <cellStyle name="Linked Cell 2 3 2 7 2" xfId="21211" xr:uid="{37FEE2E1-689E-469F-8F7B-8E741387567E}"/>
    <cellStyle name="Linked Cell 2 3 2 7 2 2" xfId="21212" xr:uid="{A503BF20-E8A8-43DE-A7B3-91368FDEB02A}"/>
    <cellStyle name="Linked Cell 2 3 2 7 3" xfId="21213" xr:uid="{D34B003D-3BC3-40F8-9C95-B4494AB075FA}"/>
    <cellStyle name="Linked Cell 2 3 2 8" xfId="21214" xr:uid="{468075F0-F4EE-46CE-9B9B-B434AB63352A}"/>
    <cellStyle name="Linked Cell 2 3 2 8 2" xfId="21215" xr:uid="{F3386807-AC5C-4043-B7F8-7C8B485B5B16}"/>
    <cellStyle name="Linked Cell 2 3 2 8 2 2" xfId="21216" xr:uid="{E72F1CDB-DB90-40FB-B8DB-503035B06630}"/>
    <cellStyle name="Linked Cell 2 3 2 8 3" xfId="21217" xr:uid="{2FD86FDB-109B-43BD-96EE-27CA861B7A5C}"/>
    <cellStyle name="Linked Cell 2 3 2 9" xfId="21218" xr:uid="{7084DE43-B987-47B1-A787-71388840B019}"/>
    <cellStyle name="Linked Cell 2 3 2 9 2" xfId="21219" xr:uid="{AB3F76DC-3D37-4E6C-9D29-A5AD125C474F}"/>
    <cellStyle name="Linked Cell 2 3 2 9 2 2" xfId="21220" xr:uid="{63B5AC24-E798-401F-A90F-8E600221DD90}"/>
    <cellStyle name="Linked Cell 2 3 2 9 3" xfId="21221" xr:uid="{98F7858C-35EB-4147-AF2F-79BEDF381270}"/>
    <cellStyle name="Linked Cell 2 3 3" xfId="21222" xr:uid="{61C7D3BC-EF11-43E1-B8E6-2E68D27E1B93}"/>
    <cellStyle name="Linked Cell 2 3 3 10" xfId="21223" xr:uid="{088E72F2-19CA-4835-BCA5-160E61F7439B}"/>
    <cellStyle name="Linked Cell 2 3 3 10 2" xfId="21224" xr:uid="{2D01156C-C198-4888-83D5-D640C963AC1F}"/>
    <cellStyle name="Linked Cell 2 3 3 10 2 2" xfId="21225" xr:uid="{0D133779-E3F6-4762-910E-14722932AA08}"/>
    <cellStyle name="Linked Cell 2 3 3 10 3" xfId="21226" xr:uid="{BF4605A8-6F00-4443-BF79-E1080C178FD1}"/>
    <cellStyle name="Linked Cell 2 3 3 11" xfId="21227" xr:uid="{55224AA9-401C-420D-946D-7A52486A5992}"/>
    <cellStyle name="Linked Cell 2 3 3 11 2" xfId="21228" xr:uid="{9EF196F6-39A6-4091-89D1-36736176BA1F}"/>
    <cellStyle name="Linked Cell 2 3 3 12" xfId="21229" xr:uid="{9E57900F-2D77-404D-8141-4F28E738A4AD}"/>
    <cellStyle name="Linked Cell 2 3 3 2" xfId="21230" xr:uid="{058079F7-4370-4D20-B305-25CF3B444ABC}"/>
    <cellStyle name="Linked Cell 2 3 3 2 10" xfId="21231" xr:uid="{CB52CB04-72CA-400A-B955-ED30F6AC515D}"/>
    <cellStyle name="Linked Cell 2 3 3 2 10 2" xfId="21232" xr:uid="{09E94D29-A37F-4243-9A1C-1F3147290B7A}"/>
    <cellStyle name="Linked Cell 2 3 3 2 11" xfId="21233" xr:uid="{F57C904C-5A6F-4E14-BDD2-E5ED4091F642}"/>
    <cellStyle name="Linked Cell 2 3 3 2 2" xfId="21234" xr:uid="{19D09B63-C42B-43BA-BC6D-DBB78EF3735C}"/>
    <cellStyle name="Linked Cell 2 3 3 2 2 2" xfId="21235" xr:uid="{AFA7F998-104C-4168-88F9-01AD5D123AE5}"/>
    <cellStyle name="Linked Cell 2 3 3 2 2 2 2" xfId="21236" xr:uid="{66F747E9-5256-4D57-906D-8FDCB8DA6CA2}"/>
    <cellStyle name="Linked Cell 2 3 3 2 2 3" xfId="21237" xr:uid="{EC5B6C12-BC0F-4204-81D1-0B0EFC92E379}"/>
    <cellStyle name="Linked Cell 2 3 3 2 3" xfId="21238" xr:uid="{C79398F0-3578-42B9-83ED-6481C6A43B69}"/>
    <cellStyle name="Linked Cell 2 3 3 2 3 2" xfId="21239" xr:uid="{299B72ED-DED4-44BB-92B5-955D573D4C13}"/>
    <cellStyle name="Linked Cell 2 3 3 2 3 2 2" xfId="21240" xr:uid="{3E2BBC03-6D42-48E7-AF3B-8D751F2D0AB1}"/>
    <cellStyle name="Linked Cell 2 3 3 2 3 3" xfId="21241" xr:uid="{C2FBB779-E9D0-44D8-8DE2-5AA69C7B5BFC}"/>
    <cellStyle name="Linked Cell 2 3 3 2 4" xfId="21242" xr:uid="{198C54C9-4ED1-4F7C-9E2A-FC46F0B75DFD}"/>
    <cellStyle name="Linked Cell 2 3 3 2 4 2" xfId="21243" xr:uid="{0DD49E83-D088-42E3-88F5-82D6FC29C00A}"/>
    <cellStyle name="Linked Cell 2 3 3 2 4 2 2" xfId="21244" xr:uid="{96C6649E-4040-4FD1-96C6-93DDF3E4A1BD}"/>
    <cellStyle name="Linked Cell 2 3 3 2 4 3" xfId="21245" xr:uid="{D6237F87-4685-4F6E-960B-6B0FEF8E662A}"/>
    <cellStyle name="Linked Cell 2 3 3 2 5" xfId="21246" xr:uid="{FF51FEDB-A67A-48D7-8697-71D90CA6600F}"/>
    <cellStyle name="Linked Cell 2 3 3 2 5 2" xfId="21247" xr:uid="{622462FD-C3A2-4DE8-9270-9356E99FE642}"/>
    <cellStyle name="Linked Cell 2 3 3 2 5 2 2" xfId="21248" xr:uid="{600FB024-FF2C-42B3-858C-52E42FE484E1}"/>
    <cellStyle name="Linked Cell 2 3 3 2 5 3" xfId="21249" xr:uid="{F881415C-BE05-468F-8BE6-53AF59D5759C}"/>
    <cellStyle name="Linked Cell 2 3 3 2 6" xfId="21250" xr:uid="{021A3959-B1C1-4D60-BDC0-F4562E6C4543}"/>
    <cellStyle name="Linked Cell 2 3 3 2 6 2" xfId="21251" xr:uid="{3B63934E-EA9F-4AAA-A6E7-586E102B88D9}"/>
    <cellStyle name="Linked Cell 2 3 3 2 6 2 2" xfId="21252" xr:uid="{A9B9912F-F1F7-45E2-836F-F1BFE4F80E89}"/>
    <cellStyle name="Linked Cell 2 3 3 2 6 3" xfId="21253" xr:uid="{AD135694-DF9F-4DE2-ADCE-485417399F35}"/>
    <cellStyle name="Linked Cell 2 3 3 2 7" xfId="21254" xr:uid="{1862A576-8239-441C-9007-23E876DEC341}"/>
    <cellStyle name="Linked Cell 2 3 3 2 7 2" xfId="21255" xr:uid="{E9CC5A08-E4C5-4B2E-9C8C-32E228595356}"/>
    <cellStyle name="Linked Cell 2 3 3 2 7 2 2" xfId="21256" xr:uid="{34C8D94C-A29B-4B27-BB31-7138CF53C90B}"/>
    <cellStyle name="Linked Cell 2 3 3 2 7 3" xfId="21257" xr:uid="{87187958-0340-46F1-8092-34897F8774BE}"/>
    <cellStyle name="Linked Cell 2 3 3 2 8" xfId="21258" xr:uid="{8EE69F9E-F83F-4364-8B78-B9404C81040A}"/>
    <cellStyle name="Linked Cell 2 3 3 2 8 2" xfId="21259" xr:uid="{CD9561E3-C42A-44C8-A8F3-33DD37BA41F8}"/>
    <cellStyle name="Linked Cell 2 3 3 2 8 2 2" xfId="21260" xr:uid="{1FAEF07F-0160-4D15-AB02-CFEE42097E26}"/>
    <cellStyle name="Linked Cell 2 3 3 2 8 3" xfId="21261" xr:uid="{D663826C-E83A-4906-8309-01FF253EEE57}"/>
    <cellStyle name="Linked Cell 2 3 3 2 9" xfId="21262" xr:uid="{812DA93A-81D3-4784-A524-15B490F40582}"/>
    <cellStyle name="Linked Cell 2 3 3 2 9 2" xfId="21263" xr:uid="{69988D7F-82D4-4AA9-8F2F-2B5AD5B97098}"/>
    <cellStyle name="Linked Cell 2 3 3 2 9 2 2" xfId="21264" xr:uid="{61233E78-C232-4A04-AF76-26979119C757}"/>
    <cellStyle name="Linked Cell 2 3 3 2 9 3" xfId="21265" xr:uid="{FC81725C-66DC-4CCA-B86B-E3CC277C00DD}"/>
    <cellStyle name="Linked Cell 2 3 3 3" xfId="21266" xr:uid="{F74E0CFC-5C59-4508-B0CA-56027EC134BF}"/>
    <cellStyle name="Linked Cell 2 3 3 3 2" xfId="21267" xr:uid="{455A2002-BFC9-4966-95EA-4282523F822A}"/>
    <cellStyle name="Linked Cell 2 3 3 3 2 2" xfId="21268" xr:uid="{82888E76-8B6B-40B2-BB00-677DE0CAB078}"/>
    <cellStyle name="Linked Cell 2 3 3 3 3" xfId="21269" xr:uid="{1731EDAA-C3AC-4287-9C6F-3A4FAD8A8691}"/>
    <cellStyle name="Linked Cell 2 3 3 4" xfId="21270" xr:uid="{BF38B58D-5377-45B3-AD80-7FD12B71AE01}"/>
    <cellStyle name="Linked Cell 2 3 3 4 2" xfId="21271" xr:uid="{A3B19D61-4DD7-46F6-833A-D0D10FE5D8D5}"/>
    <cellStyle name="Linked Cell 2 3 3 4 2 2" xfId="21272" xr:uid="{CC4E8252-2D4F-4E29-9FA0-2C2C82A8F125}"/>
    <cellStyle name="Linked Cell 2 3 3 4 3" xfId="21273" xr:uid="{AD6942C1-F23C-43FC-A81C-8644DC189A68}"/>
    <cellStyle name="Linked Cell 2 3 3 5" xfId="21274" xr:uid="{53795C5E-4B3C-4307-ADBD-9C7176137F9A}"/>
    <cellStyle name="Linked Cell 2 3 3 5 2" xfId="21275" xr:uid="{0CCA8C90-B97A-4CDC-9F52-A2D0F6DE70CB}"/>
    <cellStyle name="Linked Cell 2 3 3 5 2 2" xfId="21276" xr:uid="{86F4F5FF-F567-4635-9C59-1A6371493D63}"/>
    <cellStyle name="Linked Cell 2 3 3 5 3" xfId="21277" xr:uid="{32D574CD-299C-4693-84AD-79E1938B6ACA}"/>
    <cellStyle name="Linked Cell 2 3 3 6" xfId="21278" xr:uid="{D298BA43-421B-472A-94C5-9752DB699BE9}"/>
    <cellStyle name="Linked Cell 2 3 3 6 2" xfId="21279" xr:uid="{8BE06D56-42BB-4D17-8F44-52135D5C70F6}"/>
    <cellStyle name="Linked Cell 2 3 3 6 2 2" xfId="21280" xr:uid="{2CEC47AF-B527-4531-A337-C7370E0AB935}"/>
    <cellStyle name="Linked Cell 2 3 3 6 3" xfId="21281" xr:uid="{BB6C45F0-D2CC-442D-BE4E-8FCC507D2DA1}"/>
    <cellStyle name="Linked Cell 2 3 3 7" xfId="21282" xr:uid="{57382769-2B71-4ECD-B662-14A10EBBBCE6}"/>
    <cellStyle name="Linked Cell 2 3 3 7 2" xfId="21283" xr:uid="{DF2A2D66-54B4-4E37-973C-B1F0824F378C}"/>
    <cellStyle name="Linked Cell 2 3 3 7 2 2" xfId="21284" xr:uid="{DA17D717-1591-4F39-B3BD-5BCA286AF20F}"/>
    <cellStyle name="Linked Cell 2 3 3 7 3" xfId="21285" xr:uid="{65478304-7E4A-46C8-9E26-93FD004F186A}"/>
    <cellStyle name="Linked Cell 2 3 3 8" xfId="21286" xr:uid="{7FD34F99-F4C6-4F4A-B2FC-59D8F2B90015}"/>
    <cellStyle name="Linked Cell 2 3 3 8 2" xfId="21287" xr:uid="{71336C11-EF4C-44DC-952E-83ACA034D514}"/>
    <cellStyle name="Linked Cell 2 3 3 8 2 2" xfId="21288" xr:uid="{FDBD9DD5-2A6F-40B8-973E-69E1DA52B584}"/>
    <cellStyle name="Linked Cell 2 3 3 8 3" xfId="21289" xr:uid="{44E531C7-9C8D-4262-9011-2E651F712F58}"/>
    <cellStyle name="Linked Cell 2 3 3 9" xfId="21290" xr:uid="{854F99AC-6EF7-4FE8-B89C-950E788B88BA}"/>
    <cellStyle name="Linked Cell 2 3 3 9 2" xfId="21291" xr:uid="{C9FF6BBE-BFE7-4B2E-BD07-7EFC8DC9C118}"/>
    <cellStyle name="Linked Cell 2 3 3 9 2 2" xfId="21292" xr:uid="{A83D981E-E44C-41C2-B409-AE4D1E58E6CA}"/>
    <cellStyle name="Linked Cell 2 3 3 9 3" xfId="21293" xr:uid="{1C9B683B-5FF8-4F6F-850F-D606D38053D0}"/>
    <cellStyle name="Linked Cell 2 3 4" xfId="21294" xr:uid="{E58EBA2E-F633-4A39-828C-BA9CF233B321}"/>
    <cellStyle name="Linked Cell 2 3 4 10" xfId="21295" xr:uid="{BBFCE861-1883-4702-819E-41376782A475}"/>
    <cellStyle name="Linked Cell 2 3 4 10 2" xfId="21296" xr:uid="{BD65C4BB-1E54-4464-8DC8-13C6B1451A31}"/>
    <cellStyle name="Linked Cell 2 3 4 11" xfId="21297" xr:uid="{702659B1-FCDE-492E-8406-36DBE854B85C}"/>
    <cellStyle name="Linked Cell 2 3 4 2" xfId="21298" xr:uid="{8A9DF065-2B91-4DE6-8AC3-EAC7DB4C7E50}"/>
    <cellStyle name="Linked Cell 2 3 4 2 2" xfId="21299" xr:uid="{178B86F1-7A25-41F2-8AA1-D8189A720B72}"/>
    <cellStyle name="Linked Cell 2 3 4 2 2 2" xfId="21300" xr:uid="{DE353003-687C-4C3C-985E-E7196D6D5C18}"/>
    <cellStyle name="Linked Cell 2 3 4 2 3" xfId="21301" xr:uid="{067E37A2-D8F8-4BE4-A25D-6DC2BB8737CF}"/>
    <cellStyle name="Linked Cell 2 3 4 3" xfId="21302" xr:uid="{39C7067C-5109-4F5A-9B27-64AECB569B74}"/>
    <cellStyle name="Linked Cell 2 3 4 3 2" xfId="21303" xr:uid="{F77FF83D-E347-45D8-8E7C-D86B2099C1B9}"/>
    <cellStyle name="Linked Cell 2 3 4 3 2 2" xfId="21304" xr:uid="{0D2883E1-B1D8-4D5A-B1D7-C473C8BAD5A6}"/>
    <cellStyle name="Linked Cell 2 3 4 3 3" xfId="21305" xr:uid="{002428E7-EA6D-48AA-93A0-B9755C06E4FD}"/>
    <cellStyle name="Linked Cell 2 3 4 4" xfId="21306" xr:uid="{AB4F25A8-F582-4EF6-B0AC-191E2DDD717E}"/>
    <cellStyle name="Linked Cell 2 3 4 4 2" xfId="21307" xr:uid="{BF111C2D-61A8-4A35-B929-A6157DE5549C}"/>
    <cellStyle name="Linked Cell 2 3 4 4 2 2" xfId="21308" xr:uid="{9234E174-C968-4C5E-8A04-9B19934D9104}"/>
    <cellStyle name="Linked Cell 2 3 4 4 3" xfId="21309" xr:uid="{8D9DBDDB-AE8E-49CF-AC43-8AA0BBFDA849}"/>
    <cellStyle name="Linked Cell 2 3 4 5" xfId="21310" xr:uid="{41769979-9B5B-4A5B-A5FE-D950C145B657}"/>
    <cellStyle name="Linked Cell 2 3 4 5 2" xfId="21311" xr:uid="{0E429A6A-F5E0-487C-9D8E-EBA72B361B43}"/>
    <cellStyle name="Linked Cell 2 3 4 5 2 2" xfId="21312" xr:uid="{51772166-09A7-4213-B41D-F4462EAB264D}"/>
    <cellStyle name="Linked Cell 2 3 4 5 3" xfId="21313" xr:uid="{FB3BAFE5-5EE2-4DCD-A776-A1F8B15190EA}"/>
    <cellStyle name="Linked Cell 2 3 4 6" xfId="21314" xr:uid="{D5B95953-3B06-4918-8AAF-60C650FDB187}"/>
    <cellStyle name="Linked Cell 2 3 4 6 2" xfId="21315" xr:uid="{406F6CD2-9132-470F-8D8B-436341501F54}"/>
    <cellStyle name="Linked Cell 2 3 4 6 2 2" xfId="21316" xr:uid="{F7091D7A-6A48-43A6-8EC8-AD1A5A789A15}"/>
    <cellStyle name="Linked Cell 2 3 4 6 3" xfId="21317" xr:uid="{A05C7CF9-4C3B-4EEC-A5B3-9A67EDBCAA27}"/>
    <cellStyle name="Linked Cell 2 3 4 7" xfId="21318" xr:uid="{30676EED-D0FF-402B-BD7E-83A07186051E}"/>
    <cellStyle name="Linked Cell 2 3 4 7 2" xfId="21319" xr:uid="{DB20A05B-9A56-4413-9F15-7664A32DA23A}"/>
    <cellStyle name="Linked Cell 2 3 4 7 2 2" xfId="21320" xr:uid="{CAEFBF3F-6766-4D78-B96E-C9E8970401CF}"/>
    <cellStyle name="Linked Cell 2 3 4 7 3" xfId="21321" xr:uid="{FC1321B7-C59E-4C60-97C0-8034FDF78E5E}"/>
    <cellStyle name="Linked Cell 2 3 4 8" xfId="21322" xr:uid="{99951AC0-922C-4AAD-802E-53B66FFCBB36}"/>
    <cellStyle name="Linked Cell 2 3 4 8 2" xfId="21323" xr:uid="{E053B347-5A79-441E-9B83-37BE71EA7CE5}"/>
    <cellStyle name="Linked Cell 2 3 4 8 2 2" xfId="21324" xr:uid="{7064FEBA-33A5-4588-9FF4-E47B59E20A20}"/>
    <cellStyle name="Linked Cell 2 3 4 8 3" xfId="21325" xr:uid="{094D924B-67A7-42B9-A9F7-3F3F47CC730C}"/>
    <cellStyle name="Linked Cell 2 3 4 9" xfId="21326" xr:uid="{4C37A8BB-690B-42A6-A8D6-C2B4F794AC64}"/>
    <cellStyle name="Linked Cell 2 3 4 9 2" xfId="21327" xr:uid="{936FBBCD-3032-4F41-A733-67049ABB4114}"/>
    <cellStyle name="Linked Cell 2 3 4 9 2 2" xfId="21328" xr:uid="{76139521-93A4-4F5D-B918-0C79BF6C102C}"/>
    <cellStyle name="Linked Cell 2 3 4 9 3" xfId="21329" xr:uid="{2815F157-CCAD-4885-80F0-81EA870798B2}"/>
    <cellStyle name="Linked Cell 2 3 5" xfId="21330" xr:uid="{0F70CC9F-A774-48FD-8D09-327575B2B7C3}"/>
    <cellStyle name="Linked Cell 2 3 5 2" xfId="21331" xr:uid="{BC333A9E-84EC-4D38-A37E-243A4A0A3F60}"/>
    <cellStyle name="Linked Cell 2 3 5 2 2" xfId="21332" xr:uid="{C3AF02D3-F7C0-4DA8-B672-358707183D24}"/>
    <cellStyle name="Linked Cell 2 3 5 3" xfId="21333" xr:uid="{3BA9D61F-8605-4100-954C-FC80907DC29E}"/>
    <cellStyle name="Linked Cell 2 3 6" xfId="21334" xr:uid="{35932AD6-8DDC-4827-BFB8-59A22FE090CA}"/>
    <cellStyle name="Linked Cell 2 3 6 2" xfId="21335" xr:uid="{51322CE5-2547-47CE-BBB5-1740F4FFBAEC}"/>
    <cellStyle name="Linked Cell 2 3 6 2 2" xfId="21336" xr:uid="{460AF949-1093-4B36-ACF1-3C81820D933A}"/>
    <cellStyle name="Linked Cell 2 3 6 3" xfId="21337" xr:uid="{D2ED022E-78F5-4D23-87AA-DA017069A78A}"/>
    <cellStyle name="Linked Cell 2 3 7" xfId="21338" xr:uid="{F95637F1-BD29-433A-BA8E-70A09684CE80}"/>
    <cellStyle name="Linked Cell 2 3 7 2" xfId="21339" xr:uid="{E5DAF1D6-C267-4584-9F00-172D90D5EDFB}"/>
    <cellStyle name="Linked Cell 2 3 7 2 2" xfId="21340" xr:uid="{5194C63B-0464-4FBE-A6E6-7F9A301C9111}"/>
    <cellStyle name="Linked Cell 2 3 7 3" xfId="21341" xr:uid="{F2B370D9-4F95-4A84-BC9E-A93752F6497D}"/>
    <cellStyle name="Linked Cell 2 3 8" xfId="21342" xr:uid="{DE8A5995-799B-4538-A50C-076E59F72C2C}"/>
    <cellStyle name="Linked Cell 2 3 8 2" xfId="21343" xr:uid="{E40DD923-57D6-4D0F-B0F9-BB57FF93EC84}"/>
    <cellStyle name="Linked Cell 2 3 8 2 2" xfId="21344" xr:uid="{DF3C3251-1860-4BFC-A8FF-E1917F842BE5}"/>
    <cellStyle name="Linked Cell 2 3 8 3" xfId="21345" xr:uid="{40F06EEA-3528-48C4-B5EC-CD3B86009813}"/>
    <cellStyle name="Linked Cell 2 3 9" xfId="21346" xr:uid="{9856C199-0E1B-4FA0-839B-2EB5C9D2949A}"/>
    <cellStyle name="Linked Cell 2 3 9 2" xfId="21347" xr:uid="{6D7555A0-1DFF-49EE-AFD0-EDB1B53DE671}"/>
    <cellStyle name="Linked Cell 2 3 9 2 2" xfId="21348" xr:uid="{E23E5DD3-8898-4799-93ED-97A6E62514DD}"/>
    <cellStyle name="Linked Cell 2 3 9 3" xfId="21349" xr:uid="{C83BDD98-811A-4156-92B6-317539CDE4F3}"/>
    <cellStyle name="Linked Cell 2 4" xfId="21350" xr:uid="{DF4B5A5B-096C-45DC-BA2B-7EE9E26267CE}"/>
    <cellStyle name="Linked Cell 2 4 10" xfId="21351" xr:uid="{5C2BF95C-35F1-479E-AD81-8C4B52FBC30E}"/>
    <cellStyle name="Linked Cell 2 4 10 2" xfId="21352" xr:uid="{23C1C32D-ECE2-41D3-B2E5-83F66100FF91}"/>
    <cellStyle name="Linked Cell 2 4 10 2 2" xfId="21353" xr:uid="{2D6E9828-B2A1-491B-92B5-116DC1B99B68}"/>
    <cellStyle name="Linked Cell 2 4 10 3" xfId="21354" xr:uid="{B1A37549-92A6-4118-B7C5-AF5A234F7592}"/>
    <cellStyle name="Linked Cell 2 4 11" xfId="21355" xr:uid="{D4515E71-980D-4A02-A66D-B0A2E64AB5CC}"/>
    <cellStyle name="Linked Cell 2 4 11 2" xfId="21356" xr:uid="{F90E3007-A777-42CB-8636-18383CF3FCBF}"/>
    <cellStyle name="Linked Cell 2 4 11 2 2" xfId="21357" xr:uid="{EDCBA4AE-8C0C-429F-881D-0C2987A6613B}"/>
    <cellStyle name="Linked Cell 2 4 11 3" xfId="21358" xr:uid="{6F168837-084B-417D-BCCF-DA1B3922C338}"/>
    <cellStyle name="Linked Cell 2 4 12" xfId="21359" xr:uid="{9A3BAA10-A847-45A2-AA28-B75B5368BF3E}"/>
    <cellStyle name="Linked Cell 2 4 12 2" xfId="21360" xr:uid="{B050D4B0-6724-496C-9E0E-7CE90B27D761}"/>
    <cellStyle name="Linked Cell 2 4 13" xfId="21361" xr:uid="{57C812AE-5D81-4ED8-8A36-E139FADBCC59}"/>
    <cellStyle name="Linked Cell 2 4 2" xfId="21362" xr:uid="{D2B395EB-9E41-4764-B7E4-7CDDA881C196}"/>
    <cellStyle name="Linked Cell 2 4 2 10" xfId="21363" xr:uid="{7090A624-B2B0-41CB-AB58-F4D1A97AACE3}"/>
    <cellStyle name="Linked Cell 2 4 2 10 2" xfId="21364" xr:uid="{636C5FF7-3A97-4E3D-9229-E31FA6DBF85B}"/>
    <cellStyle name="Linked Cell 2 4 2 10 2 2" xfId="21365" xr:uid="{C27D61D9-1D1F-4277-8705-7232DF405621}"/>
    <cellStyle name="Linked Cell 2 4 2 10 3" xfId="21366" xr:uid="{909F9CFE-FCB7-4142-8D36-69A1F4242C12}"/>
    <cellStyle name="Linked Cell 2 4 2 11" xfId="21367" xr:uid="{547B2094-C9F8-43F2-A59E-4FAF5C04C025}"/>
    <cellStyle name="Linked Cell 2 4 2 11 2" xfId="21368" xr:uid="{FDD4CAA6-1C54-4EDC-84B0-709D5E38945B}"/>
    <cellStyle name="Linked Cell 2 4 2 12" xfId="21369" xr:uid="{7B65B11E-B8AC-4A7E-8993-0505BA911528}"/>
    <cellStyle name="Linked Cell 2 4 2 2" xfId="21370" xr:uid="{26C67F3B-2FAA-420F-A6B4-56D86349A3CE}"/>
    <cellStyle name="Linked Cell 2 4 2 2 2" xfId="21371" xr:uid="{D69155E4-6E93-49C2-8778-67E9520A1EF7}"/>
    <cellStyle name="Linked Cell 2 4 2 2 2 2" xfId="21372" xr:uid="{95836E92-4771-42F8-A67A-43F45DD6D737}"/>
    <cellStyle name="Linked Cell 2 4 2 2 3" xfId="21373" xr:uid="{549B2E4C-6688-4520-998B-0E6AED1AE9A5}"/>
    <cellStyle name="Linked Cell 2 4 2 3" xfId="21374" xr:uid="{27CBC445-941E-4CD3-8B2F-64C6EB77D439}"/>
    <cellStyle name="Linked Cell 2 4 2 3 2" xfId="21375" xr:uid="{A2AB9A81-5605-40B8-B8B9-0FC01796C9ED}"/>
    <cellStyle name="Linked Cell 2 4 2 3 2 2" xfId="21376" xr:uid="{5ED915E0-7227-4636-801C-03962E4A9CD8}"/>
    <cellStyle name="Linked Cell 2 4 2 3 3" xfId="21377" xr:uid="{CDD15615-E71F-4216-8523-09C7CC7F5AAF}"/>
    <cellStyle name="Linked Cell 2 4 2 4" xfId="21378" xr:uid="{F95C7D0A-8CA5-4BD6-9EB5-0101CA2CEE81}"/>
    <cellStyle name="Linked Cell 2 4 2 4 2" xfId="21379" xr:uid="{79D97952-6AD6-4559-B2D4-B22B9567E9D1}"/>
    <cellStyle name="Linked Cell 2 4 2 4 2 2" xfId="21380" xr:uid="{78A05FD9-FBBA-487D-B33C-003CF287266C}"/>
    <cellStyle name="Linked Cell 2 4 2 4 3" xfId="21381" xr:uid="{44E828F2-6211-4DA2-B2ED-BE3A2525C210}"/>
    <cellStyle name="Linked Cell 2 4 2 5" xfId="21382" xr:uid="{F0017EEF-05DD-45BC-AFE0-55F79233EA88}"/>
    <cellStyle name="Linked Cell 2 4 2 5 2" xfId="21383" xr:uid="{850412D5-8761-46AD-BF74-3A9E67D91E4F}"/>
    <cellStyle name="Linked Cell 2 4 2 5 2 2" xfId="21384" xr:uid="{19DE8A47-DB27-4047-A4C6-C6BA8A3B5843}"/>
    <cellStyle name="Linked Cell 2 4 2 5 3" xfId="21385" xr:uid="{2C4F7301-79FB-4F1B-BA9A-39C13C9E8259}"/>
    <cellStyle name="Linked Cell 2 4 2 6" xfId="21386" xr:uid="{359383C0-98E3-4F94-A316-7225CBD91345}"/>
    <cellStyle name="Linked Cell 2 4 2 6 2" xfId="21387" xr:uid="{8C219819-1F74-496B-A4F8-6B42A8033A69}"/>
    <cellStyle name="Linked Cell 2 4 2 6 2 2" xfId="21388" xr:uid="{5D4FEB91-6B9D-46D7-A0B6-D4389183EAD5}"/>
    <cellStyle name="Linked Cell 2 4 2 6 3" xfId="21389" xr:uid="{535F5062-6013-40F2-A6FB-8327C8F912F1}"/>
    <cellStyle name="Linked Cell 2 4 2 7" xfId="21390" xr:uid="{3E48D1FC-F282-4AF1-A9E9-6BB70475AAD8}"/>
    <cellStyle name="Linked Cell 2 4 2 7 2" xfId="21391" xr:uid="{302BF6B3-2C20-41F9-8C60-A188A8D58135}"/>
    <cellStyle name="Linked Cell 2 4 2 7 2 2" xfId="21392" xr:uid="{C22F164A-FFF1-4A93-A034-A68CDD3CC4EA}"/>
    <cellStyle name="Linked Cell 2 4 2 7 3" xfId="21393" xr:uid="{9597BC7A-565A-4704-AE8D-15A35F2702E5}"/>
    <cellStyle name="Linked Cell 2 4 2 8" xfId="21394" xr:uid="{D8BD0A10-19A9-4FC3-A1A1-D7ACA0DAD65A}"/>
    <cellStyle name="Linked Cell 2 4 2 8 2" xfId="21395" xr:uid="{37C9F35D-C905-4EEC-9D30-B080C3C72C41}"/>
    <cellStyle name="Linked Cell 2 4 2 8 2 2" xfId="21396" xr:uid="{E4D64137-38B7-47BF-A9C3-6BCD299911E7}"/>
    <cellStyle name="Linked Cell 2 4 2 8 3" xfId="21397" xr:uid="{124C74C9-5395-4D32-A4A0-67EA63B08BA8}"/>
    <cellStyle name="Linked Cell 2 4 2 9" xfId="21398" xr:uid="{78088C94-CA29-4B55-BFB6-DBE6A2C29F81}"/>
    <cellStyle name="Linked Cell 2 4 2 9 2" xfId="21399" xr:uid="{2F54094E-A904-43CD-841A-8A5627D5EA8D}"/>
    <cellStyle name="Linked Cell 2 4 2 9 2 2" xfId="21400" xr:uid="{A60BFF10-0FE3-435C-B1A9-F0AAFA67654F}"/>
    <cellStyle name="Linked Cell 2 4 2 9 3" xfId="21401" xr:uid="{1B977282-0D5B-4A8E-BA75-6F0349C828C0}"/>
    <cellStyle name="Linked Cell 2 4 3" xfId="21402" xr:uid="{2B04FFD8-3AD9-413C-A3FB-28F89CF1762B}"/>
    <cellStyle name="Linked Cell 2 4 3 10" xfId="21403" xr:uid="{C1999830-C426-45AF-B6D4-5C5CC7951173}"/>
    <cellStyle name="Linked Cell 2 4 3 10 2" xfId="21404" xr:uid="{C888DBA6-8B94-481D-884A-6123BC092149}"/>
    <cellStyle name="Linked Cell 2 4 3 11" xfId="21405" xr:uid="{2FB0B9FE-9F82-4699-8810-B0E7488025F1}"/>
    <cellStyle name="Linked Cell 2 4 3 2" xfId="21406" xr:uid="{0CEA0A4B-52F7-47F1-8D8C-FD3BEA28F792}"/>
    <cellStyle name="Linked Cell 2 4 3 2 2" xfId="21407" xr:uid="{8A1693D0-E61A-42EF-93F5-EFD220B84A76}"/>
    <cellStyle name="Linked Cell 2 4 3 2 2 2" xfId="21408" xr:uid="{C3DFB047-14C2-4EFD-83BA-E86769912B05}"/>
    <cellStyle name="Linked Cell 2 4 3 2 3" xfId="21409" xr:uid="{BA3BBD03-E213-4BFF-A3EC-9C83665539E8}"/>
    <cellStyle name="Linked Cell 2 4 3 3" xfId="21410" xr:uid="{19D84D56-6A80-4B9E-B102-C86578B57E21}"/>
    <cellStyle name="Linked Cell 2 4 3 3 2" xfId="21411" xr:uid="{BDEDFBCA-1042-45BE-8032-2569BDC8E750}"/>
    <cellStyle name="Linked Cell 2 4 3 3 2 2" xfId="21412" xr:uid="{C8369D95-E405-4E3A-B9B2-ADAF25A270C9}"/>
    <cellStyle name="Linked Cell 2 4 3 3 3" xfId="21413" xr:uid="{45EE4484-1901-4D7D-8C35-BC9D305CF1CC}"/>
    <cellStyle name="Linked Cell 2 4 3 4" xfId="21414" xr:uid="{FA97A1A1-C734-4CF5-B663-28E0B449CBD3}"/>
    <cellStyle name="Linked Cell 2 4 3 4 2" xfId="21415" xr:uid="{02318806-97D7-4341-A4D7-B4B12350FDE1}"/>
    <cellStyle name="Linked Cell 2 4 3 4 2 2" xfId="21416" xr:uid="{FE7443D6-6DDB-46DD-8789-F62B3B3EC2B5}"/>
    <cellStyle name="Linked Cell 2 4 3 4 3" xfId="21417" xr:uid="{DD1F2C31-60FF-462F-8420-D9948D6F8495}"/>
    <cellStyle name="Linked Cell 2 4 3 5" xfId="21418" xr:uid="{24CCAE0B-904E-4ADD-A332-113B69A8F76F}"/>
    <cellStyle name="Linked Cell 2 4 3 5 2" xfId="21419" xr:uid="{E06B1AF5-B3DB-466D-B9B2-5712C0C12BB6}"/>
    <cellStyle name="Linked Cell 2 4 3 5 2 2" xfId="21420" xr:uid="{DCBF59E9-9D57-42E2-A9F7-195BE1F48366}"/>
    <cellStyle name="Linked Cell 2 4 3 5 3" xfId="21421" xr:uid="{F5794CF8-FDCF-4A4A-9C1A-0E10148BE231}"/>
    <cellStyle name="Linked Cell 2 4 3 6" xfId="21422" xr:uid="{383E4317-3A72-4BDC-86C0-A9B22BED8500}"/>
    <cellStyle name="Linked Cell 2 4 3 6 2" xfId="21423" xr:uid="{71BB0287-DFA5-4E43-869E-CD32D9A72CA8}"/>
    <cellStyle name="Linked Cell 2 4 3 6 2 2" xfId="21424" xr:uid="{E02F3BFC-201C-4C80-9F34-ABBF975DF66E}"/>
    <cellStyle name="Linked Cell 2 4 3 6 3" xfId="21425" xr:uid="{65BD5BE4-4B2B-43B0-8019-D267D0F4AA76}"/>
    <cellStyle name="Linked Cell 2 4 3 7" xfId="21426" xr:uid="{1A8FCB68-54E9-4C0B-BF42-1CA57A29D3DF}"/>
    <cellStyle name="Linked Cell 2 4 3 7 2" xfId="21427" xr:uid="{90053EE4-81BC-4490-8F64-E42D0D295626}"/>
    <cellStyle name="Linked Cell 2 4 3 7 2 2" xfId="21428" xr:uid="{268700B4-B4F0-4C0A-AFF1-AAA02086C783}"/>
    <cellStyle name="Linked Cell 2 4 3 7 3" xfId="21429" xr:uid="{3A86EFAD-FC5B-4E9B-99A5-CF233ECA7530}"/>
    <cellStyle name="Linked Cell 2 4 3 8" xfId="21430" xr:uid="{5918DB18-A0E4-440B-9C7B-54AE5D157448}"/>
    <cellStyle name="Linked Cell 2 4 3 8 2" xfId="21431" xr:uid="{A3C086F2-609C-445A-BF55-0F62B9516B51}"/>
    <cellStyle name="Linked Cell 2 4 3 8 2 2" xfId="21432" xr:uid="{5035BE62-9A25-4AB7-9078-366F2E855C73}"/>
    <cellStyle name="Linked Cell 2 4 3 8 3" xfId="21433" xr:uid="{E9734600-A81F-4FE3-8CE9-2358FBEE7A9C}"/>
    <cellStyle name="Linked Cell 2 4 3 9" xfId="21434" xr:uid="{E60C39BB-D351-45B1-9278-2AA3910EC90C}"/>
    <cellStyle name="Linked Cell 2 4 3 9 2" xfId="21435" xr:uid="{40ABC721-1B0E-4EE2-B2DE-5B20D7BB7E1E}"/>
    <cellStyle name="Linked Cell 2 4 3 9 2 2" xfId="21436" xr:uid="{F92AE114-9A68-4660-8106-05D40697BA66}"/>
    <cellStyle name="Linked Cell 2 4 3 9 3" xfId="21437" xr:uid="{BFB4D3FF-2199-4F63-8F68-FA1E2C74C005}"/>
    <cellStyle name="Linked Cell 2 4 4" xfId="21438" xr:uid="{5D898995-B198-4B09-8C45-BB9113B6BB7F}"/>
    <cellStyle name="Linked Cell 2 4 4 2" xfId="21439" xr:uid="{E7F3B04F-F82C-4B6E-A4B9-EB5E64146DA8}"/>
    <cellStyle name="Linked Cell 2 4 4 2 2" xfId="21440" xr:uid="{7DF3BFCA-A219-4979-BC29-DB8C604CCA1A}"/>
    <cellStyle name="Linked Cell 2 4 4 3" xfId="21441" xr:uid="{946A4FA8-FABF-422C-991F-211EE0EBCD10}"/>
    <cellStyle name="Linked Cell 2 4 5" xfId="21442" xr:uid="{681FE0EF-AD7D-40A5-BBA9-F6CE9FEE3E6C}"/>
    <cellStyle name="Linked Cell 2 4 5 2" xfId="21443" xr:uid="{93BCA17D-2FD8-4E42-BF18-9532CBE3B249}"/>
    <cellStyle name="Linked Cell 2 4 5 2 2" xfId="21444" xr:uid="{6670E2A5-9361-43D6-A9A8-0A303CCC0BEA}"/>
    <cellStyle name="Linked Cell 2 4 5 3" xfId="21445" xr:uid="{B0FD58D4-D7AD-44E0-9A63-053E63BA57D2}"/>
    <cellStyle name="Linked Cell 2 4 6" xfId="21446" xr:uid="{F1789395-C3C1-4FFF-8A06-0DCD8A74AB9A}"/>
    <cellStyle name="Linked Cell 2 4 6 2" xfId="21447" xr:uid="{A47FB662-E16A-4C75-B99D-CDBA2B64F639}"/>
    <cellStyle name="Linked Cell 2 4 6 2 2" xfId="21448" xr:uid="{72FDDBD6-4928-48E6-82FE-DC3FA45FE37E}"/>
    <cellStyle name="Linked Cell 2 4 6 3" xfId="21449" xr:uid="{E3101997-343B-49C6-A1B2-8A2164C469E2}"/>
    <cellStyle name="Linked Cell 2 4 7" xfId="21450" xr:uid="{BAAE652F-86B1-41C7-929A-099EA54A76F6}"/>
    <cellStyle name="Linked Cell 2 4 7 2" xfId="21451" xr:uid="{7EA6F31A-613F-4A60-A331-9B0E8C75A207}"/>
    <cellStyle name="Linked Cell 2 4 7 2 2" xfId="21452" xr:uid="{0FD9299F-1B1B-4B38-8077-6855179C1928}"/>
    <cellStyle name="Linked Cell 2 4 7 3" xfId="21453" xr:uid="{47027FA7-59D7-4415-AD0D-D36FD4E493C7}"/>
    <cellStyle name="Linked Cell 2 4 8" xfId="21454" xr:uid="{002DE74C-6E5C-4337-ACF5-E6C02114670D}"/>
    <cellStyle name="Linked Cell 2 4 8 2" xfId="21455" xr:uid="{030B8961-7CB6-4B70-8F9E-00338DE38B38}"/>
    <cellStyle name="Linked Cell 2 4 8 2 2" xfId="21456" xr:uid="{CB321D2F-699B-4E40-B0B2-94AE622DB27B}"/>
    <cellStyle name="Linked Cell 2 4 8 3" xfId="21457" xr:uid="{AFA9871D-68DF-4DE3-A723-80ABFAB2B4FA}"/>
    <cellStyle name="Linked Cell 2 4 9" xfId="21458" xr:uid="{4B6C018E-0267-4D02-922C-DA827DD53283}"/>
    <cellStyle name="Linked Cell 2 4 9 2" xfId="21459" xr:uid="{7AFA3194-ADC9-4132-AF62-81EBAC51063B}"/>
    <cellStyle name="Linked Cell 2 4 9 2 2" xfId="21460" xr:uid="{E95D5656-5CD4-4B4A-B871-4930708AA556}"/>
    <cellStyle name="Linked Cell 2 4 9 3" xfId="21461" xr:uid="{9DF74559-9409-4865-B73D-CF3667748AF7}"/>
    <cellStyle name="Linked Cell 20" xfId="21462" xr:uid="{87B45879-31A9-4BD3-BC30-CC0C01B97A0C}"/>
    <cellStyle name="Linked Cell 20 2" xfId="21463" xr:uid="{88972584-8C1A-40B3-BC7A-17CAE89C8779}"/>
    <cellStyle name="Linked Cell 20 2 10" xfId="21464" xr:uid="{375BBCF1-071B-44A2-AAA7-EC798AF75603}"/>
    <cellStyle name="Linked Cell 20 2 10 2" xfId="21465" xr:uid="{263D1317-FE05-4596-836E-F50ED447CB93}"/>
    <cellStyle name="Linked Cell 20 2 10 2 2" xfId="21466" xr:uid="{EB7B8BF8-9F8C-4261-9407-E6F2474D29FD}"/>
    <cellStyle name="Linked Cell 20 2 10 3" xfId="21467" xr:uid="{D6D295C4-DD12-4705-B109-5BF3FD221346}"/>
    <cellStyle name="Linked Cell 20 2 11" xfId="21468" xr:uid="{AB9E0CCB-448F-45F6-97CB-A852D028481E}"/>
    <cellStyle name="Linked Cell 20 2 11 2" xfId="21469" xr:uid="{237F3D4F-5889-4984-95DF-1D9D4448E7DC}"/>
    <cellStyle name="Linked Cell 20 2 11 2 2" xfId="21470" xr:uid="{0673840E-C0B7-4CC1-BDE3-DDFBBCE8B2CE}"/>
    <cellStyle name="Linked Cell 20 2 11 3" xfId="21471" xr:uid="{292D18D5-9D13-4D86-99B1-675D067B3A0D}"/>
    <cellStyle name="Linked Cell 20 2 12" xfId="21472" xr:uid="{F57CDFC1-374F-4B0E-9553-3CFD560ACD79}"/>
    <cellStyle name="Linked Cell 20 2 12 2" xfId="21473" xr:uid="{6F710353-B826-4253-B10F-9472C3F8CDB2}"/>
    <cellStyle name="Linked Cell 20 2 12 2 2" xfId="21474" xr:uid="{5036CFC5-A4D0-4E46-B2B5-D9937E1A2FBD}"/>
    <cellStyle name="Linked Cell 20 2 12 3" xfId="21475" xr:uid="{0E290BD2-DAE9-4F2F-BA84-D6B52B262788}"/>
    <cellStyle name="Linked Cell 20 2 13" xfId="21476" xr:uid="{28248656-19A3-452B-AB0C-CE804774DC8E}"/>
    <cellStyle name="Linked Cell 20 2 13 2" xfId="21477" xr:uid="{976C75FB-503A-4605-939C-4A5EC35F44A9}"/>
    <cellStyle name="Linked Cell 20 2 13 2 2" xfId="21478" xr:uid="{742150AF-796A-46D0-8BC9-25AE8187EC2C}"/>
    <cellStyle name="Linked Cell 20 2 13 3" xfId="21479" xr:uid="{6CC4D2B6-C8F2-4B00-8C0F-ADB35AA37A22}"/>
    <cellStyle name="Linked Cell 20 2 14" xfId="21480" xr:uid="{1CBB9EEF-B152-4E77-A68D-9F5A7EE3140D}"/>
    <cellStyle name="Linked Cell 20 2 14 2" xfId="21481" xr:uid="{D5F777B3-721A-4642-AF01-0EB538F7F81F}"/>
    <cellStyle name="Linked Cell 20 2 15" xfId="21482" xr:uid="{A9BBFE70-6DB2-4C7B-BA1F-66E97D12871A}"/>
    <cellStyle name="Linked Cell 20 2 2" xfId="21483" xr:uid="{5EEF2767-E98B-46DE-B66A-DE36C7F4E8AB}"/>
    <cellStyle name="Linked Cell 20 2 2 10" xfId="21484" xr:uid="{F619832C-003C-44B6-964F-B1A0A8C935C9}"/>
    <cellStyle name="Linked Cell 20 2 2 10 2" xfId="21485" xr:uid="{A95C0D3A-775B-4069-8AF1-487CF5947175}"/>
    <cellStyle name="Linked Cell 20 2 2 10 2 2" xfId="21486" xr:uid="{D7710048-F1A7-45D7-B1AE-6881151C7294}"/>
    <cellStyle name="Linked Cell 20 2 2 10 3" xfId="21487" xr:uid="{53CE320F-4EA6-4E4F-9FA4-5D02F3EA6592}"/>
    <cellStyle name="Linked Cell 20 2 2 11" xfId="21488" xr:uid="{715EBCEA-A139-4D86-BC1C-4AD4270B115E}"/>
    <cellStyle name="Linked Cell 20 2 2 11 2" xfId="21489" xr:uid="{34E9B7DB-9930-4288-B99A-F2DD380DF16D}"/>
    <cellStyle name="Linked Cell 20 2 2 11 2 2" xfId="21490" xr:uid="{AF47526A-3A0C-4ACF-8C4D-DA8C58698E37}"/>
    <cellStyle name="Linked Cell 20 2 2 11 3" xfId="21491" xr:uid="{753608E5-FC3B-452E-AE97-835784B858B8}"/>
    <cellStyle name="Linked Cell 20 2 2 12" xfId="21492" xr:uid="{2F4B7D30-07AF-4E5F-A697-6322844346FF}"/>
    <cellStyle name="Linked Cell 20 2 2 12 2" xfId="21493" xr:uid="{4A53FD63-A0F2-43DD-B54E-C99D9114A8BD}"/>
    <cellStyle name="Linked Cell 20 2 2 12 2 2" xfId="21494" xr:uid="{0A3BF8D1-57DB-49E2-9E05-4253F6DCF261}"/>
    <cellStyle name="Linked Cell 20 2 2 12 3" xfId="21495" xr:uid="{C45EFF38-D792-49B6-A4B6-74E8E11E8798}"/>
    <cellStyle name="Linked Cell 20 2 2 13" xfId="21496" xr:uid="{C0A4071F-8DE9-4FF7-8EEF-185FA0865102}"/>
    <cellStyle name="Linked Cell 20 2 2 13 2" xfId="21497" xr:uid="{2B5D5B61-242D-4F3B-B572-07D5F021A98C}"/>
    <cellStyle name="Linked Cell 20 2 2 14" xfId="21498" xr:uid="{80F25827-E904-4C69-AB9A-18F6B7AAC6B6}"/>
    <cellStyle name="Linked Cell 20 2 2 2" xfId="21499" xr:uid="{C8AB7F23-BDDD-4C52-BF93-3E3901279B1E}"/>
    <cellStyle name="Linked Cell 20 2 2 2 10" xfId="21500" xr:uid="{1E9446E9-BF81-454A-BF71-A62856810A88}"/>
    <cellStyle name="Linked Cell 20 2 2 2 10 2" xfId="21501" xr:uid="{1E831BA8-888B-49FC-B4ED-701CC02E1637}"/>
    <cellStyle name="Linked Cell 20 2 2 2 10 2 2" xfId="21502" xr:uid="{7E60BA1B-CAA9-4706-AD5F-2B69F892D828}"/>
    <cellStyle name="Linked Cell 20 2 2 2 10 3" xfId="21503" xr:uid="{070F7CAD-5DB2-4CFC-B939-F9285576B52E}"/>
    <cellStyle name="Linked Cell 20 2 2 2 11" xfId="21504" xr:uid="{34A01D61-5A56-47BB-A0CC-A712A16DF47B}"/>
    <cellStyle name="Linked Cell 20 2 2 2 11 2" xfId="21505" xr:uid="{3A6AF58B-B018-4682-A5B6-DE90790CD834}"/>
    <cellStyle name="Linked Cell 20 2 2 2 11 2 2" xfId="21506" xr:uid="{07EB257E-BCDB-42CF-8476-BE0DD7762BBC}"/>
    <cellStyle name="Linked Cell 20 2 2 2 11 3" xfId="21507" xr:uid="{328ABC99-0F2C-4CDB-820F-43B93087E3EA}"/>
    <cellStyle name="Linked Cell 20 2 2 2 12" xfId="21508" xr:uid="{DBE56CB7-8A70-4ED7-9B83-339CFB557EB3}"/>
    <cellStyle name="Linked Cell 20 2 2 2 12 2" xfId="21509" xr:uid="{CAB0DA5E-C2F1-4948-BA68-248F2F88C186}"/>
    <cellStyle name="Linked Cell 20 2 2 2 13" xfId="21510" xr:uid="{858C24F2-7721-4FEB-9B1D-FE2B88AC703F}"/>
    <cellStyle name="Linked Cell 20 2 2 2 2" xfId="21511" xr:uid="{50AADD37-3EC1-4EF3-AAB0-431BDE446824}"/>
    <cellStyle name="Linked Cell 20 2 2 2 2 10" xfId="21512" xr:uid="{EE4469DE-ABE4-4AE3-81FB-81B64B4014F6}"/>
    <cellStyle name="Linked Cell 20 2 2 2 2 10 2" xfId="21513" xr:uid="{0E5D2064-3594-49A7-BB51-1E2BC03F5624}"/>
    <cellStyle name="Linked Cell 20 2 2 2 2 10 2 2" xfId="21514" xr:uid="{B0411BFE-AB01-4DBE-BA0D-61B321FC4BA4}"/>
    <cellStyle name="Linked Cell 20 2 2 2 2 10 3" xfId="21515" xr:uid="{91890A9D-B730-4CDE-889E-DA9DB65B3287}"/>
    <cellStyle name="Linked Cell 20 2 2 2 2 11" xfId="21516" xr:uid="{4F7BA364-A9D1-47EA-914D-95326E68B362}"/>
    <cellStyle name="Linked Cell 20 2 2 2 2 11 2" xfId="21517" xr:uid="{EDEA378C-4B60-4E04-8206-739F11F552F7}"/>
    <cellStyle name="Linked Cell 20 2 2 2 2 12" xfId="21518" xr:uid="{A145100B-6A95-46BF-8E14-AC7E31EAEF44}"/>
    <cellStyle name="Linked Cell 20 2 2 2 2 2" xfId="21519" xr:uid="{4B69625F-D387-469F-BF97-D79A6B66C238}"/>
    <cellStyle name="Linked Cell 20 2 2 2 2 2 2" xfId="21520" xr:uid="{E6987A91-AD73-4EDA-87C6-1CB470AABA07}"/>
    <cellStyle name="Linked Cell 20 2 2 2 2 2 2 2" xfId="21521" xr:uid="{15F06337-2E47-4A1D-A714-01F2956CC845}"/>
    <cellStyle name="Linked Cell 20 2 2 2 2 2 3" xfId="21522" xr:uid="{E4EA700D-807A-415D-9B0D-69EE7AD82CAE}"/>
    <cellStyle name="Linked Cell 20 2 2 2 2 3" xfId="21523" xr:uid="{EF73A741-1AEA-4E82-8D9B-33A36A162C62}"/>
    <cellStyle name="Linked Cell 20 2 2 2 2 3 2" xfId="21524" xr:uid="{0927AA0C-E6C7-497F-B588-94BA19668FB7}"/>
    <cellStyle name="Linked Cell 20 2 2 2 2 3 2 2" xfId="21525" xr:uid="{4A6B61E8-56EC-44A6-8389-C2F945F0AFB5}"/>
    <cellStyle name="Linked Cell 20 2 2 2 2 3 3" xfId="21526" xr:uid="{ADE6135C-52DF-4FCA-BB64-02B71DB7568C}"/>
    <cellStyle name="Linked Cell 20 2 2 2 2 4" xfId="21527" xr:uid="{E896262C-A945-4B8B-88C7-9EA1AE1FE5AD}"/>
    <cellStyle name="Linked Cell 20 2 2 2 2 4 2" xfId="21528" xr:uid="{6289B459-C7CF-4276-9350-2291186CA76E}"/>
    <cellStyle name="Linked Cell 20 2 2 2 2 4 2 2" xfId="21529" xr:uid="{73919167-6B7C-4560-9811-0AD878F5DA00}"/>
    <cellStyle name="Linked Cell 20 2 2 2 2 4 3" xfId="21530" xr:uid="{A835A42D-8DF5-4702-9ABE-FC431303BF3A}"/>
    <cellStyle name="Linked Cell 20 2 2 2 2 5" xfId="21531" xr:uid="{5EDC8930-18F7-48EB-A325-ADF1F25A7147}"/>
    <cellStyle name="Linked Cell 20 2 2 2 2 5 2" xfId="21532" xr:uid="{C5EE0C88-9048-4B40-B5F9-FB92F5CE469B}"/>
    <cellStyle name="Linked Cell 20 2 2 2 2 5 2 2" xfId="21533" xr:uid="{D986F75A-9D5C-44C1-9754-A0CDB85353E6}"/>
    <cellStyle name="Linked Cell 20 2 2 2 2 5 3" xfId="21534" xr:uid="{63BD2E06-9117-4435-B80B-0684A8BF6B16}"/>
    <cellStyle name="Linked Cell 20 2 2 2 2 6" xfId="21535" xr:uid="{88544FD8-2717-4D7B-B758-5B65A2C98539}"/>
    <cellStyle name="Linked Cell 20 2 2 2 2 6 2" xfId="21536" xr:uid="{277CA45F-4FD4-41B4-BEAB-E506E3A56622}"/>
    <cellStyle name="Linked Cell 20 2 2 2 2 6 2 2" xfId="21537" xr:uid="{A2D1F2CE-0F51-4918-A691-031CF3CF6FA5}"/>
    <cellStyle name="Linked Cell 20 2 2 2 2 6 3" xfId="21538" xr:uid="{BC51DBFA-5FB3-4412-BC67-9D74F2C413D1}"/>
    <cellStyle name="Linked Cell 20 2 2 2 2 7" xfId="21539" xr:uid="{583D4E97-88C4-415B-B81F-B5FA26178D23}"/>
    <cellStyle name="Linked Cell 20 2 2 2 2 7 2" xfId="21540" xr:uid="{970BE76B-4072-4D08-9E25-3D8AB45D0A9E}"/>
    <cellStyle name="Linked Cell 20 2 2 2 2 7 2 2" xfId="21541" xr:uid="{BBC7A7A7-94A1-4420-B217-8983660D54A5}"/>
    <cellStyle name="Linked Cell 20 2 2 2 2 7 3" xfId="21542" xr:uid="{435C891B-0BAE-4D8B-A779-9BA506A47105}"/>
    <cellStyle name="Linked Cell 20 2 2 2 2 8" xfId="21543" xr:uid="{5D6B4F92-E0EF-4B8F-90EB-6B69CFC5D106}"/>
    <cellStyle name="Linked Cell 20 2 2 2 2 8 2" xfId="21544" xr:uid="{87574F6A-7AD1-4D40-8B03-70068726CF8F}"/>
    <cellStyle name="Linked Cell 20 2 2 2 2 8 2 2" xfId="21545" xr:uid="{B01B1065-DD30-4D81-B815-1F5BC6819D4E}"/>
    <cellStyle name="Linked Cell 20 2 2 2 2 8 3" xfId="21546" xr:uid="{86C19DD3-CBF8-4744-848B-0DF8CFB8F14F}"/>
    <cellStyle name="Linked Cell 20 2 2 2 2 9" xfId="21547" xr:uid="{B6D9B372-77B5-433D-B4FB-0B4DF7650298}"/>
    <cellStyle name="Linked Cell 20 2 2 2 2 9 2" xfId="21548" xr:uid="{0FB212A8-26E3-440D-876C-F5D5375A14E4}"/>
    <cellStyle name="Linked Cell 20 2 2 2 2 9 2 2" xfId="21549" xr:uid="{EBA3BB12-D7AF-4B48-BDFF-06D1593B4161}"/>
    <cellStyle name="Linked Cell 20 2 2 2 2 9 3" xfId="21550" xr:uid="{186A9B3F-3DC4-4658-820F-B66339D31A91}"/>
    <cellStyle name="Linked Cell 20 2 2 2 3" xfId="21551" xr:uid="{D26370A0-A9F2-4C76-BECA-DC18A342815F}"/>
    <cellStyle name="Linked Cell 20 2 2 2 3 10" xfId="21552" xr:uid="{84C9B6F2-9CB5-4C8B-809C-F1B366B2D8D0}"/>
    <cellStyle name="Linked Cell 20 2 2 2 3 10 2" xfId="21553" xr:uid="{BA70678A-C30B-4187-89BD-BABF573DD1E4}"/>
    <cellStyle name="Linked Cell 20 2 2 2 3 11" xfId="21554" xr:uid="{66A92E0C-62BD-418E-B4CB-46D5D03677C1}"/>
    <cellStyle name="Linked Cell 20 2 2 2 3 2" xfId="21555" xr:uid="{8FFA6199-8CCC-48EC-8EEE-3C99FCF7B3F7}"/>
    <cellStyle name="Linked Cell 20 2 2 2 3 2 2" xfId="21556" xr:uid="{49CFC2FD-57B9-49F3-A4F1-C2419BEA9251}"/>
    <cellStyle name="Linked Cell 20 2 2 2 3 2 2 2" xfId="21557" xr:uid="{BB2C956D-3CDE-4F20-BC78-1DC526FC0F36}"/>
    <cellStyle name="Linked Cell 20 2 2 2 3 2 3" xfId="21558" xr:uid="{39D7766B-117C-4520-AFD5-C194155294FD}"/>
    <cellStyle name="Linked Cell 20 2 2 2 3 3" xfId="21559" xr:uid="{AC20A785-A168-4635-A9D5-F3E18B4EB7DA}"/>
    <cellStyle name="Linked Cell 20 2 2 2 3 3 2" xfId="21560" xr:uid="{974BDBAC-9638-47E8-8C92-6EE148A31750}"/>
    <cellStyle name="Linked Cell 20 2 2 2 3 3 2 2" xfId="21561" xr:uid="{62130A71-2988-45E9-8A06-DF85D7145F07}"/>
    <cellStyle name="Linked Cell 20 2 2 2 3 3 3" xfId="21562" xr:uid="{969F6997-61EE-4362-A0F7-C72CB1D29EA0}"/>
    <cellStyle name="Linked Cell 20 2 2 2 3 4" xfId="21563" xr:uid="{62092A74-08BA-4857-ACE7-8D44B8587734}"/>
    <cellStyle name="Linked Cell 20 2 2 2 3 4 2" xfId="21564" xr:uid="{023B53C5-8A28-400F-91CF-C24565DAC461}"/>
    <cellStyle name="Linked Cell 20 2 2 2 3 4 2 2" xfId="21565" xr:uid="{30CB09C2-71F5-4CC2-B792-0381EA0FDA3F}"/>
    <cellStyle name="Linked Cell 20 2 2 2 3 4 3" xfId="21566" xr:uid="{2812B605-1FD0-481D-A8A1-771F18D86168}"/>
    <cellStyle name="Linked Cell 20 2 2 2 3 5" xfId="21567" xr:uid="{2B719DE3-AE83-4721-8AC6-25AE8C6C7AD6}"/>
    <cellStyle name="Linked Cell 20 2 2 2 3 5 2" xfId="21568" xr:uid="{8F67FD27-79F9-482A-8D03-0864CE4E5602}"/>
    <cellStyle name="Linked Cell 20 2 2 2 3 5 2 2" xfId="21569" xr:uid="{485330DA-4C02-4634-8799-D2AB1289C13B}"/>
    <cellStyle name="Linked Cell 20 2 2 2 3 5 3" xfId="21570" xr:uid="{1C6AFB41-6EE5-41AC-9C3F-08C488325557}"/>
    <cellStyle name="Linked Cell 20 2 2 2 3 6" xfId="21571" xr:uid="{57485FB3-32ED-4D2B-B378-E4F54AB71D93}"/>
    <cellStyle name="Linked Cell 20 2 2 2 3 6 2" xfId="21572" xr:uid="{9AED7F56-800B-46A0-9DC7-8F0C70E92823}"/>
    <cellStyle name="Linked Cell 20 2 2 2 3 6 2 2" xfId="21573" xr:uid="{64C92962-8BA4-425D-8BDC-56C23EE617FE}"/>
    <cellStyle name="Linked Cell 20 2 2 2 3 6 3" xfId="21574" xr:uid="{BE64F99C-3261-4AEB-8FE5-D5D127A4F929}"/>
    <cellStyle name="Linked Cell 20 2 2 2 3 7" xfId="21575" xr:uid="{14114619-1E72-403B-A0BE-7A589348757C}"/>
    <cellStyle name="Linked Cell 20 2 2 2 3 7 2" xfId="21576" xr:uid="{75D768F9-BA20-4E4D-853C-545940298248}"/>
    <cellStyle name="Linked Cell 20 2 2 2 3 7 2 2" xfId="21577" xr:uid="{FCEFF066-AF7C-4259-9704-3BB1AE65F8FC}"/>
    <cellStyle name="Linked Cell 20 2 2 2 3 7 3" xfId="21578" xr:uid="{DF8E7895-9AAF-4F87-B78A-5DD376736B3A}"/>
    <cellStyle name="Linked Cell 20 2 2 2 3 8" xfId="21579" xr:uid="{960C9494-692C-409A-B7DD-711582427320}"/>
    <cellStyle name="Linked Cell 20 2 2 2 3 8 2" xfId="21580" xr:uid="{86D136A5-6E19-4BDF-B703-C73950E4C8E5}"/>
    <cellStyle name="Linked Cell 20 2 2 2 3 8 2 2" xfId="21581" xr:uid="{B4A7D49D-2C1E-4463-B09D-DCF398E3BD76}"/>
    <cellStyle name="Linked Cell 20 2 2 2 3 8 3" xfId="21582" xr:uid="{6A578698-A750-4CD3-AE37-5534B0CFC274}"/>
    <cellStyle name="Linked Cell 20 2 2 2 3 9" xfId="21583" xr:uid="{B38B76E2-F98B-40D7-854A-9D0B4F825A1B}"/>
    <cellStyle name="Linked Cell 20 2 2 2 3 9 2" xfId="21584" xr:uid="{A0B7FEA6-9405-49F5-9FA6-C9BACE9F5A75}"/>
    <cellStyle name="Linked Cell 20 2 2 2 3 9 2 2" xfId="21585" xr:uid="{6DEE98E5-DFDF-446A-8ADE-34BE57F24A9A}"/>
    <cellStyle name="Linked Cell 20 2 2 2 3 9 3" xfId="21586" xr:uid="{9101F443-3244-4A78-8450-A530F679FBFA}"/>
    <cellStyle name="Linked Cell 20 2 2 2 4" xfId="21587" xr:uid="{9AD33415-53D0-4956-8CDE-3FE4F7292497}"/>
    <cellStyle name="Linked Cell 20 2 2 2 4 2" xfId="21588" xr:uid="{2DEC268B-CE4B-42D7-92BD-4E25B9B5A742}"/>
    <cellStyle name="Linked Cell 20 2 2 2 4 2 2" xfId="21589" xr:uid="{34A3FC52-DC68-4DC0-B8AC-83B3AA9DCA01}"/>
    <cellStyle name="Linked Cell 20 2 2 2 4 3" xfId="21590" xr:uid="{E72E2EE6-AEBA-4B2F-B8F5-8EE2C6693FCC}"/>
    <cellStyle name="Linked Cell 20 2 2 2 5" xfId="21591" xr:uid="{0CA7BEBA-FD28-4A5C-969B-A68620A1D0C8}"/>
    <cellStyle name="Linked Cell 20 2 2 2 5 2" xfId="21592" xr:uid="{5D6581BD-224B-435E-9D24-37FCF55D7FE5}"/>
    <cellStyle name="Linked Cell 20 2 2 2 5 2 2" xfId="21593" xr:uid="{4ADB8FBF-6FFE-4DB6-A1AE-9CD60FA49104}"/>
    <cellStyle name="Linked Cell 20 2 2 2 5 3" xfId="21594" xr:uid="{B5139199-234E-4C4B-9BFA-1A6721571C81}"/>
    <cellStyle name="Linked Cell 20 2 2 2 6" xfId="21595" xr:uid="{A634B4A1-6345-458D-AE9F-8D6E2B08EF0F}"/>
    <cellStyle name="Linked Cell 20 2 2 2 6 2" xfId="21596" xr:uid="{EF30FA6E-6C00-4B9D-94B2-E2A8624616C7}"/>
    <cellStyle name="Linked Cell 20 2 2 2 6 2 2" xfId="21597" xr:uid="{44DAB8E4-36A5-4AAF-AF86-A41AD041FA8D}"/>
    <cellStyle name="Linked Cell 20 2 2 2 6 3" xfId="21598" xr:uid="{E201B097-CF6E-45B7-87BC-0E5DC7CB9C2D}"/>
    <cellStyle name="Linked Cell 20 2 2 2 7" xfId="21599" xr:uid="{3F8D2364-EBAC-4D70-9884-AFD6B6925E9F}"/>
    <cellStyle name="Linked Cell 20 2 2 2 7 2" xfId="21600" xr:uid="{489B0DC7-0B95-46C1-8F33-E224681DDC5F}"/>
    <cellStyle name="Linked Cell 20 2 2 2 7 2 2" xfId="21601" xr:uid="{A19B1D35-16D9-4276-82A1-CBF5BFD596A6}"/>
    <cellStyle name="Linked Cell 20 2 2 2 7 3" xfId="21602" xr:uid="{AEB97F6B-BFA7-4B22-BCCE-B3779C002C27}"/>
    <cellStyle name="Linked Cell 20 2 2 2 8" xfId="21603" xr:uid="{33A6F1D3-19E0-4AD8-8A46-9B69520DB899}"/>
    <cellStyle name="Linked Cell 20 2 2 2 8 2" xfId="21604" xr:uid="{1ACED95E-F337-4C24-B008-9F0C7478627B}"/>
    <cellStyle name="Linked Cell 20 2 2 2 8 2 2" xfId="21605" xr:uid="{650DD5B6-2E81-4005-BA5E-F34786B446B4}"/>
    <cellStyle name="Linked Cell 20 2 2 2 8 3" xfId="21606" xr:uid="{E7FF692B-D723-4002-A32A-8CB2F3A4D829}"/>
    <cellStyle name="Linked Cell 20 2 2 2 9" xfId="21607" xr:uid="{50205111-432B-4F7D-BB24-628B3F131805}"/>
    <cellStyle name="Linked Cell 20 2 2 2 9 2" xfId="21608" xr:uid="{7BAF5E40-5C2B-4D1B-9FD1-FE67ECC22E00}"/>
    <cellStyle name="Linked Cell 20 2 2 2 9 2 2" xfId="21609" xr:uid="{7364C834-9B72-47BC-838A-3F0E30E953DE}"/>
    <cellStyle name="Linked Cell 20 2 2 2 9 3" xfId="21610" xr:uid="{9BDA6DED-BF4B-48AB-9246-89DA08FC40EF}"/>
    <cellStyle name="Linked Cell 20 2 2 3" xfId="21611" xr:uid="{DECB04C1-A671-4CC0-B901-F82BBC97112C}"/>
    <cellStyle name="Linked Cell 20 2 2 3 10" xfId="21612" xr:uid="{DE8D4CC8-6EAF-48B9-86B8-CE8E440993DC}"/>
    <cellStyle name="Linked Cell 20 2 2 3 10 2" xfId="21613" xr:uid="{08313727-E2D5-43C2-998D-9C87F8487F6D}"/>
    <cellStyle name="Linked Cell 20 2 2 3 10 2 2" xfId="21614" xr:uid="{E5F4E3E2-DC23-4F42-A051-889BDF40A19D}"/>
    <cellStyle name="Linked Cell 20 2 2 3 10 3" xfId="21615" xr:uid="{B9D50EA6-39E0-406D-87F0-80E64F40D52C}"/>
    <cellStyle name="Linked Cell 20 2 2 3 11" xfId="21616" xr:uid="{DBE0ADDE-B8B8-4CAC-B52A-A8C392C6A2E3}"/>
    <cellStyle name="Linked Cell 20 2 2 3 11 2" xfId="21617" xr:uid="{E85CA2DB-284E-488F-9A82-5221868ABB76}"/>
    <cellStyle name="Linked Cell 20 2 2 3 12" xfId="21618" xr:uid="{91CFC8A8-857C-421D-B9D6-455CB54AA431}"/>
    <cellStyle name="Linked Cell 20 2 2 3 2" xfId="21619" xr:uid="{2EB09F1E-5476-4282-8981-703DC6CDDC4B}"/>
    <cellStyle name="Linked Cell 20 2 2 3 2 10" xfId="21620" xr:uid="{705B1B34-3571-4EF6-A893-47B9F3C59A02}"/>
    <cellStyle name="Linked Cell 20 2 2 3 2 10 2" xfId="21621" xr:uid="{94EB22E4-731E-4B62-9B0F-6E47176AB0D1}"/>
    <cellStyle name="Linked Cell 20 2 2 3 2 11" xfId="21622" xr:uid="{13E3C3AC-89E0-4418-87C4-5FC5490E4032}"/>
    <cellStyle name="Linked Cell 20 2 2 3 2 2" xfId="21623" xr:uid="{0FEA9C8E-25E6-4C93-B2A1-959C7033B36E}"/>
    <cellStyle name="Linked Cell 20 2 2 3 2 2 2" xfId="21624" xr:uid="{43B1175B-DE4F-4B4B-A7D2-6AB9EDB57170}"/>
    <cellStyle name="Linked Cell 20 2 2 3 2 2 2 2" xfId="21625" xr:uid="{129C8D51-F0AA-42DC-BB30-401D14A9652A}"/>
    <cellStyle name="Linked Cell 20 2 2 3 2 2 3" xfId="21626" xr:uid="{6A89A72D-5ED7-4114-BED8-65C3D2C83CBD}"/>
    <cellStyle name="Linked Cell 20 2 2 3 2 3" xfId="21627" xr:uid="{38005284-3C7A-4C77-88EA-277F2DBCAE07}"/>
    <cellStyle name="Linked Cell 20 2 2 3 2 3 2" xfId="21628" xr:uid="{91BE66AC-0931-4808-AEFD-88E6F2264D7D}"/>
    <cellStyle name="Linked Cell 20 2 2 3 2 3 2 2" xfId="21629" xr:uid="{3E3D74D9-DAC3-4721-8A55-EF14A2689EF8}"/>
    <cellStyle name="Linked Cell 20 2 2 3 2 3 3" xfId="21630" xr:uid="{06FCD199-BEE4-4958-9C22-3D554FC59A5B}"/>
    <cellStyle name="Linked Cell 20 2 2 3 2 4" xfId="21631" xr:uid="{4D1CF5F5-CC44-4E75-B102-E39DFBF75F1C}"/>
    <cellStyle name="Linked Cell 20 2 2 3 2 4 2" xfId="21632" xr:uid="{3AD3316E-9751-4672-A3AE-1E8EB261BE34}"/>
    <cellStyle name="Linked Cell 20 2 2 3 2 4 2 2" xfId="21633" xr:uid="{50AE3706-6233-4D60-BE56-156083F63488}"/>
    <cellStyle name="Linked Cell 20 2 2 3 2 4 3" xfId="21634" xr:uid="{E6A646BC-9B95-48F1-AF95-A55899B22784}"/>
    <cellStyle name="Linked Cell 20 2 2 3 2 5" xfId="21635" xr:uid="{206F04BA-9169-46F5-8E32-92165F9EC0F9}"/>
    <cellStyle name="Linked Cell 20 2 2 3 2 5 2" xfId="21636" xr:uid="{93ABA8F4-F449-4D8D-BB09-82C1C85F8FEB}"/>
    <cellStyle name="Linked Cell 20 2 2 3 2 5 2 2" xfId="21637" xr:uid="{E77FE02D-CA3D-468E-A69B-6EAD7E4BDB34}"/>
    <cellStyle name="Linked Cell 20 2 2 3 2 5 3" xfId="21638" xr:uid="{52273333-CE09-4532-8D8D-6A3148E6C09A}"/>
    <cellStyle name="Linked Cell 20 2 2 3 2 6" xfId="21639" xr:uid="{F137CD51-06D8-45EB-A698-8D66BEDF1D9C}"/>
    <cellStyle name="Linked Cell 20 2 2 3 2 6 2" xfId="21640" xr:uid="{7D36D2C2-032C-4CA9-A29B-F578C29F26E4}"/>
    <cellStyle name="Linked Cell 20 2 2 3 2 6 2 2" xfId="21641" xr:uid="{813463D3-9767-48AF-B7DF-78A9B6C355EC}"/>
    <cellStyle name="Linked Cell 20 2 2 3 2 6 3" xfId="21642" xr:uid="{8B5DF212-57AB-466E-9F6B-E5317ED7D02D}"/>
    <cellStyle name="Linked Cell 20 2 2 3 2 7" xfId="21643" xr:uid="{DD1309D0-15E5-4680-B0C9-AD1D46A2B7FB}"/>
    <cellStyle name="Linked Cell 20 2 2 3 2 7 2" xfId="21644" xr:uid="{8B441206-D5B1-4B4E-81ED-637AF541231B}"/>
    <cellStyle name="Linked Cell 20 2 2 3 2 7 2 2" xfId="21645" xr:uid="{58FC3BFE-E8E6-45A5-9106-A294B7E5262C}"/>
    <cellStyle name="Linked Cell 20 2 2 3 2 7 3" xfId="21646" xr:uid="{336DE3C3-DED8-41F3-A5A0-B9EDE5121F5C}"/>
    <cellStyle name="Linked Cell 20 2 2 3 2 8" xfId="21647" xr:uid="{0D16B804-D78F-4511-8382-0DC0A3CDFE49}"/>
    <cellStyle name="Linked Cell 20 2 2 3 2 8 2" xfId="21648" xr:uid="{1DF068EE-44B5-4D8B-9B31-8DFF8E22A7CD}"/>
    <cellStyle name="Linked Cell 20 2 2 3 2 8 2 2" xfId="21649" xr:uid="{A966DD2B-6FB0-407F-BB2E-1FB0EF19AE63}"/>
    <cellStyle name="Linked Cell 20 2 2 3 2 8 3" xfId="21650" xr:uid="{2A3D41B2-B662-4465-9A83-8915EBB92D92}"/>
    <cellStyle name="Linked Cell 20 2 2 3 2 9" xfId="21651" xr:uid="{7FC2A31A-403D-483C-98DB-6037C0C8D34D}"/>
    <cellStyle name="Linked Cell 20 2 2 3 2 9 2" xfId="21652" xr:uid="{6BB6D891-6583-40AC-9D2C-54C8B6679D1B}"/>
    <cellStyle name="Linked Cell 20 2 2 3 2 9 2 2" xfId="21653" xr:uid="{7BB60772-C781-457A-8E9F-8C317D9438F7}"/>
    <cellStyle name="Linked Cell 20 2 2 3 2 9 3" xfId="21654" xr:uid="{B3933127-3C40-4761-A3D3-1946C5B62027}"/>
    <cellStyle name="Linked Cell 20 2 2 3 3" xfId="21655" xr:uid="{451EA6D4-3D85-485F-A52F-B3B36669B7AE}"/>
    <cellStyle name="Linked Cell 20 2 2 3 3 2" xfId="21656" xr:uid="{AFB861D6-C40D-4C6F-A2E1-6AC1CB6D6F0B}"/>
    <cellStyle name="Linked Cell 20 2 2 3 3 2 2" xfId="21657" xr:uid="{6B0E27AB-5F96-4AC4-BD3F-1F37761D822F}"/>
    <cellStyle name="Linked Cell 20 2 2 3 3 3" xfId="21658" xr:uid="{40F63818-B0FF-4182-8EF3-9D47C8A0B1E9}"/>
    <cellStyle name="Linked Cell 20 2 2 3 4" xfId="21659" xr:uid="{9890D8EB-539F-4899-8566-01181C417055}"/>
    <cellStyle name="Linked Cell 20 2 2 3 4 2" xfId="21660" xr:uid="{23EFEE98-4DB5-46B0-B0E9-0FD987869BF0}"/>
    <cellStyle name="Linked Cell 20 2 2 3 4 2 2" xfId="21661" xr:uid="{0390DD20-AF0A-4A35-B419-5F380F91E683}"/>
    <cellStyle name="Linked Cell 20 2 2 3 4 3" xfId="21662" xr:uid="{1672F300-89B7-4944-99B6-15BEC578135F}"/>
    <cellStyle name="Linked Cell 20 2 2 3 5" xfId="21663" xr:uid="{9269D800-D56D-4D5F-85BF-333219E881F6}"/>
    <cellStyle name="Linked Cell 20 2 2 3 5 2" xfId="21664" xr:uid="{AFF08985-B9EE-4974-917C-BE51F430A0C8}"/>
    <cellStyle name="Linked Cell 20 2 2 3 5 2 2" xfId="21665" xr:uid="{B7F10F6A-8ECB-40CD-B2F5-FBA358B01B47}"/>
    <cellStyle name="Linked Cell 20 2 2 3 5 3" xfId="21666" xr:uid="{E61328FA-B8A0-4E5F-80DB-289BDC892C2B}"/>
    <cellStyle name="Linked Cell 20 2 2 3 6" xfId="21667" xr:uid="{E14E8875-3BD7-4A6A-B445-D9CFEF9F42DD}"/>
    <cellStyle name="Linked Cell 20 2 2 3 6 2" xfId="21668" xr:uid="{63B90B34-7086-43B1-BC4F-360D1610BB86}"/>
    <cellStyle name="Linked Cell 20 2 2 3 6 2 2" xfId="21669" xr:uid="{AF9B31CB-85F3-44FF-AA15-F26FF1CB0F71}"/>
    <cellStyle name="Linked Cell 20 2 2 3 6 3" xfId="21670" xr:uid="{5C80DD35-81D6-418C-969E-CE00BA714037}"/>
    <cellStyle name="Linked Cell 20 2 2 3 7" xfId="21671" xr:uid="{DC3FD6FB-7828-423F-8881-E15B2F0AEC8C}"/>
    <cellStyle name="Linked Cell 20 2 2 3 7 2" xfId="21672" xr:uid="{872B5936-BA68-4188-B941-8A9CC7101E07}"/>
    <cellStyle name="Linked Cell 20 2 2 3 7 2 2" xfId="21673" xr:uid="{7E700F04-0823-404D-ABEC-8CDEB95D20BF}"/>
    <cellStyle name="Linked Cell 20 2 2 3 7 3" xfId="21674" xr:uid="{98F15D09-570C-4AB3-A086-C51261049701}"/>
    <cellStyle name="Linked Cell 20 2 2 3 8" xfId="21675" xr:uid="{D351BE44-884D-4E89-AB2C-B50548A703C5}"/>
    <cellStyle name="Linked Cell 20 2 2 3 8 2" xfId="21676" xr:uid="{2E41E418-BB75-4440-B594-A7F0BB5DF563}"/>
    <cellStyle name="Linked Cell 20 2 2 3 8 2 2" xfId="21677" xr:uid="{8EFDCF37-8D63-4EC0-9568-EBD8B88FC1E3}"/>
    <cellStyle name="Linked Cell 20 2 2 3 8 3" xfId="21678" xr:uid="{BD9EE889-974C-42D0-86F9-E1CCE26FE221}"/>
    <cellStyle name="Linked Cell 20 2 2 3 9" xfId="21679" xr:uid="{16C5BD0D-1357-4EDA-8B38-2805F6EC224E}"/>
    <cellStyle name="Linked Cell 20 2 2 3 9 2" xfId="21680" xr:uid="{E86B0A01-16B4-4D65-95B0-FC60FBD34CE1}"/>
    <cellStyle name="Linked Cell 20 2 2 3 9 2 2" xfId="21681" xr:uid="{C96392E8-85F5-413E-A39B-33F23FC76CC5}"/>
    <cellStyle name="Linked Cell 20 2 2 3 9 3" xfId="21682" xr:uid="{18AD4A30-A355-4361-AB7F-141643DD420D}"/>
    <cellStyle name="Linked Cell 20 2 2 4" xfId="21683" xr:uid="{44AD1BB5-8564-4522-ABB1-8FC458016ADD}"/>
    <cellStyle name="Linked Cell 20 2 2 4 10" xfId="21684" xr:uid="{621D9F24-3D88-4F05-AF3E-B593B2067612}"/>
    <cellStyle name="Linked Cell 20 2 2 4 10 2" xfId="21685" xr:uid="{EC91B8E9-B9FE-4824-9419-BD343FBC83BE}"/>
    <cellStyle name="Linked Cell 20 2 2 4 11" xfId="21686" xr:uid="{28D34CED-2006-4BC4-A282-FF2FD79D15AA}"/>
    <cellStyle name="Linked Cell 20 2 2 4 2" xfId="21687" xr:uid="{2084E82B-20C7-4BEA-A1C6-5B15C9852303}"/>
    <cellStyle name="Linked Cell 20 2 2 4 2 2" xfId="21688" xr:uid="{CE325602-96F3-412F-A7C5-F5E99186DEE2}"/>
    <cellStyle name="Linked Cell 20 2 2 4 2 2 2" xfId="21689" xr:uid="{C4B31960-AA7D-4E2C-A211-E0B6EDD3A594}"/>
    <cellStyle name="Linked Cell 20 2 2 4 2 3" xfId="21690" xr:uid="{1057F7DE-F3FF-44ED-BF82-7674AF51FE07}"/>
    <cellStyle name="Linked Cell 20 2 2 4 3" xfId="21691" xr:uid="{ADFD3901-3305-44DC-ADD4-DA710302BBCC}"/>
    <cellStyle name="Linked Cell 20 2 2 4 3 2" xfId="21692" xr:uid="{4B864A17-6F79-471E-93BD-73580870E922}"/>
    <cellStyle name="Linked Cell 20 2 2 4 3 2 2" xfId="21693" xr:uid="{85FF4C03-85A6-4403-B988-824BA242A91C}"/>
    <cellStyle name="Linked Cell 20 2 2 4 3 3" xfId="21694" xr:uid="{8F06A3B9-AFF4-49CE-8CAD-9AF62A007791}"/>
    <cellStyle name="Linked Cell 20 2 2 4 4" xfId="21695" xr:uid="{DCF8013B-E538-473A-88DF-7C8CE0993377}"/>
    <cellStyle name="Linked Cell 20 2 2 4 4 2" xfId="21696" xr:uid="{EB504F9B-3D74-4767-A568-ECA6CF754574}"/>
    <cellStyle name="Linked Cell 20 2 2 4 4 2 2" xfId="21697" xr:uid="{1C5EAA30-538B-491B-8FFC-E0A27A2EF4D6}"/>
    <cellStyle name="Linked Cell 20 2 2 4 4 3" xfId="21698" xr:uid="{1404EE4A-7405-4F29-A0F6-C0A57738EFA3}"/>
    <cellStyle name="Linked Cell 20 2 2 4 5" xfId="21699" xr:uid="{B233DF2B-0FD8-4920-BF62-1524D55778F7}"/>
    <cellStyle name="Linked Cell 20 2 2 4 5 2" xfId="21700" xr:uid="{5297AA30-50B2-4A13-BF7D-61814482B1C2}"/>
    <cellStyle name="Linked Cell 20 2 2 4 5 2 2" xfId="21701" xr:uid="{EE8028BD-6B49-44A2-934B-779C3A2347DD}"/>
    <cellStyle name="Linked Cell 20 2 2 4 5 3" xfId="21702" xr:uid="{16F7E505-7142-4E4E-9BEF-9ECE4BD01BE1}"/>
    <cellStyle name="Linked Cell 20 2 2 4 6" xfId="21703" xr:uid="{8C99D8CE-3E9A-45BC-89D2-D102616AA0EB}"/>
    <cellStyle name="Linked Cell 20 2 2 4 6 2" xfId="21704" xr:uid="{055553D9-3BE2-4E8B-B8F1-8E068C8B0321}"/>
    <cellStyle name="Linked Cell 20 2 2 4 6 2 2" xfId="21705" xr:uid="{F21B4865-D0B5-40DE-B3B7-49BFB34A1BAC}"/>
    <cellStyle name="Linked Cell 20 2 2 4 6 3" xfId="21706" xr:uid="{CDBCA1A8-7324-4F68-B0E4-CA9B0023D1AC}"/>
    <cellStyle name="Linked Cell 20 2 2 4 7" xfId="21707" xr:uid="{FCBF3A7E-7686-422F-95F6-4DB28447A8F8}"/>
    <cellStyle name="Linked Cell 20 2 2 4 7 2" xfId="21708" xr:uid="{C951BF8C-8683-4DE3-BC8C-999564C0C450}"/>
    <cellStyle name="Linked Cell 20 2 2 4 7 2 2" xfId="21709" xr:uid="{2E30FC79-1DAD-4B9A-B00E-8EF6D2A5086F}"/>
    <cellStyle name="Linked Cell 20 2 2 4 7 3" xfId="21710" xr:uid="{F48F9C53-529B-4175-B9B3-C6D6A65C14CE}"/>
    <cellStyle name="Linked Cell 20 2 2 4 8" xfId="21711" xr:uid="{501559BF-E3BC-4F92-BEA1-072A298E6B70}"/>
    <cellStyle name="Linked Cell 20 2 2 4 8 2" xfId="21712" xr:uid="{73A8784B-6BCB-42E3-A479-C93B75C44F36}"/>
    <cellStyle name="Linked Cell 20 2 2 4 8 2 2" xfId="21713" xr:uid="{4AFD304D-9409-4EE5-9DF6-B29E0092575F}"/>
    <cellStyle name="Linked Cell 20 2 2 4 8 3" xfId="21714" xr:uid="{6DE48805-E50E-4062-8398-D76C163CBD57}"/>
    <cellStyle name="Linked Cell 20 2 2 4 9" xfId="21715" xr:uid="{7F1B7BD5-0C32-4669-8C71-0A15CDFE11CA}"/>
    <cellStyle name="Linked Cell 20 2 2 4 9 2" xfId="21716" xr:uid="{3BA1E2DB-D74E-4CC5-9385-C8CEBC782296}"/>
    <cellStyle name="Linked Cell 20 2 2 4 9 2 2" xfId="21717" xr:uid="{2CE43D96-BE0E-4CB0-884C-BED87E2A19D3}"/>
    <cellStyle name="Linked Cell 20 2 2 4 9 3" xfId="21718" xr:uid="{7F6BE9CE-6005-46DF-8D1E-DD714EB8A378}"/>
    <cellStyle name="Linked Cell 20 2 2 5" xfId="21719" xr:uid="{0AC98621-9FF4-4F9A-9983-0FB5E2F87891}"/>
    <cellStyle name="Linked Cell 20 2 2 5 2" xfId="21720" xr:uid="{0D3F9867-866C-4227-8805-6318CA20FF65}"/>
    <cellStyle name="Linked Cell 20 2 2 5 2 2" xfId="21721" xr:uid="{349558C9-32B1-4BEB-B387-B58ACAFAE590}"/>
    <cellStyle name="Linked Cell 20 2 2 5 3" xfId="21722" xr:uid="{F4650151-75EF-46C2-BBF1-420D2DC93881}"/>
    <cellStyle name="Linked Cell 20 2 2 6" xfId="21723" xr:uid="{AF7301D8-7BA3-40BA-AE52-5DCCFB064AE7}"/>
    <cellStyle name="Linked Cell 20 2 2 6 2" xfId="21724" xr:uid="{4D9A8449-D4A5-4DC2-84CD-198CBD7FF531}"/>
    <cellStyle name="Linked Cell 20 2 2 6 2 2" xfId="21725" xr:uid="{14D51B13-669E-48D6-B461-1859164C3BA3}"/>
    <cellStyle name="Linked Cell 20 2 2 6 3" xfId="21726" xr:uid="{2FED1F74-9C15-43C1-9894-AA140DBD9401}"/>
    <cellStyle name="Linked Cell 20 2 2 7" xfId="21727" xr:uid="{448A8EAD-1EDB-4BD7-B794-B35FFE9C8AFF}"/>
    <cellStyle name="Linked Cell 20 2 2 7 2" xfId="21728" xr:uid="{158E4DC1-4C7D-4994-90CA-9DD9572BB2D7}"/>
    <cellStyle name="Linked Cell 20 2 2 7 2 2" xfId="21729" xr:uid="{F0CA4884-C5A2-4088-9948-B91832719B63}"/>
    <cellStyle name="Linked Cell 20 2 2 7 3" xfId="21730" xr:uid="{E5284F54-32CB-48B5-B05C-0C56DE22D773}"/>
    <cellStyle name="Linked Cell 20 2 2 8" xfId="21731" xr:uid="{0D667899-79A7-41AF-8816-F57BF0067D14}"/>
    <cellStyle name="Linked Cell 20 2 2 8 2" xfId="21732" xr:uid="{7773EF00-862C-44CD-A658-F5EB9264A2C7}"/>
    <cellStyle name="Linked Cell 20 2 2 8 2 2" xfId="21733" xr:uid="{C4672A83-19BB-4923-B18E-A77F2F3A329C}"/>
    <cellStyle name="Linked Cell 20 2 2 8 3" xfId="21734" xr:uid="{48061B14-6E38-4CAC-82D6-ADE0659DE0CF}"/>
    <cellStyle name="Linked Cell 20 2 2 9" xfId="21735" xr:uid="{B74DCC18-077F-48C1-8835-A7C4CFADC38E}"/>
    <cellStyle name="Linked Cell 20 2 2 9 2" xfId="21736" xr:uid="{5D32D032-E09D-4ED4-A6E6-780DD24C3C9B}"/>
    <cellStyle name="Linked Cell 20 2 2 9 2 2" xfId="21737" xr:uid="{9190F686-2603-4398-985A-63C0683C40E8}"/>
    <cellStyle name="Linked Cell 20 2 2 9 3" xfId="21738" xr:uid="{912A1AB2-C227-4F4F-804D-2C22407216BA}"/>
    <cellStyle name="Linked Cell 20 2 3" xfId="21739" xr:uid="{46F01C22-57D5-4C94-B458-384242DD3765}"/>
    <cellStyle name="Linked Cell 20 2 3 10" xfId="21740" xr:uid="{40CCB127-CF63-4213-AA34-EAAE1CBA5ACA}"/>
    <cellStyle name="Linked Cell 20 2 3 10 2" xfId="21741" xr:uid="{1D743762-D6ED-42E0-B16E-260BC3E49C3C}"/>
    <cellStyle name="Linked Cell 20 2 3 10 2 2" xfId="21742" xr:uid="{4F226625-9404-4892-ACFF-1B6760874B33}"/>
    <cellStyle name="Linked Cell 20 2 3 10 3" xfId="21743" xr:uid="{D5528990-80F0-42F8-8749-4BF48386FA72}"/>
    <cellStyle name="Linked Cell 20 2 3 11" xfId="21744" xr:uid="{C547CA3B-A798-4454-A7E0-CC2B1850FEE3}"/>
    <cellStyle name="Linked Cell 20 2 3 11 2" xfId="21745" xr:uid="{52391B8B-7EFC-48A4-9E34-A49C34EF9CD7}"/>
    <cellStyle name="Linked Cell 20 2 3 11 2 2" xfId="21746" xr:uid="{65ED534A-3E17-4584-BC71-5802691D6C88}"/>
    <cellStyle name="Linked Cell 20 2 3 11 3" xfId="21747" xr:uid="{D6BA1E88-4965-4C53-9BE3-1217A0098877}"/>
    <cellStyle name="Linked Cell 20 2 3 12" xfId="21748" xr:uid="{2C8A05C0-35AC-455A-9DC2-1D2EFCE4475A}"/>
    <cellStyle name="Linked Cell 20 2 3 12 2" xfId="21749" xr:uid="{C07DD063-9BFA-48D0-B819-44BC8DB1002E}"/>
    <cellStyle name="Linked Cell 20 2 3 13" xfId="21750" xr:uid="{CF4CF451-338F-43B9-8831-A99DF6489FD0}"/>
    <cellStyle name="Linked Cell 20 2 3 2" xfId="21751" xr:uid="{1AFF8177-23D5-4CA8-B256-83E8C38FA51D}"/>
    <cellStyle name="Linked Cell 20 2 3 2 10" xfId="21752" xr:uid="{AA5858B2-77F9-4702-8147-E1BA6AA5BAA1}"/>
    <cellStyle name="Linked Cell 20 2 3 2 10 2" xfId="21753" xr:uid="{ABC1BB74-0D75-4991-ADC3-829F6E7B8B11}"/>
    <cellStyle name="Linked Cell 20 2 3 2 10 2 2" xfId="21754" xr:uid="{F24AA32A-7BB6-49CB-924F-D8A7A20AEAD9}"/>
    <cellStyle name="Linked Cell 20 2 3 2 10 3" xfId="21755" xr:uid="{A89CD036-0885-4C31-B5FA-4E2FD56A012F}"/>
    <cellStyle name="Linked Cell 20 2 3 2 11" xfId="21756" xr:uid="{9CF0CCB1-E95C-458B-91E7-B058E325C5B0}"/>
    <cellStyle name="Linked Cell 20 2 3 2 11 2" xfId="21757" xr:uid="{1DAB6139-5D8D-4417-98AB-E027264A5CB0}"/>
    <cellStyle name="Linked Cell 20 2 3 2 12" xfId="21758" xr:uid="{8D704238-E411-4EBD-A3AE-130A57392277}"/>
    <cellStyle name="Linked Cell 20 2 3 2 2" xfId="21759" xr:uid="{91F96BF8-1659-4058-A9B0-6D2975999E6D}"/>
    <cellStyle name="Linked Cell 20 2 3 2 2 2" xfId="21760" xr:uid="{A82F395A-12E7-4974-8697-229B7522D3E5}"/>
    <cellStyle name="Linked Cell 20 2 3 2 2 2 2" xfId="21761" xr:uid="{5D2AEF31-6865-4764-8ADD-1EBAFAFA7154}"/>
    <cellStyle name="Linked Cell 20 2 3 2 2 3" xfId="21762" xr:uid="{F62FCB3C-CC20-4FAD-9FFE-680BACB263FF}"/>
    <cellStyle name="Linked Cell 20 2 3 2 3" xfId="21763" xr:uid="{9F718569-CD20-448A-B904-995FF5042AF3}"/>
    <cellStyle name="Linked Cell 20 2 3 2 3 2" xfId="21764" xr:uid="{602257FE-0B43-4927-9CFC-811B249BECDF}"/>
    <cellStyle name="Linked Cell 20 2 3 2 3 2 2" xfId="21765" xr:uid="{115BD93B-41DB-44EC-8ED9-D1A57FC2A2A6}"/>
    <cellStyle name="Linked Cell 20 2 3 2 3 3" xfId="21766" xr:uid="{6843725C-74B2-423A-9519-326D6F269178}"/>
    <cellStyle name="Linked Cell 20 2 3 2 4" xfId="21767" xr:uid="{447694ED-A5ED-4C42-8D1E-29A4BF74D292}"/>
    <cellStyle name="Linked Cell 20 2 3 2 4 2" xfId="21768" xr:uid="{E9C4BF58-09D9-414F-81AC-890EF2552F24}"/>
    <cellStyle name="Linked Cell 20 2 3 2 4 2 2" xfId="21769" xr:uid="{884A47E8-FDE0-4D90-A9D8-1086E0BCAAE7}"/>
    <cellStyle name="Linked Cell 20 2 3 2 4 3" xfId="21770" xr:uid="{3DE560EA-CC68-42C4-A884-110D1FA7A952}"/>
    <cellStyle name="Linked Cell 20 2 3 2 5" xfId="21771" xr:uid="{945CEA49-4302-43A6-8553-EBD0385BB007}"/>
    <cellStyle name="Linked Cell 20 2 3 2 5 2" xfId="21772" xr:uid="{F68C7AD3-5A03-4480-9762-27EA34151B63}"/>
    <cellStyle name="Linked Cell 20 2 3 2 5 2 2" xfId="21773" xr:uid="{E7E271B6-6374-487E-9FF4-B3A33F2DA829}"/>
    <cellStyle name="Linked Cell 20 2 3 2 5 3" xfId="21774" xr:uid="{E4ED729B-453D-44C4-9E7E-C16BAF716EC5}"/>
    <cellStyle name="Linked Cell 20 2 3 2 6" xfId="21775" xr:uid="{7D546131-41D7-4987-80DB-6851748AD7EB}"/>
    <cellStyle name="Linked Cell 20 2 3 2 6 2" xfId="21776" xr:uid="{100B3336-80F1-4A9E-A12F-2EECD16BB3E0}"/>
    <cellStyle name="Linked Cell 20 2 3 2 6 2 2" xfId="21777" xr:uid="{F0AAC846-B5A5-4019-BF73-BA6E5D023559}"/>
    <cellStyle name="Linked Cell 20 2 3 2 6 3" xfId="21778" xr:uid="{F2402539-E0BE-4A2C-A39C-051F72ECE348}"/>
    <cellStyle name="Linked Cell 20 2 3 2 7" xfId="21779" xr:uid="{3BAA064C-300F-4B24-B087-30F59521F873}"/>
    <cellStyle name="Linked Cell 20 2 3 2 7 2" xfId="21780" xr:uid="{EB41F858-9FC6-4CA6-AA2F-5457EF6F9F3F}"/>
    <cellStyle name="Linked Cell 20 2 3 2 7 2 2" xfId="21781" xr:uid="{8531FDD1-502D-4FDB-86B2-EC0C14A81638}"/>
    <cellStyle name="Linked Cell 20 2 3 2 7 3" xfId="21782" xr:uid="{5C77B6F3-2AC9-401C-8FCD-0D5F44B178B9}"/>
    <cellStyle name="Linked Cell 20 2 3 2 8" xfId="21783" xr:uid="{86371212-D70D-46C5-8C13-248B4784CCFD}"/>
    <cellStyle name="Linked Cell 20 2 3 2 8 2" xfId="21784" xr:uid="{47648235-5A73-4FB9-A31D-CD386D2FE054}"/>
    <cellStyle name="Linked Cell 20 2 3 2 8 2 2" xfId="21785" xr:uid="{68154259-73E5-4599-B81F-82B93F57C4CE}"/>
    <cellStyle name="Linked Cell 20 2 3 2 8 3" xfId="21786" xr:uid="{3B321D7F-338E-4A93-B916-E39AF3A32AE1}"/>
    <cellStyle name="Linked Cell 20 2 3 2 9" xfId="21787" xr:uid="{0429A607-1180-47BE-BD69-E9C5C245B624}"/>
    <cellStyle name="Linked Cell 20 2 3 2 9 2" xfId="21788" xr:uid="{6EAE6763-AA8E-471B-9F02-BCE503E50BDB}"/>
    <cellStyle name="Linked Cell 20 2 3 2 9 2 2" xfId="21789" xr:uid="{39C28049-51F0-433C-BBDE-788118567DB4}"/>
    <cellStyle name="Linked Cell 20 2 3 2 9 3" xfId="21790" xr:uid="{536DD1A4-4241-41F2-B6DB-A9E6E323DBE0}"/>
    <cellStyle name="Linked Cell 20 2 3 3" xfId="21791" xr:uid="{6B93EA4B-D36E-461D-AA7A-88EB49AA87D7}"/>
    <cellStyle name="Linked Cell 20 2 3 3 10" xfId="21792" xr:uid="{82309550-643B-4831-989E-7C831C77640F}"/>
    <cellStyle name="Linked Cell 20 2 3 3 10 2" xfId="21793" xr:uid="{2F9FB67C-B53F-4FC8-ACDF-A1295AD8F8BE}"/>
    <cellStyle name="Linked Cell 20 2 3 3 11" xfId="21794" xr:uid="{A5FAE942-05AC-4B98-AD39-6F0F4CD22DFD}"/>
    <cellStyle name="Linked Cell 20 2 3 3 2" xfId="21795" xr:uid="{6BD7A666-BD75-4561-A436-6A12ACCDFE03}"/>
    <cellStyle name="Linked Cell 20 2 3 3 2 2" xfId="21796" xr:uid="{A89311F6-49DA-4EB4-BDF4-C286721CAD29}"/>
    <cellStyle name="Linked Cell 20 2 3 3 2 2 2" xfId="21797" xr:uid="{29BE5E23-BD60-46BF-9C7C-DC89CAA9B5D0}"/>
    <cellStyle name="Linked Cell 20 2 3 3 2 3" xfId="21798" xr:uid="{E143C966-EE76-47E9-9473-C76F6D5C47BD}"/>
    <cellStyle name="Linked Cell 20 2 3 3 3" xfId="21799" xr:uid="{276713BB-C877-4E2D-B9F2-6A55B55D3B80}"/>
    <cellStyle name="Linked Cell 20 2 3 3 3 2" xfId="21800" xr:uid="{F67646C7-2626-45CB-B801-261CC1E4FBD7}"/>
    <cellStyle name="Linked Cell 20 2 3 3 3 2 2" xfId="21801" xr:uid="{EAA97E43-B11E-44D7-BD82-7A1A0697E302}"/>
    <cellStyle name="Linked Cell 20 2 3 3 3 3" xfId="21802" xr:uid="{B65002AD-7E55-4655-B1C4-044B8EF990CD}"/>
    <cellStyle name="Linked Cell 20 2 3 3 4" xfId="21803" xr:uid="{1A845F66-1330-4821-A7C4-4E2638463D5A}"/>
    <cellStyle name="Linked Cell 20 2 3 3 4 2" xfId="21804" xr:uid="{C3A9E4C2-B4A3-4F75-953A-A703E6D73000}"/>
    <cellStyle name="Linked Cell 20 2 3 3 4 2 2" xfId="21805" xr:uid="{34477240-43F2-4615-BEC2-0E0A4C378498}"/>
    <cellStyle name="Linked Cell 20 2 3 3 4 3" xfId="21806" xr:uid="{60007337-7337-4B32-B647-14BB692086D8}"/>
    <cellStyle name="Linked Cell 20 2 3 3 5" xfId="21807" xr:uid="{455D8F7E-6EBC-48CB-AEB7-FED3FF24A444}"/>
    <cellStyle name="Linked Cell 20 2 3 3 5 2" xfId="21808" xr:uid="{5C7D4224-F749-4AD2-A282-D7A67ACBC13B}"/>
    <cellStyle name="Linked Cell 20 2 3 3 5 2 2" xfId="21809" xr:uid="{438F6BB6-1C22-4F11-BAD6-5E5B8F681619}"/>
    <cellStyle name="Linked Cell 20 2 3 3 5 3" xfId="21810" xr:uid="{793EC31A-A13C-43BA-B3BD-17182FE924DA}"/>
    <cellStyle name="Linked Cell 20 2 3 3 6" xfId="21811" xr:uid="{D7DBF915-0264-4966-9B34-526C0CB60883}"/>
    <cellStyle name="Linked Cell 20 2 3 3 6 2" xfId="21812" xr:uid="{982F8E94-1DC6-41FC-98EB-B6E6B720DEFA}"/>
    <cellStyle name="Linked Cell 20 2 3 3 6 2 2" xfId="21813" xr:uid="{E332421F-F885-4773-901A-7DC187D64A2B}"/>
    <cellStyle name="Linked Cell 20 2 3 3 6 3" xfId="21814" xr:uid="{5446E261-FA6C-4E2E-BA94-2947A6948E7E}"/>
    <cellStyle name="Linked Cell 20 2 3 3 7" xfId="21815" xr:uid="{7D149D67-C4C5-48F4-932F-7103CC59A7C5}"/>
    <cellStyle name="Linked Cell 20 2 3 3 7 2" xfId="21816" xr:uid="{195FE5F8-B457-4600-9093-FE5E94542432}"/>
    <cellStyle name="Linked Cell 20 2 3 3 7 2 2" xfId="21817" xr:uid="{21E113FB-4372-4D18-97DF-424128F31E21}"/>
    <cellStyle name="Linked Cell 20 2 3 3 7 3" xfId="21818" xr:uid="{0CDC4854-BD9A-4E2A-9C62-39168C71D9D2}"/>
    <cellStyle name="Linked Cell 20 2 3 3 8" xfId="21819" xr:uid="{C342F5DD-6E72-486F-B5DA-E55ED8254884}"/>
    <cellStyle name="Linked Cell 20 2 3 3 8 2" xfId="21820" xr:uid="{E53632D7-0167-451D-BB4B-D209DC7F88E2}"/>
    <cellStyle name="Linked Cell 20 2 3 3 8 2 2" xfId="21821" xr:uid="{C1ECCC54-9E44-434F-A9AC-397655C5EAEB}"/>
    <cellStyle name="Linked Cell 20 2 3 3 8 3" xfId="21822" xr:uid="{BDD7F2A4-18FE-47E5-81AC-977496EFEE65}"/>
    <cellStyle name="Linked Cell 20 2 3 3 9" xfId="21823" xr:uid="{AAF3A43D-C3F6-4DFD-8E61-7490F5CF7EE8}"/>
    <cellStyle name="Linked Cell 20 2 3 3 9 2" xfId="21824" xr:uid="{96E5C4F8-E283-47DC-A240-1B7E0022949D}"/>
    <cellStyle name="Linked Cell 20 2 3 3 9 2 2" xfId="21825" xr:uid="{79C015A2-ABCB-4ACE-B77B-E26FDC62A430}"/>
    <cellStyle name="Linked Cell 20 2 3 3 9 3" xfId="21826" xr:uid="{D48B97F2-DE27-469F-8EA5-2EC726287BC5}"/>
    <cellStyle name="Linked Cell 20 2 3 4" xfId="21827" xr:uid="{76E01783-2D1A-4C65-9778-8751A5D56C42}"/>
    <cellStyle name="Linked Cell 20 2 3 4 2" xfId="21828" xr:uid="{FAA6E1E7-2D20-4AD7-ADC7-0455B30EAC87}"/>
    <cellStyle name="Linked Cell 20 2 3 4 2 2" xfId="21829" xr:uid="{EABDF19B-34E1-4E29-AEB8-5709EBE75906}"/>
    <cellStyle name="Linked Cell 20 2 3 4 3" xfId="21830" xr:uid="{334EFC33-902B-4F08-A1CD-DB9A89E45DD7}"/>
    <cellStyle name="Linked Cell 20 2 3 5" xfId="21831" xr:uid="{3545F71F-F838-4076-A617-C83A4003281D}"/>
    <cellStyle name="Linked Cell 20 2 3 5 2" xfId="21832" xr:uid="{63B40618-C0D2-4CAD-A361-C0D966E60B9C}"/>
    <cellStyle name="Linked Cell 20 2 3 5 2 2" xfId="21833" xr:uid="{2D06CC9C-8544-4D5A-B84F-23B2BB400AD3}"/>
    <cellStyle name="Linked Cell 20 2 3 5 3" xfId="21834" xr:uid="{0656C983-7E50-4411-B33D-96C58B58E741}"/>
    <cellStyle name="Linked Cell 20 2 3 6" xfId="21835" xr:uid="{F18E9D7D-073F-4C59-8A41-010627C17472}"/>
    <cellStyle name="Linked Cell 20 2 3 6 2" xfId="21836" xr:uid="{5C652327-1990-4F90-840E-DF724482FF0A}"/>
    <cellStyle name="Linked Cell 20 2 3 6 2 2" xfId="21837" xr:uid="{E0EBE290-437A-4E88-9326-48A957FFC56E}"/>
    <cellStyle name="Linked Cell 20 2 3 6 3" xfId="21838" xr:uid="{19AA1873-63E7-4944-902F-F99249034498}"/>
    <cellStyle name="Linked Cell 20 2 3 7" xfId="21839" xr:uid="{8A076DF6-77C4-4D50-A2FD-E67D97819434}"/>
    <cellStyle name="Linked Cell 20 2 3 7 2" xfId="21840" xr:uid="{7BA2F9F7-AFFA-49DB-A009-746B62B8CFC0}"/>
    <cellStyle name="Linked Cell 20 2 3 7 2 2" xfId="21841" xr:uid="{A8460443-F728-445A-BD72-1BDD3E57AFFB}"/>
    <cellStyle name="Linked Cell 20 2 3 7 3" xfId="21842" xr:uid="{6EB00470-C184-4BED-8BFB-A12FD05B4503}"/>
    <cellStyle name="Linked Cell 20 2 3 8" xfId="21843" xr:uid="{4DFA71CC-C974-47D4-91F9-495EC7C11A0A}"/>
    <cellStyle name="Linked Cell 20 2 3 8 2" xfId="21844" xr:uid="{07B4125A-E04F-4AEC-8173-8BC160EDAF26}"/>
    <cellStyle name="Linked Cell 20 2 3 8 2 2" xfId="21845" xr:uid="{68E0CCE0-9AA3-4BB0-B4E5-2764CD2A64E8}"/>
    <cellStyle name="Linked Cell 20 2 3 8 3" xfId="21846" xr:uid="{A8EEB656-DFAD-488A-85EE-80E3A3B0E1B5}"/>
    <cellStyle name="Linked Cell 20 2 3 9" xfId="21847" xr:uid="{93731244-5B83-42DB-96DC-CC2C2998ECC2}"/>
    <cellStyle name="Linked Cell 20 2 3 9 2" xfId="21848" xr:uid="{F09D1FED-FE75-434F-98CF-D3CABA9E4A1C}"/>
    <cellStyle name="Linked Cell 20 2 3 9 2 2" xfId="21849" xr:uid="{883A7E81-6F3E-4318-AE27-CB6675F52F8C}"/>
    <cellStyle name="Linked Cell 20 2 3 9 3" xfId="21850" xr:uid="{91318D9E-288E-4C67-BF6E-914ADFBF1CEB}"/>
    <cellStyle name="Linked Cell 20 2 4" xfId="21851" xr:uid="{EB907FB0-F7BD-4E4E-81C9-B59C3CD889C2}"/>
    <cellStyle name="Linked Cell 20 2 4 10" xfId="21852" xr:uid="{B4062121-32FE-4019-ABC7-8D7FD147E2E7}"/>
    <cellStyle name="Linked Cell 20 2 4 10 2" xfId="21853" xr:uid="{612854D7-4B08-48EB-91F2-247D41CE96D7}"/>
    <cellStyle name="Linked Cell 20 2 4 10 2 2" xfId="21854" xr:uid="{76C82B03-659E-4F4B-B6B3-B9D74CFA3B89}"/>
    <cellStyle name="Linked Cell 20 2 4 10 3" xfId="21855" xr:uid="{ACF89027-724B-477C-BAF2-E23C98116A6C}"/>
    <cellStyle name="Linked Cell 20 2 4 11" xfId="21856" xr:uid="{0132C72C-3FCF-41FD-A455-CC78ED88A638}"/>
    <cellStyle name="Linked Cell 20 2 4 11 2" xfId="21857" xr:uid="{40E7B8C1-F9BC-42B2-9D07-14C26D874D5B}"/>
    <cellStyle name="Linked Cell 20 2 4 12" xfId="21858" xr:uid="{09971797-CE52-4AF6-8972-7FF89E3905A1}"/>
    <cellStyle name="Linked Cell 20 2 4 2" xfId="21859" xr:uid="{CAF601C6-B3BB-49A3-A44E-4F51C518FEED}"/>
    <cellStyle name="Linked Cell 20 2 4 2 10" xfId="21860" xr:uid="{13099563-DC91-47CE-B06B-DEC7D312F36F}"/>
    <cellStyle name="Linked Cell 20 2 4 2 10 2" xfId="21861" xr:uid="{FD186A43-6356-4F9E-9493-1077AFD59053}"/>
    <cellStyle name="Linked Cell 20 2 4 2 11" xfId="21862" xr:uid="{4C4AA803-7782-4FE9-82A5-AFE18A4C5082}"/>
    <cellStyle name="Linked Cell 20 2 4 2 2" xfId="21863" xr:uid="{DA58ACED-47EE-495C-A37A-F1B1E19A41CA}"/>
    <cellStyle name="Linked Cell 20 2 4 2 2 2" xfId="21864" xr:uid="{7CEFE0A3-0DA5-4B05-A611-08DA0EED17F9}"/>
    <cellStyle name="Linked Cell 20 2 4 2 2 2 2" xfId="21865" xr:uid="{707E0A05-75CF-4333-AD13-E79D4F0ACD04}"/>
    <cellStyle name="Linked Cell 20 2 4 2 2 3" xfId="21866" xr:uid="{52A5CDA0-99BF-43E3-8FDF-E94A293C166A}"/>
    <cellStyle name="Linked Cell 20 2 4 2 3" xfId="21867" xr:uid="{E470D90F-EA9E-4418-B7AF-B472D67C0A29}"/>
    <cellStyle name="Linked Cell 20 2 4 2 3 2" xfId="21868" xr:uid="{E7B32C58-3721-40DE-B875-30B373B03EDD}"/>
    <cellStyle name="Linked Cell 20 2 4 2 3 2 2" xfId="21869" xr:uid="{01E7419D-FDA5-4DE6-AFF2-3F1488334C38}"/>
    <cellStyle name="Linked Cell 20 2 4 2 3 3" xfId="21870" xr:uid="{2B3DA55C-313C-4BEE-B0C7-3AC94E5F5C4E}"/>
    <cellStyle name="Linked Cell 20 2 4 2 4" xfId="21871" xr:uid="{D2A6068A-4DD9-4E61-8878-E18110C350FC}"/>
    <cellStyle name="Linked Cell 20 2 4 2 4 2" xfId="21872" xr:uid="{C09F2A49-32BD-4051-A138-C75EF0AA08F6}"/>
    <cellStyle name="Linked Cell 20 2 4 2 4 2 2" xfId="21873" xr:uid="{3B1FACD5-B201-4222-8914-90B585B4D85C}"/>
    <cellStyle name="Linked Cell 20 2 4 2 4 3" xfId="21874" xr:uid="{E8B7E051-7BDE-41D2-8089-EB65DD4DA0E9}"/>
    <cellStyle name="Linked Cell 20 2 4 2 5" xfId="21875" xr:uid="{CC2BB3D8-4EA5-45B2-95C0-C4D0D6804203}"/>
    <cellStyle name="Linked Cell 20 2 4 2 5 2" xfId="21876" xr:uid="{34F31328-45EA-4CB8-BD10-0C5B10EE6CD3}"/>
    <cellStyle name="Linked Cell 20 2 4 2 5 2 2" xfId="21877" xr:uid="{76C4113A-E057-4D52-9FA8-2A6AAB741E72}"/>
    <cellStyle name="Linked Cell 20 2 4 2 5 3" xfId="21878" xr:uid="{8B28F963-A82C-4830-8EB7-A9EB09B988EB}"/>
    <cellStyle name="Linked Cell 20 2 4 2 6" xfId="21879" xr:uid="{7DE523DA-6D09-47BB-BF27-C61A83C4DD2C}"/>
    <cellStyle name="Linked Cell 20 2 4 2 6 2" xfId="21880" xr:uid="{7BEAC59F-7376-4B8F-8B2A-BDAFC77607D3}"/>
    <cellStyle name="Linked Cell 20 2 4 2 6 2 2" xfId="21881" xr:uid="{105AA3AD-8A5C-430B-AE15-AA9DCC8F85F0}"/>
    <cellStyle name="Linked Cell 20 2 4 2 6 3" xfId="21882" xr:uid="{60217631-39DA-45A2-806F-387705CE5AC2}"/>
    <cellStyle name="Linked Cell 20 2 4 2 7" xfId="21883" xr:uid="{F45FAF88-CD84-42FF-84D9-2BF3DFA97E18}"/>
    <cellStyle name="Linked Cell 20 2 4 2 7 2" xfId="21884" xr:uid="{52ADBAF4-9A08-426D-B923-9A227145E99D}"/>
    <cellStyle name="Linked Cell 20 2 4 2 7 2 2" xfId="21885" xr:uid="{7DFD4CAF-296A-422D-9A4E-D4D5E31B6A7C}"/>
    <cellStyle name="Linked Cell 20 2 4 2 7 3" xfId="21886" xr:uid="{72E999AA-1361-4CDA-BB07-167BA10786CF}"/>
    <cellStyle name="Linked Cell 20 2 4 2 8" xfId="21887" xr:uid="{F0254B71-0FB0-456E-9755-F76FA9E93CC4}"/>
    <cellStyle name="Linked Cell 20 2 4 2 8 2" xfId="21888" xr:uid="{7556C386-7C15-4314-97BD-1C0543DC0C16}"/>
    <cellStyle name="Linked Cell 20 2 4 2 8 2 2" xfId="21889" xr:uid="{94CEB3DF-C104-4A7F-9816-3584FF742435}"/>
    <cellStyle name="Linked Cell 20 2 4 2 8 3" xfId="21890" xr:uid="{FCEC11ED-3BB0-41E0-826F-ADA6ECD019EB}"/>
    <cellStyle name="Linked Cell 20 2 4 2 9" xfId="21891" xr:uid="{6CCC0AA7-8DFB-4594-8A50-1604C1F99D68}"/>
    <cellStyle name="Linked Cell 20 2 4 2 9 2" xfId="21892" xr:uid="{1B66CDDA-77D6-49E7-9612-760126A31C15}"/>
    <cellStyle name="Linked Cell 20 2 4 2 9 2 2" xfId="21893" xr:uid="{E24E20B5-9D4D-4BD4-8BDA-2AA5CCDCE96A}"/>
    <cellStyle name="Linked Cell 20 2 4 2 9 3" xfId="21894" xr:uid="{BD824F99-E461-42EE-B5E1-9390EA083C1B}"/>
    <cellStyle name="Linked Cell 20 2 4 3" xfId="21895" xr:uid="{DF486365-727E-4891-924E-2070B1A60674}"/>
    <cellStyle name="Linked Cell 20 2 4 3 2" xfId="21896" xr:uid="{6FD0937F-0D5B-4A05-B3FA-04E15C1681AB}"/>
    <cellStyle name="Linked Cell 20 2 4 3 2 2" xfId="21897" xr:uid="{B62EB2EB-A30F-4C4B-AA9D-1288F122FE4D}"/>
    <cellStyle name="Linked Cell 20 2 4 3 3" xfId="21898" xr:uid="{11B8962D-CB65-4A61-B499-9887E9DE1BED}"/>
    <cellStyle name="Linked Cell 20 2 4 4" xfId="21899" xr:uid="{6CD62A7F-85FB-4611-83A6-C0DE9856C129}"/>
    <cellStyle name="Linked Cell 20 2 4 4 2" xfId="21900" xr:uid="{1B4BBF77-4B15-4A05-9D34-11096BED7C68}"/>
    <cellStyle name="Linked Cell 20 2 4 4 2 2" xfId="21901" xr:uid="{D8CDE269-F84D-4D48-92EB-CFA9F700DB63}"/>
    <cellStyle name="Linked Cell 20 2 4 4 3" xfId="21902" xr:uid="{C5A65709-EFA5-4F58-A291-7D41B4286BF2}"/>
    <cellStyle name="Linked Cell 20 2 4 5" xfId="21903" xr:uid="{681626D0-D96B-4881-81AB-839460F49F34}"/>
    <cellStyle name="Linked Cell 20 2 4 5 2" xfId="21904" xr:uid="{E5BD337A-FCCC-46F3-89DD-FAFE7DFE3363}"/>
    <cellStyle name="Linked Cell 20 2 4 5 2 2" xfId="21905" xr:uid="{7F3A4A7F-DEAB-4710-976E-221091D94138}"/>
    <cellStyle name="Linked Cell 20 2 4 5 3" xfId="21906" xr:uid="{BA80989F-2A43-41FB-B2D1-4EEA08A413F8}"/>
    <cellStyle name="Linked Cell 20 2 4 6" xfId="21907" xr:uid="{AC46BB31-F173-4E7D-A4EF-E8B4E35D4396}"/>
    <cellStyle name="Linked Cell 20 2 4 6 2" xfId="21908" xr:uid="{D22712BC-6BEE-4BA8-8BBD-5B7B8EBE2171}"/>
    <cellStyle name="Linked Cell 20 2 4 6 2 2" xfId="21909" xr:uid="{AADC9575-2B7D-40E4-95A1-F633BD46DCB5}"/>
    <cellStyle name="Linked Cell 20 2 4 6 3" xfId="21910" xr:uid="{3AE4CFB1-1DB6-4E57-B6DB-FC9F30BE31D7}"/>
    <cellStyle name="Linked Cell 20 2 4 7" xfId="21911" xr:uid="{0CF1E18D-9C20-43F8-82FD-1F1757937307}"/>
    <cellStyle name="Linked Cell 20 2 4 7 2" xfId="21912" xr:uid="{2EA7CAF1-62A6-41CF-86D7-0ACD48A8A73C}"/>
    <cellStyle name="Linked Cell 20 2 4 7 2 2" xfId="21913" xr:uid="{7B892028-4005-4B83-ABC3-9F965A12B811}"/>
    <cellStyle name="Linked Cell 20 2 4 7 3" xfId="21914" xr:uid="{A6749097-F3B4-40F4-AD32-19C6594BDD91}"/>
    <cellStyle name="Linked Cell 20 2 4 8" xfId="21915" xr:uid="{78A7EEFE-6DEF-4DA8-A46E-B57ED810DA4D}"/>
    <cellStyle name="Linked Cell 20 2 4 8 2" xfId="21916" xr:uid="{760ACB7E-9E92-408A-A146-5C8EFC49E5B4}"/>
    <cellStyle name="Linked Cell 20 2 4 8 2 2" xfId="21917" xr:uid="{46579C6D-FC6B-4F75-971A-F1938FADE876}"/>
    <cellStyle name="Linked Cell 20 2 4 8 3" xfId="21918" xr:uid="{488677EC-FAA9-4786-A391-0CC958CE71EF}"/>
    <cellStyle name="Linked Cell 20 2 4 9" xfId="21919" xr:uid="{F3635128-66D9-45BC-B084-FD239F20364A}"/>
    <cellStyle name="Linked Cell 20 2 4 9 2" xfId="21920" xr:uid="{3F08096B-1066-4439-A31D-03BC37EBAB69}"/>
    <cellStyle name="Linked Cell 20 2 4 9 2 2" xfId="21921" xr:uid="{53A1B298-1320-4112-905A-BE44779DAD48}"/>
    <cellStyle name="Linked Cell 20 2 4 9 3" xfId="21922" xr:uid="{F2E138A4-4103-4F64-8113-26627E9904C6}"/>
    <cellStyle name="Linked Cell 20 2 5" xfId="21923" xr:uid="{BDA20EE4-FDE4-4A2D-9CE5-51CF46C62AC6}"/>
    <cellStyle name="Linked Cell 20 2 5 10" xfId="21924" xr:uid="{DD668878-24A2-457D-AE7E-7F5B2E7C1772}"/>
    <cellStyle name="Linked Cell 20 2 5 10 2" xfId="21925" xr:uid="{33DE5791-7E53-4A4D-82C6-096AD3FBE309}"/>
    <cellStyle name="Linked Cell 20 2 5 11" xfId="21926" xr:uid="{4ADC08ED-286F-4D18-AAEE-901746477FA7}"/>
    <cellStyle name="Linked Cell 20 2 5 2" xfId="21927" xr:uid="{BC6C5660-3C2C-4725-ADE0-0FF95828AB9E}"/>
    <cellStyle name="Linked Cell 20 2 5 2 2" xfId="21928" xr:uid="{5C847231-571A-4A4D-AA4F-2B979EDCE0E0}"/>
    <cellStyle name="Linked Cell 20 2 5 2 2 2" xfId="21929" xr:uid="{FFA38B79-F35B-4511-B62F-5ED632B1C52A}"/>
    <cellStyle name="Linked Cell 20 2 5 2 3" xfId="21930" xr:uid="{44F08D2B-0530-4641-9C1B-F177EF7E3D68}"/>
    <cellStyle name="Linked Cell 20 2 5 3" xfId="21931" xr:uid="{EEB46679-3ACD-470A-8919-8F3F2233A9E5}"/>
    <cellStyle name="Linked Cell 20 2 5 3 2" xfId="21932" xr:uid="{3F687410-0B77-45D5-B67D-1CBF7EE84B1A}"/>
    <cellStyle name="Linked Cell 20 2 5 3 2 2" xfId="21933" xr:uid="{68C5A70F-5456-44B1-95BB-0E6522CE6822}"/>
    <cellStyle name="Linked Cell 20 2 5 3 3" xfId="21934" xr:uid="{C285B48C-3D26-4631-9D48-0140CFE12538}"/>
    <cellStyle name="Linked Cell 20 2 5 4" xfId="21935" xr:uid="{50C5F147-8E30-4733-8F10-77439CE1F863}"/>
    <cellStyle name="Linked Cell 20 2 5 4 2" xfId="21936" xr:uid="{C68A8F82-41E6-4791-8D57-0A35D947EA6A}"/>
    <cellStyle name="Linked Cell 20 2 5 4 2 2" xfId="21937" xr:uid="{0A8B5FA9-11D2-46D5-A951-94EF67AC36BD}"/>
    <cellStyle name="Linked Cell 20 2 5 4 3" xfId="21938" xr:uid="{3266F1E8-523F-47FA-BEA9-D41DB54A500D}"/>
    <cellStyle name="Linked Cell 20 2 5 5" xfId="21939" xr:uid="{3EBC077C-5C7C-495C-9937-82D14D9D7892}"/>
    <cellStyle name="Linked Cell 20 2 5 5 2" xfId="21940" xr:uid="{112CBC8C-15F3-44CF-883C-833A1472EFFD}"/>
    <cellStyle name="Linked Cell 20 2 5 5 2 2" xfId="21941" xr:uid="{9F9B7FD1-C688-42AC-A470-4B4BE9E4367C}"/>
    <cellStyle name="Linked Cell 20 2 5 5 3" xfId="21942" xr:uid="{56947235-E2D2-4F2F-B32E-DE01504B68A4}"/>
    <cellStyle name="Linked Cell 20 2 5 6" xfId="21943" xr:uid="{818A0E7B-CC9C-4BA5-AA47-72032C53D966}"/>
    <cellStyle name="Linked Cell 20 2 5 6 2" xfId="21944" xr:uid="{A7C6D7CB-E6B3-4008-BC0F-116FE1A113B2}"/>
    <cellStyle name="Linked Cell 20 2 5 6 2 2" xfId="21945" xr:uid="{BF589866-8EF6-4DF6-9EA1-8771778080C4}"/>
    <cellStyle name="Linked Cell 20 2 5 6 3" xfId="21946" xr:uid="{2D835E4C-B830-4D68-A119-255EB9F7B77F}"/>
    <cellStyle name="Linked Cell 20 2 5 7" xfId="21947" xr:uid="{C37B73CF-9B1E-4F67-8D11-F07536B25775}"/>
    <cellStyle name="Linked Cell 20 2 5 7 2" xfId="21948" xr:uid="{974B2C65-E406-41EC-AA0D-ED574534E865}"/>
    <cellStyle name="Linked Cell 20 2 5 7 2 2" xfId="21949" xr:uid="{F35071E6-4E8B-4495-82D1-CDABAE8D2E90}"/>
    <cellStyle name="Linked Cell 20 2 5 7 3" xfId="21950" xr:uid="{CBA7C33C-DD29-41C9-8717-69AFD891B349}"/>
    <cellStyle name="Linked Cell 20 2 5 8" xfId="21951" xr:uid="{7E84B885-ED03-4E84-AA68-611894F98255}"/>
    <cellStyle name="Linked Cell 20 2 5 8 2" xfId="21952" xr:uid="{A3ACDFBE-EB17-481F-8956-46F9CD36D8E3}"/>
    <cellStyle name="Linked Cell 20 2 5 8 2 2" xfId="21953" xr:uid="{FD5EC58F-555D-4A48-A98D-9CCC0C85AD3B}"/>
    <cellStyle name="Linked Cell 20 2 5 8 3" xfId="21954" xr:uid="{EC203D72-9490-4959-9B08-CB3846620340}"/>
    <cellStyle name="Linked Cell 20 2 5 9" xfId="21955" xr:uid="{821023B1-1DCB-4664-8717-64C39BE8F028}"/>
    <cellStyle name="Linked Cell 20 2 5 9 2" xfId="21956" xr:uid="{B94893CD-492C-408B-8576-2E3454B88C6B}"/>
    <cellStyle name="Linked Cell 20 2 5 9 2 2" xfId="21957" xr:uid="{7CAC599B-7DB9-489E-8118-66CECF6ABA8F}"/>
    <cellStyle name="Linked Cell 20 2 5 9 3" xfId="21958" xr:uid="{971A49F7-97B7-4886-A1CE-9A5C86F010D3}"/>
    <cellStyle name="Linked Cell 20 2 6" xfId="21959" xr:uid="{58543A8D-688B-494B-888F-9FFEBCA11DA6}"/>
    <cellStyle name="Linked Cell 20 2 6 2" xfId="21960" xr:uid="{A7717051-55D7-4C3E-83AE-DCC7CFBA88E2}"/>
    <cellStyle name="Linked Cell 20 2 6 2 2" xfId="21961" xr:uid="{5874A498-9E22-462C-9C97-166B19F5359C}"/>
    <cellStyle name="Linked Cell 20 2 6 3" xfId="21962" xr:uid="{C0A3A950-224F-4388-A78A-F2A80C49DFC0}"/>
    <cellStyle name="Linked Cell 20 2 7" xfId="21963" xr:uid="{C40A9B5B-2352-455F-AC03-38A3D409E752}"/>
    <cellStyle name="Linked Cell 20 2 7 2" xfId="21964" xr:uid="{775FFCC8-2584-46D2-A214-6FB3003E1ADC}"/>
    <cellStyle name="Linked Cell 20 2 7 2 2" xfId="21965" xr:uid="{49201EAB-BE25-42E5-ADFD-C01FA0429E2D}"/>
    <cellStyle name="Linked Cell 20 2 7 3" xfId="21966" xr:uid="{D94739C8-2FA4-4951-977C-402BD0FCD4BD}"/>
    <cellStyle name="Linked Cell 20 2 8" xfId="21967" xr:uid="{C5897AAA-78EA-4487-9525-AD6724F1AD5D}"/>
    <cellStyle name="Linked Cell 20 2 8 2" xfId="21968" xr:uid="{8ABC55FB-D22C-4D12-882B-4F8FA3CCB0D1}"/>
    <cellStyle name="Linked Cell 20 2 8 2 2" xfId="21969" xr:uid="{771CCACC-DB09-499E-B704-4810C58C3E3C}"/>
    <cellStyle name="Linked Cell 20 2 8 3" xfId="21970" xr:uid="{0C472C1D-84D3-458A-BBFB-69F3A0F77A2D}"/>
    <cellStyle name="Linked Cell 20 2 9" xfId="21971" xr:uid="{5DC8EEF0-BEF8-4D20-9C43-30440EACC2CF}"/>
    <cellStyle name="Linked Cell 20 2 9 2" xfId="21972" xr:uid="{D9ACD61A-BF72-4537-BB3E-33FBD711BD53}"/>
    <cellStyle name="Linked Cell 20 2 9 2 2" xfId="21973" xr:uid="{EF413124-0B57-4632-A53C-A13DA1E28163}"/>
    <cellStyle name="Linked Cell 20 2 9 3" xfId="21974" xr:uid="{F5E1AE1D-D6EC-4869-9D0E-5E2D96E26774}"/>
    <cellStyle name="Linked Cell 20 3" xfId="21975" xr:uid="{A46B9852-43A1-4D34-966B-A1173060541D}"/>
    <cellStyle name="Linked Cell 20 3 10" xfId="21976" xr:uid="{34FDCE6E-F49C-43DF-AD1A-567B5836E285}"/>
    <cellStyle name="Linked Cell 20 3 10 2" xfId="21977" xr:uid="{A31D5B4C-7037-46B9-8273-5FA9467AD005}"/>
    <cellStyle name="Linked Cell 20 3 10 2 2" xfId="21978" xr:uid="{CE63C4B6-890B-4270-86A1-FF2E1F5FB841}"/>
    <cellStyle name="Linked Cell 20 3 10 3" xfId="21979" xr:uid="{02D6DABB-EEF9-475A-A091-84DDEB034E87}"/>
    <cellStyle name="Linked Cell 20 3 11" xfId="21980" xr:uid="{0A0F3359-C097-414F-8F85-022BF112174E}"/>
    <cellStyle name="Linked Cell 20 3 11 2" xfId="21981" xr:uid="{89AFDE1F-AC1D-46E0-99AA-47BB52F02939}"/>
    <cellStyle name="Linked Cell 20 3 11 2 2" xfId="21982" xr:uid="{2ADA7B07-0081-413A-ADF4-DE68AA790235}"/>
    <cellStyle name="Linked Cell 20 3 11 3" xfId="21983" xr:uid="{FF0485A3-C77B-4975-B809-A8240E24130F}"/>
    <cellStyle name="Linked Cell 20 3 12" xfId="21984" xr:uid="{9E23A943-A4A2-4289-9550-8B854FB75623}"/>
    <cellStyle name="Linked Cell 20 3 12 2" xfId="21985" xr:uid="{C39CFEEA-BA8D-4830-BC7E-E847D2231C0D}"/>
    <cellStyle name="Linked Cell 20 3 12 2 2" xfId="21986" xr:uid="{F360D47B-748D-47FC-A16F-5720FC39BF7C}"/>
    <cellStyle name="Linked Cell 20 3 12 3" xfId="21987" xr:uid="{3176C323-C81D-4AFB-A95B-7058825BD559}"/>
    <cellStyle name="Linked Cell 20 3 13" xfId="21988" xr:uid="{9A28FD9A-D72A-434E-AE38-531D7E181176}"/>
    <cellStyle name="Linked Cell 20 3 13 2" xfId="21989" xr:uid="{CD252F21-AA86-4510-BDFA-B368AAEE0D3F}"/>
    <cellStyle name="Linked Cell 20 3 14" xfId="21990" xr:uid="{465BC3CC-07C0-4FB4-B000-FBCF04408C5D}"/>
    <cellStyle name="Linked Cell 20 3 2" xfId="21991" xr:uid="{C74F7402-7EB2-4E14-9C1F-1F267756CD38}"/>
    <cellStyle name="Linked Cell 20 3 2 10" xfId="21992" xr:uid="{0B07D074-0255-467A-B620-4C5A299C2A23}"/>
    <cellStyle name="Linked Cell 20 3 2 10 2" xfId="21993" xr:uid="{D79E3785-9739-40E4-84D7-F116CFA7C769}"/>
    <cellStyle name="Linked Cell 20 3 2 10 2 2" xfId="21994" xr:uid="{BC60C46C-E37A-4D6E-99A9-C4623280342F}"/>
    <cellStyle name="Linked Cell 20 3 2 10 3" xfId="21995" xr:uid="{7C6F88CC-589C-4BCB-9A57-5536A4C573F0}"/>
    <cellStyle name="Linked Cell 20 3 2 11" xfId="21996" xr:uid="{DF42608F-D746-4EEB-BF0D-E34D87977654}"/>
    <cellStyle name="Linked Cell 20 3 2 11 2" xfId="21997" xr:uid="{A47D530F-8B26-4325-8554-612D54DEB18E}"/>
    <cellStyle name="Linked Cell 20 3 2 11 2 2" xfId="21998" xr:uid="{D48C98D8-459D-4FB1-911C-88ACD8B3DBC1}"/>
    <cellStyle name="Linked Cell 20 3 2 11 3" xfId="21999" xr:uid="{299060DD-FD7E-4439-8E1A-98CA605C02C9}"/>
    <cellStyle name="Linked Cell 20 3 2 12" xfId="22000" xr:uid="{8900FE24-2028-4DF8-B47D-FFC15BE79725}"/>
    <cellStyle name="Linked Cell 20 3 2 12 2" xfId="22001" xr:uid="{9242E9B3-BE99-4EDF-BCD8-3B6FC6042465}"/>
    <cellStyle name="Linked Cell 20 3 2 13" xfId="22002" xr:uid="{BD98E8FF-B0AA-4B8C-9B7F-C57C64C08683}"/>
    <cellStyle name="Linked Cell 20 3 2 2" xfId="22003" xr:uid="{04C7C6B9-8437-4EE9-89AE-F7F16F9EDFD8}"/>
    <cellStyle name="Linked Cell 20 3 2 2 10" xfId="22004" xr:uid="{414300FE-4663-40DF-AF77-48581DFB5718}"/>
    <cellStyle name="Linked Cell 20 3 2 2 10 2" xfId="22005" xr:uid="{E02DA399-0027-4BF8-B96B-9A9739339CAD}"/>
    <cellStyle name="Linked Cell 20 3 2 2 10 2 2" xfId="22006" xr:uid="{32F4A91D-B3C8-4E16-B3E6-569972B7AAD7}"/>
    <cellStyle name="Linked Cell 20 3 2 2 10 3" xfId="22007" xr:uid="{C8A6FC2C-2D51-48DA-AE46-FF35D812A906}"/>
    <cellStyle name="Linked Cell 20 3 2 2 11" xfId="22008" xr:uid="{CA8466B3-9618-4FEC-A02E-9C1E5DEB5563}"/>
    <cellStyle name="Linked Cell 20 3 2 2 11 2" xfId="22009" xr:uid="{DCF81F88-6A50-427D-99E1-9A2A6B827C37}"/>
    <cellStyle name="Linked Cell 20 3 2 2 12" xfId="22010" xr:uid="{C392DF9C-A935-440F-BC07-B838B343CA3E}"/>
    <cellStyle name="Linked Cell 20 3 2 2 2" xfId="22011" xr:uid="{DB7C7165-9550-48E4-9D15-F045A165ED87}"/>
    <cellStyle name="Linked Cell 20 3 2 2 2 2" xfId="22012" xr:uid="{4824B7D2-B26A-4CF4-A06A-8C2DC9B82DC3}"/>
    <cellStyle name="Linked Cell 20 3 2 2 2 2 2" xfId="22013" xr:uid="{5FAE03F6-D1F0-4391-B5CF-D64EA04C1278}"/>
    <cellStyle name="Linked Cell 20 3 2 2 2 3" xfId="22014" xr:uid="{F601A14F-45E0-404B-8B28-B5282F4D95B6}"/>
    <cellStyle name="Linked Cell 20 3 2 2 3" xfId="22015" xr:uid="{8B9EA1AB-93AB-4306-A89E-96BBE63E958A}"/>
    <cellStyle name="Linked Cell 20 3 2 2 3 2" xfId="22016" xr:uid="{85FAF0F4-5345-46DB-909B-E4D6406AB782}"/>
    <cellStyle name="Linked Cell 20 3 2 2 3 2 2" xfId="22017" xr:uid="{22323D2D-63FB-4D15-878E-5E98713343D6}"/>
    <cellStyle name="Linked Cell 20 3 2 2 3 3" xfId="22018" xr:uid="{A3C3C228-90BD-4B03-8EC8-8FD257A792F7}"/>
    <cellStyle name="Linked Cell 20 3 2 2 4" xfId="22019" xr:uid="{6F7295D2-FCCA-4761-A236-532C44E3D609}"/>
    <cellStyle name="Linked Cell 20 3 2 2 4 2" xfId="22020" xr:uid="{A9AD69D9-E72A-4945-BCC2-49965059AEB9}"/>
    <cellStyle name="Linked Cell 20 3 2 2 4 2 2" xfId="22021" xr:uid="{DC26C259-5659-442E-AB55-0CD112C7FD0D}"/>
    <cellStyle name="Linked Cell 20 3 2 2 4 3" xfId="22022" xr:uid="{B97FC166-D6E1-4152-BD8B-60F57B955E0A}"/>
    <cellStyle name="Linked Cell 20 3 2 2 5" xfId="22023" xr:uid="{3FFFB458-F526-408C-B7A4-E1B2418F521D}"/>
    <cellStyle name="Linked Cell 20 3 2 2 5 2" xfId="22024" xr:uid="{1196C722-47A0-471D-8F9C-10F6A336B903}"/>
    <cellStyle name="Linked Cell 20 3 2 2 5 2 2" xfId="22025" xr:uid="{05596077-A743-4278-AAF3-6D509DCEE26F}"/>
    <cellStyle name="Linked Cell 20 3 2 2 5 3" xfId="22026" xr:uid="{3CDCAF2F-8FF6-45B5-8AF3-712D353850EE}"/>
    <cellStyle name="Linked Cell 20 3 2 2 6" xfId="22027" xr:uid="{18CDB0BA-6F39-4255-9CA9-795B0DEF8EFF}"/>
    <cellStyle name="Linked Cell 20 3 2 2 6 2" xfId="22028" xr:uid="{4FB116E1-5903-4C79-A9C3-749362CF5104}"/>
    <cellStyle name="Linked Cell 20 3 2 2 6 2 2" xfId="22029" xr:uid="{F4D6774E-9621-40E1-A48B-3A9B6C6DC8DA}"/>
    <cellStyle name="Linked Cell 20 3 2 2 6 3" xfId="22030" xr:uid="{7E1DF1FE-7801-4160-BBF7-4AC49DCD5D65}"/>
    <cellStyle name="Linked Cell 20 3 2 2 7" xfId="22031" xr:uid="{20CC9E46-1D66-4F22-AD21-AF7A59BD2268}"/>
    <cellStyle name="Linked Cell 20 3 2 2 7 2" xfId="22032" xr:uid="{029D3263-5CB0-4481-8163-BAA2758785E3}"/>
    <cellStyle name="Linked Cell 20 3 2 2 7 2 2" xfId="22033" xr:uid="{F1111CF2-1545-4F53-AAA1-862677F40E96}"/>
    <cellStyle name="Linked Cell 20 3 2 2 7 3" xfId="22034" xr:uid="{F16C278A-562D-4C5A-89D0-95A7A32E13C1}"/>
    <cellStyle name="Linked Cell 20 3 2 2 8" xfId="22035" xr:uid="{AB2540B5-7F26-479B-9316-1BC45CD2316B}"/>
    <cellStyle name="Linked Cell 20 3 2 2 8 2" xfId="22036" xr:uid="{999B80CE-E1F0-48FC-98D2-DD58BB6E1714}"/>
    <cellStyle name="Linked Cell 20 3 2 2 8 2 2" xfId="22037" xr:uid="{83963122-D57B-4ABB-8DD6-71379C3799FC}"/>
    <cellStyle name="Linked Cell 20 3 2 2 8 3" xfId="22038" xr:uid="{22FFCF7A-6E2C-421B-97D5-9277BB2A0598}"/>
    <cellStyle name="Linked Cell 20 3 2 2 9" xfId="22039" xr:uid="{58F6981A-2EEA-40EB-8C82-DD303025A8D7}"/>
    <cellStyle name="Linked Cell 20 3 2 2 9 2" xfId="22040" xr:uid="{5E6C5062-9BDF-4BFF-A5DF-34D749DE36D0}"/>
    <cellStyle name="Linked Cell 20 3 2 2 9 2 2" xfId="22041" xr:uid="{1B115484-F268-424C-A8BB-83F80D736C35}"/>
    <cellStyle name="Linked Cell 20 3 2 2 9 3" xfId="22042" xr:uid="{99201D79-C590-4B01-A1B7-0F28100975F7}"/>
    <cellStyle name="Linked Cell 20 3 2 3" xfId="22043" xr:uid="{107FC4FD-76C0-4D44-AF80-C12480657D65}"/>
    <cellStyle name="Linked Cell 20 3 2 3 10" xfId="22044" xr:uid="{EDFF4AE9-449F-4548-A9F8-EA841A2DC2C9}"/>
    <cellStyle name="Linked Cell 20 3 2 3 10 2" xfId="22045" xr:uid="{5CACB243-52B4-4BDD-BDB7-08677615DFEA}"/>
    <cellStyle name="Linked Cell 20 3 2 3 11" xfId="22046" xr:uid="{7F6EE9B0-56F9-4D28-9822-E03BF9102A89}"/>
    <cellStyle name="Linked Cell 20 3 2 3 2" xfId="22047" xr:uid="{8C52889C-3AE0-4849-9ED0-1262FAF8A832}"/>
    <cellStyle name="Linked Cell 20 3 2 3 2 2" xfId="22048" xr:uid="{D557A4E7-4D0E-4BC9-95BF-2EFADCC728D3}"/>
    <cellStyle name="Linked Cell 20 3 2 3 2 2 2" xfId="22049" xr:uid="{76B9C0E4-61F2-4BF9-994E-7B84442207D4}"/>
    <cellStyle name="Linked Cell 20 3 2 3 2 3" xfId="22050" xr:uid="{085990E7-FF4A-4CD5-9306-5E8989DDC6B9}"/>
    <cellStyle name="Linked Cell 20 3 2 3 3" xfId="22051" xr:uid="{CC6A73B6-7F8F-4B57-8A7E-0FDF0E29175E}"/>
    <cellStyle name="Linked Cell 20 3 2 3 3 2" xfId="22052" xr:uid="{ECFC5B47-EFC4-4588-889B-B985B501A692}"/>
    <cellStyle name="Linked Cell 20 3 2 3 3 2 2" xfId="22053" xr:uid="{4791C3ED-54B5-40F2-867D-939AD9CFDA0A}"/>
    <cellStyle name="Linked Cell 20 3 2 3 3 3" xfId="22054" xr:uid="{5B3D8768-CB27-4751-BBBE-5C0C78B67FE6}"/>
    <cellStyle name="Linked Cell 20 3 2 3 4" xfId="22055" xr:uid="{D7AC65E0-8802-4C49-B778-A50CBE06728C}"/>
    <cellStyle name="Linked Cell 20 3 2 3 4 2" xfId="22056" xr:uid="{CCD74CE0-CA43-43C0-A2D1-121DC2227884}"/>
    <cellStyle name="Linked Cell 20 3 2 3 4 2 2" xfId="22057" xr:uid="{A2973834-2396-4DAC-9573-3DACACE3E61C}"/>
    <cellStyle name="Linked Cell 20 3 2 3 4 3" xfId="22058" xr:uid="{D505320E-9212-4FBA-9E85-0CB96E203F6B}"/>
    <cellStyle name="Linked Cell 20 3 2 3 5" xfId="22059" xr:uid="{527E9807-DB25-487A-A583-DB73C62E6C34}"/>
    <cellStyle name="Linked Cell 20 3 2 3 5 2" xfId="22060" xr:uid="{93D10DA8-352F-40DE-A645-B5FCFA018034}"/>
    <cellStyle name="Linked Cell 20 3 2 3 5 2 2" xfId="22061" xr:uid="{7977990E-C77B-4ABF-B8C4-2C497AFE97DA}"/>
    <cellStyle name="Linked Cell 20 3 2 3 5 3" xfId="22062" xr:uid="{525CB8C7-8F5B-4507-B619-532C197410DA}"/>
    <cellStyle name="Linked Cell 20 3 2 3 6" xfId="22063" xr:uid="{1C7A9F29-1B64-4D93-A08F-F0BA98007B3B}"/>
    <cellStyle name="Linked Cell 20 3 2 3 6 2" xfId="22064" xr:uid="{805D923A-E991-4BC8-9EBD-54085BFCB517}"/>
    <cellStyle name="Linked Cell 20 3 2 3 6 2 2" xfId="22065" xr:uid="{10C0543E-8D9C-44AD-8173-65543045A1FB}"/>
    <cellStyle name="Linked Cell 20 3 2 3 6 3" xfId="22066" xr:uid="{03F32D0E-5D12-462D-9F98-8907A1F4080C}"/>
    <cellStyle name="Linked Cell 20 3 2 3 7" xfId="22067" xr:uid="{7ECD890F-C1EC-47D0-901E-48FF571CE5B6}"/>
    <cellStyle name="Linked Cell 20 3 2 3 7 2" xfId="22068" xr:uid="{1B80E926-3D49-41D7-BC44-6F32E04FEE44}"/>
    <cellStyle name="Linked Cell 20 3 2 3 7 2 2" xfId="22069" xr:uid="{D717493F-5828-4973-9268-13822875C040}"/>
    <cellStyle name="Linked Cell 20 3 2 3 7 3" xfId="22070" xr:uid="{EFF9E049-0D53-49B5-82F2-20B8F559C772}"/>
    <cellStyle name="Linked Cell 20 3 2 3 8" xfId="22071" xr:uid="{4B53243F-1D15-4B11-A251-169C91EA93CF}"/>
    <cellStyle name="Linked Cell 20 3 2 3 8 2" xfId="22072" xr:uid="{CA6FB19D-6CD7-4E7A-B871-1E6BD59813B7}"/>
    <cellStyle name="Linked Cell 20 3 2 3 8 2 2" xfId="22073" xr:uid="{9CEFAB5C-65DE-4A84-9CFD-6C6C33A97B6E}"/>
    <cellStyle name="Linked Cell 20 3 2 3 8 3" xfId="22074" xr:uid="{2D93A53D-5E03-4CC7-8743-E1295D524A5E}"/>
    <cellStyle name="Linked Cell 20 3 2 3 9" xfId="22075" xr:uid="{2ADFBCE2-537A-44F1-A615-D2D7980ED144}"/>
    <cellStyle name="Linked Cell 20 3 2 3 9 2" xfId="22076" xr:uid="{6428323C-2757-4E8A-BE88-67B2ADF5439A}"/>
    <cellStyle name="Linked Cell 20 3 2 3 9 2 2" xfId="22077" xr:uid="{F8FEE062-E817-4A21-B752-587A6DFD7A4B}"/>
    <cellStyle name="Linked Cell 20 3 2 3 9 3" xfId="22078" xr:uid="{726AAABE-EDCB-4901-A45F-C03F59DAEF4F}"/>
    <cellStyle name="Linked Cell 20 3 2 4" xfId="22079" xr:uid="{352E3923-1856-40B0-9673-2D4EEA9C1C73}"/>
    <cellStyle name="Linked Cell 20 3 2 4 2" xfId="22080" xr:uid="{AEDA68EA-F7A9-4368-915F-70E4200FBEE1}"/>
    <cellStyle name="Linked Cell 20 3 2 4 2 2" xfId="22081" xr:uid="{E2A05C09-A704-4D50-B0F2-B2D939633383}"/>
    <cellStyle name="Linked Cell 20 3 2 4 3" xfId="22082" xr:uid="{4D4F8640-FD58-4671-9088-92CE172A862E}"/>
    <cellStyle name="Linked Cell 20 3 2 5" xfId="22083" xr:uid="{37919A6F-5C16-4BC2-8DD0-A84A28FC2E59}"/>
    <cellStyle name="Linked Cell 20 3 2 5 2" xfId="22084" xr:uid="{A75827CB-8FDC-4FCA-AFB7-DF1196197578}"/>
    <cellStyle name="Linked Cell 20 3 2 5 2 2" xfId="22085" xr:uid="{B7FBA3CB-9DCB-4CC1-A00A-E09882D661B3}"/>
    <cellStyle name="Linked Cell 20 3 2 5 3" xfId="22086" xr:uid="{216D1AD8-4A70-4D80-9556-91EB74B6FEE3}"/>
    <cellStyle name="Linked Cell 20 3 2 6" xfId="22087" xr:uid="{8EDB18EE-5CF9-47AC-AD04-85DD8E53A099}"/>
    <cellStyle name="Linked Cell 20 3 2 6 2" xfId="22088" xr:uid="{6403F995-95A7-46D9-9F92-DC7B659AD229}"/>
    <cellStyle name="Linked Cell 20 3 2 6 2 2" xfId="22089" xr:uid="{894D2D46-6ADB-42BF-AD71-F773D9E3C989}"/>
    <cellStyle name="Linked Cell 20 3 2 6 3" xfId="22090" xr:uid="{BEF592E8-3568-48D3-A029-1963EEA20CE1}"/>
    <cellStyle name="Linked Cell 20 3 2 7" xfId="22091" xr:uid="{FFA435E5-E8B4-41FF-9C7B-FBF81C92D338}"/>
    <cellStyle name="Linked Cell 20 3 2 7 2" xfId="22092" xr:uid="{BF725FEA-9246-45D1-A259-660919694D2B}"/>
    <cellStyle name="Linked Cell 20 3 2 7 2 2" xfId="22093" xr:uid="{5706E01D-DBD2-4219-AE09-7AB2560428B0}"/>
    <cellStyle name="Linked Cell 20 3 2 7 3" xfId="22094" xr:uid="{351CB61A-B92B-40BC-8E99-C1A082A939D8}"/>
    <cellStyle name="Linked Cell 20 3 2 8" xfId="22095" xr:uid="{3336EE79-DA3B-43D2-9370-DE40A81B62D9}"/>
    <cellStyle name="Linked Cell 20 3 2 8 2" xfId="22096" xr:uid="{89AAAB4F-D148-4211-89FB-7975AF0CFDF1}"/>
    <cellStyle name="Linked Cell 20 3 2 8 2 2" xfId="22097" xr:uid="{A5C5189C-345A-48F8-BDB8-317812A1E851}"/>
    <cellStyle name="Linked Cell 20 3 2 8 3" xfId="22098" xr:uid="{BB4863AF-8462-4279-9923-0C02E3A0A64F}"/>
    <cellStyle name="Linked Cell 20 3 2 9" xfId="22099" xr:uid="{25A3EF0E-C18E-48CB-AB26-F55D97B9D2CA}"/>
    <cellStyle name="Linked Cell 20 3 2 9 2" xfId="22100" xr:uid="{02B1F486-8C2A-4049-8BC1-81EB11EDB1EF}"/>
    <cellStyle name="Linked Cell 20 3 2 9 2 2" xfId="22101" xr:uid="{873331BF-7670-4615-994D-F29D7FCE8BA7}"/>
    <cellStyle name="Linked Cell 20 3 2 9 3" xfId="22102" xr:uid="{9EA60194-BDE4-499C-8AA4-877D274F8102}"/>
    <cellStyle name="Linked Cell 20 3 3" xfId="22103" xr:uid="{3FBCACA9-D289-48F2-B5C9-84F2A1BAECE0}"/>
    <cellStyle name="Linked Cell 20 3 3 10" xfId="22104" xr:uid="{DFFD01DA-31C3-4807-835C-B9BB63C203D5}"/>
    <cellStyle name="Linked Cell 20 3 3 10 2" xfId="22105" xr:uid="{830B0EFE-A81B-44C9-B2A8-288822B1DE5B}"/>
    <cellStyle name="Linked Cell 20 3 3 10 2 2" xfId="22106" xr:uid="{50A7B09E-AA67-4A21-84F5-652C4EA4015F}"/>
    <cellStyle name="Linked Cell 20 3 3 10 3" xfId="22107" xr:uid="{BD1470F4-E87C-4B64-B626-8EAAFE9BF149}"/>
    <cellStyle name="Linked Cell 20 3 3 11" xfId="22108" xr:uid="{3773A452-D462-4D9B-8970-CDC71C448896}"/>
    <cellStyle name="Linked Cell 20 3 3 11 2" xfId="22109" xr:uid="{7DFF3720-8728-499C-82C3-D55076482E97}"/>
    <cellStyle name="Linked Cell 20 3 3 12" xfId="22110" xr:uid="{746F1C47-5193-4CD5-A707-18FCD9A58A13}"/>
    <cellStyle name="Linked Cell 20 3 3 2" xfId="22111" xr:uid="{3CA4C0F4-04DE-442D-B41D-B6CEDD5A7BB5}"/>
    <cellStyle name="Linked Cell 20 3 3 2 10" xfId="22112" xr:uid="{6CFF718A-B15F-4441-82EB-CBF13E5A7EB9}"/>
    <cellStyle name="Linked Cell 20 3 3 2 10 2" xfId="22113" xr:uid="{6D09AB8E-A174-43BF-929C-CD41BC2A76B9}"/>
    <cellStyle name="Linked Cell 20 3 3 2 11" xfId="22114" xr:uid="{3F712BE2-3A3E-45D8-B3C8-6559AB3764BF}"/>
    <cellStyle name="Linked Cell 20 3 3 2 2" xfId="22115" xr:uid="{A02DDB01-B35F-4FCC-A3D7-A1AB40A22C7B}"/>
    <cellStyle name="Linked Cell 20 3 3 2 2 2" xfId="22116" xr:uid="{FD312350-5534-42D5-98BA-AF032DBA4287}"/>
    <cellStyle name="Linked Cell 20 3 3 2 2 2 2" xfId="22117" xr:uid="{03818964-540F-4B03-A207-8C4D81B41478}"/>
    <cellStyle name="Linked Cell 20 3 3 2 2 3" xfId="22118" xr:uid="{9BF64987-0847-42B2-A627-F57CEC059F88}"/>
    <cellStyle name="Linked Cell 20 3 3 2 3" xfId="22119" xr:uid="{4C58EDF8-6FC5-49A9-891A-FD2EB5AE62C9}"/>
    <cellStyle name="Linked Cell 20 3 3 2 3 2" xfId="22120" xr:uid="{9A2B1903-0E44-4426-BD45-6BDB3EC84082}"/>
    <cellStyle name="Linked Cell 20 3 3 2 3 2 2" xfId="22121" xr:uid="{E910E9F5-F25C-430B-A7DB-A56DD3144C8F}"/>
    <cellStyle name="Linked Cell 20 3 3 2 3 3" xfId="22122" xr:uid="{4E0A4082-CAC8-4746-AB00-4E99F765CC9C}"/>
    <cellStyle name="Linked Cell 20 3 3 2 4" xfId="22123" xr:uid="{CC211F57-F466-4C35-81DF-244752D330E5}"/>
    <cellStyle name="Linked Cell 20 3 3 2 4 2" xfId="22124" xr:uid="{21670B10-FC51-4C2F-9165-B7F1624A224D}"/>
    <cellStyle name="Linked Cell 20 3 3 2 4 2 2" xfId="22125" xr:uid="{E1A03773-9A36-4FCF-A5F1-1511053E44B9}"/>
    <cellStyle name="Linked Cell 20 3 3 2 4 3" xfId="22126" xr:uid="{B1FF0044-3905-481B-BCF3-1A05198AF6E8}"/>
    <cellStyle name="Linked Cell 20 3 3 2 5" xfId="22127" xr:uid="{1BFC1BA9-07A2-416C-8B78-8FDF6927177A}"/>
    <cellStyle name="Linked Cell 20 3 3 2 5 2" xfId="22128" xr:uid="{0C584315-435E-4771-B715-C3A51F295D70}"/>
    <cellStyle name="Linked Cell 20 3 3 2 5 2 2" xfId="22129" xr:uid="{5559B9AD-9590-4E32-9BE7-DED46ADA9E2C}"/>
    <cellStyle name="Linked Cell 20 3 3 2 5 3" xfId="22130" xr:uid="{8572941A-39B0-4D02-A687-C5D9FB4661A7}"/>
    <cellStyle name="Linked Cell 20 3 3 2 6" xfId="22131" xr:uid="{BB35C028-A9A0-465F-9FE4-57CA66B3D045}"/>
    <cellStyle name="Linked Cell 20 3 3 2 6 2" xfId="22132" xr:uid="{161DE974-FB44-49A7-8204-B2724517CA3B}"/>
    <cellStyle name="Linked Cell 20 3 3 2 6 2 2" xfId="22133" xr:uid="{2182294D-5C43-4D66-A10D-26B71D8FE48A}"/>
    <cellStyle name="Linked Cell 20 3 3 2 6 3" xfId="22134" xr:uid="{EE6B8FEE-1985-40CC-A9AC-F3B8F7A1860E}"/>
    <cellStyle name="Linked Cell 20 3 3 2 7" xfId="22135" xr:uid="{73C35339-8179-44BA-A9D3-ADAD9AED46AA}"/>
    <cellStyle name="Linked Cell 20 3 3 2 7 2" xfId="22136" xr:uid="{D2AE429C-53C3-4105-9888-F886786CBBCC}"/>
    <cellStyle name="Linked Cell 20 3 3 2 7 2 2" xfId="22137" xr:uid="{0A2879B5-69BB-447E-8205-0A0E89C5079F}"/>
    <cellStyle name="Linked Cell 20 3 3 2 7 3" xfId="22138" xr:uid="{520D26C1-69D7-4255-B97F-6B51144ABE35}"/>
    <cellStyle name="Linked Cell 20 3 3 2 8" xfId="22139" xr:uid="{91D93B17-80A3-43AE-A5AA-790876D1A985}"/>
    <cellStyle name="Linked Cell 20 3 3 2 8 2" xfId="22140" xr:uid="{C7CB2AF0-144A-474D-9262-84B310F2F22B}"/>
    <cellStyle name="Linked Cell 20 3 3 2 8 2 2" xfId="22141" xr:uid="{DB15FF13-8363-4EDA-8782-D000883E975E}"/>
    <cellStyle name="Linked Cell 20 3 3 2 8 3" xfId="22142" xr:uid="{80798DF5-A9D1-460F-8924-6B9F3B856CCD}"/>
    <cellStyle name="Linked Cell 20 3 3 2 9" xfId="22143" xr:uid="{C98B6FD0-7CC7-4CA3-A4E3-DDD5F0469047}"/>
    <cellStyle name="Linked Cell 20 3 3 2 9 2" xfId="22144" xr:uid="{916C14EB-700F-4B80-8D2B-CC89685D475C}"/>
    <cellStyle name="Linked Cell 20 3 3 2 9 2 2" xfId="22145" xr:uid="{61DDDAB2-BD3C-4E17-B5BF-385E2FE6FAC0}"/>
    <cellStyle name="Linked Cell 20 3 3 2 9 3" xfId="22146" xr:uid="{FA1ACC47-C1F6-4A9F-8D7B-BAFA8FB227D0}"/>
    <cellStyle name="Linked Cell 20 3 3 3" xfId="22147" xr:uid="{C38B895D-0B56-42C9-922B-F9BEBA9941D3}"/>
    <cellStyle name="Linked Cell 20 3 3 3 2" xfId="22148" xr:uid="{8B0B4BC6-4B3C-4AE9-8E3E-AAB2AD5B6A55}"/>
    <cellStyle name="Linked Cell 20 3 3 3 2 2" xfId="22149" xr:uid="{628B20C9-03C9-4812-8841-AD033782EC90}"/>
    <cellStyle name="Linked Cell 20 3 3 3 3" xfId="22150" xr:uid="{5AC6B68D-331F-4BF7-8B6E-301A368EC11C}"/>
    <cellStyle name="Linked Cell 20 3 3 4" xfId="22151" xr:uid="{86FD341B-2399-449E-8098-801997AAFF76}"/>
    <cellStyle name="Linked Cell 20 3 3 4 2" xfId="22152" xr:uid="{AD43BD37-469C-4FBE-83B1-C4859D3A15AB}"/>
    <cellStyle name="Linked Cell 20 3 3 4 2 2" xfId="22153" xr:uid="{B1221B9D-5C58-4E81-9BBE-4B9BA2524671}"/>
    <cellStyle name="Linked Cell 20 3 3 4 3" xfId="22154" xr:uid="{33F619C9-D9F0-4DF4-8C52-3F66CB145D0D}"/>
    <cellStyle name="Linked Cell 20 3 3 5" xfId="22155" xr:uid="{440E92C7-0CCB-4E3B-8E75-0DF1DE2990D5}"/>
    <cellStyle name="Linked Cell 20 3 3 5 2" xfId="22156" xr:uid="{AA321AFA-7FB5-45D9-B32C-5DF077C6DE34}"/>
    <cellStyle name="Linked Cell 20 3 3 5 2 2" xfId="22157" xr:uid="{DB6C44D0-E4C6-4EEE-B577-665E095EA18D}"/>
    <cellStyle name="Linked Cell 20 3 3 5 3" xfId="22158" xr:uid="{F9AEDA52-744E-4454-B626-E357225CEDCD}"/>
    <cellStyle name="Linked Cell 20 3 3 6" xfId="22159" xr:uid="{55BC727E-A59F-4D84-9A1A-B93C7897F119}"/>
    <cellStyle name="Linked Cell 20 3 3 6 2" xfId="22160" xr:uid="{B7461600-046A-4094-8997-FE10BD3DB068}"/>
    <cellStyle name="Linked Cell 20 3 3 6 2 2" xfId="22161" xr:uid="{ED9160D9-2756-4D08-B330-A111EC7B38F7}"/>
    <cellStyle name="Linked Cell 20 3 3 6 3" xfId="22162" xr:uid="{EB4D185D-EBAB-4817-A930-C08267A9102A}"/>
    <cellStyle name="Linked Cell 20 3 3 7" xfId="22163" xr:uid="{A013CC9E-F1C5-46F9-AD9C-F40671D5A706}"/>
    <cellStyle name="Linked Cell 20 3 3 7 2" xfId="22164" xr:uid="{D0039A48-8016-47F5-9AC1-3672F3E8F1BA}"/>
    <cellStyle name="Linked Cell 20 3 3 7 2 2" xfId="22165" xr:uid="{04C1B165-CB1B-4796-BFB3-39E59FD48801}"/>
    <cellStyle name="Linked Cell 20 3 3 7 3" xfId="22166" xr:uid="{0F220F41-D14F-421D-82EC-0402E082D7E2}"/>
    <cellStyle name="Linked Cell 20 3 3 8" xfId="22167" xr:uid="{9DEDD40D-DE2B-489D-82B4-01C4374E1F75}"/>
    <cellStyle name="Linked Cell 20 3 3 8 2" xfId="22168" xr:uid="{0C09BAA3-610A-4FB6-BA77-DD28E71F6184}"/>
    <cellStyle name="Linked Cell 20 3 3 8 2 2" xfId="22169" xr:uid="{BC651D4D-5822-4C5F-B50A-7ABF35506A12}"/>
    <cellStyle name="Linked Cell 20 3 3 8 3" xfId="22170" xr:uid="{178BBCE7-ACCF-4B9E-BD02-831544979349}"/>
    <cellStyle name="Linked Cell 20 3 3 9" xfId="22171" xr:uid="{FE99115E-8D30-4A32-8F57-D4995F81C4D1}"/>
    <cellStyle name="Linked Cell 20 3 3 9 2" xfId="22172" xr:uid="{2B6BB2FF-31A3-4929-8CC1-1A80EC27F721}"/>
    <cellStyle name="Linked Cell 20 3 3 9 2 2" xfId="22173" xr:uid="{69B5BC16-87A3-4CD2-A151-50FB993C7B58}"/>
    <cellStyle name="Linked Cell 20 3 3 9 3" xfId="22174" xr:uid="{8E88BBDB-F7C2-431A-A9B7-F41A6CB7C1F8}"/>
    <cellStyle name="Linked Cell 20 3 4" xfId="22175" xr:uid="{56002B10-C26E-4C15-8872-B7CC8AAD9682}"/>
    <cellStyle name="Linked Cell 20 3 4 10" xfId="22176" xr:uid="{3E1EAC33-0529-463E-952B-1E6DF7703BB2}"/>
    <cellStyle name="Linked Cell 20 3 4 10 2" xfId="22177" xr:uid="{925304DC-7F80-4A11-B712-79457BE9D358}"/>
    <cellStyle name="Linked Cell 20 3 4 11" xfId="22178" xr:uid="{1081D3FA-B970-4663-AA24-C5BD9D254380}"/>
    <cellStyle name="Linked Cell 20 3 4 2" xfId="22179" xr:uid="{0BD9F07B-1FF8-4F8B-99CE-6A9F8088EAF6}"/>
    <cellStyle name="Linked Cell 20 3 4 2 2" xfId="22180" xr:uid="{A054B484-4441-43CC-AC51-A5844AB5C0AB}"/>
    <cellStyle name="Linked Cell 20 3 4 2 2 2" xfId="22181" xr:uid="{A4322307-C369-4D6A-AA91-C0156D640B33}"/>
    <cellStyle name="Linked Cell 20 3 4 2 3" xfId="22182" xr:uid="{8F388E65-91AF-4A38-8D98-74E5EBB8517D}"/>
    <cellStyle name="Linked Cell 20 3 4 3" xfId="22183" xr:uid="{58D4047E-2CFE-4361-B7A4-E2377C480C4B}"/>
    <cellStyle name="Linked Cell 20 3 4 3 2" xfId="22184" xr:uid="{5CFF7704-13BE-4C09-8A28-B64258D8ED57}"/>
    <cellStyle name="Linked Cell 20 3 4 3 2 2" xfId="22185" xr:uid="{ECA1CE57-4F46-48B0-BAA7-B2D051F479C8}"/>
    <cellStyle name="Linked Cell 20 3 4 3 3" xfId="22186" xr:uid="{D77AD4B4-D420-401C-BD1C-0891C1FD667C}"/>
    <cellStyle name="Linked Cell 20 3 4 4" xfId="22187" xr:uid="{2FC9A6E7-5E4A-44C6-848A-E0851B1E7971}"/>
    <cellStyle name="Linked Cell 20 3 4 4 2" xfId="22188" xr:uid="{23189DB9-515B-4BB5-A858-95CCAD772D6B}"/>
    <cellStyle name="Linked Cell 20 3 4 4 2 2" xfId="22189" xr:uid="{BF09F28A-5526-482A-B789-B21581CE92C1}"/>
    <cellStyle name="Linked Cell 20 3 4 4 3" xfId="22190" xr:uid="{4D46EC19-A63B-4E14-A98D-D62CDBC6B9A4}"/>
    <cellStyle name="Linked Cell 20 3 4 5" xfId="22191" xr:uid="{58E87D60-FF5C-48AE-8A22-13CE617CE674}"/>
    <cellStyle name="Linked Cell 20 3 4 5 2" xfId="22192" xr:uid="{093247CB-8553-4225-B5A1-21435D8E8B3C}"/>
    <cellStyle name="Linked Cell 20 3 4 5 2 2" xfId="22193" xr:uid="{53E5BF6B-5808-438A-839F-FC3738C0E3DF}"/>
    <cellStyle name="Linked Cell 20 3 4 5 3" xfId="22194" xr:uid="{8971F237-D0E9-4009-9999-F2B42F5D1394}"/>
    <cellStyle name="Linked Cell 20 3 4 6" xfId="22195" xr:uid="{BBE8F81B-B3D6-44FB-BA79-ABF6FFB8EF06}"/>
    <cellStyle name="Linked Cell 20 3 4 6 2" xfId="22196" xr:uid="{0BFF827E-319B-40DB-BBC0-BE654B7C2DE5}"/>
    <cellStyle name="Linked Cell 20 3 4 6 2 2" xfId="22197" xr:uid="{EA5A0A4D-53B0-4AA5-8E2E-1271B93EC92E}"/>
    <cellStyle name="Linked Cell 20 3 4 6 3" xfId="22198" xr:uid="{5F248564-4180-4A4F-B08C-A4AB4E5BFD5B}"/>
    <cellStyle name="Linked Cell 20 3 4 7" xfId="22199" xr:uid="{8C73BAE3-18DA-4364-8C34-A4BB76973FC1}"/>
    <cellStyle name="Linked Cell 20 3 4 7 2" xfId="22200" xr:uid="{566A44E8-6608-46F9-A225-8A239DB7039D}"/>
    <cellStyle name="Linked Cell 20 3 4 7 2 2" xfId="22201" xr:uid="{BE8280F1-09E9-4F9E-AF4F-B6FD048292F9}"/>
    <cellStyle name="Linked Cell 20 3 4 7 3" xfId="22202" xr:uid="{66346CE7-9CEF-40EC-9922-AE843BE6D479}"/>
    <cellStyle name="Linked Cell 20 3 4 8" xfId="22203" xr:uid="{1D40755E-3A32-461C-8D2F-23CDCB317F16}"/>
    <cellStyle name="Linked Cell 20 3 4 8 2" xfId="22204" xr:uid="{CE9B957F-2C5A-48C7-97A7-DF83E9828B3F}"/>
    <cellStyle name="Linked Cell 20 3 4 8 2 2" xfId="22205" xr:uid="{512C7C61-27CA-4FE1-B1AD-2A87D96D7D58}"/>
    <cellStyle name="Linked Cell 20 3 4 8 3" xfId="22206" xr:uid="{C3EEA865-1170-4ED1-804E-580AD0C6A533}"/>
    <cellStyle name="Linked Cell 20 3 4 9" xfId="22207" xr:uid="{8119207D-C468-4AF0-9AB2-0A6565B90688}"/>
    <cellStyle name="Linked Cell 20 3 4 9 2" xfId="22208" xr:uid="{D9EECB1F-BFC0-450C-A9E5-B1EC8EB97159}"/>
    <cellStyle name="Linked Cell 20 3 4 9 2 2" xfId="22209" xr:uid="{24FD2E11-B82B-4A70-B731-383A06C80F31}"/>
    <cellStyle name="Linked Cell 20 3 4 9 3" xfId="22210" xr:uid="{40CF212F-4D0A-43C7-89B1-2AE9A206C61D}"/>
    <cellStyle name="Linked Cell 20 3 5" xfId="22211" xr:uid="{B90AE02E-65A6-4B7F-84D8-1B9FB37F5FDA}"/>
    <cellStyle name="Linked Cell 20 3 5 2" xfId="22212" xr:uid="{47C3C37E-71B0-4FA6-966F-E14C464CA578}"/>
    <cellStyle name="Linked Cell 20 3 5 2 2" xfId="22213" xr:uid="{1FEA3E80-7603-44B5-AFFA-B2077D92B795}"/>
    <cellStyle name="Linked Cell 20 3 5 3" xfId="22214" xr:uid="{BA504945-1767-4206-8D7A-E9F432749C17}"/>
    <cellStyle name="Linked Cell 20 3 6" xfId="22215" xr:uid="{B40DA1FC-081D-490B-A0EC-2726B37E5E3A}"/>
    <cellStyle name="Linked Cell 20 3 6 2" xfId="22216" xr:uid="{1AB5F527-206E-4899-86D0-317E7A1D04B3}"/>
    <cellStyle name="Linked Cell 20 3 6 2 2" xfId="22217" xr:uid="{0823AD4F-1C50-4F27-B20C-A51F7BF13E44}"/>
    <cellStyle name="Linked Cell 20 3 6 3" xfId="22218" xr:uid="{9ABC6B6E-0C42-4EE8-A1E4-E31EF5185658}"/>
    <cellStyle name="Linked Cell 20 3 7" xfId="22219" xr:uid="{FD79ED7C-1EC0-4E04-B781-11B4F7DE2B11}"/>
    <cellStyle name="Linked Cell 20 3 7 2" xfId="22220" xr:uid="{3A66F8FA-CB43-4A3C-91B8-C9607CE9615C}"/>
    <cellStyle name="Linked Cell 20 3 7 2 2" xfId="22221" xr:uid="{DB4E2814-ACD5-4DB6-9523-F21C9D2D8E4F}"/>
    <cellStyle name="Linked Cell 20 3 7 3" xfId="22222" xr:uid="{CB66B6A5-057F-4F21-8258-D8068E4E661F}"/>
    <cellStyle name="Linked Cell 20 3 8" xfId="22223" xr:uid="{C8F27110-16BA-4E8F-90D6-D19302A94BAF}"/>
    <cellStyle name="Linked Cell 20 3 8 2" xfId="22224" xr:uid="{A0E97196-873F-4962-AC83-D2071DFBD949}"/>
    <cellStyle name="Linked Cell 20 3 8 2 2" xfId="22225" xr:uid="{C173C14F-ECA5-425C-9DB0-7218AC6E6988}"/>
    <cellStyle name="Linked Cell 20 3 8 3" xfId="22226" xr:uid="{AD52116D-0154-480B-9E18-6DA4D24B228E}"/>
    <cellStyle name="Linked Cell 20 3 9" xfId="22227" xr:uid="{C1B9CE94-0EEC-48B6-91F7-C5E96ECA9FAF}"/>
    <cellStyle name="Linked Cell 20 3 9 2" xfId="22228" xr:uid="{B008863F-1D1E-4868-98CE-580DE5514D3B}"/>
    <cellStyle name="Linked Cell 20 3 9 2 2" xfId="22229" xr:uid="{CDB14A2B-5FE9-4811-8287-CE39F20755EB}"/>
    <cellStyle name="Linked Cell 20 3 9 3" xfId="22230" xr:uid="{8C5660C5-0249-42BC-ADDD-131123C39411}"/>
    <cellStyle name="Linked Cell 20 4" xfId="22231" xr:uid="{5E205C6C-5AFC-4C06-B23A-959F26856AEA}"/>
    <cellStyle name="Linked Cell 20 4 10" xfId="22232" xr:uid="{41881C43-DE8A-40B8-86B1-C7D94F651963}"/>
    <cellStyle name="Linked Cell 20 4 10 2" xfId="22233" xr:uid="{D0255C04-DB56-48F9-A488-8531F84659D1}"/>
    <cellStyle name="Linked Cell 20 4 10 2 2" xfId="22234" xr:uid="{552080E3-B48B-469F-B98F-69E9AE48EF2A}"/>
    <cellStyle name="Linked Cell 20 4 10 3" xfId="22235" xr:uid="{92823A46-7143-4212-8190-7428A4D637E9}"/>
    <cellStyle name="Linked Cell 20 4 11" xfId="22236" xr:uid="{31EF16D5-BFD0-45A3-A128-E851938F0325}"/>
    <cellStyle name="Linked Cell 20 4 11 2" xfId="22237" xr:uid="{1923050E-7B30-43BC-8EE9-81368125F31E}"/>
    <cellStyle name="Linked Cell 20 4 11 2 2" xfId="22238" xr:uid="{34B09095-1A45-48EA-8AE1-1AA38C50F86B}"/>
    <cellStyle name="Linked Cell 20 4 11 3" xfId="22239" xr:uid="{B5F03D48-FB1F-43C0-A493-4C4AA5AE8511}"/>
    <cellStyle name="Linked Cell 20 4 12" xfId="22240" xr:uid="{A9F6019B-73FA-469F-B16F-15B5E8D40EBF}"/>
    <cellStyle name="Linked Cell 20 4 12 2" xfId="22241" xr:uid="{E0133F5D-14D9-44D9-B005-F51600A1D8E1}"/>
    <cellStyle name="Linked Cell 20 4 13" xfId="22242" xr:uid="{A21D01AE-E0C0-43B4-8DED-DC3CFE294932}"/>
    <cellStyle name="Linked Cell 20 4 2" xfId="22243" xr:uid="{971935A5-3C7A-412E-977D-2921CAD77ED5}"/>
    <cellStyle name="Linked Cell 20 4 2 10" xfId="22244" xr:uid="{930F4135-AF52-416F-A48F-91E0D5476760}"/>
    <cellStyle name="Linked Cell 20 4 2 10 2" xfId="22245" xr:uid="{E4AA89DB-D874-4820-9F50-2D6804E78E8C}"/>
    <cellStyle name="Linked Cell 20 4 2 10 2 2" xfId="22246" xr:uid="{C21750AC-ED62-438B-A20D-D8FA76B781A5}"/>
    <cellStyle name="Linked Cell 20 4 2 10 3" xfId="22247" xr:uid="{7079072A-FE0D-45CA-BC6C-F3C2E5EA764F}"/>
    <cellStyle name="Linked Cell 20 4 2 11" xfId="22248" xr:uid="{F08A32B2-8B70-4A16-BB38-5D7B52501882}"/>
    <cellStyle name="Linked Cell 20 4 2 11 2" xfId="22249" xr:uid="{28626A4A-5A41-4458-B03E-ED6F0E170B9C}"/>
    <cellStyle name="Linked Cell 20 4 2 12" xfId="22250" xr:uid="{3A8220B2-7041-4827-922F-1C89A5774D64}"/>
    <cellStyle name="Linked Cell 20 4 2 2" xfId="22251" xr:uid="{57F32BF4-F9B6-4D37-AA73-27B114766544}"/>
    <cellStyle name="Linked Cell 20 4 2 2 2" xfId="22252" xr:uid="{093A1C3F-6A6D-4AC3-9446-98ED020EEBE0}"/>
    <cellStyle name="Linked Cell 20 4 2 2 2 2" xfId="22253" xr:uid="{689C4FA6-D8A5-4B5B-A792-3EA06461E304}"/>
    <cellStyle name="Linked Cell 20 4 2 2 3" xfId="22254" xr:uid="{27C75D7E-7B33-43CA-B158-3ACEDAAE6DA9}"/>
    <cellStyle name="Linked Cell 20 4 2 3" xfId="22255" xr:uid="{F89C30D6-DFFD-4C7A-BDE4-41314A721F9A}"/>
    <cellStyle name="Linked Cell 20 4 2 3 2" xfId="22256" xr:uid="{493DF362-59A1-4148-90DC-10C487478346}"/>
    <cellStyle name="Linked Cell 20 4 2 3 2 2" xfId="22257" xr:uid="{6BF442A8-D89E-4372-A856-B2A71F8ED45C}"/>
    <cellStyle name="Linked Cell 20 4 2 3 3" xfId="22258" xr:uid="{A9B08884-A7EE-409B-B48E-250F5F07E326}"/>
    <cellStyle name="Linked Cell 20 4 2 4" xfId="22259" xr:uid="{FB5AACB6-571C-43B3-A239-8B013A25505F}"/>
    <cellStyle name="Linked Cell 20 4 2 4 2" xfId="22260" xr:uid="{55A9C7BD-E614-45C4-8076-95C4397B8EA0}"/>
    <cellStyle name="Linked Cell 20 4 2 4 2 2" xfId="22261" xr:uid="{35F07A1D-500D-4E01-B34C-A7E0B90660C1}"/>
    <cellStyle name="Linked Cell 20 4 2 4 3" xfId="22262" xr:uid="{49C05EF0-291D-4D2E-A821-0324D79B25FB}"/>
    <cellStyle name="Linked Cell 20 4 2 5" xfId="22263" xr:uid="{309A69B1-B11F-4CDA-B83A-83119F54C8D2}"/>
    <cellStyle name="Linked Cell 20 4 2 5 2" xfId="22264" xr:uid="{B5597F51-97A7-4498-92D5-81C251845AC9}"/>
    <cellStyle name="Linked Cell 20 4 2 5 2 2" xfId="22265" xr:uid="{4730C9FF-7740-421A-949E-A75E52720BDD}"/>
    <cellStyle name="Linked Cell 20 4 2 5 3" xfId="22266" xr:uid="{3A04A8B7-886C-43FD-9191-1A95086F8FC7}"/>
    <cellStyle name="Linked Cell 20 4 2 6" xfId="22267" xr:uid="{06D9D4A3-C021-4368-8AA1-3F3E7AA892BB}"/>
    <cellStyle name="Linked Cell 20 4 2 6 2" xfId="22268" xr:uid="{EAF56CB3-A3C3-4491-8B75-FA992F1C0B14}"/>
    <cellStyle name="Linked Cell 20 4 2 6 2 2" xfId="22269" xr:uid="{BD5D3AE8-7367-4EAF-A78A-4DF252E68591}"/>
    <cellStyle name="Linked Cell 20 4 2 6 3" xfId="22270" xr:uid="{2EBCC25E-23AF-4628-84AB-119EE5379E0A}"/>
    <cellStyle name="Linked Cell 20 4 2 7" xfId="22271" xr:uid="{3FD686B2-A461-4150-B34F-B8582B0024B1}"/>
    <cellStyle name="Linked Cell 20 4 2 7 2" xfId="22272" xr:uid="{0E15983C-D48A-4F67-897C-E184CABEF712}"/>
    <cellStyle name="Linked Cell 20 4 2 7 2 2" xfId="22273" xr:uid="{C1E5966E-994D-4BF5-B104-B8D0903A1C68}"/>
    <cellStyle name="Linked Cell 20 4 2 7 3" xfId="22274" xr:uid="{E6A135BA-2336-437B-A688-B218337E107F}"/>
    <cellStyle name="Linked Cell 20 4 2 8" xfId="22275" xr:uid="{C8B4082A-24E2-478E-A8A5-385482338334}"/>
    <cellStyle name="Linked Cell 20 4 2 8 2" xfId="22276" xr:uid="{21DF8E05-9182-4BB4-A38D-CE5DDCFD9091}"/>
    <cellStyle name="Linked Cell 20 4 2 8 2 2" xfId="22277" xr:uid="{09AFB4D5-62E9-4D17-BC74-22E0A08A6248}"/>
    <cellStyle name="Linked Cell 20 4 2 8 3" xfId="22278" xr:uid="{34B8143B-53A2-4943-AD2A-E528F0844FEB}"/>
    <cellStyle name="Linked Cell 20 4 2 9" xfId="22279" xr:uid="{9AB66519-07B8-459E-ABDE-1EF23DAE3F73}"/>
    <cellStyle name="Linked Cell 20 4 2 9 2" xfId="22280" xr:uid="{CA544E90-1E56-4793-8515-6939DFF2EBDD}"/>
    <cellStyle name="Linked Cell 20 4 2 9 2 2" xfId="22281" xr:uid="{73391120-ECD2-4D2E-AF01-C6B2420D7880}"/>
    <cellStyle name="Linked Cell 20 4 2 9 3" xfId="22282" xr:uid="{8EEA1255-1569-418D-AA14-5C192CDB524F}"/>
    <cellStyle name="Linked Cell 20 4 3" xfId="22283" xr:uid="{D5E5E629-A11E-4C4C-BB32-B4CDACB40B0D}"/>
    <cellStyle name="Linked Cell 20 4 3 10" xfId="22284" xr:uid="{BDB3CA61-E1A6-4931-9498-CE8B89D29645}"/>
    <cellStyle name="Linked Cell 20 4 3 10 2" xfId="22285" xr:uid="{69FBCDE2-862C-4FE2-8503-9B60AC7CFB77}"/>
    <cellStyle name="Linked Cell 20 4 3 11" xfId="22286" xr:uid="{DF6B6D58-1C70-4EC4-8087-4345BA64DFAA}"/>
    <cellStyle name="Linked Cell 20 4 3 2" xfId="22287" xr:uid="{FC1DF46D-8AF0-42D7-9767-F6EE47FD2B96}"/>
    <cellStyle name="Linked Cell 20 4 3 2 2" xfId="22288" xr:uid="{E90435D0-B833-4053-A13C-9565873A191B}"/>
    <cellStyle name="Linked Cell 20 4 3 2 2 2" xfId="22289" xr:uid="{02F4D4B3-9958-4CA1-9957-76EA6BD36D1F}"/>
    <cellStyle name="Linked Cell 20 4 3 2 3" xfId="22290" xr:uid="{8608DC1F-B36F-4937-BC1F-FC15B8F9C617}"/>
    <cellStyle name="Linked Cell 20 4 3 3" xfId="22291" xr:uid="{75598006-0D5E-435E-A1E3-8E790D1F856D}"/>
    <cellStyle name="Linked Cell 20 4 3 3 2" xfId="22292" xr:uid="{5D460876-8A69-4B55-9B66-A42CB63FD01F}"/>
    <cellStyle name="Linked Cell 20 4 3 3 2 2" xfId="22293" xr:uid="{5FEC4FE8-888E-4498-A1CA-2DB1702B79CE}"/>
    <cellStyle name="Linked Cell 20 4 3 3 3" xfId="22294" xr:uid="{304C4746-627E-4DE3-A3A7-536D919535AF}"/>
    <cellStyle name="Linked Cell 20 4 3 4" xfId="22295" xr:uid="{6D3E9C26-24EE-4C01-8FF4-CFF57753CD34}"/>
    <cellStyle name="Linked Cell 20 4 3 4 2" xfId="22296" xr:uid="{A64E319C-785A-4C96-9951-656B73D59173}"/>
    <cellStyle name="Linked Cell 20 4 3 4 2 2" xfId="22297" xr:uid="{212B438F-3F90-4579-82BC-9F718ABA920C}"/>
    <cellStyle name="Linked Cell 20 4 3 4 3" xfId="22298" xr:uid="{805F77A8-1298-4E5C-AD00-C580966DFC64}"/>
    <cellStyle name="Linked Cell 20 4 3 5" xfId="22299" xr:uid="{193B0292-E798-443B-BF47-6DCD3711AEE7}"/>
    <cellStyle name="Linked Cell 20 4 3 5 2" xfId="22300" xr:uid="{A854BC87-3635-43EB-89DF-C8738A051BD8}"/>
    <cellStyle name="Linked Cell 20 4 3 5 2 2" xfId="22301" xr:uid="{8E3EFE79-641E-4C6B-AA7B-37DF4A76207D}"/>
    <cellStyle name="Linked Cell 20 4 3 5 3" xfId="22302" xr:uid="{42B100EF-4620-4C71-BCDA-0DCC911B0A5B}"/>
    <cellStyle name="Linked Cell 20 4 3 6" xfId="22303" xr:uid="{962E8374-EC28-40A5-BB09-0BB5165904AA}"/>
    <cellStyle name="Linked Cell 20 4 3 6 2" xfId="22304" xr:uid="{D24E4D51-69BD-476F-8AF4-A849085794FA}"/>
    <cellStyle name="Linked Cell 20 4 3 6 2 2" xfId="22305" xr:uid="{396A4A7A-4C30-4ADF-9864-8AC2650D4139}"/>
    <cellStyle name="Linked Cell 20 4 3 6 3" xfId="22306" xr:uid="{F747E7D8-BD6C-438D-98F6-5A24D8F23073}"/>
    <cellStyle name="Linked Cell 20 4 3 7" xfId="22307" xr:uid="{0F1BE8D3-2592-4A14-A857-978FFC368F0D}"/>
    <cellStyle name="Linked Cell 20 4 3 7 2" xfId="22308" xr:uid="{01B99367-F15E-4D70-9FF3-FB1CDE395344}"/>
    <cellStyle name="Linked Cell 20 4 3 7 2 2" xfId="22309" xr:uid="{A7110A0C-D68E-4AAB-BF71-C81D1F85D0AE}"/>
    <cellStyle name="Linked Cell 20 4 3 7 3" xfId="22310" xr:uid="{F9D04C5A-0523-4998-A15F-F221A90D3DFD}"/>
    <cellStyle name="Linked Cell 20 4 3 8" xfId="22311" xr:uid="{451103AC-94DE-4483-A674-29B68BC5E5CE}"/>
    <cellStyle name="Linked Cell 20 4 3 8 2" xfId="22312" xr:uid="{C653CF13-993A-4BEB-B695-E8BB67A2D17D}"/>
    <cellStyle name="Linked Cell 20 4 3 8 2 2" xfId="22313" xr:uid="{9294893D-0E30-4894-BCB2-CFF0D1B4BC2B}"/>
    <cellStyle name="Linked Cell 20 4 3 8 3" xfId="22314" xr:uid="{FC4720FF-DAC8-42D1-8152-802BC19FBD02}"/>
    <cellStyle name="Linked Cell 20 4 3 9" xfId="22315" xr:uid="{C284CCF9-A77E-4E4F-83D4-027EE9CE6F94}"/>
    <cellStyle name="Linked Cell 20 4 3 9 2" xfId="22316" xr:uid="{42885732-7880-4757-97C1-B609C7F7571C}"/>
    <cellStyle name="Linked Cell 20 4 3 9 2 2" xfId="22317" xr:uid="{C5D788C3-9599-4030-9F26-896A767C6A55}"/>
    <cellStyle name="Linked Cell 20 4 3 9 3" xfId="22318" xr:uid="{B0E3032F-935D-48F2-A43B-E4F1B463DF67}"/>
    <cellStyle name="Linked Cell 20 4 4" xfId="22319" xr:uid="{4BDC78FA-5B42-4749-8144-6C6ACEE2934B}"/>
    <cellStyle name="Linked Cell 20 4 4 2" xfId="22320" xr:uid="{F922DC48-CDBA-4A5A-B33D-40A7240911AE}"/>
    <cellStyle name="Linked Cell 20 4 4 2 2" xfId="22321" xr:uid="{C7538337-5F3E-4CA8-9162-3BDF49093A63}"/>
    <cellStyle name="Linked Cell 20 4 4 3" xfId="22322" xr:uid="{C2992B36-53BA-4C61-A510-058396577608}"/>
    <cellStyle name="Linked Cell 20 4 5" xfId="22323" xr:uid="{D1AB5255-4824-447E-B32D-814477C854E3}"/>
    <cellStyle name="Linked Cell 20 4 5 2" xfId="22324" xr:uid="{1B0D2C2D-D624-4F35-BB82-72B3E29B4949}"/>
    <cellStyle name="Linked Cell 20 4 5 2 2" xfId="22325" xr:uid="{CA2EC6F2-C6B2-48CD-A358-7DD7DE91DA75}"/>
    <cellStyle name="Linked Cell 20 4 5 3" xfId="22326" xr:uid="{E79E9039-72BA-4B99-A4D1-79A945DA544E}"/>
    <cellStyle name="Linked Cell 20 4 6" xfId="22327" xr:uid="{FB143463-5D4A-40BF-989B-277FFA66FDBE}"/>
    <cellStyle name="Linked Cell 20 4 6 2" xfId="22328" xr:uid="{3C7B54F7-6A62-41F1-890A-35D9C110E3B2}"/>
    <cellStyle name="Linked Cell 20 4 6 2 2" xfId="22329" xr:uid="{A332982B-53CB-4898-9FB0-A75CBDA56C65}"/>
    <cellStyle name="Linked Cell 20 4 6 3" xfId="22330" xr:uid="{4ABEB3B2-71CE-4D17-9812-620A1B599F48}"/>
    <cellStyle name="Linked Cell 20 4 7" xfId="22331" xr:uid="{E9035406-03CE-46B8-9239-5B864A4A2152}"/>
    <cellStyle name="Linked Cell 20 4 7 2" xfId="22332" xr:uid="{B012D5FA-9419-474A-A8C9-1933FACA2A50}"/>
    <cellStyle name="Linked Cell 20 4 7 2 2" xfId="22333" xr:uid="{A9C1B956-A916-4DAD-9987-194B7D4EE328}"/>
    <cellStyle name="Linked Cell 20 4 7 3" xfId="22334" xr:uid="{E495E4FE-ED98-4EE2-89DE-029D0AA14411}"/>
    <cellStyle name="Linked Cell 20 4 8" xfId="22335" xr:uid="{3CBE7AFC-77C9-4E68-8D83-B4013F76E109}"/>
    <cellStyle name="Linked Cell 20 4 8 2" xfId="22336" xr:uid="{E0660E90-30D1-4D8B-B94C-ABDB285C0749}"/>
    <cellStyle name="Linked Cell 20 4 8 2 2" xfId="22337" xr:uid="{7CFE48A7-D02B-4587-8ACB-6316993F81DA}"/>
    <cellStyle name="Linked Cell 20 4 8 3" xfId="22338" xr:uid="{AE43A01F-D82B-4C44-A319-97B71688C684}"/>
    <cellStyle name="Linked Cell 20 4 9" xfId="22339" xr:uid="{0853CD6E-0DCC-4E70-888F-CCC8723B35D1}"/>
    <cellStyle name="Linked Cell 20 4 9 2" xfId="22340" xr:uid="{4173E86A-F591-4328-92C5-E69F2A0613EB}"/>
    <cellStyle name="Linked Cell 20 4 9 2 2" xfId="22341" xr:uid="{F103F288-C389-493A-8309-6A8BE9154C16}"/>
    <cellStyle name="Linked Cell 20 4 9 3" xfId="22342" xr:uid="{6E1F4291-B6DE-4198-8C34-E70141F8C64F}"/>
    <cellStyle name="Linked Cell 21" xfId="22343" xr:uid="{60CF4542-842E-473F-9103-C0B02DA5985C}"/>
    <cellStyle name="Linked Cell 21 2" xfId="22344" xr:uid="{63B30EE0-70C7-4AEA-97EE-5BC24EF635D6}"/>
    <cellStyle name="Linked Cell 21 2 10" xfId="22345" xr:uid="{EB7EAE25-2385-475E-9E9F-E5B7AE4CD3A0}"/>
    <cellStyle name="Linked Cell 21 2 10 2" xfId="22346" xr:uid="{7FB56E91-E3CC-41B8-A663-A4C85166E4B9}"/>
    <cellStyle name="Linked Cell 21 2 10 2 2" xfId="22347" xr:uid="{54487F05-C191-4826-87F5-531ADD502AFD}"/>
    <cellStyle name="Linked Cell 21 2 10 3" xfId="22348" xr:uid="{62284F4C-5BD7-460A-ACAC-DAEA138E3979}"/>
    <cellStyle name="Linked Cell 21 2 11" xfId="22349" xr:uid="{B2B8AD13-5509-41E9-9B9C-F5CA12C8728A}"/>
    <cellStyle name="Linked Cell 21 2 11 2" xfId="22350" xr:uid="{37945BAF-1CE6-4A14-9B1A-D6B6935A592D}"/>
    <cellStyle name="Linked Cell 21 2 11 2 2" xfId="22351" xr:uid="{AF9D3466-1A20-4E0B-8F13-BD2C145B15F9}"/>
    <cellStyle name="Linked Cell 21 2 11 3" xfId="22352" xr:uid="{9FC2BF71-1E9D-4ED5-BEE3-54472748C800}"/>
    <cellStyle name="Linked Cell 21 2 12" xfId="22353" xr:uid="{8C410CE6-056A-408E-9DE4-ABB0BD723B32}"/>
    <cellStyle name="Linked Cell 21 2 12 2" xfId="22354" xr:uid="{DAA08910-FF9D-429F-91C8-12B7CCF28A57}"/>
    <cellStyle name="Linked Cell 21 2 12 2 2" xfId="22355" xr:uid="{1CE53E33-0C69-4C26-ADA1-52E86C1A9D30}"/>
    <cellStyle name="Linked Cell 21 2 12 3" xfId="22356" xr:uid="{2BBBE981-60D8-466E-93F1-AD18149A2792}"/>
    <cellStyle name="Linked Cell 21 2 13" xfId="22357" xr:uid="{2147FCCE-0A38-4EBC-BB03-7F698578568C}"/>
    <cellStyle name="Linked Cell 21 2 13 2" xfId="22358" xr:uid="{5DBC0AFC-0467-4173-B57F-2C608A777B61}"/>
    <cellStyle name="Linked Cell 21 2 13 2 2" xfId="22359" xr:uid="{FE1ED50A-B411-4548-B800-606A45903EB0}"/>
    <cellStyle name="Linked Cell 21 2 13 3" xfId="22360" xr:uid="{C55AD7D1-46CE-4863-B85D-CD096CA4E206}"/>
    <cellStyle name="Linked Cell 21 2 14" xfId="22361" xr:uid="{2F2C47F8-5D23-4121-8A00-F65305F37E62}"/>
    <cellStyle name="Linked Cell 21 2 14 2" xfId="22362" xr:uid="{8AC3782D-EF98-41A8-B7EF-D081B7018F2B}"/>
    <cellStyle name="Linked Cell 21 2 15" xfId="22363" xr:uid="{FD8EB846-84FF-4542-9847-DDB864754DFF}"/>
    <cellStyle name="Linked Cell 21 2 2" xfId="22364" xr:uid="{EDC1F444-059C-4171-807B-C555FBCFEBC1}"/>
    <cellStyle name="Linked Cell 21 2 2 10" xfId="22365" xr:uid="{31ABA3BF-4D78-42DB-ACF0-FD0B9D352E4A}"/>
    <cellStyle name="Linked Cell 21 2 2 10 2" xfId="22366" xr:uid="{1FDFE02C-12EC-4BAA-BCD8-2C8AC61284F8}"/>
    <cellStyle name="Linked Cell 21 2 2 10 2 2" xfId="22367" xr:uid="{D1644990-BE7D-4399-810C-5DFBC984D1E0}"/>
    <cellStyle name="Linked Cell 21 2 2 10 3" xfId="22368" xr:uid="{35EFEEB7-B135-4999-9B3E-A27E4B53B6E3}"/>
    <cellStyle name="Linked Cell 21 2 2 11" xfId="22369" xr:uid="{1297D5D9-B22B-4F7C-A440-C124AA596898}"/>
    <cellStyle name="Linked Cell 21 2 2 11 2" xfId="22370" xr:uid="{3A23DBA2-7AFA-4DA3-899B-CDB8D5438957}"/>
    <cellStyle name="Linked Cell 21 2 2 11 2 2" xfId="22371" xr:uid="{A8606404-C87B-4F14-A5CA-8A8777112F71}"/>
    <cellStyle name="Linked Cell 21 2 2 11 3" xfId="22372" xr:uid="{7A115A47-D126-4481-84E5-5123EDAE068B}"/>
    <cellStyle name="Linked Cell 21 2 2 12" xfId="22373" xr:uid="{D278A33A-CC32-42F1-80F1-FF58AB62D200}"/>
    <cellStyle name="Linked Cell 21 2 2 12 2" xfId="22374" xr:uid="{F1A0F28F-F3CE-40CD-8954-A2EE56CBB404}"/>
    <cellStyle name="Linked Cell 21 2 2 12 2 2" xfId="22375" xr:uid="{DAA7BDD6-378D-4912-82C2-208757E2D8E4}"/>
    <cellStyle name="Linked Cell 21 2 2 12 3" xfId="22376" xr:uid="{A5D5A15D-F570-4C87-AB3D-665ED318FBD5}"/>
    <cellStyle name="Linked Cell 21 2 2 13" xfId="22377" xr:uid="{1283A2A0-5067-4040-A0ED-DF87F4347997}"/>
    <cellStyle name="Linked Cell 21 2 2 13 2" xfId="22378" xr:uid="{2372E451-8760-4532-9835-492951C6A695}"/>
    <cellStyle name="Linked Cell 21 2 2 14" xfId="22379" xr:uid="{BF6AC27A-1FD6-4ABC-BB14-322494E1ABCE}"/>
    <cellStyle name="Linked Cell 21 2 2 2" xfId="22380" xr:uid="{C4CB116D-ABBD-4452-91C9-254A9AE8BCE0}"/>
    <cellStyle name="Linked Cell 21 2 2 2 10" xfId="22381" xr:uid="{C33B65FC-5BFC-4767-BF08-426ABAE89D28}"/>
    <cellStyle name="Linked Cell 21 2 2 2 10 2" xfId="22382" xr:uid="{AEBFED68-C866-4A22-8D29-AAACDE5EB9D7}"/>
    <cellStyle name="Linked Cell 21 2 2 2 10 2 2" xfId="22383" xr:uid="{4D5FA438-D35F-4F67-BE09-D632060BAA25}"/>
    <cellStyle name="Linked Cell 21 2 2 2 10 3" xfId="22384" xr:uid="{617578FB-50A3-4155-AE8A-197D41F4D214}"/>
    <cellStyle name="Linked Cell 21 2 2 2 11" xfId="22385" xr:uid="{145A277E-48B1-4521-8DCB-CA6976C97CAF}"/>
    <cellStyle name="Linked Cell 21 2 2 2 11 2" xfId="22386" xr:uid="{AE187CB1-4785-4651-A8C8-E948C85BEB34}"/>
    <cellStyle name="Linked Cell 21 2 2 2 11 2 2" xfId="22387" xr:uid="{82CAA1BB-2579-441F-A76C-9959B021D4D4}"/>
    <cellStyle name="Linked Cell 21 2 2 2 11 3" xfId="22388" xr:uid="{7350CA65-C98A-4640-B379-8D0281EFFA4E}"/>
    <cellStyle name="Linked Cell 21 2 2 2 12" xfId="22389" xr:uid="{94FAE646-B24B-4E56-8E7A-17BD49BE0B4D}"/>
    <cellStyle name="Linked Cell 21 2 2 2 12 2" xfId="22390" xr:uid="{5DB1338E-4EB5-4CC1-A265-E08CFF946916}"/>
    <cellStyle name="Linked Cell 21 2 2 2 13" xfId="22391" xr:uid="{518D8BCF-15EB-4415-9310-35795BD174A8}"/>
    <cellStyle name="Linked Cell 21 2 2 2 2" xfId="22392" xr:uid="{7B4F1A63-4133-4490-BED2-4A175876667C}"/>
    <cellStyle name="Linked Cell 21 2 2 2 2 10" xfId="22393" xr:uid="{01D14B8B-F543-4FF8-B29D-6D6715F1FE6C}"/>
    <cellStyle name="Linked Cell 21 2 2 2 2 10 2" xfId="22394" xr:uid="{C1CAD596-8E3B-45F0-A2CB-8F153F61DC9C}"/>
    <cellStyle name="Linked Cell 21 2 2 2 2 10 2 2" xfId="22395" xr:uid="{3861B419-7E19-4A80-B01F-D5EC61A7B691}"/>
    <cellStyle name="Linked Cell 21 2 2 2 2 10 3" xfId="22396" xr:uid="{93BF6272-3C73-49FE-9D14-478548CDBD38}"/>
    <cellStyle name="Linked Cell 21 2 2 2 2 11" xfId="22397" xr:uid="{63A7CDF1-B0B2-472D-A8B9-D157DBB95195}"/>
    <cellStyle name="Linked Cell 21 2 2 2 2 11 2" xfId="22398" xr:uid="{D32F6D32-925A-48F0-89C4-203EF452D002}"/>
    <cellStyle name="Linked Cell 21 2 2 2 2 12" xfId="22399" xr:uid="{8D114175-C4D6-436E-91F1-9E3C781BE77F}"/>
    <cellStyle name="Linked Cell 21 2 2 2 2 2" xfId="22400" xr:uid="{8143AC0F-A9F4-4BCF-B37B-CB67D092EAAE}"/>
    <cellStyle name="Linked Cell 21 2 2 2 2 2 2" xfId="22401" xr:uid="{90E5772E-F76B-4994-8E9A-4A37086594C5}"/>
    <cellStyle name="Linked Cell 21 2 2 2 2 2 2 2" xfId="22402" xr:uid="{84AC8EA6-AE9C-4CEB-9FC6-5F9580EDE915}"/>
    <cellStyle name="Linked Cell 21 2 2 2 2 2 3" xfId="22403" xr:uid="{ECE94F4B-F265-4047-A724-3ED3D990833A}"/>
    <cellStyle name="Linked Cell 21 2 2 2 2 3" xfId="22404" xr:uid="{11A87ED7-6808-499F-8164-896F80D193A1}"/>
    <cellStyle name="Linked Cell 21 2 2 2 2 3 2" xfId="22405" xr:uid="{5CB6448B-8AC2-4157-A3D7-4936BE8AEAE1}"/>
    <cellStyle name="Linked Cell 21 2 2 2 2 3 2 2" xfId="22406" xr:uid="{3A71A5A9-26F1-4C60-9FD1-4023DD907C42}"/>
    <cellStyle name="Linked Cell 21 2 2 2 2 3 3" xfId="22407" xr:uid="{BFC64D47-6CCD-41FE-A00A-FB4B613F3B57}"/>
    <cellStyle name="Linked Cell 21 2 2 2 2 4" xfId="22408" xr:uid="{8C32E1BF-E9AD-4205-8998-3EFC17BCE0FB}"/>
    <cellStyle name="Linked Cell 21 2 2 2 2 4 2" xfId="22409" xr:uid="{54058FED-6163-4F67-BBFB-DD22138FD033}"/>
    <cellStyle name="Linked Cell 21 2 2 2 2 4 2 2" xfId="22410" xr:uid="{0697FB95-D09F-4B54-A214-C579EAC77F60}"/>
    <cellStyle name="Linked Cell 21 2 2 2 2 4 3" xfId="22411" xr:uid="{EE461019-A5F5-490F-A07F-E95EB2914877}"/>
    <cellStyle name="Linked Cell 21 2 2 2 2 5" xfId="22412" xr:uid="{8042DA91-D133-4337-9543-630510F52A92}"/>
    <cellStyle name="Linked Cell 21 2 2 2 2 5 2" xfId="22413" xr:uid="{05CA5877-B820-4C15-B6AF-606A8E0CCE0D}"/>
    <cellStyle name="Linked Cell 21 2 2 2 2 5 2 2" xfId="22414" xr:uid="{DEE49640-5514-4690-8025-485B1A446AC9}"/>
    <cellStyle name="Linked Cell 21 2 2 2 2 5 3" xfId="22415" xr:uid="{5865606C-B5D1-491C-8DEB-25F68A26B684}"/>
    <cellStyle name="Linked Cell 21 2 2 2 2 6" xfId="22416" xr:uid="{C954DF0D-6FB2-4F2E-B6AA-6A449D6F5C8F}"/>
    <cellStyle name="Linked Cell 21 2 2 2 2 6 2" xfId="22417" xr:uid="{00EFC2B6-9865-487C-92AB-C59DFADF144E}"/>
    <cellStyle name="Linked Cell 21 2 2 2 2 6 2 2" xfId="22418" xr:uid="{82651E83-47E9-4445-A699-E5971A57899C}"/>
    <cellStyle name="Linked Cell 21 2 2 2 2 6 3" xfId="22419" xr:uid="{F3C10087-1841-4142-98F5-6A797C50332B}"/>
    <cellStyle name="Linked Cell 21 2 2 2 2 7" xfId="22420" xr:uid="{E5517F17-F6DD-4292-A46B-41326B968C19}"/>
    <cellStyle name="Linked Cell 21 2 2 2 2 7 2" xfId="22421" xr:uid="{6DC2B33E-FEB6-4D5B-909A-757928B00984}"/>
    <cellStyle name="Linked Cell 21 2 2 2 2 7 2 2" xfId="22422" xr:uid="{B86C1126-6C50-4A44-A631-174DF231E589}"/>
    <cellStyle name="Linked Cell 21 2 2 2 2 7 3" xfId="22423" xr:uid="{31C643DE-6FA0-47AA-B6F3-264630D4647F}"/>
    <cellStyle name="Linked Cell 21 2 2 2 2 8" xfId="22424" xr:uid="{58EFB787-1928-4A7F-87F9-528BD1A9F1FF}"/>
    <cellStyle name="Linked Cell 21 2 2 2 2 8 2" xfId="22425" xr:uid="{4533D5AC-9213-4A91-818B-09D08E5548EF}"/>
    <cellStyle name="Linked Cell 21 2 2 2 2 8 2 2" xfId="22426" xr:uid="{753F161D-07F4-4026-AC59-BAEF7830795F}"/>
    <cellStyle name="Linked Cell 21 2 2 2 2 8 3" xfId="22427" xr:uid="{363E67D5-F2E0-4711-9E38-86E17D5950D8}"/>
    <cellStyle name="Linked Cell 21 2 2 2 2 9" xfId="22428" xr:uid="{ED81C582-D8C1-481D-8DFA-2A024246FB7C}"/>
    <cellStyle name="Linked Cell 21 2 2 2 2 9 2" xfId="22429" xr:uid="{00C9C8FE-F1AF-4A24-BB78-5BE2B8AD1F33}"/>
    <cellStyle name="Linked Cell 21 2 2 2 2 9 2 2" xfId="22430" xr:uid="{A977CBF9-0FE4-4108-B047-C510825AC884}"/>
    <cellStyle name="Linked Cell 21 2 2 2 2 9 3" xfId="22431" xr:uid="{0B1D174A-B297-4FBE-9951-B47E8A3FFFEB}"/>
    <cellStyle name="Linked Cell 21 2 2 2 3" xfId="22432" xr:uid="{5223B6F0-BA78-409B-9638-AC98F06A6E73}"/>
    <cellStyle name="Linked Cell 21 2 2 2 3 10" xfId="22433" xr:uid="{41AA486F-6CA9-4D88-BF29-5A767838BC2E}"/>
    <cellStyle name="Linked Cell 21 2 2 2 3 10 2" xfId="22434" xr:uid="{7389B523-8913-41F1-9DA8-431E8FAEE060}"/>
    <cellStyle name="Linked Cell 21 2 2 2 3 11" xfId="22435" xr:uid="{1A857378-A2C9-4BCF-9542-D70A026119C1}"/>
    <cellStyle name="Linked Cell 21 2 2 2 3 2" xfId="22436" xr:uid="{591AFD16-2557-4A52-A144-BBAA6C96E28F}"/>
    <cellStyle name="Linked Cell 21 2 2 2 3 2 2" xfId="22437" xr:uid="{D9606255-3819-4D32-B382-5464ECC9B333}"/>
    <cellStyle name="Linked Cell 21 2 2 2 3 2 2 2" xfId="22438" xr:uid="{909C7E2E-5F02-4847-AA85-B79934DE510A}"/>
    <cellStyle name="Linked Cell 21 2 2 2 3 2 3" xfId="22439" xr:uid="{18DE43A4-1602-4129-AD3E-67C399237AAF}"/>
    <cellStyle name="Linked Cell 21 2 2 2 3 3" xfId="22440" xr:uid="{C8A0830A-E397-4A43-A41D-A442B7F26B53}"/>
    <cellStyle name="Linked Cell 21 2 2 2 3 3 2" xfId="22441" xr:uid="{BD800803-C800-4AA8-BC53-AB363C1C5681}"/>
    <cellStyle name="Linked Cell 21 2 2 2 3 3 2 2" xfId="22442" xr:uid="{C6977A2C-81B6-46AD-ABC2-029579E5D45B}"/>
    <cellStyle name="Linked Cell 21 2 2 2 3 3 3" xfId="22443" xr:uid="{5FA564C0-AC95-4CFC-AD18-439585A27058}"/>
    <cellStyle name="Linked Cell 21 2 2 2 3 4" xfId="22444" xr:uid="{E2E3ABD1-1932-494B-AF32-F94994FAEEE7}"/>
    <cellStyle name="Linked Cell 21 2 2 2 3 4 2" xfId="22445" xr:uid="{A21345B1-A6BA-4909-BA0F-EA9D866295FF}"/>
    <cellStyle name="Linked Cell 21 2 2 2 3 4 2 2" xfId="22446" xr:uid="{166B7045-6D43-4F6D-A9B6-0261807831C8}"/>
    <cellStyle name="Linked Cell 21 2 2 2 3 4 3" xfId="22447" xr:uid="{D1F4B918-81E6-49A7-84C4-056AE89B9A4E}"/>
    <cellStyle name="Linked Cell 21 2 2 2 3 5" xfId="22448" xr:uid="{6E81F558-92A5-4F0E-8EF2-95E1515A15D6}"/>
    <cellStyle name="Linked Cell 21 2 2 2 3 5 2" xfId="22449" xr:uid="{188F5586-F278-4DB8-A832-967EB65E8CE8}"/>
    <cellStyle name="Linked Cell 21 2 2 2 3 5 2 2" xfId="22450" xr:uid="{EDF3A9C3-1F23-4D1D-80D9-F1CF4180D09E}"/>
    <cellStyle name="Linked Cell 21 2 2 2 3 5 3" xfId="22451" xr:uid="{916AACDC-8ECA-4F3E-8D71-276281FEAC25}"/>
    <cellStyle name="Linked Cell 21 2 2 2 3 6" xfId="22452" xr:uid="{80CF2E16-A13F-490B-A250-AD1B576A8634}"/>
    <cellStyle name="Linked Cell 21 2 2 2 3 6 2" xfId="22453" xr:uid="{292420DC-B3EB-4547-A194-2AF768419C83}"/>
    <cellStyle name="Linked Cell 21 2 2 2 3 6 2 2" xfId="22454" xr:uid="{1ACA0F40-77F8-429C-B053-6B645BBDAAEE}"/>
    <cellStyle name="Linked Cell 21 2 2 2 3 6 3" xfId="22455" xr:uid="{276F8CAF-9263-494B-AA0A-71BEB00D5A00}"/>
    <cellStyle name="Linked Cell 21 2 2 2 3 7" xfId="22456" xr:uid="{5EBCE6A5-3368-4DE6-97A8-17A73C9B6E2F}"/>
    <cellStyle name="Linked Cell 21 2 2 2 3 7 2" xfId="22457" xr:uid="{1BA82EFF-D112-498B-ABB5-E697A6CA1EEE}"/>
    <cellStyle name="Linked Cell 21 2 2 2 3 7 2 2" xfId="22458" xr:uid="{AF48C175-EF04-46D8-972A-BDB1D2D89927}"/>
    <cellStyle name="Linked Cell 21 2 2 2 3 7 3" xfId="22459" xr:uid="{F77207E9-D643-4066-9BA6-1BCDE74EC023}"/>
    <cellStyle name="Linked Cell 21 2 2 2 3 8" xfId="22460" xr:uid="{1BFC665B-5F97-4F39-9C5C-5F9AAB852AD2}"/>
    <cellStyle name="Linked Cell 21 2 2 2 3 8 2" xfId="22461" xr:uid="{C3D7EECD-3F67-4311-8D8B-2AE81D93C853}"/>
    <cellStyle name="Linked Cell 21 2 2 2 3 8 2 2" xfId="22462" xr:uid="{B35C384E-2E5A-418B-9E27-2BD0F6385B03}"/>
    <cellStyle name="Linked Cell 21 2 2 2 3 8 3" xfId="22463" xr:uid="{320A2AB7-A5C6-46A0-8617-5B2D5891E0B6}"/>
    <cellStyle name="Linked Cell 21 2 2 2 3 9" xfId="22464" xr:uid="{31043E3B-F3E2-4AEB-A022-629168C515A3}"/>
    <cellStyle name="Linked Cell 21 2 2 2 3 9 2" xfId="22465" xr:uid="{22006F7F-7C79-4CFA-91B7-0FE54CFE22A5}"/>
    <cellStyle name="Linked Cell 21 2 2 2 3 9 2 2" xfId="22466" xr:uid="{102AF3BF-38BF-47F1-9BB5-C1FA1EEDD8D2}"/>
    <cellStyle name="Linked Cell 21 2 2 2 3 9 3" xfId="22467" xr:uid="{7F124702-3BC1-46C5-92FD-16FAAA7800A8}"/>
    <cellStyle name="Linked Cell 21 2 2 2 4" xfId="22468" xr:uid="{D3272B6E-AE54-40A5-AC21-84E247C0C483}"/>
    <cellStyle name="Linked Cell 21 2 2 2 4 2" xfId="22469" xr:uid="{A91A07A7-D594-4530-A113-2256A28A8D6B}"/>
    <cellStyle name="Linked Cell 21 2 2 2 4 2 2" xfId="22470" xr:uid="{716E4ACE-48EE-4CB4-A473-538BE0E6237F}"/>
    <cellStyle name="Linked Cell 21 2 2 2 4 3" xfId="22471" xr:uid="{DCD68B04-B842-42D4-B1BE-B9CF15E40C08}"/>
    <cellStyle name="Linked Cell 21 2 2 2 5" xfId="22472" xr:uid="{15311F26-36B4-4B1B-8D54-06CE008C4D42}"/>
    <cellStyle name="Linked Cell 21 2 2 2 5 2" xfId="22473" xr:uid="{DC1DC080-5179-4460-9E4C-46E4417A329C}"/>
    <cellStyle name="Linked Cell 21 2 2 2 5 2 2" xfId="22474" xr:uid="{B8993572-D923-482E-B6F1-C8FB5A9A5C89}"/>
    <cellStyle name="Linked Cell 21 2 2 2 5 3" xfId="22475" xr:uid="{E595F7AB-92BA-480F-8659-449F087446A8}"/>
    <cellStyle name="Linked Cell 21 2 2 2 6" xfId="22476" xr:uid="{57AA4ECF-76F4-4871-95F1-D2D97700D9D5}"/>
    <cellStyle name="Linked Cell 21 2 2 2 6 2" xfId="22477" xr:uid="{02686F47-062A-404A-B3D1-2D42E321ED4E}"/>
    <cellStyle name="Linked Cell 21 2 2 2 6 2 2" xfId="22478" xr:uid="{0820271D-82CC-4CE0-989B-8EEC0A2A2773}"/>
    <cellStyle name="Linked Cell 21 2 2 2 6 3" xfId="22479" xr:uid="{0ED19454-5EBD-4E3C-946E-E9C183406F30}"/>
    <cellStyle name="Linked Cell 21 2 2 2 7" xfId="22480" xr:uid="{3CEDBBEA-14FF-4D05-A1BF-969E3930435A}"/>
    <cellStyle name="Linked Cell 21 2 2 2 7 2" xfId="22481" xr:uid="{3DA22BFA-23A2-40ED-9E57-5B90B4E12647}"/>
    <cellStyle name="Linked Cell 21 2 2 2 7 2 2" xfId="22482" xr:uid="{083DA6C4-CAAD-452A-86FE-F4A95C9590E0}"/>
    <cellStyle name="Linked Cell 21 2 2 2 7 3" xfId="22483" xr:uid="{034C6C8E-A238-4D62-A31B-A9BA50829CCD}"/>
    <cellStyle name="Linked Cell 21 2 2 2 8" xfId="22484" xr:uid="{0B092CED-B16E-4654-B86D-64A42E0CC97A}"/>
    <cellStyle name="Linked Cell 21 2 2 2 8 2" xfId="22485" xr:uid="{E69C7121-1B37-44D7-9467-6792CFD8E65B}"/>
    <cellStyle name="Linked Cell 21 2 2 2 8 2 2" xfId="22486" xr:uid="{B779042E-1059-498E-9F69-C9C776AD767B}"/>
    <cellStyle name="Linked Cell 21 2 2 2 8 3" xfId="22487" xr:uid="{B55CE869-DF36-4784-9E4A-F618FF2DAC17}"/>
    <cellStyle name="Linked Cell 21 2 2 2 9" xfId="22488" xr:uid="{A4F58445-5CC7-4303-9A44-3DDB08EE6E2F}"/>
    <cellStyle name="Linked Cell 21 2 2 2 9 2" xfId="22489" xr:uid="{6D897807-9FF6-442F-A697-8F51FB565FA6}"/>
    <cellStyle name="Linked Cell 21 2 2 2 9 2 2" xfId="22490" xr:uid="{0AF7CDE9-05B0-4E0D-9F59-71534369261B}"/>
    <cellStyle name="Linked Cell 21 2 2 2 9 3" xfId="22491" xr:uid="{594C9D42-51AD-41AD-ABB5-C553F111FD8F}"/>
    <cellStyle name="Linked Cell 21 2 2 3" xfId="22492" xr:uid="{383EC853-702F-4465-A931-43259C330B1C}"/>
    <cellStyle name="Linked Cell 21 2 2 3 10" xfId="22493" xr:uid="{46D228F2-25F6-4D0A-A042-5AAA81E4093B}"/>
    <cellStyle name="Linked Cell 21 2 2 3 10 2" xfId="22494" xr:uid="{768398B3-53EF-40F3-A4CE-CE9299C302AA}"/>
    <cellStyle name="Linked Cell 21 2 2 3 10 2 2" xfId="22495" xr:uid="{353113C6-34AC-4EEA-9395-CA4E408C41A1}"/>
    <cellStyle name="Linked Cell 21 2 2 3 10 3" xfId="22496" xr:uid="{A4448A7C-A047-4EAB-82FC-CF9D904EEDBC}"/>
    <cellStyle name="Linked Cell 21 2 2 3 11" xfId="22497" xr:uid="{EDD611E0-14D2-4815-80C6-F969551D541D}"/>
    <cellStyle name="Linked Cell 21 2 2 3 11 2" xfId="22498" xr:uid="{F5D6853B-22E0-43A0-87E6-5CED865AFB8E}"/>
    <cellStyle name="Linked Cell 21 2 2 3 12" xfId="22499" xr:uid="{E5D180F9-6D53-42C9-BF19-CA1DD6A23C70}"/>
    <cellStyle name="Linked Cell 21 2 2 3 2" xfId="22500" xr:uid="{E09BCE1B-48DA-4043-9383-90A1F52E551A}"/>
    <cellStyle name="Linked Cell 21 2 2 3 2 10" xfId="22501" xr:uid="{FDC0FEBD-99EB-4F0F-B04F-63F57AFBEF54}"/>
    <cellStyle name="Linked Cell 21 2 2 3 2 10 2" xfId="22502" xr:uid="{391323BC-5270-4E3F-B843-FC3F13263B97}"/>
    <cellStyle name="Linked Cell 21 2 2 3 2 11" xfId="22503" xr:uid="{1EFD67BF-7490-4CD9-9D2F-17E1F4F4A079}"/>
    <cellStyle name="Linked Cell 21 2 2 3 2 2" xfId="22504" xr:uid="{6621816E-6C0E-4FBE-9F87-046C9A566E8D}"/>
    <cellStyle name="Linked Cell 21 2 2 3 2 2 2" xfId="22505" xr:uid="{AEE57FED-CF43-491B-86D8-EF4CCF2C4AB9}"/>
    <cellStyle name="Linked Cell 21 2 2 3 2 2 2 2" xfId="22506" xr:uid="{175E87A5-FF9B-4049-926A-666525DC3C5D}"/>
    <cellStyle name="Linked Cell 21 2 2 3 2 2 3" xfId="22507" xr:uid="{F4CA15A4-68D9-45D5-9A9C-BA69FFE950D6}"/>
    <cellStyle name="Linked Cell 21 2 2 3 2 3" xfId="22508" xr:uid="{1387AE76-EC51-43FF-8360-119869C1F214}"/>
    <cellStyle name="Linked Cell 21 2 2 3 2 3 2" xfId="22509" xr:uid="{FBE32089-9E37-467F-BAC7-D3E9D4B54EE6}"/>
    <cellStyle name="Linked Cell 21 2 2 3 2 3 2 2" xfId="22510" xr:uid="{C14968CA-8018-49A2-9DBC-BA9A8F4FD3FA}"/>
    <cellStyle name="Linked Cell 21 2 2 3 2 3 3" xfId="22511" xr:uid="{0C33F247-C3E8-477F-B541-D5C187DC3257}"/>
    <cellStyle name="Linked Cell 21 2 2 3 2 4" xfId="22512" xr:uid="{6A3F362A-BB08-4516-9FEC-612FE5ACF960}"/>
    <cellStyle name="Linked Cell 21 2 2 3 2 4 2" xfId="22513" xr:uid="{6C148BFA-CBA3-4EF9-ABEF-1A56DC4DF586}"/>
    <cellStyle name="Linked Cell 21 2 2 3 2 4 2 2" xfId="22514" xr:uid="{6CB6D8E3-2318-4D45-9716-A4090D4AD527}"/>
    <cellStyle name="Linked Cell 21 2 2 3 2 4 3" xfId="22515" xr:uid="{587BFF40-8D0A-4185-A071-4F7591BCB3C8}"/>
    <cellStyle name="Linked Cell 21 2 2 3 2 5" xfId="22516" xr:uid="{24AFA53D-FA51-400D-BFF4-3EF8472C7113}"/>
    <cellStyle name="Linked Cell 21 2 2 3 2 5 2" xfId="22517" xr:uid="{2A45EEC0-144D-4815-9CFC-3F4AC5472AA1}"/>
    <cellStyle name="Linked Cell 21 2 2 3 2 5 2 2" xfId="22518" xr:uid="{25ACDAC1-892B-4376-9894-F94049FC85FF}"/>
    <cellStyle name="Linked Cell 21 2 2 3 2 5 3" xfId="22519" xr:uid="{1E562B1D-0FFC-4B33-BACC-3AA928521B44}"/>
    <cellStyle name="Linked Cell 21 2 2 3 2 6" xfId="22520" xr:uid="{A58D13EF-7CF2-47EA-9A4E-7BE320DECC84}"/>
    <cellStyle name="Linked Cell 21 2 2 3 2 6 2" xfId="22521" xr:uid="{DA6D1453-E47B-444C-A9DB-CE137921BB46}"/>
    <cellStyle name="Linked Cell 21 2 2 3 2 6 2 2" xfId="22522" xr:uid="{30A4A297-A3B3-49C9-84CF-F0035D2902FE}"/>
    <cellStyle name="Linked Cell 21 2 2 3 2 6 3" xfId="22523" xr:uid="{AE7B8A37-03EF-4B3C-BA5D-4EAE8905647A}"/>
    <cellStyle name="Linked Cell 21 2 2 3 2 7" xfId="22524" xr:uid="{90A57D17-DBE1-4F5B-8D8F-69F39CF3CBAE}"/>
    <cellStyle name="Linked Cell 21 2 2 3 2 7 2" xfId="22525" xr:uid="{88911086-F6EC-4AB2-9A0C-8414E81C3DA9}"/>
    <cellStyle name="Linked Cell 21 2 2 3 2 7 2 2" xfId="22526" xr:uid="{27312931-01A5-4051-A2DF-CCC2902D9A67}"/>
    <cellStyle name="Linked Cell 21 2 2 3 2 7 3" xfId="22527" xr:uid="{54604C64-5966-4FB6-AFAA-1597DAA0A3E6}"/>
    <cellStyle name="Linked Cell 21 2 2 3 2 8" xfId="22528" xr:uid="{97F51588-D4B2-46AE-8F8C-D52254C02EC9}"/>
    <cellStyle name="Linked Cell 21 2 2 3 2 8 2" xfId="22529" xr:uid="{9952E0C9-4977-45A7-BA97-7AB91F30E1D8}"/>
    <cellStyle name="Linked Cell 21 2 2 3 2 8 2 2" xfId="22530" xr:uid="{478CA68F-81AB-4911-89CB-2D4F41DEC7BF}"/>
    <cellStyle name="Linked Cell 21 2 2 3 2 8 3" xfId="22531" xr:uid="{5C6B3402-AC3C-4F08-A01D-B9C522FD1C9C}"/>
    <cellStyle name="Linked Cell 21 2 2 3 2 9" xfId="22532" xr:uid="{F6FFFA25-41C1-4389-A704-820154D640F0}"/>
    <cellStyle name="Linked Cell 21 2 2 3 2 9 2" xfId="22533" xr:uid="{8DBC1067-9012-435B-B5CC-29DF58DD1D21}"/>
    <cellStyle name="Linked Cell 21 2 2 3 2 9 2 2" xfId="22534" xr:uid="{E8A70CB0-D98A-4F32-801E-7355A061C8F0}"/>
    <cellStyle name="Linked Cell 21 2 2 3 2 9 3" xfId="22535" xr:uid="{B4F927B9-676C-4E8A-89D8-B997A34C2270}"/>
    <cellStyle name="Linked Cell 21 2 2 3 3" xfId="22536" xr:uid="{F295DDE8-8043-4824-9236-BD32C6970A99}"/>
    <cellStyle name="Linked Cell 21 2 2 3 3 2" xfId="22537" xr:uid="{23107777-0D2B-4632-8870-24F11C7097AA}"/>
    <cellStyle name="Linked Cell 21 2 2 3 3 2 2" xfId="22538" xr:uid="{8346011F-E985-45E1-8727-1EF7C7B71F96}"/>
    <cellStyle name="Linked Cell 21 2 2 3 3 3" xfId="22539" xr:uid="{9A69D182-7113-4DF1-8714-B10EA7F84BC7}"/>
    <cellStyle name="Linked Cell 21 2 2 3 4" xfId="22540" xr:uid="{C2E9F5D6-1472-4AFE-AF33-FD4594D2E3F5}"/>
    <cellStyle name="Linked Cell 21 2 2 3 4 2" xfId="22541" xr:uid="{EA77659D-6B67-417B-8935-EF81CB93EED1}"/>
    <cellStyle name="Linked Cell 21 2 2 3 4 2 2" xfId="22542" xr:uid="{D6FF796F-173E-4EFE-92A5-37DC7E03442E}"/>
    <cellStyle name="Linked Cell 21 2 2 3 4 3" xfId="22543" xr:uid="{01DE6AAA-6B5D-4567-936B-06CA01D13DA6}"/>
    <cellStyle name="Linked Cell 21 2 2 3 5" xfId="22544" xr:uid="{D6AA97BF-BAA2-42E2-A4B3-0EDCF0CA1549}"/>
    <cellStyle name="Linked Cell 21 2 2 3 5 2" xfId="22545" xr:uid="{1E6507F6-D9CA-41A1-BD0A-35806C8E0430}"/>
    <cellStyle name="Linked Cell 21 2 2 3 5 2 2" xfId="22546" xr:uid="{FA26B065-BD2E-48EF-8F13-B9A2D12AB3E9}"/>
    <cellStyle name="Linked Cell 21 2 2 3 5 3" xfId="22547" xr:uid="{4DA00AFE-342C-4D11-BAC6-9074EA01EBC0}"/>
    <cellStyle name="Linked Cell 21 2 2 3 6" xfId="22548" xr:uid="{DD61835B-8173-4702-A9E2-AC38F3BDA79C}"/>
    <cellStyle name="Linked Cell 21 2 2 3 6 2" xfId="22549" xr:uid="{BBDF85F7-4CD1-4451-8F99-D1250C3C271A}"/>
    <cellStyle name="Linked Cell 21 2 2 3 6 2 2" xfId="22550" xr:uid="{3BF13637-90AB-4586-9462-96AC368E6194}"/>
    <cellStyle name="Linked Cell 21 2 2 3 6 3" xfId="22551" xr:uid="{EF830330-5134-4252-A263-3B812FAA71C2}"/>
    <cellStyle name="Linked Cell 21 2 2 3 7" xfId="22552" xr:uid="{01983799-9C00-48DF-834E-3042C2094B04}"/>
    <cellStyle name="Linked Cell 21 2 2 3 7 2" xfId="22553" xr:uid="{7FF69002-7ADC-4F97-ABFB-5CF958727DAB}"/>
    <cellStyle name="Linked Cell 21 2 2 3 7 2 2" xfId="22554" xr:uid="{09D78927-3D21-4FA2-AD4D-A300789686FA}"/>
    <cellStyle name="Linked Cell 21 2 2 3 7 3" xfId="22555" xr:uid="{9E514967-6E2C-4A6E-9C87-714F8EE92A60}"/>
    <cellStyle name="Linked Cell 21 2 2 3 8" xfId="22556" xr:uid="{64CA948D-137D-4C57-B7F9-48AFAD63E514}"/>
    <cellStyle name="Linked Cell 21 2 2 3 8 2" xfId="22557" xr:uid="{65B9BBC8-EE5A-4BCC-A2FD-260EF0A89070}"/>
    <cellStyle name="Linked Cell 21 2 2 3 8 2 2" xfId="22558" xr:uid="{78ED2C2F-AFAD-418C-97BB-2ECAC4B86986}"/>
    <cellStyle name="Linked Cell 21 2 2 3 8 3" xfId="22559" xr:uid="{0353DE7A-EF94-4EEE-8B57-E68FB388A4C7}"/>
    <cellStyle name="Linked Cell 21 2 2 3 9" xfId="22560" xr:uid="{922A5BA1-8543-42F4-AA45-5128ADE62076}"/>
    <cellStyle name="Linked Cell 21 2 2 3 9 2" xfId="22561" xr:uid="{B3A73887-6D43-4998-8F4B-79AD72A4871E}"/>
    <cellStyle name="Linked Cell 21 2 2 3 9 2 2" xfId="22562" xr:uid="{B155EA3E-020B-42D6-9D36-48AE4C6F83A0}"/>
    <cellStyle name="Linked Cell 21 2 2 3 9 3" xfId="22563" xr:uid="{7457B815-2507-4EDB-A336-BA7AFAF59056}"/>
    <cellStyle name="Linked Cell 21 2 2 4" xfId="22564" xr:uid="{008B22CF-CC9F-414C-9D49-A7D3B0792D47}"/>
    <cellStyle name="Linked Cell 21 2 2 4 10" xfId="22565" xr:uid="{2FC305E0-0CA1-475F-A25E-D8E1D3CF52A2}"/>
    <cellStyle name="Linked Cell 21 2 2 4 10 2" xfId="22566" xr:uid="{A7A9810D-F103-4DEB-8EB1-E3D5DF95D495}"/>
    <cellStyle name="Linked Cell 21 2 2 4 11" xfId="22567" xr:uid="{B09EB54A-99EA-4D7C-B514-563415091CB6}"/>
    <cellStyle name="Linked Cell 21 2 2 4 2" xfId="22568" xr:uid="{2F152616-DEF3-4A07-B80D-6709590CB33E}"/>
    <cellStyle name="Linked Cell 21 2 2 4 2 2" xfId="22569" xr:uid="{B377633B-A664-493C-A889-6EA2BB77BCCB}"/>
    <cellStyle name="Linked Cell 21 2 2 4 2 2 2" xfId="22570" xr:uid="{8A08B020-C87A-44FB-90AA-A80C6E4C52B2}"/>
    <cellStyle name="Linked Cell 21 2 2 4 2 3" xfId="22571" xr:uid="{B4C7C264-FD06-4286-942E-C540B0ED0A3E}"/>
    <cellStyle name="Linked Cell 21 2 2 4 3" xfId="22572" xr:uid="{4F6C73AE-230A-475A-9890-0498565D970D}"/>
    <cellStyle name="Linked Cell 21 2 2 4 3 2" xfId="22573" xr:uid="{DAC817E4-8482-4221-BB7E-8F1FAEBBAD89}"/>
    <cellStyle name="Linked Cell 21 2 2 4 3 2 2" xfId="22574" xr:uid="{CA2562C1-9265-4DD2-95CE-6B5AAF209D7C}"/>
    <cellStyle name="Linked Cell 21 2 2 4 3 3" xfId="22575" xr:uid="{AE04A685-874F-4658-9538-BD46FBC1F93D}"/>
    <cellStyle name="Linked Cell 21 2 2 4 4" xfId="22576" xr:uid="{85A8320D-78B6-40F5-AD1E-50E871DA3CE4}"/>
    <cellStyle name="Linked Cell 21 2 2 4 4 2" xfId="22577" xr:uid="{DD3DB208-EAD2-43C4-AE79-AE838A70F877}"/>
    <cellStyle name="Linked Cell 21 2 2 4 4 2 2" xfId="22578" xr:uid="{84496C3D-DADA-4DB7-A1D0-D561165CB149}"/>
    <cellStyle name="Linked Cell 21 2 2 4 4 3" xfId="22579" xr:uid="{D1037AD2-5496-4621-95A2-F24F1D70025A}"/>
    <cellStyle name="Linked Cell 21 2 2 4 5" xfId="22580" xr:uid="{5703D5AB-E76C-4FDC-BDEC-36238A78A4C6}"/>
    <cellStyle name="Linked Cell 21 2 2 4 5 2" xfId="22581" xr:uid="{629D8067-CD2E-41A2-9CCB-9E554B0453B4}"/>
    <cellStyle name="Linked Cell 21 2 2 4 5 2 2" xfId="22582" xr:uid="{E0FE744B-85A3-4C8E-845B-8D0998328673}"/>
    <cellStyle name="Linked Cell 21 2 2 4 5 3" xfId="22583" xr:uid="{6C01E41D-CD0A-47A1-95C6-67BE29727477}"/>
    <cellStyle name="Linked Cell 21 2 2 4 6" xfId="22584" xr:uid="{CE06F756-9023-4E6F-A3B8-B63955398945}"/>
    <cellStyle name="Linked Cell 21 2 2 4 6 2" xfId="22585" xr:uid="{3B347F4F-DC5B-4EEC-91BC-1C4A481454D5}"/>
    <cellStyle name="Linked Cell 21 2 2 4 6 2 2" xfId="22586" xr:uid="{6553B4E4-0E0F-4F94-8C49-8C8767B8F3BA}"/>
    <cellStyle name="Linked Cell 21 2 2 4 6 3" xfId="22587" xr:uid="{991E3534-DD70-435D-904B-DB0705E2EDDB}"/>
    <cellStyle name="Linked Cell 21 2 2 4 7" xfId="22588" xr:uid="{C9463E6F-0E06-4324-8D70-14FAB7288439}"/>
    <cellStyle name="Linked Cell 21 2 2 4 7 2" xfId="22589" xr:uid="{842FE5AD-2D9D-4879-A26D-80A91A140387}"/>
    <cellStyle name="Linked Cell 21 2 2 4 7 2 2" xfId="22590" xr:uid="{DFE953F2-F73D-40ED-B032-E7535A0F9EA7}"/>
    <cellStyle name="Linked Cell 21 2 2 4 7 3" xfId="22591" xr:uid="{320C47EA-F5A3-4013-9926-349DA78EDA86}"/>
    <cellStyle name="Linked Cell 21 2 2 4 8" xfId="22592" xr:uid="{2329AA3C-748E-4D55-9818-BC6F2FD9C3E8}"/>
    <cellStyle name="Linked Cell 21 2 2 4 8 2" xfId="22593" xr:uid="{5C7B4CDE-E052-47B5-9F76-FA0C3E87408E}"/>
    <cellStyle name="Linked Cell 21 2 2 4 8 2 2" xfId="22594" xr:uid="{682EEB70-2C32-4113-B91D-002EF501CA52}"/>
    <cellStyle name="Linked Cell 21 2 2 4 8 3" xfId="22595" xr:uid="{0824279B-908E-41DD-BA8E-68AFF2DD7054}"/>
    <cellStyle name="Linked Cell 21 2 2 4 9" xfId="22596" xr:uid="{4A4C130D-8E64-4787-AF32-A04B570547BA}"/>
    <cellStyle name="Linked Cell 21 2 2 4 9 2" xfId="22597" xr:uid="{F663B49E-575A-4807-90EB-296D0EAA0FF1}"/>
    <cellStyle name="Linked Cell 21 2 2 4 9 2 2" xfId="22598" xr:uid="{1078B007-D6C5-4330-8D6D-AC9B02FB9451}"/>
    <cellStyle name="Linked Cell 21 2 2 4 9 3" xfId="22599" xr:uid="{36AE5715-D325-4358-B987-C8E31D71FF12}"/>
    <cellStyle name="Linked Cell 21 2 2 5" xfId="22600" xr:uid="{190AD34A-BB39-4268-B17D-A9C1490AC0A3}"/>
    <cellStyle name="Linked Cell 21 2 2 5 2" xfId="22601" xr:uid="{73B38E9C-AAE2-4C61-8782-DA868CC578E0}"/>
    <cellStyle name="Linked Cell 21 2 2 5 2 2" xfId="22602" xr:uid="{F5603D18-5801-4852-8B40-9389C89678BE}"/>
    <cellStyle name="Linked Cell 21 2 2 5 3" xfId="22603" xr:uid="{9D0B4332-9427-46C2-9152-ACA3B90CB8D8}"/>
    <cellStyle name="Linked Cell 21 2 2 6" xfId="22604" xr:uid="{2B86F712-F20C-4878-AA81-6C16A3B8777A}"/>
    <cellStyle name="Linked Cell 21 2 2 6 2" xfId="22605" xr:uid="{D1B12025-D5A2-483A-A66E-05F0BB5C85EB}"/>
    <cellStyle name="Linked Cell 21 2 2 6 2 2" xfId="22606" xr:uid="{B76A94F6-7A60-40FA-9ECA-BEFD5DD7B2C9}"/>
    <cellStyle name="Linked Cell 21 2 2 6 3" xfId="22607" xr:uid="{081DABBF-341C-4C4D-8E51-B9C370C14E9A}"/>
    <cellStyle name="Linked Cell 21 2 2 7" xfId="22608" xr:uid="{B67D3B90-FFFB-422C-BB4D-0EF300A563DE}"/>
    <cellStyle name="Linked Cell 21 2 2 7 2" xfId="22609" xr:uid="{9088AB62-A83B-48B7-A121-79C8C3A10628}"/>
    <cellStyle name="Linked Cell 21 2 2 7 2 2" xfId="22610" xr:uid="{A11D17C2-0EEE-4353-AC33-13CB30C11281}"/>
    <cellStyle name="Linked Cell 21 2 2 7 3" xfId="22611" xr:uid="{2CE83F2B-348E-4F35-A3C6-1B71379330F4}"/>
    <cellStyle name="Linked Cell 21 2 2 8" xfId="22612" xr:uid="{8EE0A4B4-0C14-4051-B10F-4815835AB5C1}"/>
    <cellStyle name="Linked Cell 21 2 2 8 2" xfId="22613" xr:uid="{6D0622AB-F37C-4A50-9FAA-F7529C102F2D}"/>
    <cellStyle name="Linked Cell 21 2 2 8 2 2" xfId="22614" xr:uid="{263EC748-D4DF-45E5-A63B-863DD8ADE06D}"/>
    <cellStyle name="Linked Cell 21 2 2 8 3" xfId="22615" xr:uid="{584F4A31-E5DA-49B4-B0FF-D8B410F8ABC2}"/>
    <cellStyle name="Linked Cell 21 2 2 9" xfId="22616" xr:uid="{0535691A-D8CE-48CD-BD78-5E0CE5FEFE08}"/>
    <cellStyle name="Linked Cell 21 2 2 9 2" xfId="22617" xr:uid="{4E031E19-1AC9-470C-A18B-AAA750FF8CDD}"/>
    <cellStyle name="Linked Cell 21 2 2 9 2 2" xfId="22618" xr:uid="{A7AA2206-C79C-47C0-A0A2-18446D69B7AF}"/>
    <cellStyle name="Linked Cell 21 2 2 9 3" xfId="22619" xr:uid="{5C15192B-F397-423D-AB6B-E6DA98D347F9}"/>
    <cellStyle name="Linked Cell 21 2 3" xfId="22620" xr:uid="{B8FDFD93-D33A-4EB8-992B-422D10AEAAF2}"/>
    <cellStyle name="Linked Cell 21 2 3 10" xfId="22621" xr:uid="{041C3E52-E040-468B-AB3C-26B494AE844B}"/>
    <cellStyle name="Linked Cell 21 2 3 10 2" xfId="22622" xr:uid="{0D8E6D62-7894-4772-9F7C-D2EB06B6483D}"/>
    <cellStyle name="Linked Cell 21 2 3 10 2 2" xfId="22623" xr:uid="{09B1F8E4-90CB-4421-831B-2F530A7DD7A5}"/>
    <cellStyle name="Linked Cell 21 2 3 10 3" xfId="22624" xr:uid="{258FC444-75A4-472D-8B46-035FD0A40BE4}"/>
    <cellStyle name="Linked Cell 21 2 3 11" xfId="22625" xr:uid="{634CFBA6-CAE8-47B9-8F6A-1F939D452D7B}"/>
    <cellStyle name="Linked Cell 21 2 3 11 2" xfId="22626" xr:uid="{4E4EADFC-0C4F-47DA-A219-0E2F81781BB1}"/>
    <cellStyle name="Linked Cell 21 2 3 11 2 2" xfId="22627" xr:uid="{1BB58915-9C03-431F-8000-D21EA7F22D2E}"/>
    <cellStyle name="Linked Cell 21 2 3 11 3" xfId="22628" xr:uid="{13177EBB-19E2-42C9-9C93-16807B799CA8}"/>
    <cellStyle name="Linked Cell 21 2 3 12" xfId="22629" xr:uid="{5EB6B460-0604-42E9-9BD5-1E149BACA708}"/>
    <cellStyle name="Linked Cell 21 2 3 12 2" xfId="22630" xr:uid="{5F95A6C1-87AE-45E5-BBDB-4FDE557A7E49}"/>
    <cellStyle name="Linked Cell 21 2 3 13" xfId="22631" xr:uid="{59F29864-C89C-412F-B850-502CBD7BC64E}"/>
    <cellStyle name="Linked Cell 21 2 3 2" xfId="22632" xr:uid="{80DC3CD1-E6B3-4478-9214-872C8D86223A}"/>
    <cellStyle name="Linked Cell 21 2 3 2 10" xfId="22633" xr:uid="{A4D78A4E-2C03-47A9-937E-71D3E214E28E}"/>
    <cellStyle name="Linked Cell 21 2 3 2 10 2" xfId="22634" xr:uid="{74165517-E8A1-41EC-9FE2-D5B4916001D7}"/>
    <cellStyle name="Linked Cell 21 2 3 2 10 2 2" xfId="22635" xr:uid="{ABCBEFFE-D85C-47C9-BEA5-C58D6B316A03}"/>
    <cellStyle name="Linked Cell 21 2 3 2 10 3" xfId="22636" xr:uid="{B1284A80-0AC0-454E-BAC1-63B906FB4CE0}"/>
    <cellStyle name="Linked Cell 21 2 3 2 11" xfId="22637" xr:uid="{0335DC79-AA39-4C95-80AD-CA37C24AE2C5}"/>
    <cellStyle name="Linked Cell 21 2 3 2 11 2" xfId="22638" xr:uid="{7F4043F1-83EA-4A84-89E4-D439F3D1BC93}"/>
    <cellStyle name="Linked Cell 21 2 3 2 12" xfId="22639" xr:uid="{30AD1147-7DE8-48CF-8A8C-2D9E7CAEBAB4}"/>
    <cellStyle name="Linked Cell 21 2 3 2 2" xfId="22640" xr:uid="{762928B0-A8D7-4185-AA59-F7540C9F008C}"/>
    <cellStyle name="Linked Cell 21 2 3 2 2 2" xfId="22641" xr:uid="{64F91F76-1276-4573-93BF-31263CD7B4D2}"/>
    <cellStyle name="Linked Cell 21 2 3 2 2 2 2" xfId="22642" xr:uid="{456FB0B0-0AA0-466C-A37D-5C8655E8E7BA}"/>
    <cellStyle name="Linked Cell 21 2 3 2 2 3" xfId="22643" xr:uid="{1DED4A78-AA93-4272-A2FD-B151BFFF534D}"/>
    <cellStyle name="Linked Cell 21 2 3 2 3" xfId="22644" xr:uid="{B5B791C1-164A-4D83-9C6E-AA183FF35417}"/>
    <cellStyle name="Linked Cell 21 2 3 2 3 2" xfId="22645" xr:uid="{C2C99E55-BEB1-45DF-BB74-63ECD4AD2494}"/>
    <cellStyle name="Linked Cell 21 2 3 2 3 2 2" xfId="22646" xr:uid="{68C9454B-F39C-46BF-A280-8EFFF6595D6C}"/>
    <cellStyle name="Linked Cell 21 2 3 2 3 3" xfId="22647" xr:uid="{13958D38-8DE5-4E7D-939E-6A3C5A0BCDC8}"/>
    <cellStyle name="Linked Cell 21 2 3 2 4" xfId="22648" xr:uid="{3F2487C9-125E-4990-B2F0-226A3C35BA9F}"/>
    <cellStyle name="Linked Cell 21 2 3 2 4 2" xfId="22649" xr:uid="{FCCC6E87-2BD9-4F45-8FAB-4B1F9B768C9C}"/>
    <cellStyle name="Linked Cell 21 2 3 2 4 2 2" xfId="22650" xr:uid="{B9122A8C-B6FC-42AC-A84A-70FB0D781F1F}"/>
    <cellStyle name="Linked Cell 21 2 3 2 4 3" xfId="22651" xr:uid="{C1E76589-1816-4DF8-A3C0-8CA61560A24D}"/>
    <cellStyle name="Linked Cell 21 2 3 2 5" xfId="22652" xr:uid="{15C919A7-0429-4B00-9B19-5769D83CFAB8}"/>
    <cellStyle name="Linked Cell 21 2 3 2 5 2" xfId="22653" xr:uid="{AEB23F6C-325E-401B-955C-2F496F007384}"/>
    <cellStyle name="Linked Cell 21 2 3 2 5 2 2" xfId="22654" xr:uid="{2BAB6CCD-58A3-456E-8730-9DA4F5467115}"/>
    <cellStyle name="Linked Cell 21 2 3 2 5 3" xfId="22655" xr:uid="{DDC28689-A1EE-4E8C-ABB1-D57A8B7A9689}"/>
    <cellStyle name="Linked Cell 21 2 3 2 6" xfId="22656" xr:uid="{9187204D-2A2F-4D7A-88B5-5AECDE1E27EA}"/>
    <cellStyle name="Linked Cell 21 2 3 2 6 2" xfId="22657" xr:uid="{C0B0789D-0E24-48C4-B76C-C9A20586CBC0}"/>
    <cellStyle name="Linked Cell 21 2 3 2 6 2 2" xfId="22658" xr:uid="{63B5B598-E9C4-4561-B99C-FA170C856703}"/>
    <cellStyle name="Linked Cell 21 2 3 2 6 3" xfId="22659" xr:uid="{435E4DD7-FBDC-42F3-A7D5-96A41349737E}"/>
    <cellStyle name="Linked Cell 21 2 3 2 7" xfId="22660" xr:uid="{14B62D3E-EC0E-42CF-821E-928F22B68FDA}"/>
    <cellStyle name="Linked Cell 21 2 3 2 7 2" xfId="22661" xr:uid="{808764BF-CA7E-4CBF-9486-952F5A18FBB9}"/>
    <cellStyle name="Linked Cell 21 2 3 2 7 2 2" xfId="22662" xr:uid="{09E18442-8115-4BE5-92C2-B537C83862FB}"/>
    <cellStyle name="Linked Cell 21 2 3 2 7 3" xfId="22663" xr:uid="{BE1C1FCD-EA31-428D-A2E6-F9D1B7E11971}"/>
    <cellStyle name="Linked Cell 21 2 3 2 8" xfId="22664" xr:uid="{22C807C4-5DDA-4881-B9BF-D80D275A27BB}"/>
    <cellStyle name="Linked Cell 21 2 3 2 8 2" xfId="22665" xr:uid="{180B3EFB-95B3-462A-8AF9-52D92B1DEB97}"/>
    <cellStyle name="Linked Cell 21 2 3 2 8 2 2" xfId="22666" xr:uid="{C77871CA-FB46-441A-B3BA-69647D5D2911}"/>
    <cellStyle name="Linked Cell 21 2 3 2 8 3" xfId="22667" xr:uid="{E0550B51-7F0B-4B51-9954-C5B12CFF6687}"/>
    <cellStyle name="Linked Cell 21 2 3 2 9" xfId="22668" xr:uid="{F9A29201-3474-4489-ADF4-AAF6E76D742C}"/>
    <cellStyle name="Linked Cell 21 2 3 2 9 2" xfId="22669" xr:uid="{8C0EA76F-2E7D-4A1B-B5A6-6A91DBCCD1D2}"/>
    <cellStyle name="Linked Cell 21 2 3 2 9 2 2" xfId="22670" xr:uid="{734B852D-C04B-4691-B992-48B096B0B456}"/>
    <cellStyle name="Linked Cell 21 2 3 2 9 3" xfId="22671" xr:uid="{4D117696-7B3D-417D-B96A-3A6AB4787607}"/>
    <cellStyle name="Linked Cell 21 2 3 3" xfId="22672" xr:uid="{55D8C2D1-86DC-419D-8070-927DB52BFAB1}"/>
    <cellStyle name="Linked Cell 21 2 3 3 10" xfId="22673" xr:uid="{470DF958-0891-4663-9AC5-CEC9FBF1AF88}"/>
    <cellStyle name="Linked Cell 21 2 3 3 10 2" xfId="22674" xr:uid="{CFCACE9E-1E70-4259-929D-479141D91095}"/>
    <cellStyle name="Linked Cell 21 2 3 3 11" xfId="22675" xr:uid="{A961C1D2-38D3-4C25-97AA-E0E98880C2E5}"/>
    <cellStyle name="Linked Cell 21 2 3 3 2" xfId="22676" xr:uid="{E58FDCC4-ADDA-4A1C-A86E-C8F9BA97C8B4}"/>
    <cellStyle name="Linked Cell 21 2 3 3 2 2" xfId="22677" xr:uid="{7C3850C8-519C-47F1-8CDB-207B23A9D043}"/>
    <cellStyle name="Linked Cell 21 2 3 3 2 2 2" xfId="22678" xr:uid="{0B8593FA-4ED4-409A-ACEA-6CAA1D590046}"/>
    <cellStyle name="Linked Cell 21 2 3 3 2 3" xfId="22679" xr:uid="{92AC1DF6-A7D9-4E3B-A618-33A0BB227E08}"/>
    <cellStyle name="Linked Cell 21 2 3 3 3" xfId="22680" xr:uid="{40E9422E-815B-45D1-8007-38B64E746B98}"/>
    <cellStyle name="Linked Cell 21 2 3 3 3 2" xfId="22681" xr:uid="{28D984EB-BECF-44EA-A311-8688B7C221EC}"/>
    <cellStyle name="Linked Cell 21 2 3 3 3 2 2" xfId="22682" xr:uid="{3EEF4C64-C497-4A09-973B-83E3F994878B}"/>
    <cellStyle name="Linked Cell 21 2 3 3 3 3" xfId="22683" xr:uid="{00D84736-8801-47BE-AA35-61BF15BBE067}"/>
    <cellStyle name="Linked Cell 21 2 3 3 4" xfId="22684" xr:uid="{FCA97A51-0F08-4E28-B3F9-5C5A2113C3C6}"/>
    <cellStyle name="Linked Cell 21 2 3 3 4 2" xfId="22685" xr:uid="{BA039DED-02F9-4404-90D7-D578930C294F}"/>
    <cellStyle name="Linked Cell 21 2 3 3 4 2 2" xfId="22686" xr:uid="{7ABCF797-8760-4FC7-82DF-EB9B0135DA99}"/>
    <cellStyle name="Linked Cell 21 2 3 3 4 3" xfId="22687" xr:uid="{690757B7-1FF4-4AF9-B31B-F3FBC7BE6C96}"/>
    <cellStyle name="Linked Cell 21 2 3 3 5" xfId="22688" xr:uid="{8BC50133-66C5-417E-B149-88916E21C955}"/>
    <cellStyle name="Linked Cell 21 2 3 3 5 2" xfId="22689" xr:uid="{2ED65485-F2FC-4305-B74C-942BFDE585E1}"/>
    <cellStyle name="Linked Cell 21 2 3 3 5 2 2" xfId="22690" xr:uid="{8F3B3048-1443-4980-A426-44B9FC0931AE}"/>
    <cellStyle name="Linked Cell 21 2 3 3 5 3" xfId="22691" xr:uid="{785173CA-8750-49CA-9CB1-3CB818AD652F}"/>
    <cellStyle name="Linked Cell 21 2 3 3 6" xfId="22692" xr:uid="{05748FD6-3C7E-419E-927F-6462EFD9A65A}"/>
    <cellStyle name="Linked Cell 21 2 3 3 6 2" xfId="22693" xr:uid="{41B0D733-D756-4288-9AFA-339967FCD0EC}"/>
    <cellStyle name="Linked Cell 21 2 3 3 6 2 2" xfId="22694" xr:uid="{FFF7123F-DD90-4160-BE9E-17EA11218BE4}"/>
    <cellStyle name="Linked Cell 21 2 3 3 6 3" xfId="22695" xr:uid="{85A07786-CBA5-4069-983C-894F9D55AC36}"/>
    <cellStyle name="Linked Cell 21 2 3 3 7" xfId="22696" xr:uid="{9F289E02-F5DE-4F4D-8F4B-158F31631D79}"/>
    <cellStyle name="Linked Cell 21 2 3 3 7 2" xfId="22697" xr:uid="{D1B46E3D-6FA1-4790-9097-3408E90233BC}"/>
    <cellStyle name="Linked Cell 21 2 3 3 7 2 2" xfId="22698" xr:uid="{45346187-CCDA-4119-BA3D-8F7669A943D4}"/>
    <cellStyle name="Linked Cell 21 2 3 3 7 3" xfId="22699" xr:uid="{25AB99DE-AC20-48D4-BEBD-E024CC36A80A}"/>
    <cellStyle name="Linked Cell 21 2 3 3 8" xfId="22700" xr:uid="{9748FAC5-9FA3-41E0-920A-DF1EC263D65F}"/>
    <cellStyle name="Linked Cell 21 2 3 3 8 2" xfId="22701" xr:uid="{18C85A29-CF69-4DEC-A043-C3B0828DF239}"/>
    <cellStyle name="Linked Cell 21 2 3 3 8 2 2" xfId="22702" xr:uid="{241ECEB7-F6AB-40EE-B809-C08BAD16E226}"/>
    <cellStyle name="Linked Cell 21 2 3 3 8 3" xfId="22703" xr:uid="{FD9D1404-D476-4487-876A-8F9D3D5A40A4}"/>
    <cellStyle name="Linked Cell 21 2 3 3 9" xfId="22704" xr:uid="{4D212F87-DA52-4470-8DCD-6F2ECB5B74C4}"/>
    <cellStyle name="Linked Cell 21 2 3 3 9 2" xfId="22705" xr:uid="{C1542163-CE5C-482A-A320-C7E352498EFC}"/>
    <cellStyle name="Linked Cell 21 2 3 3 9 2 2" xfId="22706" xr:uid="{AA4A1448-7FCE-4E3D-873F-1F75BE0EDF4B}"/>
    <cellStyle name="Linked Cell 21 2 3 3 9 3" xfId="22707" xr:uid="{BCC8F715-F557-4464-8E9B-A52C95DBCAB1}"/>
    <cellStyle name="Linked Cell 21 2 3 4" xfId="22708" xr:uid="{98C10BF8-AFBA-4EDE-952A-16CCDF3C8494}"/>
    <cellStyle name="Linked Cell 21 2 3 4 2" xfId="22709" xr:uid="{3A8DDF09-1D9B-4A82-8583-E46632A917E9}"/>
    <cellStyle name="Linked Cell 21 2 3 4 2 2" xfId="22710" xr:uid="{0117ED86-E927-47C6-ACB6-EDE201552EAF}"/>
    <cellStyle name="Linked Cell 21 2 3 4 3" xfId="22711" xr:uid="{00160DF0-1D17-4D40-8168-A2D2CEC68247}"/>
    <cellStyle name="Linked Cell 21 2 3 5" xfId="22712" xr:uid="{5711E3DB-3238-4F23-82D5-D9AAD307672F}"/>
    <cellStyle name="Linked Cell 21 2 3 5 2" xfId="22713" xr:uid="{0B77088D-E614-4C2F-8BF2-787E55A16725}"/>
    <cellStyle name="Linked Cell 21 2 3 5 2 2" xfId="22714" xr:uid="{56742B0D-B79C-46DA-A702-A9E9979836C2}"/>
    <cellStyle name="Linked Cell 21 2 3 5 3" xfId="22715" xr:uid="{8491C6F2-05AC-4BB5-AAEE-0D75DCB5BE67}"/>
    <cellStyle name="Linked Cell 21 2 3 6" xfId="22716" xr:uid="{E42647C7-5143-4CC7-8BE1-E947228D9D32}"/>
    <cellStyle name="Linked Cell 21 2 3 6 2" xfId="22717" xr:uid="{2E2CF1CF-7B30-4B71-BF5A-60CBF8641692}"/>
    <cellStyle name="Linked Cell 21 2 3 6 2 2" xfId="22718" xr:uid="{8D97AC1D-4AE0-42B7-A60E-9DABFEC35658}"/>
    <cellStyle name="Linked Cell 21 2 3 6 3" xfId="22719" xr:uid="{1A806000-57DD-4AAD-A55B-621AE806FC8E}"/>
    <cellStyle name="Linked Cell 21 2 3 7" xfId="22720" xr:uid="{5A571FB9-337C-4DB9-961C-87D3CA22D613}"/>
    <cellStyle name="Linked Cell 21 2 3 7 2" xfId="22721" xr:uid="{C9E916D4-BF8E-4D76-A969-ED2F5D526739}"/>
    <cellStyle name="Linked Cell 21 2 3 7 2 2" xfId="22722" xr:uid="{E24F7EFA-0620-456A-9CAC-EF531F01123C}"/>
    <cellStyle name="Linked Cell 21 2 3 7 3" xfId="22723" xr:uid="{9C762700-944C-4B2B-AB25-BC53C002A723}"/>
    <cellStyle name="Linked Cell 21 2 3 8" xfId="22724" xr:uid="{5CD6AA8F-AC26-46F6-9563-216441AF8D02}"/>
    <cellStyle name="Linked Cell 21 2 3 8 2" xfId="22725" xr:uid="{BE2769E9-C39A-48F2-B9CF-C86E5302996A}"/>
    <cellStyle name="Linked Cell 21 2 3 8 2 2" xfId="22726" xr:uid="{1E3B6EF3-B626-4D49-BC1B-8F59068D1A50}"/>
    <cellStyle name="Linked Cell 21 2 3 8 3" xfId="22727" xr:uid="{27F6DB2E-A9F6-4904-A1EC-E8CF31E4D881}"/>
    <cellStyle name="Linked Cell 21 2 3 9" xfId="22728" xr:uid="{33AF3AA2-3B50-43F5-96AA-289B8F6A5ABE}"/>
    <cellStyle name="Linked Cell 21 2 3 9 2" xfId="22729" xr:uid="{53CBC700-5BA6-4E31-B15F-C613153060FA}"/>
    <cellStyle name="Linked Cell 21 2 3 9 2 2" xfId="22730" xr:uid="{9107D8F1-DB35-41D5-90CC-892C86DC7D20}"/>
    <cellStyle name="Linked Cell 21 2 3 9 3" xfId="22731" xr:uid="{CFFB8F90-45C9-4731-96FF-8510FC9BD94B}"/>
    <cellStyle name="Linked Cell 21 2 4" xfId="22732" xr:uid="{842C5787-56E6-4F02-8F40-DA231D62C7A2}"/>
    <cellStyle name="Linked Cell 21 2 4 10" xfId="22733" xr:uid="{961A95F4-361A-4903-9BA0-ED38E1E4336C}"/>
    <cellStyle name="Linked Cell 21 2 4 10 2" xfId="22734" xr:uid="{7B993363-7457-4242-96FE-8DF6BAFD443E}"/>
    <cellStyle name="Linked Cell 21 2 4 10 2 2" xfId="22735" xr:uid="{2E112157-9C26-46AC-B13E-A28972CA2BE7}"/>
    <cellStyle name="Linked Cell 21 2 4 10 3" xfId="22736" xr:uid="{91CA5000-AE87-4FA5-AB12-349D8129F66F}"/>
    <cellStyle name="Linked Cell 21 2 4 11" xfId="22737" xr:uid="{CFDE74D6-DD85-4B6B-8BF4-381CA2145507}"/>
    <cellStyle name="Linked Cell 21 2 4 11 2" xfId="22738" xr:uid="{04C24EAC-E876-415E-870C-CCBA3D18C27E}"/>
    <cellStyle name="Linked Cell 21 2 4 12" xfId="22739" xr:uid="{89016811-7A66-4200-A068-AA128DC8332F}"/>
    <cellStyle name="Linked Cell 21 2 4 2" xfId="22740" xr:uid="{371C4A60-1B61-4D8E-9BA5-2FAABC007B96}"/>
    <cellStyle name="Linked Cell 21 2 4 2 10" xfId="22741" xr:uid="{E24FC35E-5491-4126-B99A-04F97F4B4491}"/>
    <cellStyle name="Linked Cell 21 2 4 2 10 2" xfId="22742" xr:uid="{65568883-1265-4325-959F-4E4CBC70D5C6}"/>
    <cellStyle name="Linked Cell 21 2 4 2 11" xfId="22743" xr:uid="{0BA8B73D-2737-4D8B-919A-629E22D2D3A3}"/>
    <cellStyle name="Linked Cell 21 2 4 2 2" xfId="22744" xr:uid="{EBF34763-C085-4092-8E4D-0DC9131B1A75}"/>
    <cellStyle name="Linked Cell 21 2 4 2 2 2" xfId="22745" xr:uid="{A93DF84A-F578-4DB6-9B1E-EE6C1685B650}"/>
    <cellStyle name="Linked Cell 21 2 4 2 2 2 2" xfId="22746" xr:uid="{74310FD5-8BD6-41B9-9847-90551ADDEA46}"/>
    <cellStyle name="Linked Cell 21 2 4 2 2 3" xfId="22747" xr:uid="{34A62FF9-E42F-47BD-8EBC-BF2452AE8030}"/>
    <cellStyle name="Linked Cell 21 2 4 2 3" xfId="22748" xr:uid="{7BBC43D8-251B-4D3C-B003-AEC27DF55E51}"/>
    <cellStyle name="Linked Cell 21 2 4 2 3 2" xfId="22749" xr:uid="{CBF45362-AD1B-4702-9B28-D3E5A6FA1F21}"/>
    <cellStyle name="Linked Cell 21 2 4 2 3 2 2" xfId="22750" xr:uid="{47A6462F-E507-4401-A0AD-3D1ED35C82B8}"/>
    <cellStyle name="Linked Cell 21 2 4 2 3 3" xfId="22751" xr:uid="{7EE00330-F4EF-4D44-AA90-EFF9FE5A314C}"/>
    <cellStyle name="Linked Cell 21 2 4 2 4" xfId="22752" xr:uid="{28168072-AEBB-43E5-B461-E2D1CE46B317}"/>
    <cellStyle name="Linked Cell 21 2 4 2 4 2" xfId="22753" xr:uid="{1F670219-F62B-4280-8692-DA6485BFDC4D}"/>
    <cellStyle name="Linked Cell 21 2 4 2 4 2 2" xfId="22754" xr:uid="{C0EBCCA3-E411-42DC-B1E2-291581F30B00}"/>
    <cellStyle name="Linked Cell 21 2 4 2 4 3" xfId="22755" xr:uid="{79E8E76C-238E-4171-B17A-DAA6B75DBD89}"/>
    <cellStyle name="Linked Cell 21 2 4 2 5" xfId="22756" xr:uid="{502E460F-A213-43AE-9DB3-D48A217916E3}"/>
    <cellStyle name="Linked Cell 21 2 4 2 5 2" xfId="22757" xr:uid="{FC6AB2B6-0451-4803-AC0B-FECF484EF469}"/>
    <cellStyle name="Linked Cell 21 2 4 2 5 2 2" xfId="22758" xr:uid="{BD946D0C-53A6-4A70-AD42-6E290E00D19A}"/>
    <cellStyle name="Linked Cell 21 2 4 2 5 3" xfId="22759" xr:uid="{9C361E16-21EA-4BE6-96BA-883649C69DE8}"/>
    <cellStyle name="Linked Cell 21 2 4 2 6" xfId="22760" xr:uid="{75A812FC-06A8-417B-9A50-772D46142A13}"/>
    <cellStyle name="Linked Cell 21 2 4 2 6 2" xfId="22761" xr:uid="{A4ED6731-9E07-4E75-937D-A640ABC35B44}"/>
    <cellStyle name="Linked Cell 21 2 4 2 6 2 2" xfId="22762" xr:uid="{116A2FD5-82C9-4969-B258-BD977B1BD00B}"/>
    <cellStyle name="Linked Cell 21 2 4 2 6 3" xfId="22763" xr:uid="{9FE36D25-CCDB-48D5-8E43-3996AB6F9688}"/>
    <cellStyle name="Linked Cell 21 2 4 2 7" xfId="22764" xr:uid="{EE4EF34C-ABC1-4586-892C-1A4E01E2868F}"/>
    <cellStyle name="Linked Cell 21 2 4 2 7 2" xfId="22765" xr:uid="{E50B7E24-1C41-4E45-B5C9-D8FF797BC33F}"/>
    <cellStyle name="Linked Cell 21 2 4 2 7 2 2" xfId="22766" xr:uid="{1BE8A132-BB32-4EA5-8878-59A318BFFEAF}"/>
    <cellStyle name="Linked Cell 21 2 4 2 7 3" xfId="22767" xr:uid="{D4CB77A1-4CFC-4426-B0C7-7A49271CF769}"/>
    <cellStyle name="Linked Cell 21 2 4 2 8" xfId="22768" xr:uid="{1EA11148-30B1-44A1-BF4C-E6B74BDDBBAF}"/>
    <cellStyle name="Linked Cell 21 2 4 2 8 2" xfId="22769" xr:uid="{3573D468-6260-48B5-85A8-886DFF1FB864}"/>
    <cellStyle name="Linked Cell 21 2 4 2 8 2 2" xfId="22770" xr:uid="{513DD79E-3DC8-4953-B711-3D8DFB17F199}"/>
    <cellStyle name="Linked Cell 21 2 4 2 8 3" xfId="22771" xr:uid="{2220BA11-DCD1-4F66-B76B-E8723C3BB7FD}"/>
    <cellStyle name="Linked Cell 21 2 4 2 9" xfId="22772" xr:uid="{2FA9B74C-3392-478B-A16F-DE8BCBB1531D}"/>
    <cellStyle name="Linked Cell 21 2 4 2 9 2" xfId="22773" xr:uid="{0319EAC1-EC92-4FE5-BD32-329A68D80EE1}"/>
    <cellStyle name="Linked Cell 21 2 4 2 9 2 2" xfId="22774" xr:uid="{E9E20EF2-3F14-4784-B5B7-63AFE33A733C}"/>
    <cellStyle name="Linked Cell 21 2 4 2 9 3" xfId="22775" xr:uid="{1CC12724-094E-4085-9E8E-066249E7FDAD}"/>
    <cellStyle name="Linked Cell 21 2 4 3" xfId="22776" xr:uid="{4D8108C4-70D0-462A-9424-B2C185098B86}"/>
    <cellStyle name="Linked Cell 21 2 4 3 2" xfId="22777" xr:uid="{7BAA4AEC-B9F8-4B12-8368-6B5C35A3728C}"/>
    <cellStyle name="Linked Cell 21 2 4 3 2 2" xfId="22778" xr:uid="{697F9BD3-40F5-4A56-9F7D-5128A66E1822}"/>
    <cellStyle name="Linked Cell 21 2 4 3 3" xfId="22779" xr:uid="{DF1B26D7-E8A6-4063-BB5F-1133A5B10AEE}"/>
    <cellStyle name="Linked Cell 21 2 4 4" xfId="22780" xr:uid="{A3C22562-6A25-4EF7-AF9C-BC28545A6975}"/>
    <cellStyle name="Linked Cell 21 2 4 4 2" xfId="22781" xr:uid="{FE35AB57-6338-42CB-9A67-293CB3261963}"/>
    <cellStyle name="Linked Cell 21 2 4 4 2 2" xfId="22782" xr:uid="{B94ECC3A-6723-425E-83CD-033320FEFCA9}"/>
    <cellStyle name="Linked Cell 21 2 4 4 3" xfId="22783" xr:uid="{DA021B35-6D7A-4CB9-90DC-690B9347B53D}"/>
    <cellStyle name="Linked Cell 21 2 4 5" xfId="22784" xr:uid="{A32C04FC-A8A3-4262-9F41-C242431C3FCD}"/>
    <cellStyle name="Linked Cell 21 2 4 5 2" xfId="22785" xr:uid="{3BCFE72C-7870-4F4E-B30E-E61EC47656F4}"/>
    <cellStyle name="Linked Cell 21 2 4 5 2 2" xfId="22786" xr:uid="{E499299B-3788-4F7F-8859-5B1B2F7C175A}"/>
    <cellStyle name="Linked Cell 21 2 4 5 3" xfId="22787" xr:uid="{AA26FF92-FA74-4AB9-8C10-5F325533F2FC}"/>
    <cellStyle name="Linked Cell 21 2 4 6" xfId="22788" xr:uid="{354DA41D-BC51-4F05-ACA9-699442EDA7D5}"/>
    <cellStyle name="Linked Cell 21 2 4 6 2" xfId="22789" xr:uid="{5EC8AAE8-3503-40B4-BCCA-98B6116EBD84}"/>
    <cellStyle name="Linked Cell 21 2 4 6 2 2" xfId="22790" xr:uid="{13A19400-8B0A-4D3E-B406-D48B6D398DF6}"/>
    <cellStyle name="Linked Cell 21 2 4 6 3" xfId="22791" xr:uid="{95DB715C-7601-4A28-A79B-FDEA0FC74A98}"/>
    <cellStyle name="Linked Cell 21 2 4 7" xfId="22792" xr:uid="{D0480A13-21B2-415D-8531-5AE07B499190}"/>
    <cellStyle name="Linked Cell 21 2 4 7 2" xfId="22793" xr:uid="{ECC0CA77-E00A-49E0-B5CB-FD4602F8B663}"/>
    <cellStyle name="Linked Cell 21 2 4 7 2 2" xfId="22794" xr:uid="{FC3AA759-4769-4931-8863-962193A1CDFE}"/>
    <cellStyle name="Linked Cell 21 2 4 7 3" xfId="22795" xr:uid="{C5802130-E507-4B86-B3B1-F5C91DD47120}"/>
    <cellStyle name="Linked Cell 21 2 4 8" xfId="22796" xr:uid="{60947933-A5FF-4717-A6C8-8B4E57A2A757}"/>
    <cellStyle name="Linked Cell 21 2 4 8 2" xfId="22797" xr:uid="{37F7D996-6232-46CF-983A-1130CCE17851}"/>
    <cellStyle name="Linked Cell 21 2 4 8 2 2" xfId="22798" xr:uid="{92F96BCA-4037-492E-AE1E-C88FAB14C366}"/>
    <cellStyle name="Linked Cell 21 2 4 8 3" xfId="22799" xr:uid="{04733DEF-A13F-4D03-B380-0EA3A365287C}"/>
    <cellStyle name="Linked Cell 21 2 4 9" xfId="22800" xr:uid="{866BE4BA-F705-4F3D-B82B-5C7EFCA07AAA}"/>
    <cellStyle name="Linked Cell 21 2 4 9 2" xfId="22801" xr:uid="{ADD9A653-1A42-4A87-B8B9-B7B82F55CD8B}"/>
    <cellStyle name="Linked Cell 21 2 4 9 2 2" xfId="22802" xr:uid="{676CEA86-B7F8-4CE3-A7D2-98BC0D6F48DD}"/>
    <cellStyle name="Linked Cell 21 2 4 9 3" xfId="22803" xr:uid="{66021362-4E87-458E-BADF-3D5B69E8FE52}"/>
    <cellStyle name="Linked Cell 21 2 5" xfId="22804" xr:uid="{532079F4-227C-482A-A708-7BC6D05D45E1}"/>
    <cellStyle name="Linked Cell 21 2 5 10" xfId="22805" xr:uid="{F8BAF44B-37CA-4464-81E6-86C98BE4A34E}"/>
    <cellStyle name="Linked Cell 21 2 5 10 2" xfId="22806" xr:uid="{E3C4DD6E-D3E2-4E17-A182-1A34C1A148FC}"/>
    <cellStyle name="Linked Cell 21 2 5 11" xfId="22807" xr:uid="{7668AD35-0634-4339-8DD7-B8C2207CF5DD}"/>
    <cellStyle name="Linked Cell 21 2 5 2" xfId="22808" xr:uid="{6D2F941C-80B5-44F0-A188-0BC71745006C}"/>
    <cellStyle name="Linked Cell 21 2 5 2 2" xfId="22809" xr:uid="{7A6EDDE3-DFF9-4414-B353-7CA723D7BFF6}"/>
    <cellStyle name="Linked Cell 21 2 5 2 2 2" xfId="22810" xr:uid="{B9F2367A-2528-4A38-BAC8-C930E14571F4}"/>
    <cellStyle name="Linked Cell 21 2 5 2 3" xfId="22811" xr:uid="{1A7E16A6-D65F-4998-B463-19D0C36ED920}"/>
    <cellStyle name="Linked Cell 21 2 5 3" xfId="22812" xr:uid="{120D8B7E-BA7E-4501-A166-1474164ED1D9}"/>
    <cellStyle name="Linked Cell 21 2 5 3 2" xfId="22813" xr:uid="{5DFD4EA4-35E2-4A28-8204-E855B85EA11D}"/>
    <cellStyle name="Linked Cell 21 2 5 3 2 2" xfId="22814" xr:uid="{DC7888C1-9C21-49C8-A954-0B814B2EE6C3}"/>
    <cellStyle name="Linked Cell 21 2 5 3 3" xfId="22815" xr:uid="{0828A0D3-7AF9-4AA7-A0B4-2A8930451C08}"/>
    <cellStyle name="Linked Cell 21 2 5 4" xfId="22816" xr:uid="{A93A681E-1EF8-4237-B515-6C1D52772D26}"/>
    <cellStyle name="Linked Cell 21 2 5 4 2" xfId="22817" xr:uid="{701725F4-BA4C-40C4-97A7-C9311EF75975}"/>
    <cellStyle name="Linked Cell 21 2 5 4 2 2" xfId="22818" xr:uid="{5DCE29DD-1C0C-454A-A909-78FDF650D034}"/>
    <cellStyle name="Linked Cell 21 2 5 4 3" xfId="22819" xr:uid="{0A6B6590-7F70-4A86-B7C8-B2284B4E47FD}"/>
    <cellStyle name="Linked Cell 21 2 5 5" xfId="22820" xr:uid="{BFD194E6-CD50-4F3D-9938-B280EF1CEB52}"/>
    <cellStyle name="Linked Cell 21 2 5 5 2" xfId="22821" xr:uid="{5292FBA8-0136-4B4F-8F8C-E1BBA752A112}"/>
    <cellStyle name="Linked Cell 21 2 5 5 2 2" xfId="22822" xr:uid="{C30F327D-C020-4C14-B0FB-E36763A671C3}"/>
    <cellStyle name="Linked Cell 21 2 5 5 3" xfId="22823" xr:uid="{3EBA1D3F-1443-4CF9-BCAB-E39FC216D77E}"/>
    <cellStyle name="Linked Cell 21 2 5 6" xfId="22824" xr:uid="{9C27A780-44B1-4070-BB5E-A114191376B8}"/>
    <cellStyle name="Linked Cell 21 2 5 6 2" xfId="22825" xr:uid="{81AD7CAC-53D8-4EF2-A01E-19B4DD04A2E3}"/>
    <cellStyle name="Linked Cell 21 2 5 6 2 2" xfId="22826" xr:uid="{8829E813-C401-4A2C-BDB8-E1804471D545}"/>
    <cellStyle name="Linked Cell 21 2 5 6 3" xfId="22827" xr:uid="{61239730-2B49-4EC5-B5D2-7BA218644C25}"/>
    <cellStyle name="Linked Cell 21 2 5 7" xfId="22828" xr:uid="{411FED7E-4B0C-440C-97D9-E37C2972A94E}"/>
    <cellStyle name="Linked Cell 21 2 5 7 2" xfId="22829" xr:uid="{EF0E4A7D-C106-428C-9135-9B02E1C4DDA0}"/>
    <cellStyle name="Linked Cell 21 2 5 7 2 2" xfId="22830" xr:uid="{A2F072DB-1A90-4B53-BA0A-4A31652D2B5D}"/>
    <cellStyle name="Linked Cell 21 2 5 7 3" xfId="22831" xr:uid="{4C93D5DF-7342-444E-9465-DFC9423721E9}"/>
    <cellStyle name="Linked Cell 21 2 5 8" xfId="22832" xr:uid="{881E437F-2B93-4F31-8482-419D1379C4EF}"/>
    <cellStyle name="Linked Cell 21 2 5 8 2" xfId="22833" xr:uid="{1B92B6AE-3493-4E0C-8920-2168E1B6E404}"/>
    <cellStyle name="Linked Cell 21 2 5 8 2 2" xfId="22834" xr:uid="{D2672394-B13D-4EEE-9825-97D8A79F7572}"/>
    <cellStyle name="Linked Cell 21 2 5 8 3" xfId="22835" xr:uid="{0B519225-FD5E-4D99-9CFA-A60230BED3E1}"/>
    <cellStyle name="Linked Cell 21 2 5 9" xfId="22836" xr:uid="{2DA542D7-DFA6-49A1-A95E-7F6A97DCD08F}"/>
    <cellStyle name="Linked Cell 21 2 5 9 2" xfId="22837" xr:uid="{20593147-8F17-4EE7-A058-A9FDCA6771B4}"/>
    <cellStyle name="Linked Cell 21 2 5 9 2 2" xfId="22838" xr:uid="{7F13F593-8DD7-414E-9858-BE909B927BE0}"/>
    <cellStyle name="Linked Cell 21 2 5 9 3" xfId="22839" xr:uid="{CAD516ED-801A-4BFA-9AE9-D9B4AC8A73D2}"/>
    <cellStyle name="Linked Cell 21 2 6" xfId="22840" xr:uid="{ED7E4630-1D29-47BB-BDA1-C63601AAB383}"/>
    <cellStyle name="Linked Cell 21 2 6 2" xfId="22841" xr:uid="{A92193B0-C0DE-4383-BD3A-67220F6D8850}"/>
    <cellStyle name="Linked Cell 21 2 6 2 2" xfId="22842" xr:uid="{00EF078B-9C33-4F26-8A5C-6BF279A296BD}"/>
    <cellStyle name="Linked Cell 21 2 6 3" xfId="22843" xr:uid="{073C2371-A6C1-49C8-B62D-DECAF1B6CA01}"/>
    <cellStyle name="Linked Cell 21 2 7" xfId="22844" xr:uid="{899866B2-7061-410C-ABFE-3A7F553B029E}"/>
    <cellStyle name="Linked Cell 21 2 7 2" xfId="22845" xr:uid="{FE4EC352-6DDC-4C4D-A98C-92B1C71922B8}"/>
    <cellStyle name="Linked Cell 21 2 7 2 2" xfId="22846" xr:uid="{A8FD4318-056E-4738-A7AB-EDA2C3C1D56E}"/>
    <cellStyle name="Linked Cell 21 2 7 3" xfId="22847" xr:uid="{20F483AA-457D-4277-9C67-E00CBB45FBBF}"/>
    <cellStyle name="Linked Cell 21 2 8" xfId="22848" xr:uid="{064F6489-E316-4137-B137-E69C4E1B34D8}"/>
    <cellStyle name="Linked Cell 21 2 8 2" xfId="22849" xr:uid="{952AF0D4-F770-4900-AEDB-ACF4B7A72DBD}"/>
    <cellStyle name="Linked Cell 21 2 8 2 2" xfId="22850" xr:uid="{08075E93-EB6D-48C1-8A4D-4B953B25949C}"/>
    <cellStyle name="Linked Cell 21 2 8 3" xfId="22851" xr:uid="{4A5F5FB9-B1E6-445E-A454-B577718FAB0A}"/>
    <cellStyle name="Linked Cell 21 2 9" xfId="22852" xr:uid="{6FFCF261-3A7B-4C4D-B626-B50FC6E10160}"/>
    <cellStyle name="Linked Cell 21 2 9 2" xfId="22853" xr:uid="{BB35AA55-2D15-43B0-8C3E-621AD23A7A18}"/>
    <cellStyle name="Linked Cell 21 2 9 2 2" xfId="22854" xr:uid="{337A0D87-8B0E-4419-90B9-0CAEB1A90F7D}"/>
    <cellStyle name="Linked Cell 21 2 9 3" xfId="22855" xr:uid="{D57602FC-48BA-457F-87D3-3E97493E2B3F}"/>
    <cellStyle name="Linked Cell 21 3" xfId="22856" xr:uid="{3B212540-D821-4760-8252-E21CDB172322}"/>
    <cellStyle name="Linked Cell 21 3 10" xfId="22857" xr:uid="{CD280F35-5700-43B0-B4BB-5770AB23DDFA}"/>
    <cellStyle name="Linked Cell 21 3 10 2" xfId="22858" xr:uid="{89287D49-9967-471B-91BE-AD29D2D0EF3E}"/>
    <cellStyle name="Linked Cell 21 3 10 2 2" xfId="22859" xr:uid="{86C28ADD-EAE9-4012-9BCC-8A11FBE8CC63}"/>
    <cellStyle name="Linked Cell 21 3 10 3" xfId="22860" xr:uid="{CC3DDE08-0DD2-4482-B444-3E1C8758C902}"/>
    <cellStyle name="Linked Cell 21 3 11" xfId="22861" xr:uid="{47E0A4BE-0DC0-4EFC-9080-8CEFE9C61A3E}"/>
    <cellStyle name="Linked Cell 21 3 11 2" xfId="22862" xr:uid="{A3F1A027-59D1-4145-B127-60CA6D34102F}"/>
    <cellStyle name="Linked Cell 21 3 11 2 2" xfId="22863" xr:uid="{DE79B6D6-EA77-40C3-9CB9-7F9BF08B6B60}"/>
    <cellStyle name="Linked Cell 21 3 11 3" xfId="22864" xr:uid="{99E384F5-918D-441C-9302-BF6FE372F9D3}"/>
    <cellStyle name="Linked Cell 21 3 12" xfId="22865" xr:uid="{DA589A29-BA98-4A9E-8347-A6D21E2CF849}"/>
    <cellStyle name="Linked Cell 21 3 12 2" xfId="22866" xr:uid="{F2736F51-123D-4CED-9E18-6F2CD6F6C783}"/>
    <cellStyle name="Linked Cell 21 3 12 2 2" xfId="22867" xr:uid="{DAEEADB1-AAD3-4377-A795-C2B3D8E13D53}"/>
    <cellStyle name="Linked Cell 21 3 12 3" xfId="22868" xr:uid="{12039848-70AF-4EEC-96AB-071391247F8C}"/>
    <cellStyle name="Linked Cell 21 3 13" xfId="22869" xr:uid="{FB646503-9678-4F01-B05D-E49AB69027E1}"/>
    <cellStyle name="Linked Cell 21 3 13 2" xfId="22870" xr:uid="{92492BC6-A756-40F0-BECE-B371443500EA}"/>
    <cellStyle name="Linked Cell 21 3 14" xfId="22871" xr:uid="{3C9BA32C-F364-451B-A6B5-B0E850CA2729}"/>
    <cellStyle name="Linked Cell 21 3 2" xfId="22872" xr:uid="{4DE85AEA-0FA7-4377-A32F-806FF7C24AE1}"/>
    <cellStyle name="Linked Cell 21 3 2 10" xfId="22873" xr:uid="{D2D84E53-5595-42BD-8154-BFE9F493F4BE}"/>
    <cellStyle name="Linked Cell 21 3 2 10 2" xfId="22874" xr:uid="{B5C5F93D-AEF7-4666-AEA2-F83641A66270}"/>
    <cellStyle name="Linked Cell 21 3 2 10 2 2" xfId="22875" xr:uid="{F21A3257-1670-40A4-A48D-A1F927835DC8}"/>
    <cellStyle name="Linked Cell 21 3 2 10 3" xfId="22876" xr:uid="{9D066EF7-4695-4A9F-955C-9D9C6DB6994D}"/>
    <cellStyle name="Linked Cell 21 3 2 11" xfId="22877" xr:uid="{97464EC2-F02E-4BA0-A7ED-E29B7F6AB903}"/>
    <cellStyle name="Linked Cell 21 3 2 11 2" xfId="22878" xr:uid="{E95049D7-67D2-41B7-B629-8510CB3CEC0D}"/>
    <cellStyle name="Linked Cell 21 3 2 11 2 2" xfId="22879" xr:uid="{F5AC8A52-B4EA-4864-B9BD-2B4BA215B9BE}"/>
    <cellStyle name="Linked Cell 21 3 2 11 3" xfId="22880" xr:uid="{59F75D96-AE5A-4CFC-A119-DE1FFB1C019C}"/>
    <cellStyle name="Linked Cell 21 3 2 12" xfId="22881" xr:uid="{990596C0-3249-45C9-8BEC-DA1A5BF44AC3}"/>
    <cellStyle name="Linked Cell 21 3 2 12 2" xfId="22882" xr:uid="{BC9988BC-BF85-4AF0-8183-28E36E63DCCE}"/>
    <cellStyle name="Linked Cell 21 3 2 13" xfId="22883" xr:uid="{C48997E6-40AB-4FF7-ADB9-6E4F676A5B4B}"/>
    <cellStyle name="Linked Cell 21 3 2 2" xfId="22884" xr:uid="{E8BC6EA8-1B23-4241-A525-25034B7A7D34}"/>
    <cellStyle name="Linked Cell 21 3 2 2 10" xfId="22885" xr:uid="{0E99ECCE-25FC-45BC-AA1B-B667C8531DCA}"/>
    <cellStyle name="Linked Cell 21 3 2 2 10 2" xfId="22886" xr:uid="{8BE3F66F-97E8-4BB0-861F-0C289E0BFCCA}"/>
    <cellStyle name="Linked Cell 21 3 2 2 10 2 2" xfId="22887" xr:uid="{F722936C-094F-451C-A3AC-EB3A6B9FAA1B}"/>
    <cellStyle name="Linked Cell 21 3 2 2 10 3" xfId="22888" xr:uid="{1B87D4EB-E771-486E-81C2-62FC7E8E6B7A}"/>
    <cellStyle name="Linked Cell 21 3 2 2 11" xfId="22889" xr:uid="{05BE5066-E176-48BE-AF0E-6F7AF5C03F2A}"/>
    <cellStyle name="Linked Cell 21 3 2 2 11 2" xfId="22890" xr:uid="{72A1428B-CC54-440F-B10F-42E3927097D6}"/>
    <cellStyle name="Linked Cell 21 3 2 2 12" xfId="22891" xr:uid="{7F9D14B6-C818-4DA9-930E-94845C7672DC}"/>
    <cellStyle name="Linked Cell 21 3 2 2 2" xfId="22892" xr:uid="{1E88651E-1635-42CA-81DA-456EDE724FBE}"/>
    <cellStyle name="Linked Cell 21 3 2 2 2 2" xfId="22893" xr:uid="{43099D5E-F79B-4FBA-9B18-F7693215FE17}"/>
    <cellStyle name="Linked Cell 21 3 2 2 2 2 2" xfId="22894" xr:uid="{6E3FDCDA-BA38-4E7B-83C1-590F61E2E1C1}"/>
    <cellStyle name="Linked Cell 21 3 2 2 2 3" xfId="22895" xr:uid="{15B1ED43-AB59-4EDC-BF82-28DA7122AAD4}"/>
    <cellStyle name="Linked Cell 21 3 2 2 3" xfId="22896" xr:uid="{DEBE61D0-3DCA-4DCC-AB9D-60C7EF8E8099}"/>
    <cellStyle name="Linked Cell 21 3 2 2 3 2" xfId="22897" xr:uid="{751AE21D-5240-4E0A-BD1C-2C21FDFADDBC}"/>
    <cellStyle name="Linked Cell 21 3 2 2 3 2 2" xfId="22898" xr:uid="{4DB101E3-0EEC-4F08-A61F-E19E2BB1A17F}"/>
    <cellStyle name="Linked Cell 21 3 2 2 3 3" xfId="22899" xr:uid="{4924DA70-B52E-4858-8861-F529C1E49A67}"/>
    <cellStyle name="Linked Cell 21 3 2 2 4" xfId="22900" xr:uid="{A3C85D83-D345-4D4A-8473-69188E7A50B2}"/>
    <cellStyle name="Linked Cell 21 3 2 2 4 2" xfId="22901" xr:uid="{F2F2C26B-8626-4BC6-9A05-6C18588A307A}"/>
    <cellStyle name="Linked Cell 21 3 2 2 4 2 2" xfId="22902" xr:uid="{ECDA53F6-6926-4309-B003-7C54AACBDB4A}"/>
    <cellStyle name="Linked Cell 21 3 2 2 4 3" xfId="22903" xr:uid="{FD273DAA-63D8-4BCE-9ABC-19386FB5FF2D}"/>
    <cellStyle name="Linked Cell 21 3 2 2 5" xfId="22904" xr:uid="{058DED3E-61A0-4325-8BDD-FB2A4AF6B8CD}"/>
    <cellStyle name="Linked Cell 21 3 2 2 5 2" xfId="22905" xr:uid="{F5C6217C-EB2B-4548-AA42-766092171A8D}"/>
    <cellStyle name="Linked Cell 21 3 2 2 5 2 2" xfId="22906" xr:uid="{88B72133-E812-4301-AD43-FC70632BC53C}"/>
    <cellStyle name="Linked Cell 21 3 2 2 5 3" xfId="22907" xr:uid="{8767EAEE-88C4-403C-8189-2205C7598084}"/>
    <cellStyle name="Linked Cell 21 3 2 2 6" xfId="22908" xr:uid="{733F05B7-06A3-48EB-8DA5-087E99BCA204}"/>
    <cellStyle name="Linked Cell 21 3 2 2 6 2" xfId="22909" xr:uid="{53B3DA51-196D-4DF7-87F7-49D8F4AD58CC}"/>
    <cellStyle name="Linked Cell 21 3 2 2 6 2 2" xfId="22910" xr:uid="{6CB7FB21-DB4A-44C1-B3A6-853B4FCE64FD}"/>
    <cellStyle name="Linked Cell 21 3 2 2 6 3" xfId="22911" xr:uid="{0C9702C0-85E7-4402-9A86-F7318F96C9DC}"/>
    <cellStyle name="Linked Cell 21 3 2 2 7" xfId="22912" xr:uid="{D1DE0D4F-59A8-48C3-97D6-41E7EF33A729}"/>
    <cellStyle name="Linked Cell 21 3 2 2 7 2" xfId="22913" xr:uid="{83FF35D4-A2B4-4C14-8F5A-F879BDD0C73B}"/>
    <cellStyle name="Linked Cell 21 3 2 2 7 2 2" xfId="22914" xr:uid="{E80E3B01-2B59-4323-B523-0D4FAC10EC87}"/>
    <cellStyle name="Linked Cell 21 3 2 2 7 3" xfId="22915" xr:uid="{D5B44712-9225-47B0-AB80-5799C06D4998}"/>
    <cellStyle name="Linked Cell 21 3 2 2 8" xfId="22916" xr:uid="{45CB4AF7-CBC4-4EE5-84F0-4B28EF03D2A9}"/>
    <cellStyle name="Linked Cell 21 3 2 2 8 2" xfId="22917" xr:uid="{95E585B4-DA6F-45E5-B37A-D4156785630A}"/>
    <cellStyle name="Linked Cell 21 3 2 2 8 2 2" xfId="22918" xr:uid="{2417F76C-397F-4704-8615-F65DD43B6AB4}"/>
    <cellStyle name="Linked Cell 21 3 2 2 8 3" xfId="22919" xr:uid="{44483A28-D1B1-4FEF-A41E-111B97F8009F}"/>
    <cellStyle name="Linked Cell 21 3 2 2 9" xfId="22920" xr:uid="{15ED7E8B-0469-4730-8A5F-5FBAC5A93D3C}"/>
    <cellStyle name="Linked Cell 21 3 2 2 9 2" xfId="22921" xr:uid="{6CA233D6-D9B8-474C-ACC8-2C11CFD4C9D9}"/>
    <cellStyle name="Linked Cell 21 3 2 2 9 2 2" xfId="22922" xr:uid="{E73F9C7D-DE65-4188-B847-13EBCAE957A1}"/>
    <cellStyle name="Linked Cell 21 3 2 2 9 3" xfId="22923" xr:uid="{F473415B-C48F-486B-A8E9-9EA8C818411D}"/>
    <cellStyle name="Linked Cell 21 3 2 3" xfId="22924" xr:uid="{A5EA4D52-AC73-4479-83F4-E3763F0FC55C}"/>
    <cellStyle name="Linked Cell 21 3 2 3 10" xfId="22925" xr:uid="{72981184-20D0-4028-BEFC-F2AE2D542331}"/>
    <cellStyle name="Linked Cell 21 3 2 3 10 2" xfId="22926" xr:uid="{C3BC0311-0968-4E60-9CDC-F5B48D4085C5}"/>
    <cellStyle name="Linked Cell 21 3 2 3 11" xfId="22927" xr:uid="{7302E927-7040-4681-BD20-1DEDC4D2DBEA}"/>
    <cellStyle name="Linked Cell 21 3 2 3 2" xfId="22928" xr:uid="{6526AEA1-F7A8-4E4D-9E8E-8A4B91BAB196}"/>
    <cellStyle name="Linked Cell 21 3 2 3 2 2" xfId="22929" xr:uid="{A28F497F-3079-4EB0-B588-FF03740B2F69}"/>
    <cellStyle name="Linked Cell 21 3 2 3 2 2 2" xfId="22930" xr:uid="{7C9DC4B6-93CF-41DC-AEF6-6AF832D29DA2}"/>
    <cellStyle name="Linked Cell 21 3 2 3 2 3" xfId="22931" xr:uid="{FA543B0E-DD9C-417D-BDF8-8AE2301446B2}"/>
    <cellStyle name="Linked Cell 21 3 2 3 3" xfId="22932" xr:uid="{9D380E50-F20B-4241-806C-F6E8F008D60D}"/>
    <cellStyle name="Linked Cell 21 3 2 3 3 2" xfId="22933" xr:uid="{EFE125F7-CB46-46B3-8C8D-4DE75EA23392}"/>
    <cellStyle name="Linked Cell 21 3 2 3 3 2 2" xfId="22934" xr:uid="{447FCD2F-3FA1-4938-8A11-5DA12CA2FC89}"/>
    <cellStyle name="Linked Cell 21 3 2 3 3 3" xfId="22935" xr:uid="{D1AE639D-54A8-4A15-A1FB-D69C2897955F}"/>
    <cellStyle name="Linked Cell 21 3 2 3 4" xfId="22936" xr:uid="{3F9F48C4-B78B-48C2-AAA0-6898CA8D5C91}"/>
    <cellStyle name="Linked Cell 21 3 2 3 4 2" xfId="22937" xr:uid="{5EA6BCDF-AB02-4C73-AE5F-F3304829B726}"/>
    <cellStyle name="Linked Cell 21 3 2 3 4 2 2" xfId="22938" xr:uid="{7A8F5056-E458-41FE-A89D-7C5E7C847C98}"/>
    <cellStyle name="Linked Cell 21 3 2 3 4 3" xfId="22939" xr:uid="{0C402198-DC6B-4934-8B2C-E1D7EB66E4CF}"/>
    <cellStyle name="Linked Cell 21 3 2 3 5" xfId="22940" xr:uid="{6AC9F892-2BE9-4999-BF4F-64C26B06366B}"/>
    <cellStyle name="Linked Cell 21 3 2 3 5 2" xfId="22941" xr:uid="{F4E89ACF-C6FB-4AC6-B610-F79EDB74E124}"/>
    <cellStyle name="Linked Cell 21 3 2 3 5 2 2" xfId="22942" xr:uid="{AD9EFE3C-5E40-45AC-A50E-3D3A1E39A927}"/>
    <cellStyle name="Linked Cell 21 3 2 3 5 3" xfId="22943" xr:uid="{00A08ECD-9017-42D2-93A8-6A6B676B319A}"/>
    <cellStyle name="Linked Cell 21 3 2 3 6" xfId="22944" xr:uid="{F54412B1-D537-4E2F-9B18-BD81B6BA1356}"/>
    <cellStyle name="Linked Cell 21 3 2 3 6 2" xfId="22945" xr:uid="{7A130DDD-35F6-4A80-8ABF-811735D43A76}"/>
    <cellStyle name="Linked Cell 21 3 2 3 6 2 2" xfId="22946" xr:uid="{EA1212A6-4639-4DEF-B027-56A65F8A5993}"/>
    <cellStyle name="Linked Cell 21 3 2 3 6 3" xfId="22947" xr:uid="{AF35A9FE-A1C2-4DAD-881C-864D0844B636}"/>
    <cellStyle name="Linked Cell 21 3 2 3 7" xfId="22948" xr:uid="{F5643AD0-F62F-47AB-A3EB-C5D7F543E276}"/>
    <cellStyle name="Linked Cell 21 3 2 3 7 2" xfId="22949" xr:uid="{A58EE366-EA1C-413C-BFC2-01AFF8B273CF}"/>
    <cellStyle name="Linked Cell 21 3 2 3 7 2 2" xfId="22950" xr:uid="{5B884594-4271-4891-BAE2-2A7A893C33DC}"/>
    <cellStyle name="Linked Cell 21 3 2 3 7 3" xfId="22951" xr:uid="{A43EF01A-B8E6-437A-9D11-F40EA89F40EB}"/>
    <cellStyle name="Linked Cell 21 3 2 3 8" xfId="22952" xr:uid="{89140D7C-A16D-46C6-BFC1-67964D72F334}"/>
    <cellStyle name="Linked Cell 21 3 2 3 8 2" xfId="22953" xr:uid="{B4051E90-6370-4C54-98EB-BA05C37052BE}"/>
    <cellStyle name="Linked Cell 21 3 2 3 8 2 2" xfId="22954" xr:uid="{6A044BCA-FDE0-484E-82C5-116C44C15010}"/>
    <cellStyle name="Linked Cell 21 3 2 3 8 3" xfId="22955" xr:uid="{BE2F0C6D-2923-43AF-905C-EBAD222A62CE}"/>
    <cellStyle name="Linked Cell 21 3 2 3 9" xfId="22956" xr:uid="{B16B0E61-A84D-4855-88AA-CAA18020B1B4}"/>
    <cellStyle name="Linked Cell 21 3 2 3 9 2" xfId="22957" xr:uid="{C1BBD0B1-5E21-47A4-80DA-F2813D23E216}"/>
    <cellStyle name="Linked Cell 21 3 2 3 9 2 2" xfId="22958" xr:uid="{26413D71-C72B-4309-8DAE-31339DD3B798}"/>
    <cellStyle name="Linked Cell 21 3 2 3 9 3" xfId="22959" xr:uid="{DDD11440-55BA-4801-9EF1-9DECE469C5D6}"/>
    <cellStyle name="Linked Cell 21 3 2 4" xfId="22960" xr:uid="{78629EDF-41AB-4A5F-AA86-B47C5EF91E45}"/>
    <cellStyle name="Linked Cell 21 3 2 4 2" xfId="22961" xr:uid="{0C5FDA4D-1EC8-40C0-BEC5-F7559782F71C}"/>
    <cellStyle name="Linked Cell 21 3 2 4 2 2" xfId="22962" xr:uid="{84C11BF1-2A88-4F0D-B851-AECEFE583B58}"/>
    <cellStyle name="Linked Cell 21 3 2 4 3" xfId="22963" xr:uid="{F283CCF3-31DD-4C60-A1F3-636F8386A189}"/>
    <cellStyle name="Linked Cell 21 3 2 5" xfId="22964" xr:uid="{8561018E-1B08-4B12-84EC-80719CA2AAC4}"/>
    <cellStyle name="Linked Cell 21 3 2 5 2" xfId="22965" xr:uid="{0C6809B6-4D3C-41D3-BB8F-AE4453DF253C}"/>
    <cellStyle name="Linked Cell 21 3 2 5 2 2" xfId="22966" xr:uid="{4A31DCBE-5CCE-44AD-B74D-B5426D1CF362}"/>
    <cellStyle name="Linked Cell 21 3 2 5 3" xfId="22967" xr:uid="{2F1A8C69-E6DF-44F6-8F2F-72800991E135}"/>
    <cellStyle name="Linked Cell 21 3 2 6" xfId="22968" xr:uid="{A2536D79-761C-407D-8161-6900347DD97E}"/>
    <cellStyle name="Linked Cell 21 3 2 6 2" xfId="22969" xr:uid="{AC5E06B1-2694-47B3-803B-A156BBE64842}"/>
    <cellStyle name="Linked Cell 21 3 2 6 2 2" xfId="22970" xr:uid="{27263DD0-A0AC-4648-A956-A99BBB33A06E}"/>
    <cellStyle name="Linked Cell 21 3 2 6 3" xfId="22971" xr:uid="{3AE8D32F-76E8-4079-8EF1-8E504019F89D}"/>
    <cellStyle name="Linked Cell 21 3 2 7" xfId="22972" xr:uid="{8F179270-7E15-4909-A90C-2AF1FF199B17}"/>
    <cellStyle name="Linked Cell 21 3 2 7 2" xfId="22973" xr:uid="{0C1AB330-1B11-4E1D-8C98-DCB9CB8DF20D}"/>
    <cellStyle name="Linked Cell 21 3 2 7 2 2" xfId="22974" xr:uid="{929BE9CC-6601-4AD5-AD7A-AC6391F638EE}"/>
    <cellStyle name="Linked Cell 21 3 2 7 3" xfId="22975" xr:uid="{5F0F8AC0-10C7-45E5-BEAB-94318C6F7417}"/>
    <cellStyle name="Linked Cell 21 3 2 8" xfId="22976" xr:uid="{1AAB2C8B-E908-474F-A906-EC4E78C11D60}"/>
    <cellStyle name="Linked Cell 21 3 2 8 2" xfId="22977" xr:uid="{E8E8B96C-4B8F-4279-A656-C0BFA92C669E}"/>
    <cellStyle name="Linked Cell 21 3 2 8 2 2" xfId="22978" xr:uid="{47146D99-9CEA-4535-A096-5727191A3F2F}"/>
    <cellStyle name="Linked Cell 21 3 2 8 3" xfId="22979" xr:uid="{3F2D6C66-1E60-4197-B95A-CC89A05601DB}"/>
    <cellStyle name="Linked Cell 21 3 2 9" xfId="22980" xr:uid="{19C4E78B-2EAE-4A51-AC8B-8DF44501EDB7}"/>
    <cellStyle name="Linked Cell 21 3 2 9 2" xfId="22981" xr:uid="{6BC19D84-9D92-4C6E-ABF4-5194C878BB92}"/>
    <cellStyle name="Linked Cell 21 3 2 9 2 2" xfId="22982" xr:uid="{2B2E10D0-1540-41A2-A68D-84EC70098387}"/>
    <cellStyle name="Linked Cell 21 3 2 9 3" xfId="22983" xr:uid="{0B21BB0D-768F-4AA8-814F-7F521CA8F333}"/>
    <cellStyle name="Linked Cell 21 3 3" xfId="22984" xr:uid="{938F2E6A-1706-4DE9-8B28-CA9B80880DF4}"/>
    <cellStyle name="Linked Cell 21 3 3 10" xfId="22985" xr:uid="{4F3EADCE-8AC6-4B42-8291-5B4FAFD8AF74}"/>
    <cellStyle name="Linked Cell 21 3 3 10 2" xfId="22986" xr:uid="{A269410B-7A97-41EA-80C9-E6D628C471A8}"/>
    <cellStyle name="Linked Cell 21 3 3 10 2 2" xfId="22987" xr:uid="{E2C3C453-ADA3-4914-B69B-9415D6FCB88B}"/>
    <cellStyle name="Linked Cell 21 3 3 10 3" xfId="22988" xr:uid="{BAA4C8F4-3118-4471-8296-48566C227FAC}"/>
    <cellStyle name="Linked Cell 21 3 3 11" xfId="22989" xr:uid="{F505D1EA-1751-44CE-A27A-8248F77B7193}"/>
    <cellStyle name="Linked Cell 21 3 3 11 2" xfId="22990" xr:uid="{E815AC66-1421-4DE6-9CA2-DACA41452FE7}"/>
    <cellStyle name="Linked Cell 21 3 3 12" xfId="22991" xr:uid="{354FB10D-864E-4A34-A595-1D45A1322B6F}"/>
    <cellStyle name="Linked Cell 21 3 3 2" xfId="22992" xr:uid="{A77B4290-1885-4B8B-A168-626CB392E46D}"/>
    <cellStyle name="Linked Cell 21 3 3 2 10" xfId="22993" xr:uid="{811969F1-87E3-41C7-B072-E62DA5184EFA}"/>
    <cellStyle name="Linked Cell 21 3 3 2 10 2" xfId="22994" xr:uid="{586D1BE6-C5A8-41FC-9C62-C28DAE360499}"/>
    <cellStyle name="Linked Cell 21 3 3 2 11" xfId="22995" xr:uid="{2176FE12-E8E7-40FD-9CF3-C05DC6D570D7}"/>
    <cellStyle name="Linked Cell 21 3 3 2 2" xfId="22996" xr:uid="{AEBD602C-8514-4F1C-BE04-0ACFE75D16B1}"/>
    <cellStyle name="Linked Cell 21 3 3 2 2 2" xfId="22997" xr:uid="{417C5735-E49F-4BC0-9CAB-74724B0F402D}"/>
    <cellStyle name="Linked Cell 21 3 3 2 2 2 2" xfId="22998" xr:uid="{1EE225D1-9CB2-47C6-8DC0-D830AA5B872F}"/>
    <cellStyle name="Linked Cell 21 3 3 2 2 3" xfId="22999" xr:uid="{C3E893AD-1706-4804-98A6-7F0ABA836937}"/>
    <cellStyle name="Linked Cell 21 3 3 2 3" xfId="23000" xr:uid="{3EDC8010-D205-4EB6-A881-88ABDEA7F6F4}"/>
    <cellStyle name="Linked Cell 21 3 3 2 3 2" xfId="23001" xr:uid="{779820DC-7047-4A04-AB0D-FC60D1FB3D9D}"/>
    <cellStyle name="Linked Cell 21 3 3 2 3 2 2" xfId="23002" xr:uid="{438568EC-09B3-4F64-9268-AB580D8C11D0}"/>
    <cellStyle name="Linked Cell 21 3 3 2 3 3" xfId="23003" xr:uid="{D6E96D34-5E5E-4744-8C43-4980117BACB6}"/>
    <cellStyle name="Linked Cell 21 3 3 2 4" xfId="23004" xr:uid="{74135387-D242-4488-B511-917D61380FBD}"/>
    <cellStyle name="Linked Cell 21 3 3 2 4 2" xfId="23005" xr:uid="{D0A3D411-BE3B-4F7A-A875-20FD26CD5D9A}"/>
    <cellStyle name="Linked Cell 21 3 3 2 4 2 2" xfId="23006" xr:uid="{A0BCB0A5-68EC-4916-8FB7-1BDBB1DBBEC7}"/>
    <cellStyle name="Linked Cell 21 3 3 2 4 3" xfId="23007" xr:uid="{CDCB4029-0613-4D8A-B077-8B8BDF2AFC64}"/>
    <cellStyle name="Linked Cell 21 3 3 2 5" xfId="23008" xr:uid="{63E475DB-C32E-4924-A2AC-6FAAEAF10F5E}"/>
    <cellStyle name="Linked Cell 21 3 3 2 5 2" xfId="23009" xr:uid="{2DDE73C2-2CBE-4841-B607-B10A438A9350}"/>
    <cellStyle name="Linked Cell 21 3 3 2 5 2 2" xfId="23010" xr:uid="{4FF3BAF3-A991-42BB-86DC-9F4A423AAEA1}"/>
    <cellStyle name="Linked Cell 21 3 3 2 5 3" xfId="23011" xr:uid="{E8DEAFA6-D61A-47CC-87D3-01CD65BFAC62}"/>
    <cellStyle name="Linked Cell 21 3 3 2 6" xfId="23012" xr:uid="{AAC6D6D7-FA35-4EBC-8E66-F38F67AA2302}"/>
    <cellStyle name="Linked Cell 21 3 3 2 6 2" xfId="23013" xr:uid="{1D7EA18B-8D12-4CD9-899D-730A9E549BC6}"/>
    <cellStyle name="Linked Cell 21 3 3 2 6 2 2" xfId="23014" xr:uid="{A53FEA91-806B-414E-8B5B-EE9AA1DEC019}"/>
    <cellStyle name="Linked Cell 21 3 3 2 6 3" xfId="23015" xr:uid="{4906EBDA-19DC-4470-8597-497158044D9E}"/>
    <cellStyle name="Linked Cell 21 3 3 2 7" xfId="23016" xr:uid="{2153C774-0ECD-421B-8D37-996B1920508F}"/>
    <cellStyle name="Linked Cell 21 3 3 2 7 2" xfId="23017" xr:uid="{F2694164-E081-4739-8CA4-485730D8DAC6}"/>
    <cellStyle name="Linked Cell 21 3 3 2 7 2 2" xfId="23018" xr:uid="{385610EF-4094-468A-B8CA-FE15EB48F856}"/>
    <cellStyle name="Linked Cell 21 3 3 2 7 3" xfId="23019" xr:uid="{A8312FB7-9E1A-4ADC-8A45-90E26088793D}"/>
    <cellStyle name="Linked Cell 21 3 3 2 8" xfId="23020" xr:uid="{7C535A6F-61EE-4A57-9BC3-00C778534BE6}"/>
    <cellStyle name="Linked Cell 21 3 3 2 8 2" xfId="23021" xr:uid="{3A56CBC5-764C-42CA-AE27-E28E1628C427}"/>
    <cellStyle name="Linked Cell 21 3 3 2 8 2 2" xfId="23022" xr:uid="{E4DFD2E0-C7C6-40E9-A257-FEC0F021192B}"/>
    <cellStyle name="Linked Cell 21 3 3 2 8 3" xfId="23023" xr:uid="{6BBD0A45-99B3-4248-B8CC-FC32C50C6F45}"/>
    <cellStyle name="Linked Cell 21 3 3 2 9" xfId="23024" xr:uid="{0AE97E00-248B-4984-AA16-DF413A9E63EB}"/>
    <cellStyle name="Linked Cell 21 3 3 2 9 2" xfId="23025" xr:uid="{056978D6-9812-4DA2-A6BB-6F62FDB73570}"/>
    <cellStyle name="Linked Cell 21 3 3 2 9 2 2" xfId="23026" xr:uid="{F6D0A901-851A-4605-8EA0-67802B748ADA}"/>
    <cellStyle name="Linked Cell 21 3 3 2 9 3" xfId="23027" xr:uid="{A9A1E888-5D25-4F20-AAAF-B7D9408D9846}"/>
    <cellStyle name="Linked Cell 21 3 3 3" xfId="23028" xr:uid="{B71EADD3-B616-4B6E-83EF-7E03B41BD101}"/>
    <cellStyle name="Linked Cell 21 3 3 3 2" xfId="23029" xr:uid="{9B9C9980-26D1-4E86-96EC-3E891EB3C7D3}"/>
    <cellStyle name="Linked Cell 21 3 3 3 2 2" xfId="23030" xr:uid="{A787DA5F-4A6B-4B47-A6E2-D7B651A8E8D6}"/>
    <cellStyle name="Linked Cell 21 3 3 3 3" xfId="23031" xr:uid="{E329D083-F841-46AF-8006-9129BFB8F026}"/>
    <cellStyle name="Linked Cell 21 3 3 4" xfId="23032" xr:uid="{9E9B6F54-3FEB-46DC-BD4A-D11F34B456F2}"/>
    <cellStyle name="Linked Cell 21 3 3 4 2" xfId="23033" xr:uid="{B694AA33-54CA-4B9C-82BB-1BAB941D820D}"/>
    <cellStyle name="Linked Cell 21 3 3 4 2 2" xfId="23034" xr:uid="{8EC5275F-422F-4D8C-BC55-59173464B026}"/>
    <cellStyle name="Linked Cell 21 3 3 4 3" xfId="23035" xr:uid="{D1FB5FC7-1A55-40AF-8D1E-6F831DBB8499}"/>
    <cellStyle name="Linked Cell 21 3 3 5" xfId="23036" xr:uid="{9164E1D9-BC22-4B53-8F1E-0AF5087034D0}"/>
    <cellStyle name="Linked Cell 21 3 3 5 2" xfId="23037" xr:uid="{B9226F5D-F035-4A82-8225-9E20BFCD0B6A}"/>
    <cellStyle name="Linked Cell 21 3 3 5 2 2" xfId="23038" xr:uid="{2E42F101-90F9-4611-A7D3-9E75E325218D}"/>
    <cellStyle name="Linked Cell 21 3 3 5 3" xfId="23039" xr:uid="{86369AD1-F838-4915-A1BA-DC9A0070B2DD}"/>
    <cellStyle name="Linked Cell 21 3 3 6" xfId="23040" xr:uid="{3565F9CD-398A-4329-B186-1E80BE7D11C6}"/>
    <cellStyle name="Linked Cell 21 3 3 6 2" xfId="23041" xr:uid="{1FE2F3E9-A878-4E0C-8170-B4BB58F8545A}"/>
    <cellStyle name="Linked Cell 21 3 3 6 2 2" xfId="23042" xr:uid="{C0A4D1BB-779D-404D-95CA-E0A66B36D07D}"/>
    <cellStyle name="Linked Cell 21 3 3 6 3" xfId="23043" xr:uid="{E72C7073-62CF-44CD-A397-6F86B1736EA4}"/>
    <cellStyle name="Linked Cell 21 3 3 7" xfId="23044" xr:uid="{523359BD-45A1-485A-8062-D11A53051B28}"/>
    <cellStyle name="Linked Cell 21 3 3 7 2" xfId="23045" xr:uid="{F53AF766-3EF5-41B4-83D1-4410F9420F96}"/>
    <cellStyle name="Linked Cell 21 3 3 7 2 2" xfId="23046" xr:uid="{EEDCF42E-4776-434F-885E-6DE0BF0E2F52}"/>
    <cellStyle name="Linked Cell 21 3 3 7 3" xfId="23047" xr:uid="{3A66C001-E6B7-46CB-89B0-972A1DCD000C}"/>
    <cellStyle name="Linked Cell 21 3 3 8" xfId="23048" xr:uid="{7EB0282B-0777-4FA6-AFF0-E391CC69C3AD}"/>
    <cellStyle name="Linked Cell 21 3 3 8 2" xfId="23049" xr:uid="{1236906B-D569-4C79-A59B-F309C05E3E7E}"/>
    <cellStyle name="Linked Cell 21 3 3 8 2 2" xfId="23050" xr:uid="{14ECC33C-28AD-402B-A59B-87A5C5FF9ED6}"/>
    <cellStyle name="Linked Cell 21 3 3 8 3" xfId="23051" xr:uid="{0A07DDB2-7A70-4CE0-91AF-626EB67E02AA}"/>
    <cellStyle name="Linked Cell 21 3 3 9" xfId="23052" xr:uid="{94753520-CAF0-4E1F-BF46-6F7BED5871A8}"/>
    <cellStyle name="Linked Cell 21 3 3 9 2" xfId="23053" xr:uid="{A93D81B5-F1D6-4C4A-832A-F0606399B39E}"/>
    <cellStyle name="Linked Cell 21 3 3 9 2 2" xfId="23054" xr:uid="{AC6570EE-4857-4298-9065-C68E41648A46}"/>
    <cellStyle name="Linked Cell 21 3 3 9 3" xfId="23055" xr:uid="{A91CE378-2BEF-4B9F-8E97-1140A042D3D0}"/>
    <cellStyle name="Linked Cell 21 3 4" xfId="23056" xr:uid="{11672E67-4C54-4DEE-9635-72A33858F2EE}"/>
    <cellStyle name="Linked Cell 21 3 4 10" xfId="23057" xr:uid="{7C1FB5B6-52C9-4012-AFFD-E69717DD1826}"/>
    <cellStyle name="Linked Cell 21 3 4 10 2" xfId="23058" xr:uid="{7ACC025A-C1FF-47E8-BD2F-ABD35621EB88}"/>
    <cellStyle name="Linked Cell 21 3 4 11" xfId="23059" xr:uid="{6D8D8F72-1F0B-43A7-A084-300AF3F59DBA}"/>
    <cellStyle name="Linked Cell 21 3 4 2" xfId="23060" xr:uid="{56C0AF1F-902B-4B7E-859A-C29FC624A64B}"/>
    <cellStyle name="Linked Cell 21 3 4 2 2" xfId="23061" xr:uid="{E329FC60-346C-4246-9EA8-FBC32C820154}"/>
    <cellStyle name="Linked Cell 21 3 4 2 2 2" xfId="23062" xr:uid="{D31C0240-BDAD-4042-8C64-251BF7457383}"/>
    <cellStyle name="Linked Cell 21 3 4 2 3" xfId="23063" xr:uid="{02A57C68-EB5A-4208-BF81-323C9BBA0231}"/>
    <cellStyle name="Linked Cell 21 3 4 3" xfId="23064" xr:uid="{6BB54161-28B5-460B-AB45-BD2296F7D616}"/>
    <cellStyle name="Linked Cell 21 3 4 3 2" xfId="23065" xr:uid="{A4DA881E-40F8-4E81-9B80-0C537CDE4173}"/>
    <cellStyle name="Linked Cell 21 3 4 3 2 2" xfId="23066" xr:uid="{C1EA78C7-F9C8-41E8-96D8-D76CC526908F}"/>
    <cellStyle name="Linked Cell 21 3 4 3 3" xfId="23067" xr:uid="{5E6E7BE0-E3CF-48E4-922D-941FDBC5C962}"/>
    <cellStyle name="Linked Cell 21 3 4 4" xfId="23068" xr:uid="{AAA58599-3526-45B0-BACA-FC7762C53D87}"/>
    <cellStyle name="Linked Cell 21 3 4 4 2" xfId="23069" xr:uid="{52BFCADA-22BA-4377-A5CD-8D32CF861551}"/>
    <cellStyle name="Linked Cell 21 3 4 4 2 2" xfId="23070" xr:uid="{46740B4E-EB6D-45E7-B322-A32E58A48C5A}"/>
    <cellStyle name="Linked Cell 21 3 4 4 3" xfId="23071" xr:uid="{1511B0C8-8E71-4BBF-A18C-9C01EE8004AA}"/>
    <cellStyle name="Linked Cell 21 3 4 5" xfId="23072" xr:uid="{E2457524-678F-4613-8E49-B6EB5063241E}"/>
    <cellStyle name="Linked Cell 21 3 4 5 2" xfId="23073" xr:uid="{AECAD7AE-047C-4311-99DF-45B112FD64E9}"/>
    <cellStyle name="Linked Cell 21 3 4 5 2 2" xfId="23074" xr:uid="{524AA38F-9C9F-4085-840B-F2585A5EFAFC}"/>
    <cellStyle name="Linked Cell 21 3 4 5 3" xfId="23075" xr:uid="{6F06380E-E55E-4A00-8E18-EE01B117511D}"/>
    <cellStyle name="Linked Cell 21 3 4 6" xfId="23076" xr:uid="{271CB6E6-300B-4F16-B521-13AF1A48810B}"/>
    <cellStyle name="Linked Cell 21 3 4 6 2" xfId="23077" xr:uid="{F603BAA2-B357-4759-97BF-918B9202D4A4}"/>
    <cellStyle name="Linked Cell 21 3 4 6 2 2" xfId="23078" xr:uid="{4FA8040B-4987-4994-917E-A0907EBC3AEE}"/>
    <cellStyle name="Linked Cell 21 3 4 6 3" xfId="23079" xr:uid="{F3464862-D81B-49DE-A566-CAEAB496177E}"/>
    <cellStyle name="Linked Cell 21 3 4 7" xfId="23080" xr:uid="{06DB010F-E47A-4CC9-AACF-A9D1C6D36D26}"/>
    <cellStyle name="Linked Cell 21 3 4 7 2" xfId="23081" xr:uid="{0F824E2E-8518-4775-A79C-E4C6E72E3004}"/>
    <cellStyle name="Linked Cell 21 3 4 7 2 2" xfId="23082" xr:uid="{3BE8B52A-F4F7-4BBB-BB1D-2E61C06BFB4B}"/>
    <cellStyle name="Linked Cell 21 3 4 7 3" xfId="23083" xr:uid="{0656A727-3182-4068-8A84-46C839A99A36}"/>
    <cellStyle name="Linked Cell 21 3 4 8" xfId="23084" xr:uid="{98B6EAA0-B966-41F2-904B-A5EFBD02DE8E}"/>
    <cellStyle name="Linked Cell 21 3 4 8 2" xfId="23085" xr:uid="{4D961D6D-AD6D-4073-9396-AC8957595030}"/>
    <cellStyle name="Linked Cell 21 3 4 8 2 2" xfId="23086" xr:uid="{71E8FDDF-4BA1-4A15-AD1D-466B440FE014}"/>
    <cellStyle name="Linked Cell 21 3 4 8 3" xfId="23087" xr:uid="{5BE1ED66-AA06-4B0F-8F81-6FFADE0BEBFA}"/>
    <cellStyle name="Linked Cell 21 3 4 9" xfId="23088" xr:uid="{4D84A04F-3859-4BE5-9E86-9854AAF8309C}"/>
    <cellStyle name="Linked Cell 21 3 4 9 2" xfId="23089" xr:uid="{E468B331-2367-4E57-94BF-CC9E4A949595}"/>
    <cellStyle name="Linked Cell 21 3 4 9 2 2" xfId="23090" xr:uid="{0C4B85B2-2D4C-4CE3-B029-D1677922AA75}"/>
    <cellStyle name="Linked Cell 21 3 4 9 3" xfId="23091" xr:uid="{15F9606D-128F-4567-BDC6-D6C06447E267}"/>
    <cellStyle name="Linked Cell 21 3 5" xfId="23092" xr:uid="{F1B54A68-FC7E-48A7-A45F-69221640EB41}"/>
    <cellStyle name="Linked Cell 21 3 5 2" xfId="23093" xr:uid="{CCC23D3D-C21F-4E9E-AE9E-E3A8A89F6FD3}"/>
    <cellStyle name="Linked Cell 21 3 5 2 2" xfId="23094" xr:uid="{4792DA3F-0AD4-4AB9-8BC4-541A6AEC8B73}"/>
    <cellStyle name="Linked Cell 21 3 5 3" xfId="23095" xr:uid="{9A45722C-014A-47AF-AD99-4A9D93B43B58}"/>
    <cellStyle name="Linked Cell 21 3 6" xfId="23096" xr:uid="{4DA70D5E-49B5-46A9-8073-6F955C030565}"/>
    <cellStyle name="Linked Cell 21 3 6 2" xfId="23097" xr:uid="{AA13A6C1-6CB9-4EAD-B912-AF18A3D5D984}"/>
    <cellStyle name="Linked Cell 21 3 6 2 2" xfId="23098" xr:uid="{C62D87D4-CF13-4555-8DE0-0FCC52207ADF}"/>
    <cellStyle name="Linked Cell 21 3 6 3" xfId="23099" xr:uid="{29082743-B482-4F90-AC17-9F956458BCC1}"/>
    <cellStyle name="Linked Cell 21 3 7" xfId="23100" xr:uid="{87944F90-4339-4988-87AF-B8232AFDA3B4}"/>
    <cellStyle name="Linked Cell 21 3 7 2" xfId="23101" xr:uid="{B884DEFF-5EE9-4A0A-A484-658A436DD5B8}"/>
    <cellStyle name="Linked Cell 21 3 7 2 2" xfId="23102" xr:uid="{8C22254F-2AEF-4140-95FD-560832EF1D2E}"/>
    <cellStyle name="Linked Cell 21 3 7 3" xfId="23103" xr:uid="{933A2446-275F-4AAD-A6C9-72E2064C9D0A}"/>
    <cellStyle name="Linked Cell 21 3 8" xfId="23104" xr:uid="{C6141D38-82FB-4D9D-B53B-CFC9E7F37AC2}"/>
    <cellStyle name="Linked Cell 21 3 8 2" xfId="23105" xr:uid="{806181CB-651A-4ECC-A147-9582FA90B0ED}"/>
    <cellStyle name="Linked Cell 21 3 8 2 2" xfId="23106" xr:uid="{4473D4C4-CCF9-4B57-A1DB-D063408C1112}"/>
    <cellStyle name="Linked Cell 21 3 8 3" xfId="23107" xr:uid="{75FA5AEC-CE4B-47BD-842E-9FCD60B6D410}"/>
    <cellStyle name="Linked Cell 21 3 9" xfId="23108" xr:uid="{0B192059-EEC6-4C5F-9A62-143ED7D7060D}"/>
    <cellStyle name="Linked Cell 21 3 9 2" xfId="23109" xr:uid="{F0D932F4-6483-4214-B70A-228BE1980B43}"/>
    <cellStyle name="Linked Cell 21 3 9 2 2" xfId="23110" xr:uid="{9ECADA6B-EAA7-4840-88EE-AFD9BD444F90}"/>
    <cellStyle name="Linked Cell 21 3 9 3" xfId="23111" xr:uid="{6885321E-7B0B-4D14-A98E-A238D669315B}"/>
    <cellStyle name="Linked Cell 21 4" xfId="23112" xr:uid="{41EC9894-9A94-431C-8EBC-F51D32B7C558}"/>
    <cellStyle name="Linked Cell 21 4 10" xfId="23113" xr:uid="{4C221303-7A4E-4E8E-8FA6-DFF3616054D1}"/>
    <cellStyle name="Linked Cell 21 4 10 2" xfId="23114" xr:uid="{FAC50D8B-17D8-47B9-8DB9-77E7FC5F4485}"/>
    <cellStyle name="Linked Cell 21 4 10 2 2" xfId="23115" xr:uid="{B082403B-DACE-4E8D-A715-9AE2961004D0}"/>
    <cellStyle name="Linked Cell 21 4 10 3" xfId="23116" xr:uid="{77E99DF3-2263-4A43-AB9D-2A8D462D1720}"/>
    <cellStyle name="Linked Cell 21 4 11" xfId="23117" xr:uid="{C89419D9-A28F-4AF9-9F4A-2174DA5F20AA}"/>
    <cellStyle name="Linked Cell 21 4 11 2" xfId="23118" xr:uid="{150A6702-5BC9-448C-94D2-E21FB4EC958F}"/>
    <cellStyle name="Linked Cell 21 4 11 2 2" xfId="23119" xr:uid="{47A976D9-94C4-45A8-9404-A41D503ED153}"/>
    <cellStyle name="Linked Cell 21 4 11 3" xfId="23120" xr:uid="{B3D5361C-B7C8-4410-AE31-C67BDDFA16AF}"/>
    <cellStyle name="Linked Cell 21 4 12" xfId="23121" xr:uid="{0C423282-AB77-4497-9A3E-539351AF21BD}"/>
    <cellStyle name="Linked Cell 21 4 12 2" xfId="23122" xr:uid="{3D3F8A2E-2C72-4396-90BA-0C7CA546E3B0}"/>
    <cellStyle name="Linked Cell 21 4 13" xfId="23123" xr:uid="{A71524E6-5764-4437-AA93-5421458EDDDC}"/>
    <cellStyle name="Linked Cell 21 4 2" xfId="23124" xr:uid="{692DA188-E61C-4E88-8B37-9FCFB92A7A0A}"/>
    <cellStyle name="Linked Cell 21 4 2 10" xfId="23125" xr:uid="{F9572146-1BCE-43B2-8E9D-980A33A7A6F6}"/>
    <cellStyle name="Linked Cell 21 4 2 10 2" xfId="23126" xr:uid="{1FF5A21A-2AB5-4402-83E0-D1DD3C308189}"/>
    <cellStyle name="Linked Cell 21 4 2 10 2 2" xfId="23127" xr:uid="{775FCAD7-894E-42FE-BFB1-66AAAB21FEF5}"/>
    <cellStyle name="Linked Cell 21 4 2 10 3" xfId="23128" xr:uid="{BF62592B-D8F9-4E2F-9193-56867DEA1751}"/>
    <cellStyle name="Linked Cell 21 4 2 11" xfId="23129" xr:uid="{43CF87BC-C1FF-42F4-9123-1D6C0F594E8F}"/>
    <cellStyle name="Linked Cell 21 4 2 11 2" xfId="23130" xr:uid="{1261F493-60D5-4FEC-8640-6F031F4C07D1}"/>
    <cellStyle name="Linked Cell 21 4 2 12" xfId="23131" xr:uid="{3D08F80E-6CBF-4A50-AE4C-4C7B84640D3D}"/>
    <cellStyle name="Linked Cell 21 4 2 2" xfId="23132" xr:uid="{F3658F2F-DBF5-44D3-B682-2DDDED5C7A60}"/>
    <cellStyle name="Linked Cell 21 4 2 2 2" xfId="23133" xr:uid="{19AF556F-F3F8-4A4D-AFDF-199AF2C780D0}"/>
    <cellStyle name="Linked Cell 21 4 2 2 2 2" xfId="23134" xr:uid="{3BDD7815-77F1-4D72-B9F1-58C5A2BEB540}"/>
    <cellStyle name="Linked Cell 21 4 2 2 3" xfId="23135" xr:uid="{1EE4F1DF-DF68-4277-9727-04E8DB44CE5E}"/>
    <cellStyle name="Linked Cell 21 4 2 3" xfId="23136" xr:uid="{285F5EB2-B7FF-4A01-B471-8F124A3A6BAD}"/>
    <cellStyle name="Linked Cell 21 4 2 3 2" xfId="23137" xr:uid="{D5B2379D-FA36-44A8-994C-4A56E1BC5094}"/>
    <cellStyle name="Linked Cell 21 4 2 3 2 2" xfId="23138" xr:uid="{065AA457-5894-43AB-8627-4C918E4F5E68}"/>
    <cellStyle name="Linked Cell 21 4 2 3 3" xfId="23139" xr:uid="{32C24B6F-04E8-4E19-B19F-D914AF19D9C4}"/>
    <cellStyle name="Linked Cell 21 4 2 4" xfId="23140" xr:uid="{4675FEA6-EE1D-4745-A8A4-3E322D12CADB}"/>
    <cellStyle name="Linked Cell 21 4 2 4 2" xfId="23141" xr:uid="{7DB890C3-90C4-44D2-B7D4-32DF92C689C5}"/>
    <cellStyle name="Linked Cell 21 4 2 4 2 2" xfId="23142" xr:uid="{FD014631-7443-4AE6-BE7D-76ABB7D7C07C}"/>
    <cellStyle name="Linked Cell 21 4 2 4 3" xfId="23143" xr:uid="{B25ED071-AB82-4B95-8996-9E635A3D0B1A}"/>
    <cellStyle name="Linked Cell 21 4 2 5" xfId="23144" xr:uid="{0722AA25-08A5-4B94-8E11-4947CCDEC83A}"/>
    <cellStyle name="Linked Cell 21 4 2 5 2" xfId="23145" xr:uid="{8FE042A8-D0F2-4E76-8B2F-E738ED94C74C}"/>
    <cellStyle name="Linked Cell 21 4 2 5 2 2" xfId="23146" xr:uid="{F6A11347-6FFB-45BC-ACC4-2D798B8FDEF9}"/>
    <cellStyle name="Linked Cell 21 4 2 5 3" xfId="23147" xr:uid="{2EE99F4E-5058-4137-8CCA-8E0D9D9ABE0A}"/>
    <cellStyle name="Linked Cell 21 4 2 6" xfId="23148" xr:uid="{4290A46A-8CD4-4177-84E7-226DD565676B}"/>
    <cellStyle name="Linked Cell 21 4 2 6 2" xfId="23149" xr:uid="{5B47CA95-BC0E-4EE5-AC5F-817AE35825A6}"/>
    <cellStyle name="Linked Cell 21 4 2 6 2 2" xfId="23150" xr:uid="{08A8E0E8-8335-4248-80AE-D0C2D8B55E6D}"/>
    <cellStyle name="Linked Cell 21 4 2 6 3" xfId="23151" xr:uid="{723614A7-3296-4AD8-85AD-C60F7472372E}"/>
    <cellStyle name="Linked Cell 21 4 2 7" xfId="23152" xr:uid="{1BB72289-76A4-4FB9-9459-FB73003EA236}"/>
    <cellStyle name="Linked Cell 21 4 2 7 2" xfId="23153" xr:uid="{045813A9-806E-4C4F-9E52-6093A87C09FA}"/>
    <cellStyle name="Linked Cell 21 4 2 7 2 2" xfId="23154" xr:uid="{201466B0-CEDF-4009-9027-69FC58D319A8}"/>
    <cellStyle name="Linked Cell 21 4 2 7 3" xfId="23155" xr:uid="{138974F7-DB30-44F9-BD5A-4DCCF2C6CDF5}"/>
    <cellStyle name="Linked Cell 21 4 2 8" xfId="23156" xr:uid="{B4FED70A-89FF-4D1F-8129-81CC780FDC5F}"/>
    <cellStyle name="Linked Cell 21 4 2 8 2" xfId="23157" xr:uid="{779217A5-7797-45C5-BF32-528DF970CF33}"/>
    <cellStyle name="Linked Cell 21 4 2 8 2 2" xfId="23158" xr:uid="{6CCC27D2-AD40-43A7-B65D-72A19D1F82F7}"/>
    <cellStyle name="Linked Cell 21 4 2 8 3" xfId="23159" xr:uid="{7876AB62-4B8F-412E-B5B6-9A96F94EF098}"/>
    <cellStyle name="Linked Cell 21 4 2 9" xfId="23160" xr:uid="{4D9DADC6-5CF3-497E-8A5B-905E62A42E15}"/>
    <cellStyle name="Linked Cell 21 4 2 9 2" xfId="23161" xr:uid="{E01F0D13-4F3B-4C6A-B0DA-D7B8C3B655EA}"/>
    <cellStyle name="Linked Cell 21 4 2 9 2 2" xfId="23162" xr:uid="{F434E6B6-9EE2-469A-B3CA-95246A2C8F69}"/>
    <cellStyle name="Linked Cell 21 4 2 9 3" xfId="23163" xr:uid="{127AE700-0DF3-4A42-A1AE-A3C6199667F0}"/>
    <cellStyle name="Linked Cell 21 4 3" xfId="23164" xr:uid="{7BEC9D02-25B4-463E-9E24-0254B3FA39D2}"/>
    <cellStyle name="Linked Cell 21 4 3 10" xfId="23165" xr:uid="{91F0B7E1-0FF4-43DE-93A4-17C9AB00752F}"/>
    <cellStyle name="Linked Cell 21 4 3 10 2" xfId="23166" xr:uid="{2419DBCB-4130-4849-A33F-706ED8AC370A}"/>
    <cellStyle name="Linked Cell 21 4 3 11" xfId="23167" xr:uid="{2C72906D-6745-4357-8C95-0CFC54EA4954}"/>
    <cellStyle name="Linked Cell 21 4 3 2" xfId="23168" xr:uid="{4853B4A6-8285-4730-92AE-18A36570BB01}"/>
    <cellStyle name="Linked Cell 21 4 3 2 2" xfId="23169" xr:uid="{0F5BC5E7-577C-4A8D-99CC-D23DC8108B9E}"/>
    <cellStyle name="Linked Cell 21 4 3 2 2 2" xfId="23170" xr:uid="{25639E81-66D5-4A30-9334-0F886E3B0A33}"/>
    <cellStyle name="Linked Cell 21 4 3 2 3" xfId="23171" xr:uid="{54334E25-D788-44E4-A60C-D714B637C6C4}"/>
    <cellStyle name="Linked Cell 21 4 3 3" xfId="23172" xr:uid="{F106DA5E-0C24-43A7-B74F-A5A6BFD24E67}"/>
    <cellStyle name="Linked Cell 21 4 3 3 2" xfId="23173" xr:uid="{D8FFDF34-512B-4533-9DFC-BFDE191A3D2A}"/>
    <cellStyle name="Linked Cell 21 4 3 3 2 2" xfId="23174" xr:uid="{957E9899-8A2C-4AA3-9E02-CB8ED8DDF612}"/>
    <cellStyle name="Linked Cell 21 4 3 3 3" xfId="23175" xr:uid="{CFBC8846-E8A8-4233-BB11-37530C016E9F}"/>
    <cellStyle name="Linked Cell 21 4 3 4" xfId="23176" xr:uid="{E00B064C-B357-451A-9E2D-969451C591A1}"/>
    <cellStyle name="Linked Cell 21 4 3 4 2" xfId="23177" xr:uid="{31333287-9B94-49BF-ABF6-7A4685306323}"/>
    <cellStyle name="Linked Cell 21 4 3 4 2 2" xfId="23178" xr:uid="{F63F30D3-4BCE-4803-9FA6-5F3EC9777D77}"/>
    <cellStyle name="Linked Cell 21 4 3 4 3" xfId="23179" xr:uid="{B1582323-9A8E-4D50-A987-B6646BD17E1C}"/>
    <cellStyle name="Linked Cell 21 4 3 5" xfId="23180" xr:uid="{A76EE3DE-BE21-4B2F-9C77-016FE07EAA94}"/>
    <cellStyle name="Linked Cell 21 4 3 5 2" xfId="23181" xr:uid="{5B2F2232-8D55-48A0-B5F2-AED047FFD4A0}"/>
    <cellStyle name="Linked Cell 21 4 3 5 2 2" xfId="23182" xr:uid="{052472BB-BF63-4679-8DE1-62CCF8A855F9}"/>
    <cellStyle name="Linked Cell 21 4 3 5 3" xfId="23183" xr:uid="{D4FB9A93-8917-4751-BE2C-19C52FAFA8F6}"/>
    <cellStyle name="Linked Cell 21 4 3 6" xfId="23184" xr:uid="{565B2075-05A0-414D-8489-6A48A1529125}"/>
    <cellStyle name="Linked Cell 21 4 3 6 2" xfId="23185" xr:uid="{F3BC9B1D-DBC9-4ADD-9256-E735F2FFA4C1}"/>
    <cellStyle name="Linked Cell 21 4 3 6 2 2" xfId="23186" xr:uid="{F65F0CCD-A383-4391-9C13-4B130E141747}"/>
    <cellStyle name="Linked Cell 21 4 3 6 3" xfId="23187" xr:uid="{99453D60-C450-485B-BE5E-14E92E972157}"/>
    <cellStyle name="Linked Cell 21 4 3 7" xfId="23188" xr:uid="{7351E6A7-7698-415D-B652-7127B09B0002}"/>
    <cellStyle name="Linked Cell 21 4 3 7 2" xfId="23189" xr:uid="{BEC614B9-3B0B-47C4-BBAB-2AF7F77CD949}"/>
    <cellStyle name="Linked Cell 21 4 3 7 2 2" xfId="23190" xr:uid="{FD1513CF-7AFC-4D4F-8013-D95E77994579}"/>
    <cellStyle name="Linked Cell 21 4 3 7 3" xfId="23191" xr:uid="{DF8F97E5-BAB9-47F7-AD28-9986E517E006}"/>
    <cellStyle name="Linked Cell 21 4 3 8" xfId="23192" xr:uid="{D7536633-E4A8-4931-AC24-617503AD6423}"/>
    <cellStyle name="Linked Cell 21 4 3 8 2" xfId="23193" xr:uid="{CB130866-EB59-4830-AB4D-EA819FCF87E5}"/>
    <cellStyle name="Linked Cell 21 4 3 8 2 2" xfId="23194" xr:uid="{2C3D6EC5-8211-4EBA-87F2-D766C786C260}"/>
    <cellStyle name="Linked Cell 21 4 3 8 3" xfId="23195" xr:uid="{9CC3CB96-E558-4EF2-B779-416C8208EDA9}"/>
    <cellStyle name="Linked Cell 21 4 3 9" xfId="23196" xr:uid="{37BD412C-091A-4071-81C9-AFCFC97D91B3}"/>
    <cellStyle name="Linked Cell 21 4 3 9 2" xfId="23197" xr:uid="{77318D99-8BD5-4172-936E-E87CEB6178BB}"/>
    <cellStyle name="Linked Cell 21 4 3 9 2 2" xfId="23198" xr:uid="{621D31B5-3181-4D74-A475-EF47E4B40957}"/>
    <cellStyle name="Linked Cell 21 4 3 9 3" xfId="23199" xr:uid="{5AA8769B-74C0-491C-8C8C-6BB2512A710C}"/>
    <cellStyle name="Linked Cell 21 4 4" xfId="23200" xr:uid="{BBEBB434-0EA5-44DA-AA38-367CC439700F}"/>
    <cellStyle name="Linked Cell 21 4 4 2" xfId="23201" xr:uid="{7FE607E4-0DA1-466B-80F2-16082B8ECC8A}"/>
    <cellStyle name="Linked Cell 21 4 4 2 2" xfId="23202" xr:uid="{FF0E4FBC-D9BB-45E2-9533-716B7CAC1DB8}"/>
    <cellStyle name="Linked Cell 21 4 4 3" xfId="23203" xr:uid="{686C5062-6144-40C7-B990-63128665BE31}"/>
    <cellStyle name="Linked Cell 21 4 5" xfId="23204" xr:uid="{B08D75E6-BB08-479D-AEA0-24493F1853B5}"/>
    <cellStyle name="Linked Cell 21 4 5 2" xfId="23205" xr:uid="{D65A1177-786A-4258-8D3C-E9F9BE2236B2}"/>
    <cellStyle name="Linked Cell 21 4 5 2 2" xfId="23206" xr:uid="{F6F663B5-AF78-4630-BDBB-1E587D1CED4A}"/>
    <cellStyle name="Linked Cell 21 4 5 3" xfId="23207" xr:uid="{C61F4413-58EB-43CC-8658-05B3772734B5}"/>
    <cellStyle name="Linked Cell 21 4 6" xfId="23208" xr:uid="{47B800D1-CD5D-4993-BAB6-A1C782FE52D6}"/>
    <cellStyle name="Linked Cell 21 4 6 2" xfId="23209" xr:uid="{C23F19FA-30A2-4EB8-AC04-6F03B9397430}"/>
    <cellStyle name="Linked Cell 21 4 6 2 2" xfId="23210" xr:uid="{8CEED807-06CD-4A67-896D-3DB0A1F27C35}"/>
    <cellStyle name="Linked Cell 21 4 6 3" xfId="23211" xr:uid="{FD44B183-E3A5-4E62-8187-1E9A84840258}"/>
    <cellStyle name="Linked Cell 21 4 7" xfId="23212" xr:uid="{A6A847A1-6721-43E2-BC32-082672B3E2C2}"/>
    <cellStyle name="Linked Cell 21 4 7 2" xfId="23213" xr:uid="{EB5830B3-0564-43EC-9054-B4ECF7FF64AD}"/>
    <cellStyle name="Linked Cell 21 4 7 2 2" xfId="23214" xr:uid="{AB34B078-59CC-4034-9520-BB6290036A83}"/>
    <cellStyle name="Linked Cell 21 4 7 3" xfId="23215" xr:uid="{ABAD7416-4A19-494E-9DEE-C9350F447496}"/>
    <cellStyle name="Linked Cell 21 4 8" xfId="23216" xr:uid="{B3DEF855-5E08-426A-AE19-8968BADC8D03}"/>
    <cellStyle name="Linked Cell 21 4 8 2" xfId="23217" xr:uid="{563540AE-FC59-48BB-A9C1-BFE0015CE19A}"/>
    <cellStyle name="Linked Cell 21 4 8 2 2" xfId="23218" xr:uid="{D5741326-F34C-4DA5-B240-5DCF2F359F02}"/>
    <cellStyle name="Linked Cell 21 4 8 3" xfId="23219" xr:uid="{28E597F4-7A52-45C5-B6E9-ECC3135C3234}"/>
    <cellStyle name="Linked Cell 21 4 9" xfId="23220" xr:uid="{77EA2989-1DBC-4853-89B7-EA82AB37EFAC}"/>
    <cellStyle name="Linked Cell 21 4 9 2" xfId="23221" xr:uid="{376D4147-37A3-42E3-9A53-9A47BDCEDC15}"/>
    <cellStyle name="Linked Cell 21 4 9 2 2" xfId="23222" xr:uid="{2A8D8BEC-81F4-439F-8671-A435B5D17148}"/>
    <cellStyle name="Linked Cell 21 4 9 3" xfId="23223" xr:uid="{74A144A4-6C9B-4007-B0A6-ADA161210D9C}"/>
    <cellStyle name="Linked Cell 22" xfId="23224" xr:uid="{609C63CC-5B5D-49FB-9F23-D4FFDF7B3218}"/>
    <cellStyle name="Linked Cell 22 2" xfId="23225" xr:uid="{D1DD2B51-85B4-467C-9C54-00EFDE8AB53B}"/>
    <cellStyle name="Linked Cell 22 2 10" xfId="23226" xr:uid="{BBDB30D6-F9A2-45FB-83A0-01B54805675B}"/>
    <cellStyle name="Linked Cell 22 2 10 2" xfId="23227" xr:uid="{54EC8DA9-10BB-4B33-BAFB-72265482E365}"/>
    <cellStyle name="Linked Cell 22 2 10 2 2" xfId="23228" xr:uid="{B4603E3F-9111-4F3F-BE1F-2FB307A3D2CE}"/>
    <cellStyle name="Linked Cell 22 2 10 3" xfId="23229" xr:uid="{44A5C8A9-9CAE-4214-85C8-3A04557D0815}"/>
    <cellStyle name="Linked Cell 22 2 11" xfId="23230" xr:uid="{15F11782-4D66-490E-ACC3-BAC272069B24}"/>
    <cellStyle name="Linked Cell 22 2 11 2" xfId="23231" xr:uid="{5D39A217-00D3-4EA8-813B-14F56DC5C8D0}"/>
    <cellStyle name="Linked Cell 22 2 11 2 2" xfId="23232" xr:uid="{BF90B4D3-A553-466C-9E13-36897AF5A19E}"/>
    <cellStyle name="Linked Cell 22 2 11 3" xfId="23233" xr:uid="{3E834664-EF8E-4290-83F8-B198F0BBAE8E}"/>
    <cellStyle name="Linked Cell 22 2 12" xfId="23234" xr:uid="{7AC8B821-5312-49DE-9C61-DB288C69DF04}"/>
    <cellStyle name="Linked Cell 22 2 12 2" xfId="23235" xr:uid="{1FBF9A6D-DFC6-4A8E-842B-3CB1D34C4F20}"/>
    <cellStyle name="Linked Cell 22 2 12 2 2" xfId="23236" xr:uid="{A97F83C9-F51A-4B1F-9208-DE3BF0154D9C}"/>
    <cellStyle name="Linked Cell 22 2 12 3" xfId="23237" xr:uid="{449A4167-15BC-456D-9F32-721B9A266F7B}"/>
    <cellStyle name="Linked Cell 22 2 13" xfId="23238" xr:uid="{E3FC7608-25B6-458F-BB2C-204357E76F92}"/>
    <cellStyle name="Linked Cell 22 2 13 2" xfId="23239" xr:uid="{66A296B7-50DC-42FC-AE61-A6528A5F4156}"/>
    <cellStyle name="Linked Cell 22 2 13 2 2" xfId="23240" xr:uid="{03DDB89A-FCA2-42D1-B22B-06F7F7ED9331}"/>
    <cellStyle name="Linked Cell 22 2 13 3" xfId="23241" xr:uid="{20F82A92-8E68-4A25-95F0-6282E149D34E}"/>
    <cellStyle name="Linked Cell 22 2 14" xfId="23242" xr:uid="{63EDC8E2-D439-4328-94A6-5E2A6CA61058}"/>
    <cellStyle name="Linked Cell 22 2 14 2" xfId="23243" xr:uid="{1B52A754-287A-40BB-B95A-5E7AB267A95B}"/>
    <cellStyle name="Linked Cell 22 2 15" xfId="23244" xr:uid="{4E64A628-02C1-42BC-9B99-AF8F10E96BD0}"/>
    <cellStyle name="Linked Cell 22 2 2" xfId="23245" xr:uid="{2F2A3DBD-8357-412A-9588-2A1F0084459C}"/>
    <cellStyle name="Linked Cell 22 2 2 10" xfId="23246" xr:uid="{AC8FE920-246E-4022-B4B6-3BB3667D42E1}"/>
    <cellStyle name="Linked Cell 22 2 2 10 2" xfId="23247" xr:uid="{540C3D36-1BAE-4BC1-A59F-53F8827AEA90}"/>
    <cellStyle name="Linked Cell 22 2 2 10 2 2" xfId="23248" xr:uid="{7C442185-877F-4564-B058-CFA1BD300CA9}"/>
    <cellStyle name="Linked Cell 22 2 2 10 3" xfId="23249" xr:uid="{B2AD0094-7EB3-4910-9659-0001325A15B1}"/>
    <cellStyle name="Linked Cell 22 2 2 11" xfId="23250" xr:uid="{E409EF03-4407-4654-B2C6-A39D937F90FC}"/>
    <cellStyle name="Linked Cell 22 2 2 11 2" xfId="23251" xr:uid="{B3C41D08-2835-4ACE-9F41-E2B0F7A00E72}"/>
    <cellStyle name="Linked Cell 22 2 2 11 2 2" xfId="23252" xr:uid="{4AABD4F5-3891-4C05-879E-88DA65C278A8}"/>
    <cellStyle name="Linked Cell 22 2 2 11 3" xfId="23253" xr:uid="{02A218C0-75EA-409B-BD36-201E7EB83E54}"/>
    <cellStyle name="Linked Cell 22 2 2 12" xfId="23254" xr:uid="{2EB5584E-6F0E-4A3C-B7D8-66DD19815B19}"/>
    <cellStyle name="Linked Cell 22 2 2 12 2" xfId="23255" xr:uid="{B0230290-F6F1-4D1F-9B2F-BAFC1FAA01C5}"/>
    <cellStyle name="Linked Cell 22 2 2 12 2 2" xfId="23256" xr:uid="{FD0DAAFD-4D84-4578-BF90-E6C7E8313B2B}"/>
    <cellStyle name="Linked Cell 22 2 2 12 3" xfId="23257" xr:uid="{5582EA5A-58E8-4DC9-826D-61D1755A6F0A}"/>
    <cellStyle name="Linked Cell 22 2 2 13" xfId="23258" xr:uid="{A8A20AF1-A7E6-4990-A393-BC3DC4105113}"/>
    <cellStyle name="Linked Cell 22 2 2 13 2" xfId="23259" xr:uid="{2047A658-9365-4363-A67A-D7B5D09E0F64}"/>
    <cellStyle name="Linked Cell 22 2 2 14" xfId="23260" xr:uid="{6A75C8DA-F2C8-4304-B3A0-B132F09ADF74}"/>
    <cellStyle name="Linked Cell 22 2 2 2" xfId="23261" xr:uid="{A048F45D-9E3A-4BA8-AD99-5F8157275C9F}"/>
    <cellStyle name="Linked Cell 22 2 2 2 10" xfId="23262" xr:uid="{A29C9CAD-C296-4AE5-BEE4-A3DA43C7D7CD}"/>
    <cellStyle name="Linked Cell 22 2 2 2 10 2" xfId="23263" xr:uid="{C930BE74-90FE-4E6A-BBAB-FD73EE31D8EF}"/>
    <cellStyle name="Linked Cell 22 2 2 2 10 2 2" xfId="23264" xr:uid="{CFC3CC48-FFAE-462D-81FA-64E6E19B6302}"/>
    <cellStyle name="Linked Cell 22 2 2 2 10 3" xfId="23265" xr:uid="{A2634718-7613-4C05-B7FA-2F92935C8B8D}"/>
    <cellStyle name="Linked Cell 22 2 2 2 11" xfId="23266" xr:uid="{245E5315-2B4E-491E-9964-F896162C4E11}"/>
    <cellStyle name="Linked Cell 22 2 2 2 11 2" xfId="23267" xr:uid="{7CFB01FA-7D1C-47BF-B9D8-CA2FFDA45471}"/>
    <cellStyle name="Linked Cell 22 2 2 2 11 2 2" xfId="23268" xr:uid="{A17070C2-8996-4EDE-B968-2B2789C407BF}"/>
    <cellStyle name="Linked Cell 22 2 2 2 11 3" xfId="23269" xr:uid="{0B6085C2-6EC2-4D50-83F9-899C1E9A1600}"/>
    <cellStyle name="Linked Cell 22 2 2 2 12" xfId="23270" xr:uid="{029F6BAA-77A3-4F84-8ABA-AC4653B61281}"/>
    <cellStyle name="Linked Cell 22 2 2 2 12 2" xfId="23271" xr:uid="{324871E2-B917-44F3-B09E-51274183E78E}"/>
    <cellStyle name="Linked Cell 22 2 2 2 13" xfId="23272" xr:uid="{B57D7E8C-D957-4608-A0EA-FB045E5C827D}"/>
    <cellStyle name="Linked Cell 22 2 2 2 2" xfId="23273" xr:uid="{E214768A-9DD1-48AE-87F4-FB0A3EDF76BF}"/>
    <cellStyle name="Linked Cell 22 2 2 2 2 10" xfId="23274" xr:uid="{D882426A-6F80-4449-90AE-D9B5F75C0017}"/>
    <cellStyle name="Linked Cell 22 2 2 2 2 10 2" xfId="23275" xr:uid="{8346B3F7-3095-4D7F-8F78-0F90E2DE4CD9}"/>
    <cellStyle name="Linked Cell 22 2 2 2 2 10 2 2" xfId="23276" xr:uid="{A646EB6C-90A8-4B0B-922E-7A0C2D13D783}"/>
    <cellStyle name="Linked Cell 22 2 2 2 2 10 3" xfId="23277" xr:uid="{29EF7ED1-2206-43C6-9CB2-F7A45C592E2A}"/>
    <cellStyle name="Linked Cell 22 2 2 2 2 11" xfId="23278" xr:uid="{78670D26-1FA0-41A6-B1D0-865EF9AF6266}"/>
    <cellStyle name="Linked Cell 22 2 2 2 2 11 2" xfId="23279" xr:uid="{B6876243-B12D-4B9C-8555-7DB6A61ECE8F}"/>
    <cellStyle name="Linked Cell 22 2 2 2 2 12" xfId="23280" xr:uid="{55C95485-48C4-4513-A126-E39DF9167B91}"/>
    <cellStyle name="Linked Cell 22 2 2 2 2 2" xfId="23281" xr:uid="{D82806D5-CAF7-442C-AFE1-115C7FF17151}"/>
    <cellStyle name="Linked Cell 22 2 2 2 2 2 2" xfId="23282" xr:uid="{6FB117B5-20D7-4B27-9D1C-67622B3B6ED6}"/>
    <cellStyle name="Linked Cell 22 2 2 2 2 2 2 2" xfId="23283" xr:uid="{CC22B650-622A-4168-B764-ACF6DCB60550}"/>
    <cellStyle name="Linked Cell 22 2 2 2 2 2 3" xfId="23284" xr:uid="{4173BD02-3CA8-4063-8A04-A1ADEBE580AA}"/>
    <cellStyle name="Linked Cell 22 2 2 2 2 3" xfId="23285" xr:uid="{645B7077-4F53-4E99-92D9-77F5E0C4F79F}"/>
    <cellStyle name="Linked Cell 22 2 2 2 2 3 2" xfId="23286" xr:uid="{F7713E72-4AA8-4D0E-9114-29C7CB7C7498}"/>
    <cellStyle name="Linked Cell 22 2 2 2 2 3 2 2" xfId="23287" xr:uid="{C52EF5FE-DADE-4ECC-8DDA-27721FCAE44B}"/>
    <cellStyle name="Linked Cell 22 2 2 2 2 3 3" xfId="23288" xr:uid="{5969A3AE-1236-452C-8DEA-FE6CEC63B159}"/>
    <cellStyle name="Linked Cell 22 2 2 2 2 4" xfId="23289" xr:uid="{224CD5C7-6BFF-49F9-9C62-0FA741302F4D}"/>
    <cellStyle name="Linked Cell 22 2 2 2 2 4 2" xfId="23290" xr:uid="{590755C5-C82A-4F83-B855-F76229BD319A}"/>
    <cellStyle name="Linked Cell 22 2 2 2 2 4 2 2" xfId="23291" xr:uid="{095FFF3C-5562-47C5-9FA3-59266B1EA2B3}"/>
    <cellStyle name="Linked Cell 22 2 2 2 2 4 3" xfId="23292" xr:uid="{A821CC85-C33B-4853-8F36-9B5F4DC8337B}"/>
    <cellStyle name="Linked Cell 22 2 2 2 2 5" xfId="23293" xr:uid="{4B76E3C5-A018-4766-97AF-0E95D9638947}"/>
    <cellStyle name="Linked Cell 22 2 2 2 2 5 2" xfId="23294" xr:uid="{1D5A350B-BAAC-4BEC-8D1E-41BF6E763DA8}"/>
    <cellStyle name="Linked Cell 22 2 2 2 2 5 2 2" xfId="23295" xr:uid="{D0E7C915-D533-48D1-88DA-2A226759B739}"/>
    <cellStyle name="Linked Cell 22 2 2 2 2 5 3" xfId="23296" xr:uid="{275F1EDE-3C8D-470F-9950-99055A29E59A}"/>
    <cellStyle name="Linked Cell 22 2 2 2 2 6" xfId="23297" xr:uid="{26093915-D56E-4BD1-9E6F-543A1153EAAD}"/>
    <cellStyle name="Linked Cell 22 2 2 2 2 6 2" xfId="23298" xr:uid="{E1F6DBC7-64AE-4632-B524-0D2B3283FAE0}"/>
    <cellStyle name="Linked Cell 22 2 2 2 2 6 2 2" xfId="23299" xr:uid="{2DBC1A46-26EB-44EB-9DFA-4B25C4BE7BAC}"/>
    <cellStyle name="Linked Cell 22 2 2 2 2 6 3" xfId="23300" xr:uid="{E1C4C01B-C2CC-4248-AA1E-034971A45CD7}"/>
    <cellStyle name="Linked Cell 22 2 2 2 2 7" xfId="23301" xr:uid="{5AF07F7C-B109-4F3B-812D-69DE68B571CE}"/>
    <cellStyle name="Linked Cell 22 2 2 2 2 7 2" xfId="23302" xr:uid="{568B0378-4A1B-4552-AD02-ABB3B184D44F}"/>
    <cellStyle name="Linked Cell 22 2 2 2 2 7 2 2" xfId="23303" xr:uid="{A00D3BF3-0BB8-4162-B2DD-D9DE66675EC8}"/>
    <cellStyle name="Linked Cell 22 2 2 2 2 7 3" xfId="23304" xr:uid="{50292199-1E62-4D81-8EEC-11810E67E2D3}"/>
    <cellStyle name="Linked Cell 22 2 2 2 2 8" xfId="23305" xr:uid="{9691267A-BA5B-4B69-BA30-18ADB22479BD}"/>
    <cellStyle name="Linked Cell 22 2 2 2 2 8 2" xfId="23306" xr:uid="{5D9D67AC-56F7-42C9-9677-2088AFF26118}"/>
    <cellStyle name="Linked Cell 22 2 2 2 2 8 2 2" xfId="23307" xr:uid="{C492F79D-5394-4ED7-ABCF-00C5BA661693}"/>
    <cellStyle name="Linked Cell 22 2 2 2 2 8 3" xfId="23308" xr:uid="{DEBE74D4-B68C-4F23-A81D-F6976173A1AC}"/>
    <cellStyle name="Linked Cell 22 2 2 2 2 9" xfId="23309" xr:uid="{AE7344E9-7A1E-49A5-87FA-6FAD43ECFBBF}"/>
    <cellStyle name="Linked Cell 22 2 2 2 2 9 2" xfId="23310" xr:uid="{61F4AEE2-8FF8-427D-9106-ABDE3C13BA3D}"/>
    <cellStyle name="Linked Cell 22 2 2 2 2 9 2 2" xfId="23311" xr:uid="{6D61633D-0740-4DC4-AAF2-D655224EFB15}"/>
    <cellStyle name="Linked Cell 22 2 2 2 2 9 3" xfId="23312" xr:uid="{F7BA61A6-A421-411F-A347-26C620503FAE}"/>
    <cellStyle name="Linked Cell 22 2 2 2 3" xfId="23313" xr:uid="{EA36BBED-D12C-462A-AFD9-7B97A8C28C8A}"/>
    <cellStyle name="Linked Cell 22 2 2 2 3 10" xfId="23314" xr:uid="{5A51E189-8696-4159-9CEF-61B597A38C50}"/>
    <cellStyle name="Linked Cell 22 2 2 2 3 10 2" xfId="23315" xr:uid="{917701CC-5AB1-43A5-B127-35D3D311036D}"/>
    <cellStyle name="Linked Cell 22 2 2 2 3 11" xfId="23316" xr:uid="{2CACD817-4DDF-4FDA-A755-7C403C6BF729}"/>
    <cellStyle name="Linked Cell 22 2 2 2 3 2" xfId="23317" xr:uid="{3AC42E62-2587-4B56-9029-A337AC485E22}"/>
    <cellStyle name="Linked Cell 22 2 2 2 3 2 2" xfId="23318" xr:uid="{6F0D38DA-CAA9-47D8-8E5A-CBF62D83A480}"/>
    <cellStyle name="Linked Cell 22 2 2 2 3 2 2 2" xfId="23319" xr:uid="{2957AC98-4B13-450F-BB5E-E7A9EC0B5D19}"/>
    <cellStyle name="Linked Cell 22 2 2 2 3 2 3" xfId="23320" xr:uid="{CDED6C84-7C72-4315-B0DC-A67D257C8F39}"/>
    <cellStyle name="Linked Cell 22 2 2 2 3 3" xfId="23321" xr:uid="{9CC925A4-7C57-46E2-94D9-2C1FB1DDD448}"/>
    <cellStyle name="Linked Cell 22 2 2 2 3 3 2" xfId="23322" xr:uid="{EFAD072F-F1B0-4628-8C44-793DA8920413}"/>
    <cellStyle name="Linked Cell 22 2 2 2 3 3 2 2" xfId="23323" xr:uid="{DEF01BB1-D76B-4E6D-BCD3-7AA5E5B224FB}"/>
    <cellStyle name="Linked Cell 22 2 2 2 3 3 3" xfId="23324" xr:uid="{D643427E-ABCB-4A48-833D-7567D09850E0}"/>
    <cellStyle name="Linked Cell 22 2 2 2 3 4" xfId="23325" xr:uid="{5EF35EBE-B9A6-4C42-A5B5-48638DFCE6D9}"/>
    <cellStyle name="Linked Cell 22 2 2 2 3 4 2" xfId="23326" xr:uid="{A35150D0-D741-4297-B72B-982D9286BE7D}"/>
    <cellStyle name="Linked Cell 22 2 2 2 3 4 2 2" xfId="23327" xr:uid="{ED4BF3F4-8C51-46AE-8B5B-BD7D91F287E3}"/>
    <cellStyle name="Linked Cell 22 2 2 2 3 4 3" xfId="23328" xr:uid="{A23B4E60-EE10-458F-9313-F6EFC3706D3E}"/>
    <cellStyle name="Linked Cell 22 2 2 2 3 5" xfId="23329" xr:uid="{2768F720-6501-442F-8273-6982E963F6ED}"/>
    <cellStyle name="Linked Cell 22 2 2 2 3 5 2" xfId="23330" xr:uid="{88D4CC97-0DEC-4BF3-9519-137CF264B0AA}"/>
    <cellStyle name="Linked Cell 22 2 2 2 3 5 2 2" xfId="23331" xr:uid="{70C8C240-8955-4E88-B17A-B88CB8E71FC3}"/>
    <cellStyle name="Linked Cell 22 2 2 2 3 5 3" xfId="23332" xr:uid="{1BF6753C-7CE8-4995-B2C7-D3F5BFC80FA1}"/>
    <cellStyle name="Linked Cell 22 2 2 2 3 6" xfId="23333" xr:uid="{F95EA38C-1B60-4C34-A09B-B54F615FA227}"/>
    <cellStyle name="Linked Cell 22 2 2 2 3 6 2" xfId="23334" xr:uid="{DF3A0D63-6ADC-44AD-B0E5-14BC268EC606}"/>
    <cellStyle name="Linked Cell 22 2 2 2 3 6 2 2" xfId="23335" xr:uid="{3F480CA7-FFD6-40C2-AE69-027E84164DAC}"/>
    <cellStyle name="Linked Cell 22 2 2 2 3 6 3" xfId="23336" xr:uid="{546A6B18-5D43-4804-9668-4B0FFF2CC857}"/>
    <cellStyle name="Linked Cell 22 2 2 2 3 7" xfId="23337" xr:uid="{E8F2B5B7-DCF7-4ED7-9557-A228A84DEDA2}"/>
    <cellStyle name="Linked Cell 22 2 2 2 3 7 2" xfId="23338" xr:uid="{1900B42A-23DA-441D-9B48-2C00D15EB3FF}"/>
    <cellStyle name="Linked Cell 22 2 2 2 3 7 2 2" xfId="23339" xr:uid="{9A0DEC7C-6C6F-4601-8118-490CF3C81AD1}"/>
    <cellStyle name="Linked Cell 22 2 2 2 3 7 3" xfId="23340" xr:uid="{B4C25716-DE43-48B0-B383-D533178FD03C}"/>
    <cellStyle name="Linked Cell 22 2 2 2 3 8" xfId="23341" xr:uid="{9854AE24-9C4C-490D-9849-ED33658DD1A0}"/>
    <cellStyle name="Linked Cell 22 2 2 2 3 8 2" xfId="23342" xr:uid="{F143BA85-8B4D-4FBA-9571-01E0ACB5E5A1}"/>
    <cellStyle name="Linked Cell 22 2 2 2 3 8 2 2" xfId="23343" xr:uid="{AA055A75-91D2-478D-B8FA-307A06ABA975}"/>
    <cellStyle name="Linked Cell 22 2 2 2 3 8 3" xfId="23344" xr:uid="{8AC53293-E77E-4678-94FD-E3CEAFF2C8C1}"/>
    <cellStyle name="Linked Cell 22 2 2 2 3 9" xfId="23345" xr:uid="{B9B11E1C-5DAD-4002-8A0E-BA2332267522}"/>
    <cellStyle name="Linked Cell 22 2 2 2 3 9 2" xfId="23346" xr:uid="{C4CD9B9D-898F-42A1-8806-FAA0FBB204F9}"/>
    <cellStyle name="Linked Cell 22 2 2 2 3 9 2 2" xfId="23347" xr:uid="{93554201-7F14-4603-96CF-7BA4127696B3}"/>
    <cellStyle name="Linked Cell 22 2 2 2 3 9 3" xfId="23348" xr:uid="{DFB98011-F8BF-425E-B55B-50566475E04E}"/>
    <cellStyle name="Linked Cell 22 2 2 2 4" xfId="23349" xr:uid="{86C58FEB-969C-4499-825B-6864934466E1}"/>
    <cellStyle name="Linked Cell 22 2 2 2 4 2" xfId="23350" xr:uid="{C35001FE-6718-4BDD-A1FB-B9D7AB63CF5C}"/>
    <cellStyle name="Linked Cell 22 2 2 2 4 2 2" xfId="23351" xr:uid="{859B8F00-3AFA-4F88-99B5-FB34A4935E7C}"/>
    <cellStyle name="Linked Cell 22 2 2 2 4 3" xfId="23352" xr:uid="{EE842DC7-2ACA-422F-9CED-F2A3B183B710}"/>
    <cellStyle name="Linked Cell 22 2 2 2 5" xfId="23353" xr:uid="{4F28687F-535B-4B1A-9D64-75A5FE761067}"/>
    <cellStyle name="Linked Cell 22 2 2 2 5 2" xfId="23354" xr:uid="{67F502B3-A8A6-49AA-B687-C448B981B362}"/>
    <cellStyle name="Linked Cell 22 2 2 2 5 2 2" xfId="23355" xr:uid="{7CFB082F-0A07-4DFB-AC33-D26F62CA3E82}"/>
    <cellStyle name="Linked Cell 22 2 2 2 5 3" xfId="23356" xr:uid="{CAFB81FF-002B-4BDB-9F40-82B2448269CC}"/>
    <cellStyle name="Linked Cell 22 2 2 2 6" xfId="23357" xr:uid="{6050D23D-D8A1-4A19-9534-E8A2A2AA661B}"/>
    <cellStyle name="Linked Cell 22 2 2 2 6 2" xfId="23358" xr:uid="{C839E752-73D7-49D2-957B-B660A462B64B}"/>
    <cellStyle name="Linked Cell 22 2 2 2 6 2 2" xfId="23359" xr:uid="{A5CC0D78-5B4F-4638-8C39-2666B87BC532}"/>
    <cellStyle name="Linked Cell 22 2 2 2 6 3" xfId="23360" xr:uid="{2E626B39-EAFE-4223-81CF-809035A74B1B}"/>
    <cellStyle name="Linked Cell 22 2 2 2 7" xfId="23361" xr:uid="{A5A36920-B117-47A7-BFE4-014324DC5BF2}"/>
    <cellStyle name="Linked Cell 22 2 2 2 7 2" xfId="23362" xr:uid="{DE717962-AAAB-4893-A2D9-18BDEE64DD3E}"/>
    <cellStyle name="Linked Cell 22 2 2 2 7 2 2" xfId="23363" xr:uid="{8B326660-F3BA-4225-93FC-F2F01161811A}"/>
    <cellStyle name="Linked Cell 22 2 2 2 7 3" xfId="23364" xr:uid="{3B9716B9-B132-4B12-B092-AB3D60764103}"/>
    <cellStyle name="Linked Cell 22 2 2 2 8" xfId="23365" xr:uid="{F35DD1D9-3E40-4738-9C33-AAD077847B2E}"/>
    <cellStyle name="Linked Cell 22 2 2 2 8 2" xfId="23366" xr:uid="{7E4F55DE-7035-45CA-B510-42564F64890C}"/>
    <cellStyle name="Linked Cell 22 2 2 2 8 2 2" xfId="23367" xr:uid="{AC83C6FA-78D1-4519-8AC2-B9327EF8371E}"/>
    <cellStyle name="Linked Cell 22 2 2 2 8 3" xfId="23368" xr:uid="{16ED74CF-70BE-4BAF-AFEB-1F574DF28298}"/>
    <cellStyle name="Linked Cell 22 2 2 2 9" xfId="23369" xr:uid="{0CBDB4FC-714D-48BE-8C5B-349AB29FCCDB}"/>
    <cellStyle name="Linked Cell 22 2 2 2 9 2" xfId="23370" xr:uid="{48CB567C-3121-43E2-991D-E95C5DAEA124}"/>
    <cellStyle name="Linked Cell 22 2 2 2 9 2 2" xfId="23371" xr:uid="{F96EB8B4-E77A-4E4F-8E8C-CF81B837FE5D}"/>
    <cellStyle name="Linked Cell 22 2 2 2 9 3" xfId="23372" xr:uid="{688B1177-FF79-4F38-8855-FEFCFFD7AC89}"/>
    <cellStyle name="Linked Cell 22 2 2 3" xfId="23373" xr:uid="{898161BA-36FC-4A32-AD0F-DA4D3EAB6460}"/>
    <cellStyle name="Linked Cell 22 2 2 3 10" xfId="23374" xr:uid="{C5130AFE-7E93-4553-BC2E-AF12FEC09FBE}"/>
    <cellStyle name="Linked Cell 22 2 2 3 10 2" xfId="23375" xr:uid="{7052D87F-95D6-4463-AA67-546828F219DC}"/>
    <cellStyle name="Linked Cell 22 2 2 3 10 2 2" xfId="23376" xr:uid="{A757F537-3B80-459F-A042-1044E569988E}"/>
    <cellStyle name="Linked Cell 22 2 2 3 10 3" xfId="23377" xr:uid="{5747C630-AA3C-4A14-BED1-305C66DB01B8}"/>
    <cellStyle name="Linked Cell 22 2 2 3 11" xfId="23378" xr:uid="{6EE94B9B-25AC-4855-847B-3F64B2BC197B}"/>
    <cellStyle name="Linked Cell 22 2 2 3 11 2" xfId="23379" xr:uid="{AFCE7A69-7E96-485B-85C3-8DDE40CA0B3C}"/>
    <cellStyle name="Linked Cell 22 2 2 3 12" xfId="23380" xr:uid="{2B269537-9DA8-4A5F-A30B-E7D858990DF0}"/>
    <cellStyle name="Linked Cell 22 2 2 3 2" xfId="23381" xr:uid="{F29D8954-F0D7-4DAC-BF30-617EB0A36104}"/>
    <cellStyle name="Linked Cell 22 2 2 3 2 10" xfId="23382" xr:uid="{E1D22EC2-A9F6-48B4-82BA-7901E8748393}"/>
    <cellStyle name="Linked Cell 22 2 2 3 2 10 2" xfId="23383" xr:uid="{106CCFF4-854F-49A9-BB19-295BB1EDF4CF}"/>
    <cellStyle name="Linked Cell 22 2 2 3 2 11" xfId="23384" xr:uid="{947D5D16-BB27-4668-A061-CCBBAD4C4506}"/>
    <cellStyle name="Linked Cell 22 2 2 3 2 2" xfId="23385" xr:uid="{2B251D71-04BD-485F-B524-8C0B43B915EA}"/>
    <cellStyle name="Linked Cell 22 2 2 3 2 2 2" xfId="23386" xr:uid="{EFAF3307-7C86-4207-9AAF-C1B849ABAEA1}"/>
    <cellStyle name="Linked Cell 22 2 2 3 2 2 2 2" xfId="23387" xr:uid="{43AC872E-2514-4194-8F2C-53AEBF915218}"/>
    <cellStyle name="Linked Cell 22 2 2 3 2 2 3" xfId="23388" xr:uid="{075D9564-874A-4E9B-BBFA-27E9BA929DD9}"/>
    <cellStyle name="Linked Cell 22 2 2 3 2 3" xfId="23389" xr:uid="{67439DD6-F1E4-4E5B-A7CE-9A82E943C201}"/>
    <cellStyle name="Linked Cell 22 2 2 3 2 3 2" xfId="23390" xr:uid="{65CA5685-B54D-4FCA-A6B7-F38149E34FB2}"/>
    <cellStyle name="Linked Cell 22 2 2 3 2 3 2 2" xfId="23391" xr:uid="{F05E819A-C097-4F1E-9836-8FC42079F14D}"/>
    <cellStyle name="Linked Cell 22 2 2 3 2 3 3" xfId="23392" xr:uid="{687E3A61-5165-404D-8B84-CA57B53ADAAC}"/>
    <cellStyle name="Linked Cell 22 2 2 3 2 4" xfId="23393" xr:uid="{79877796-986E-4FFD-A8DD-F4EFB1DC837B}"/>
    <cellStyle name="Linked Cell 22 2 2 3 2 4 2" xfId="23394" xr:uid="{D172A57D-7821-44F4-AC85-635FBBCE5B70}"/>
    <cellStyle name="Linked Cell 22 2 2 3 2 4 2 2" xfId="23395" xr:uid="{1703A342-57CF-4456-8180-101FB3FE720B}"/>
    <cellStyle name="Linked Cell 22 2 2 3 2 4 3" xfId="23396" xr:uid="{9A4C1B92-2866-4D0F-87EE-289F5D5F263C}"/>
    <cellStyle name="Linked Cell 22 2 2 3 2 5" xfId="23397" xr:uid="{04BA116B-8668-4ADB-9AC4-0ADCDDD3453E}"/>
    <cellStyle name="Linked Cell 22 2 2 3 2 5 2" xfId="23398" xr:uid="{88CB7815-1E08-4AF5-883A-4ECCFD6621B5}"/>
    <cellStyle name="Linked Cell 22 2 2 3 2 5 2 2" xfId="23399" xr:uid="{55150342-2F37-4193-A3CF-DB49BD689692}"/>
    <cellStyle name="Linked Cell 22 2 2 3 2 5 3" xfId="23400" xr:uid="{5463E664-EB13-4B4B-8C7E-AD02E63A4E48}"/>
    <cellStyle name="Linked Cell 22 2 2 3 2 6" xfId="23401" xr:uid="{1B8D6B37-917F-4F80-B5BB-4F6C7D46D7EB}"/>
    <cellStyle name="Linked Cell 22 2 2 3 2 6 2" xfId="23402" xr:uid="{D2AC08B8-FB05-4B6A-99E4-AB8353361B56}"/>
    <cellStyle name="Linked Cell 22 2 2 3 2 6 2 2" xfId="23403" xr:uid="{E987FD71-0DC8-4124-B524-499402109B2B}"/>
    <cellStyle name="Linked Cell 22 2 2 3 2 6 3" xfId="23404" xr:uid="{FEBF1BB3-B1A8-494A-9BBE-B2CA9638FF96}"/>
    <cellStyle name="Linked Cell 22 2 2 3 2 7" xfId="23405" xr:uid="{FC876D6C-F13A-4D31-A2EF-D263118D3282}"/>
    <cellStyle name="Linked Cell 22 2 2 3 2 7 2" xfId="23406" xr:uid="{3320F0C4-5393-4E44-92D0-A42F247CF3AE}"/>
    <cellStyle name="Linked Cell 22 2 2 3 2 7 2 2" xfId="23407" xr:uid="{3D7D0902-4616-4ABD-95BD-AE59D613854E}"/>
    <cellStyle name="Linked Cell 22 2 2 3 2 7 3" xfId="23408" xr:uid="{24907E5B-D294-44FB-952B-E6A5B997F212}"/>
    <cellStyle name="Linked Cell 22 2 2 3 2 8" xfId="23409" xr:uid="{5E4183D7-890F-4000-9AB6-E88751C6721B}"/>
    <cellStyle name="Linked Cell 22 2 2 3 2 8 2" xfId="23410" xr:uid="{F93EF985-EA1A-435F-B4B8-E0C79B0D1B88}"/>
    <cellStyle name="Linked Cell 22 2 2 3 2 8 2 2" xfId="23411" xr:uid="{A02569B7-FBB0-4483-BA70-DACC88CC3DAA}"/>
    <cellStyle name="Linked Cell 22 2 2 3 2 8 3" xfId="23412" xr:uid="{AE22F355-269A-4140-977B-363E2187EFAB}"/>
    <cellStyle name="Linked Cell 22 2 2 3 2 9" xfId="23413" xr:uid="{4D5760E4-D586-4DF7-A455-DD592A102A71}"/>
    <cellStyle name="Linked Cell 22 2 2 3 2 9 2" xfId="23414" xr:uid="{FDB631E4-5276-4F74-B1F2-10BB7303F707}"/>
    <cellStyle name="Linked Cell 22 2 2 3 2 9 2 2" xfId="23415" xr:uid="{10EB6D06-2936-415C-BBE7-BAAA8D239F10}"/>
    <cellStyle name="Linked Cell 22 2 2 3 2 9 3" xfId="23416" xr:uid="{DB08823F-5B8B-4620-9A09-7C8D706A8AC5}"/>
    <cellStyle name="Linked Cell 22 2 2 3 3" xfId="23417" xr:uid="{A3EF1D3B-94E8-42FC-A87B-4901043E7F3F}"/>
    <cellStyle name="Linked Cell 22 2 2 3 3 2" xfId="23418" xr:uid="{062B529F-4BDA-47F0-97B9-7F64A58BDCED}"/>
    <cellStyle name="Linked Cell 22 2 2 3 3 2 2" xfId="23419" xr:uid="{F10B9012-BF18-484A-80BE-0C1E4B809ED9}"/>
    <cellStyle name="Linked Cell 22 2 2 3 3 3" xfId="23420" xr:uid="{8D6680F6-8F7F-406B-B743-437995ACCAF9}"/>
    <cellStyle name="Linked Cell 22 2 2 3 4" xfId="23421" xr:uid="{B9ECF1EA-FE76-4F48-8AA4-04683FA2F9AC}"/>
    <cellStyle name="Linked Cell 22 2 2 3 4 2" xfId="23422" xr:uid="{D48A5CFC-FFDB-4A4D-8D7A-9B7F276059F7}"/>
    <cellStyle name="Linked Cell 22 2 2 3 4 2 2" xfId="23423" xr:uid="{8E89A7A8-B2E9-494A-9395-F0E2B8F94EE0}"/>
    <cellStyle name="Linked Cell 22 2 2 3 4 3" xfId="23424" xr:uid="{85D691E4-EBED-4579-8FC9-A18E893336E9}"/>
    <cellStyle name="Linked Cell 22 2 2 3 5" xfId="23425" xr:uid="{4450B9F3-D9CC-42A4-B326-E2EA1449BD02}"/>
    <cellStyle name="Linked Cell 22 2 2 3 5 2" xfId="23426" xr:uid="{7C901270-96A4-47DF-9565-494E3150B39C}"/>
    <cellStyle name="Linked Cell 22 2 2 3 5 2 2" xfId="23427" xr:uid="{2E2FC49D-9586-4988-8D76-0A952DA90B23}"/>
    <cellStyle name="Linked Cell 22 2 2 3 5 3" xfId="23428" xr:uid="{35ADDA2C-FA40-4C18-8A7E-87CEC67B582F}"/>
    <cellStyle name="Linked Cell 22 2 2 3 6" xfId="23429" xr:uid="{C6AEB3C3-7A90-4098-AFB3-A93815D4DB38}"/>
    <cellStyle name="Linked Cell 22 2 2 3 6 2" xfId="23430" xr:uid="{B2BF7BE2-2200-4255-883C-9CF31B29FA18}"/>
    <cellStyle name="Linked Cell 22 2 2 3 6 2 2" xfId="23431" xr:uid="{2CAA88B7-7EF1-49ED-A27A-8AD6D0E7DC76}"/>
    <cellStyle name="Linked Cell 22 2 2 3 6 3" xfId="23432" xr:uid="{44073CF9-767F-4AB9-9658-B621DC854A83}"/>
    <cellStyle name="Linked Cell 22 2 2 3 7" xfId="23433" xr:uid="{5A0E4263-AAC5-41EE-AC8A-7119C1D78A70}"/>
    <cellStyle name="Linked Cell 22 2 2 3 7 2" xfId="23434" xr:uid="{57EFCA68-6BEB-4982-A709-AF9BAB537AD8}"/>
    <cellStyle name="Linked Cell 22 2 2 3 7 2 2" xfId="23435" xr:uid="{BFAAD3BB-DA9D-4202-A106-5C7DE005B93C}"/>
    <cellStyle name="Linked Cell 22 2 2 3 7 3" xfId="23436" xr:uid="{C4BB657D-CFE7-4333-B7A2-4224E6E9352D}"/>
    <cellStyle name="Linked Cell 22 2 2 3 8" xfId="23437" xr:uid="{AEB4B237-B811-43DF-BEC0-D82F5C92EAF4}"/>
    <cellStyle name="Linked Cell 22 2 2 3 8 2" xfId="23438" xr:uid="{0003E05C-1137-4938-BA53-535A0CB26B12}"/>
    <cellStyle name="Linked Cell 22 2 2 3 8 2 2" xfId="23439" xr:uid="{6D1E1E71-C205-470B-A5D3-12BECEFC2C59}"/>
    <cellStyle name="Linked Cell 22 2 2 3 8 3" xfId="23440" xr:uid="{E1F4A3D4-5ED7-40DA-BFDB-4121C076F0A8}"/>
    <cellStyle name="Linked Cell 22 2 2 3 9" xfId="23441" xr:uid="{CBB1354F-12B3-4DA0-97A9-1D3A2B29EB13}"/>
    <cellStyle name="Linked Cell 22 2 2 3 9 2" xfId="23442" xr:uid="{2C83AFB1-852F-42FD-B56F-8645C47A075B}"/>
    <cellStyle name="Linked Cell 22 2 2 3 9 2 2" xfId="23443" xr:uid="{30531E7A-0B9A-4728-B8C3-97EA7CE7EF5E}"/>
    <cellStyle name="Linked Cell 22 2 2 3 9 3" xfId="23444" xr:uid="{DC372435-56FA-45F1-AA58-EB950ECBFECC}"/>
    <cellStyle name="Linked Cell 22 2 2 4" xfId="23445" xr:uid="{5CB4A866-1709-4650-B62A-683F2FC94826}"/>
    <cellStyle name="Linked Cell 22 2 2 4 10" xfId="23446" xr:uid="{4F826CAF-232D-4F00-94AC-5E7706B6E629}"/>
    <cellStyle name="Linked Cell 22 2 2 4 10 2" xfId="23447" xr:uid="{2F8F9BAF-95D3-48F3-9A72-4D000E06BD2C}"/>
    <cellStyle name="Linked Cell 22 2 2 4 11" xfId="23448" xr:uid="{56FB5D21-6A0C-40C6-A147-98D297EB0730}"/>
    <cellStyle name="Linked Cell 22 2 2 4 2" xfId="23449" xr:uid="{87FA980D-4DE4-4450-ABE5-98C07464EF25}"/>
    <cellStyle name="Linked Cell 22 2 2 4 2 2" xfId="23450" xr:uid="{28997E0E-1A5F-4059-8237-843D32EEC5F3}"/>
    <cellStyle name="Linked Cell 22 2 2 4 2 2 2" xfId="23451" xr:uid="{5725ACA1-063C-4A29-B1DC-B7BE37D211E8}"/>
    <cellStyle name="Linked Cell 22 2 2 4 2 3" xfId="23452" xr:uid="{61F52FA6-E947-474F-8324-2E81DBE36853}"/>
    <cellStyle name="Linked Cell 22 2 2 4 3" xfId="23453" xr:uid="{9E389301-6E8E-42C2-ACDD-5AEB02D18840}"/>
    <cellStyle name="Linked Cell 22 2 2 4 3 2" xfId="23454" xr:uid="{5776B53E-C152-4539-BD87-68BC27CBE270}"/>
    <cellStyle name="Linked Cell 22 2 2 4 3 2 2" xfId="23455" xr:uid="{82DAEAB0-5C8E-4DF8-831D-83503A8E1989}"/>
    <cellStyle name="Linked Cell 22 2 2 4 3 3" xfId="23456" xr:uid="{CDF7562A-6FE2-4E7A-854B-1315048F763D}"/>
    <cellStyle name="Linked Cell 22 2 2 4 4" xfId="23457" xr:uid="{FB1375C2-02DE-4462-96CE-D259B520701E}"/>
    <cellStyle name="Linked Cell 22 2 2 4 4 2" xfId="23458" xr:uid="{34174757-1D7B-4633-9B35-3A3637CF7671}"/>
    <cellStyle name="Linked Cell 22 2 2 4 4 2 2" xfId="23459" xr:uid="{36DF8C75-CD4D-48EA-8060-FC2945925785}"/>
    <cellStyle name="Linked Cell 22 2 2 4 4 3" xfId="23460" xr:uid="{BB5CA99A-4692-4556-AB00-2D7CBA708417}"/>
    <cellStyle name="Linked Cell 22 2 2 4 5" xfId="23461" xr:uid="{581702D1-6D17-494E-AF38-D9C17D62175B}"/>
    <cellStyle name="Linked Cell 22 2 2 4 5 2" xfId="23462" xr:uid="{A4106C97-2AE7-4BFF-8A3C-AEFD8A2054E0}"/>
    <cellStyle name="Linked Cell 22 2 2 4 5 2 2" xfId="23463" xr:uid="{EA6D87BD-19D3-40DE-A2CE-5E797ACBFD07}"/>
    <cellStyle name="Linked Cell 22 2 2 4 5 3" xfId="23464" xr:uid="{4F511FC1-15F1-457C-B46E-3870F8306CFA}"/>
    <cellStyle name="Linked Cell 22 2 2 4 6" xfId="23465" xr:uid="{83CA99F0-B108-41B2-A6FA-0245A09C9869}"/>
    <cellStyle name="Linked Cell 22 2 2 4 6 2" xfId="23466" xr:uid="{8026E164-185E-441A-90B8-AE9433A0EE90}"/>
    <cellStyle name="Linked Cell 22 2 2 4 6 2 2" xfId="23467" xr:uid="{247BC936-A9D5-4215-AC9C-2798EA1D36CB}"/>
    <cellStyle name="Linked Cell 22 2 2 4 6 3" xfId="23468" xr:uid="{A152ADE0-735F-4327-8EBB-5F4ABBFC0D32}"/>
    <cellStyle name="Linked Cell 22 2 2 4 7" xfId="23469" xr:uid="{351F6658-082E-4BE3-99BE-00CA5BAF78ED}"/>
    <cellStyle name="Linked Cell 22 2 2 4 7 2" xfId="23470" xr:uid="{9B7CE4DB-2138-4BE6-BFEF-ADEBBB2861A7}"/>
    <cellStyle name="Linked Cell 22 2 2 4 7 2 2" xfId="23471" xr:uid="{4E554C02-CEC7-44F0-AF56-9D58E347F202}"/>
    <cellStyle name="Linked Cell 22 2 2 4 7 3" xfId="23472" xr:uid="{EB005339-0F33-4486-96E8-5A048818D66A}"/>
    <cellStyle name="Linked Cell 22 2 2 4 8" xfId="23473" xr:uid="{3DE0B5C8-5465-46E4-89E1-FBEC982890E0}"/>
    <cellStyle name="Linked Cell 22 2 2 4 8 2" xfId="23474" xr:uid="{869E2A58-DF6A-4AF9-8267-04AF9E8E6586}"/>
    <cellStyle name="Linked Cell 22 2 2 4 8 2 2" xfId="23475" xr:uid="{025ABC2F-7B23-4E61-A2AC-A820ECBD588B}"/>
    <cellStyle name="Linked Cell 22 2 2 4 8 3" xfId="23476" xr:uid="{3D38038E-AC78-4115-A862-D12C409D3487}"/>
    <cellStyle name="Linked Cell 22 2 2 4 9" xfId="23477" xr:uid="{2EE58EEB-6C26-4D03-B936-749606EC16E7}"/>
    <cellStyle name="Linked Cell 22 2 2 4 9 2" xfId="23478" xr:uid="{CB0F7CC5-1B32-4589-BACB-0E26AEB5D933}"/>
    <cellStyle name="Linked Cell 22 2 2 4 9 2 2" xfId="23479" xr:uid="{F0C41917-D471-48B1-BE64-3421DEDAF3A0}"/>
    <cellStyle name="Linked Cell 22 2 2 4 9 3" xfId="23480" xr:uid="{289AE8E2-63A7-46B5-98E3-F0AD7E516ED4}"/>
    <cellStyle name="Linked Cell 22 2 2 5" xfId="23481" xr:uid="{A038051F-944B-45B4-9C24-9AE7E3821BC6}"/>
    <cellStyle name="Linked Cell 22 2 2 5 2" xfId="23482" xr:uid="{2D046A56-CE6E-4EE9-8104-E62AEF2DE765}"/>
    <cellStyle name="Linked Cell 22 2 2 5 2 2" xfId="23483" xr:uid="{A07C7E23-E8BF-455C-8299-EA46DB476B80}"/>
    <cellStyle name="Linked Cell 22 2 2 5 3" xfId="23484" xr:uid="{EAEA778E-E914-4D2E-AE24-26C9A7000AD8}"/>
    <cellStyle name="Linked Cell 22 2 2 6" xfId="23485" xr:uid="{4E6F601C-FC06-495F-B1FE-FC7EC207EA4A}"/>
    <cellStyle name="Linked Cell 22 2 2 6 2" xfId="23486" xr:uid="{CA074A99-599B-468C-80FF-BDBD4B7C1439}"/>
    <cellStyle name="Linked Cell 22 2 2 6 2 2" xfId="23487" xr:uid="{B74C5C40-50C1-4454-A9F8-B270AA442A29}"/>
    <cellStyle name="Linked Cell 22 2 2 6 3" xfId="23488" xr:uid="{832B1025-2BC6-4F92-A98D-1B5D45703C35}"/>
    <cellStyle name="Linked Cell 22 2 2 7" xfId="23489" xr:uid="{813193B1-22C9-478C-B864-81B495172B81}"/>
    <cellStyle name="Linked Cell 22 2 2 7 2" xfId="23490" xr:uid="{A57B18BB-F407-4BA9-9E85-FA63BD562926}"/>
    <cellStyle name="Linked Cell 22 2 2 7 2 2" xfId="23491" xr:uid="{6A96B63C-8F64-4869-AE1F-C2A1676525E6}"/>
    <cellStyle name="Linked Cell 22 2 2 7 3" xfId="23492" xr:uid="{168B9F37-CA56-4D6A-8657-777E76D5E450}"/>
    <cellStyle name="Linked Cell 22 2 2 8" xfId="23493" xr:uid="{71332E2D-FB20-4E97-B690-0297992314A0}"/>
    <cellStyle name="Linked Cell 22 2 2 8 2" xfId="23494" xr:uid="{C301515B-2101-422E-9CA6-0A27CA3CCDB0}"/>
    <cellStyle name="Linked Cell 22 2 2 8 2 2" xfId="23495" xr:uid="{886B6C3C-6A98-4BF4-8DE3-213C0AEC3C95}"/>
    <cellStyle name="Linked Cell 22 2 2 8 3" xfId="23496" xr:uid="{9DD15C28-5238-46EC-9856-23A92A178041}"/>
    <cellStyle name="Linked Cell 22 2 2 9" xfId="23497" xr:uid="{3D48A71B-0BF6-4187-A779-B4008D1C360D}"/>
    <cellStyle name="Linked Cell 22 2 2 9 2" xfId="23498" xr:uid="{A104A625-B011-4241-9FE4-CB103856B613}"/>
    <cellStyle name="Linked Cell 22 2 2 9 2 2" xfId="23499" xr:uid="{1B15050E-94F8-4D9C-9D3F-9CFD0637CDC8}"/>
    <cellStyle name="Linked Cell 22 2 2 9 3" xfId="23500" xr:uid="{37884BC1-8B55-431C-A0F8-BEF43A196A4E}"/>
    <cellStyle name="Linked Cell 22 2 3" xfId="23501" xr:uid="{9D219A9B-5ED5-4396-89AC-1C9922DCF664}"/>
    <cellStyle name="Linked Cell 22 2 3 10" xfId="23502" xr:uid="{27C54C3C-4447-4BAA-9577-108CC26849FA}"/>
    <cellStyle name="Linked Cell 22 2 3 10 2" xfId="23503" xr:uid="{45D09051-F4D6-4834-A0F7-486AC2369273}"/>
    <cellStyle name="Linked Cell 22 2 3 10 2 2" xfId="23504" xr:uid="{0DF83E49-CBCA-4192-BA40-4012B6250031}"/>
    <cellStyle name="Linked Cell 22 2 3 10 3" xfId="23505" xr:uid="{C2E81AE7-339F-47E2-A30B-F676D5DF1138}"/>
    <cellStyle name="Linked Cell 22 2 3 11" xfId="23506" xr:uid="{71364F2F-1863-48C7-B119-1DED32F6EE82}"/>
    <cellStyle name="Linked Cell 22 2 3 11 2" xfId="23507" xr:uid="{264C6289-03FC-48F4-A68F-8DAFAA000C00}"/>
    <cellStyle name="Linked Cell 22 2 3 11 2 2" xfId="23508" xr:uid="{F165D30C-5B34-47DF-97C0-CDC53889637C}"/>
    <cellStyle name="Linked Cell 22 2 3 11 3" xfId="23509" xr:uid="{31BBCA02-D494-4BC2-BCD8-59BBCC64EB05}"/>
    <cellStyle name="Linked Cell 22 2 3 12" xfId="23510" xr:uid="{8133C7C6-89F4-481F-B753-6B9B5ADB0F75}"/>
    <cellStyle name="Linked Cell 22 2 3 12 2" xfId="23511" xr:uid="{D2FC6837-8C66-48A5-A5DA-93B4FE71B562}"/>
    <cellStyle name="Linked Cell 22 2 3 13" xfId="23512" xr:uid="{F0336549-86FE-43BF-9F0B-A6F2BEB1AC9B}"/>
    <cellStyle name="Linked Cell 22 2 3 2" xfId="23513" xr:uid="{9FAD0BE2-09EA-4661-8DDF-C739ACEF0157}"/>
    <cellStyle name="Linked Cell 22 2 3 2 10" xfId="23514" xr:uid="{F7E94670-3F04-4C8E-A46C-DF6963508A11}"/>
    <cellStyle name="Linked Cell 22 2 3 2 10 2" xfId="23515" xr:uid="{BE05901C-2D7E-4D47-B4AC-08D8313B6A1B}"/>
    <cellStyle name="Linked Cell 22 2 3 2 10 2 2" xfId="23516" xr:uid="{AE7328E1-C33A-4D0B-A446-00ED665999D4}"/>
    <cellStyle name="Linked Cell 22 2 3 2 10 3" xfId="23517" xr:uid="{929D73F2-7501-4B24-8B89-2EE0382DA18E}"/>
    <cellStyle name="Linked Cell 22 2 3 2 11" xfId="23518" xr:uid="{58D87428-9596-4E14-B5FC-E69AA2284ED5}"/>
    <cellStyle name="Linked Cell 22 2 3 2 11 2" xfId="23519" xr:uid="{EFD0F7B4-4699-4B2F-A8DA-041E71BDFA20}"/>
    <cellStyle name="Linked Cell 22 2 3 2 12" xfId="23520" xr:uid="{E28DC8F1-33F2-4B69-BD75-0B883C0450B9}"/>
    <cellStyle name="Linked Cell 22 2 3 2 2" xfId="23521" xr:uid="{57830DC0-6E72-4066-ADA5-ED0D940B5E06}"/>
    <cellStyle name="Linked Cell 22 2 3 2 2 2" xfId="23522" xr:uid="{BFE9E689-58CB-49AD-8387-F647D10FBF99}"/>
    <cellStyle name="Linked Cell 22 2 3 2 2 2 2" xfId="23523" xr:uid="{9A11E38A-46D5-484D-84D6-0A9098A9575C}"/>
    <cellStyle name="Linked Cell 22 2 3 2 2 3" xfId="23524" xr:uid="{6E30F1F8-257A-4E44-8895-79D9916B9106}"/>
    <cellStyle name="Linked Cell 22 2 3 2 3" xfId="23525" xr:uid="{DECB82DB-1294-4231-A607-A089024D20BC}"/>
    <cellStyle name="Linked Cell 22 2 3 2 3 2" xfId="23526" xr:uid="{BC002D4D-3D65-4DA9-AC41-A8D001CE353E}"/>
    <cellStyle name="Linked Cell 22 2 3 2 3 2 2" xfId="23527" xr:uid="{AC5A372E-91A6-40C9-91F9-97EF990AE4BB}"/>
    <cellStyle name="Linked Cell 22 2 3 2 3 3" xfId="23528" xr:uid="{1CA29D3E-411E-49FE-ADB6-228CF1BBCDEE}"/>
    <cellStyle name="Linked Cell 22 2 3 2 4" xfId="23529" xr:uid="{3D0111D1-4ED3-4BEA-9C21-A8A33FDB4271}"/>
    <cellStyle name="Linked Cell 22 2 3 2 4 2" xfId="23530" xr:uid="{A6625E8C-B91A-4B8B-A9E6-CC6F8BC92865}"/>
    <cellStyle name="Linked Cell 22 2 3 2 4 2 2" xfId="23531" xr:uid="{3B5327BD-8312-476F-96F1-692BE7E0FA73}"/>
    <cellStyle name="Linked Cell 22 2 3 2 4 3" xfId="23532" xr:uid="{BD06120C-3C6F-4EC6-BA0D-1BFCE573E4CB}"/>
    <cellStyle name="Linked Cell 22 2 3 2 5" xfId="23533" xr:uid="{8A4D0572-F885-4EDC-B2AF-70A59D5BC25B}"/>
    <cellStyle name="Linked Cell 22 2 3 2 5 2" xfId="23534" xr:uid="{3D27CBA6-4A14-4BF0-8AE8-A56AC33889C1}"/>
    <cellStyle name="Linked Cell 22 2 3 2 5 2 2" xfId="23535" xr:uid="{9DD31AF5-ABCA-4E59-873F-052D2E87D526}"/>
    <cellStyle name="Linked Cell 22 2 3 2 5 3" xfId="23536" xr:uid="{C97BF9EE-A05E-4F24-B091-00B4966008FA}"/>
    <cellStyle name="Linked Cell 22 2 3 2 6" xfId="23537" xr:uid="{42F05265-63B4-4A43-8E93-8056B93F07DE}"/>
    <cellStyle name="Linked Cell 22 2 3 2 6 2" xfId="23538" xr:uid="{32F70550-F324-45B3-9BBE-E1FBE0B10C92}"/>
    <cellStyle name="Linked Cell 22 2 3 2 6 2 2" xfId="23539" xr:uid="{7E63FBE5-59F3-460C-9842-AB6C9B16B957}"/>
    <cellStyle name="Linked Cell 22 2 3 2 6 3" xfId="23540" xr:uid="{404BA74C-4A58-4E9A-A890-CC10A5FE3300}"/>
    <cellStyle name="Linked Cell 22 2 3 2 7" xfId="23541" xr:uid="{9A5BD45B-8B38-4BD5-93E5-2F37E244C769}"/>
    <cellStyle name="Linked Cell 22 2 3 2 7 2" xfId="23542" xr:uid="{347C3107-6FC6-4134-B22B-C436CC1979C2}"/>
    <cellStyle name="Linked Cell 22 2 3 2 7 2 2" xfId="23543" xr:uid="{43CE2478-25DF-4A43-A77D-5C14A8C7E2E6}"/>
    <cellStyle name="Linked Cell 22 2 3 2 7 3" xfId="23544" xr:uid="{525EEAFE-215E-4742-BCFC-F45B79EA7E2F}"/>
    <cellStyle name="Linked Cell 22 2 3 2 8" xfId="23545" xr:uid="{C6F9F5C8-DECF-4AE4-A1C4-F68C6DAB52F9}"/>
    <cellStyle name="Linked Cell 22 2 3 2 8 2" xfId="23546" xr:uid="{791174C8-C89B-4993-A83B-AF29BAC42C09}"/>
    <cellStyle name="Linked Cell 22 2 3 2 8 2 2" xfId="23547" xr:uid="{AF4700E2-A963-4A10-9419-551EA3DFA9F2}"/>
    <cellStyle name="Linked Cell 22 2 3 2 8 3" xfId="23548" xr:uid="{0AB6C096-8554-4AAF-9750-ECACB05DEB35}"/>
    <cellStyle name="Linked Cell 22 2 3 2 9" xfId="23549" xr:uid="{5ECF03E9-1F9C-4B08-8B9A-40B0E632E43B}"/>
    <cellStyle name="Linked Cell 22 2 3 2 9 2" xfId="23550" xr:uid="{2FAE1306-EF03-4F31-ACFA-C897648530FE}"/>
    <cellStyle name="Linked Cell 22 2 3 2 9 2 2" xfId="23551" xr:uid="{6A89AC46-42A0-43B6-AA77-68D5921BCBB7}"/>
    <cellStyle name="Linked Cell 22 2 3 2 9 3" xfId="23552" xr:uid="{8C3C2CB4-A3D0-4286-A61C-1EC38CD8B124}"/>
    <cellStyle name="Linked Cell 22 2 3 3" xfId="23553" xr:uid="{3A590C23-D787-45BC-A630-5E3FC19F47BC}"/>
    <cellStyle name="Linked Cell 22 2 3 3 10" xfId="23554" xr:uid="{7F18514C-FFA9-49A2-94AE-49882A7B938C}"/>
    <cellStyle name="Linked Cell 22 2 3 3 10 2" xfId="23555" xr:uid="{4F6D59B0-43B9-4508-85CC-A3BC0982FFBA}"/>
    <cellStyle name="Linked Cell 22 2 3 3 11" xfId="23556" xr:uid="{AAFE7571-D39E-424B-96AA-41A4A825AD68}"/>
    <cellStyle name="Linked Cell 22 2 3 3 2" xfId="23557" xr:uid="{118F5B49-76E1-454F-A1C8-D5ACFB14B36B}"/>
    <cellStyle name="Linked Cell 22 2 3 3 2 2" xfId="23558" xr:uid="{96D14BF3-81BC-4E8D-A8AC-0134182D2C2D}"/>
    <cellStyle name="Linked Cell 22 2 3 3 2 2 2" xfId="23559" xr:uid="{DA5581E2-BE3E-411E-BB71-127106FECEC1}"/>
    <cellStyle name="Linked Cell 22 2 3 3 2 3" xfId="23560" xr:uid="{33979879-E466-420C-967E-4935F76626B0}"/>
    <cellStyle name="Linked Cell 22 2 3 3 3" xfId="23561" xr:uid="{3497AAAD-591C-43C3-AC75-3D308B9FC8DD}"/>
    <cellStyle name="Linked Cell 22 2 3 3 3 2" xfId="23562" xr:uid="{5D475564-1D8B-44AE-9FBA-0DE99D374EFC}"/>
    <cellStyle name="Linked Cell 22 2 3 3 3 2 2" xfId="23563" xr:uid="{37603CF4-F826-49C5-94B6-D1EA231D5415}"/>
    <cellStyle name="Linked Cell 22 2 3 3 3 3" xfId="23564" xr:uid="{571D52A1-FB39-4F54-99E6-7C3F5BFBDD06}"/>
    <cellStyle name="Linked Cell 22 2 3 3 4" xfId="23565" xr:uid="{BE2ACD89-9EE9-48E9-BCBA-E3D56D9EA528}"/>
    <cellStyle name="Linked Cell 22 2 3 3 4 2" xfId="23566" xr:uid="{417C87EE-AFE7-4F9B-8836-34673CA90800}"/>
    <cellStyle name="Linked Cell 22 2 3 3 4 2 2" xfId="23567" xr:uid="{96DEBDA4-EC9D-47F3-B263-C12D84D878BB}"/>
    <cellStyle name="Linked Cell 22 2 3 3 4 3" xfId="23568" xr:uid="{86AC4F3D-583E-4D60-952C-7A0F34ACCD5C}"/>
    <cellStyle name="Linked Cell 22 2 3 3 5" xfId="23569" xr:uid="{3E4EB69E-FB69-4FBB-AE37-F003CE6A273D}"/>
    <cellStyle name="Linked Cell 22 2 3 3 5 2" xfId="23570" xr:uid="{360D95D8-7604-4EF5-9793-D03F8413AA70}"/>
    <cellStyle name="Linked Cell 22 2 3 3 5 2 2" xfId="23571" xr:uid="{2507F62A-03DB-49C6-BD9D-C7BEC865B955}"/>
    <cellStyle name="Linked Cell 22 2 3 3 5 3" xfId="23572" xr:uid="{015E3F65-97C1-4E8D-ABA1-34D7C3A166E8}"/>
    <cellStyle name="Linked Cell 22 2 3 3 6" xfId="23573" xr:uid="{A82D11D6-4977-4EDE-8858-01008E248349}"/>
    <cellStyle name="Linked Cell 22 2 3 3 6 2" xfId="23574" xr:uid="{1A2AF93B-6349-46E3-ADE1-620F1B3FC1AD}"/>
    <cellStyle name="Linked Cell 22 2 3 3 6 2 2" xfId="23575" xr:uid="{8A807E40-EB99-4688-BFAD-93EC496167B2}"/>
    <cellStyle name="Linked Cell 22 2 3 3 6 3" xfId="23576" xr:uid="{9404C413-88DC-4C5B-9DA0-815F60269401}"/>
    <cellStyle name="Linked Cell 22 2 3 3 7" xfId="23577" xr:uid="{B1C81F65-AEC2-4A58-8665-9AF7FEF45991}"/>
    <cellStyle name="Linked Cell 22 2 3 3 7 2" xfId="23578" xr:uid="{5918DB80-6D18-4E2B-856B-D9DC1988322B}"/>
    <cellStyle name="Linked Cell 22 2 3 3 7 2 2" xfId="23579" xr:uid="{6918B173-EC9F-4EA5-BAE7-A0F82BE77C7B}"/>
    <cellStyle name="Linked Cell 22 2 3 3 7 3" xfId="23580" xr:uid="{C9968088-32BA-4A46-9E38-2D8E622F86B4}"/>
    <cellStyle name="Linked Cell 22 2 3 3 8" xfId="23581" xr:uid="{4A801B50-F68E-4DB4-9A31-EA034D26F40A}"/>
    <cellStyle name="Linked Cell 22 2 3 3 8 2" xfId="23582" xr:uid="{17611FCC-66EE-4DAE-AEAF-BC47067F5946}"/>
    <cellStyle name="Linked Cell 22 2 3 3 8 2 2" xfId="23583" xr:uid="{A54689FF-B25D-47C5-85A6-290D6592FF77}"/>
    <cellStyle name="Linked Cell 22 2 3 3 8 3" xfId="23584" xr:uid="{1C75A5B4-AE2C-48C8-B534-B291275BD2BA}"/>
    <cellStyle name="Linked Cell 22 2 3 3 9" xfId="23585" xr:uid="{255AE6B9-A1F4-4EF8-BE60-3835D019FC39}"/>
    <cellStyle name="Linked Cell 22 2 3 3 9 2" xfId="23586" xr:uid="{11BAE21A-3F2F-4947-B333-E9EBB81FC062}"/>
    <cellStyle name="Linked Cell 22 2 3 3 9 2 2" xfId="23587" xr:uid="{ADBC2C01-032C-43F6-B57D-76C4877FA04C}"/>
    <cellStyle name="Linked Cell 22 2 3 3 9 3" xfId="23588" xr:uid="{6506627F-AD8F-44EF-AF04-0CE54124DBE2}"/>
    <cellStyle name="Linked Cell 22 2 3 4" xfId="23589" xr:uid="{0D767C7B-5CFA-4C3F-90C1-B40A57D13586}"/>
    <cellStyle name="Linked Cell 22 2 3 4 2" xfId="23590" xr:uid="{FCECAE93-9249-4E3F-AAF5-D8E9E644A2B5}"/>
    <cellStyle name="Linked Cell 22 2 3 4 2 2" xfId="23591" xr:uid="{9534EDA6-282A-47CC-B6ED-C0362F7D686E}"/>
    <cellStyle name="Linked Cell 22 2 3 4 3" xfId="23592" xr:uid="{82C288E3-4F1B-4632-8757-035DE72DB97B}"/>
    <cellStyle name="Linked Cell 22 2 3 5" xfId="23593" xr:uid="{3A4B3903-4F62-4040-9770-E151EB54A80F}"/>
    <cellStyle name="Linked Cell 22 2 3 5 2" xfId="23594" xr:uid="{F5D3B9A5-2825-41E6-81A5-B0F958DB3770}"/>
    <cellStyle name="Linked Cell 22 2 3 5 2 2" xfId="23595" xr:uid="{DF28FE86-52AB-44C0-A44A-89E0DCD468E9}"/>
    <cellStyle name="Linked Cell 22 2 3 5 3" xfId="23596" xr:uid="{1059207D-BD57-49F5-B329-0B4C498E3228}"/>
    <cellStyle name="Linked Cell 22 2 3 6" xfId="23597" xr:uid="{456DBEF8-BDA0-412B-8A1D-750B0CE83ECE}"/>
    <cellStyle name="Linked Cell 22 2 3 6 2" xfId="23598" xr:uid="{52C7C266-4B0E-4F16-A426-315C6F47A166}"/>
    <cellStyle name="Linked Cell 22 2 3 6 2 2" xfId="23599" xr:uid="{4E20AFD4-9022-49F6-8FA6-6477CD5D2CBD}"/>
    <cellStyle name="Linked Cell 22 2 3 6 3" xfId="23600" xr:uid="{BA13B566-3486-4C1F-B800-286D2988FBC3}"/>
    <cellStyle name="Linked Cell 22 2 3 7" xfId="23601" xr:uid="{5549A9CD-1A9F-4ABD-B897-C1CB344159D6}"/>
    <cellStyle name="Linked Cell 22 2 3 7 2" xfId="23602" xr:uid="{0D23395E-0EFD-4282-8F46-A3BFC658F453}"/>
    <cellStyle name="Linked Cell 22 2 3 7 2 2" xfId="23603" xr:uid="{5D9EC51D-F288-4D21-A54F-F84307D7E2AD}"/>
    <cellStyle name="Linked Cell 22 2 3 7 3" xfId="23604" xr:uid="{4F44C8FE-A7D7-4A73-92A0-3C669455C73B}"/>
    <cellStyle name="Linked Cell 22 2 3 8" xfId="23605" xr:uid="{0730B7FB-4F92-488F-A3BD-12A474FBB04F}"/>
    <cellStyle name="Linked Cell 22 2 3 8 2" xfId="23606" xr:uid="{A67B138A-B1F2-44A3-B085-3C2C96CD6A29}"/>
    <cellStyle name="Linked Cell 22 2 3 8 2 2" xfId="23607" xr:uid="{9E4A2D39-2B86-48BA-B6C6-8D0F328A36DF}"/>
    <cellStyle name="Linked Cell 22 2 3 8 3" xfId="23608" xr:uid="{956D10CB-EE69-4D08-868A-81F2785259E2}"/>
    <cellStyle name="Linked Cell 22 2 3 9" xfId="23609" xr:uid="{F57927D5-B6BB-4F09-B0E2-E1535FEDF010}"/>
    <cellStyle name="Linked Cell 22 2 3 9 2" xfId="23610" xr:uid="{0DBA0F7D-E149-44A8-9E3C-EF0F1E5B6EB7}"/>
    <cellStyle name="Linked Cell 22 2 3 9 2 2" xfId="23611" xr:uid="{09D32E96-FFAE-4609-A51D-D4B3A6EEAC58}"/>
    <cellStyle name="Linked Cell 22 2 3 9 3" xfId="23612" xr:uid="{80FAED6B-E7C3-417D-9E0B-F8A105763178}"/>
    <cellStyle name="Linked Cell 22 2 4" xfId="23613" xr:uid="{4570E837-5BF4-40E2-907F-381D128E784B}"/>
    <cellStyle name="Linked Cell 22 2 4 10" xfId="23614" xr:uid="{6535ECE2-4D07-43B4-91D0-31D74BAC31CC}"/>
    <cellStyle name="Linked Cell 22 2 4 10 2" xfId="23615" xr:uid="{5293226B-DAA9-4659-A5CA-ACC604CF8B92}"/>
    <cellStyle name="Linked Cell 22 2 4 10 2 2" xfId="23616" xr:uid="{058F2B20-1F1A-4B04-BA39-76FD87EDF94C}"/>
    <cellStyle name="Linked Cell 22 2 4 10 3" xfId="23617" xr:uid="{1CD43B01-A3EA-4A71-80E3-DA49209E65EE}"/>
    <cellStyle name="Linked Cell 22 2 4 11" xfId="23618" xr:uid="{A599EEE9-1DA1-4D31-BC8E-0B39903B093B}"/>
    <cellStyle name="Linked Cell 22 2 4 11 2" xfId="23619" xr:uid="{7A737F47-806F-4B08-8519-FFF04B589C87}"/>
    <cellStyle name="Linked Cell 22 2 4 12" xfId="23620" xr:uid="{369C3D2F-A9E8-4813-A88E-9D37EDF2D30E}"/>
    <cellStyle name="Linked Cell 22 2 4 2" xfId="23621" xr:uid="{FCD097F9-4738-4384-ADAB-D562E48B7A1A}"/>
    <cellStyle name="Linked Cell 22 2 4 2 10" xfId="23622" xr:uid="{1053E775-9107-45DA-AE59-6912AFE4493A}"/>
    <cellStyle name="Linked Cell 22 2 4 2 10 2" xfId="23623" xr:uid="{74CA1C09-175D-4871-ADC0-F14AC1524BBC}"/>
    <cellStyle name="Linked Cell 22 2 4 2 11" xfId="23624" xr:uid="{8BCB409A-DC5F-4BBF-9371-93A417AF4DB7}"/>
    <cellStyle name="Linked Cell 22 2 4 2 2" xfId="23625" xr:uid="{8715D520-8F6F-4F9E-BB2F-FF9FB5E75E61}"/>
    <cellStyle name="Linked Cell 22 2 4 2 2 2" xfId="23626" xr:uid="{7A525338-B75A-4C90-A703-FCB815C825CD}"/>
    <cellStyle name="Linked Cell 22 2 4 2 2 2 2" xfId="23627" xr:uid="{1FD459BC-3D6C-4B4F-BC7A-3A28FEF51A13}"/>
    <cellStyle name="Linked Cell 22 2 4 2 2 3" xfId="23628" xr:uid="{F62BA3C5-6B12-456D-B5EB-FA92F6A41C92}"/>
    <cellStyle name="Linked Cell 22 2 4 2 3" xfId="23629" xr:uid="{E085526A-3958-430F-A83D-AD9CC7BA14A6}"/>
    <cellStyle name="Linked Cell 22 2 4 2 3 2" xfId="23630" xr:uid="{5FD51B1B-768B-4DBC-B923-CEBEA94074E4}"/>
    <cellStyle name="Linked Cell 22 2 4 2 3 2 2" xfId="23631" xr:uid="{43C4CE84-57BD-481A-AAD6-DC16D96626DC}"/>
    <cellStyle name="Linked Cell 22 2 4 2 3 3" xfId="23632" xr:uid="{B30F35E0-850F-445C-97ED-B99C65925C56}"/>
    <cellStyle name="Linked Cell 22 2 4 2 4" xfId="23633" xr:uid="{136E02EC-7C37-4178-8136-2080FD75C00F}"/>
    <cellStyle name="Linked Cell 22 2 4 2 4 2" xfId="23634" xr:uid="{9B99DBF1-7C70-46F6-8855-97E96265EDD6}"/>
    <cellStyle name="Linked Cell 22 2 4 2 4 2 2" xfId="23635" xr:uid="{1B5F0964-25CD-4C1B-8F87-7CABBA445DE5}"/>
    <cellStyle name="Linked Cell 22 2 4 2 4 3" xfId="23636" xr:uid="{D24F0815-11C5-43FF-885C-A0A70FAA91C2}"/>
    <cellStyle name="Linked Cell 22 2 4 2 5" xfId="23637" xr:uid="{34540334-766A-44F5-911A-3103481CCB1B}"/>
    <cellStyle name="Linked Cell 22 2 4 2 5 2" xfId="23638" xr:uid="{C4C498F9-D87B-48C1-91BA-20C6694AD327}"/>
    <cellStyle name="Linked Cell 22 2 4 2 5 2 2" xfId="23639" xr:uid="{D1CDAB45-067D-4CD1-AAE4-56389DBA2EFC}"/>
    <cellStyle name="Linked Cell 22 2 4 2 5 3" xfId="23640" xr:uid="{8DBF45A4-D1D8-4359-97F7-C654ED16DC80}"/>
    <cellStyle name="Linked Cell 22 2 4 2 6" xfId="23641" xr:uid="{414B8B41-25E9-4994-A8B5-1A8E60D6DA24}"/>
    <cellStyle name="Linked Cell 22 2 4 2 6 2" xfId="23642" xr:uid="{7376F9C8-A3E5-4D1F-9FE3-6A5B06CCD2F4}"/>
    <cellStyle name="Linked Cell 22 2 4 2 6 2 2" xfId="23643" xr:uid="{3BA3B4ED-3C89-4301-B851-9AE4308331BE}"/>
    <cellStyle name="Linked Cell 22 2 4 2 6 3" xfId="23644" xr:uid="{1B4E0343-1087-4B81-BA6A-5409B62F9C4B}"/>
    <cellStyle name="Linked Cell 22 2 4 2 7" xfId="23645" xr:uid="{BEEACA1A-BA70-4AEB-9874-531395E2B4E4}"/>
    <cellStyle name="Linked Cell 22 2 4 2 7 2" xfId="23646" xr:uid="{EAB7BB42-0FD2-4F14-B7E3-8CF77517304A}"/>
    <cellStyle name="Linked Cell 22 2 4 2 7 2 2" xfId="23647" xr:uid="{F1C9D1F9-5937-4BA1-9571-8F26702F8D1B}"/>
    <cellStyle name="Linked Cell 22 2 4 2 7 3" xfId="23648" xr:uid="{3AD155FF-2B84-4C5B-85BD-0ACD3CCCFC11}"/>
    <cellStyle name="Linked Cell 22 2 4 2 8" xfId="23649" xr:uid="{87994072-EBF0-4656-A71E-A352F330F9A5}"/>
    <cellStyle name="Linked Cell 22 2 4 2 8 2" xfId="23650" xr:uid="{2EADB6BB-50D4-4D8D-9263-41FE02A7CEEA}"/>
    <cellStyle name="Linked Cell 22 2 4 2 8 2 2" xfId="23651" xr:uid="{9A815DAC-CDBD-47F4-AB5B-4F0205D5347A}"/>
    <cellStyle name="Linked Cell 22 2 4 2 8 3" xfId="23652" xr:uid="{BDA52D10-6F3E-4347-BB85-68FCFB780802}"/>
    <cellStyle name="Linked Cell 22 2 4 2 9" xfId="23653" xr:uid="{35247DFF-2C80-4382-A7D7-1069FBA96336}"/>
    <cellStyle name="Linked Cell 22 2 4 2 9 2" xfId="23654" xr:uid="{8CEBFA22-71BB-47CF-8DE9-316B24D80A41}"/>
    <cellStyle name="Linked Cell 22 2 4 2 9 2 2" xfId="23655" xr:uid="{5DAD721A-0A68-4898-9567-B7A4AA630DAB}"/>
    <cellStyle name="Linked Cell 22 2 4 2 9 3" xfId="23656" xr:uid="{82FADC9A-8410-42DE-B9E7-9BA318811356}"/>
    <cellStyle name="Linked Cell 22 2 4 3" xfId="23657" xr:uid="{FAB749E7-802A-4E89-820E-4698F759BF6A}"/>
    <cellStyle name="Linked Cell 22 2 4 3 2" xfId="23658" xr:uid="{28201331-5E69-491A-B9C4-75BBEAE4890C}"/>
    <cellStyle name="Linked Cell 22 2 4 3 2 2" xfId="23659" xr:uid="{312D9B80-C4EB-4953-87AF-454D16844D55}"/>
    <cellStyle name="Linked Cell 22 2 4 3 3" xfId="23660" xr:uid="{BB8385F4-938B-410E-8565-9A3E5AF7D1C6}"/>
    <cellStyle name="Linked Cell 22 2 4 4" xfId="23661" xr:uid="{4706E223-9327-4AA9-9002-83DF8E72DF21}"/>
    <cellStyle name="Linked Cell 22 2 4 4 2" xfId="23662" xr:uid="{FFD6989F-B800-4DB8-80CF-A4B5ABD5F9E9}"/>
    <cellStyle name="Linked Cell 22 2 4 4 2 2" xfId="23663" xr:uid="{E339722F-BD79-47A8-B19B-1FCDCFEBA7DB}"/>
    <cellStyle name="Linked Cell 22 2 4 4 3" xfId="23664" xr:uid="{0032AE68-2884-4367-8D55-E57888D7E3CF}"/>
    <cellStyle name="Linked Cell 22 2 4 5" xfId="23665" xr:uid="{9B9CF231-7156-4412-92C4-39C53E3884DA}"/>
    <cellStyle name="Linked Cell 22 2 4 5 2" xfId="23666" xr:uid="{0F70EDEE-44BC-4641-ADA3-A94DCDB135FC}"/>
    <cellStyle name="Linked Cell 22 2 4 5 2 2" xfId="23667" xr:uid="{0F78D7DC-260D-43BF-8E18-0CC4F5FC8380}"/>
    <cellStyle name="Linked Cell 22 2 4 5 3" xfId="23668" xr:uid="{EC993CC3-65F3-4BD2-AFD2-EB8141D4B073}"/>
    <cellStyle name="Linked Cell 22 2 4 6" xfId="23669" xr:uid="{4AED0AC9-26FA-4F0B-9BA0-2601781B1787}"/>
    <cellStyle name="Linked Cell 22 2 4 6 2" xfId="23670" xr:uid="{EA53F8D3-5153-4F39-9BE1-F77A15FF0868}"/>
    <cellStyle name="Linked Cell 22 2 4 6 2 2" xfId="23671" xr:uid="{800CB209-7822-4CD4-9C50-595E731EE888}"/>
    <cellStyle name="Linked Cell 22 2 4 6 3" xfId="23672" xr:uid="{47DBB890-DD6E-45DA-B6BD-19572E9FDF3C}"/>
    <cellStyle name="Linked Cell 22 2 4 7" xfId="23673" xr:uid="{51D41183-D485-46A3-AA38-D90D12B2E0D5}"/>
    <cellStyle name="Linked Cell 22 2 4 7 2" xfId="23674" xr:uid="{7E9D55EF-9FAD-48AA-BF91-5EC96B21ECD2}"/>
    <cellStyle name="Linked Cell 22 2 4 7 2 2" xfId="23675" xr:uid="{BA547F67-9E1C-495C-9CA0-EBDEF0809016}"/>
    <cellStyle name="Linked Cell 22 2 4 7 3" xfId="23676" xr:uid="{B05CF895-481D-424E-82DF-867DB454D68F}"/>
    <cellStyle name="Linked Cell 22 2 4 8" xfId="23677" xr:uid="{62110F9C-2690-43B0-810B-7709B351745A}"/>
    <cellStyle name="Linked Cell 22 2 4 8 2" xfId="23678" xr:uid="{B46FFFEE-6C7E-4FC5-8049-E68E3DE912FD}"/>
    <cellStyle name="Linked Cell 22 2 4 8 2 2" xfId="23679" xr:uid="{8AFA0120-56B7-47B1-9BD7-F01465C1B745}"/>
    <cellStyle name="Linked Cell 22 2 4 8 3" xfId="23680" xr:uid="{A4B3FA50-6091-4CBD-A626-B6A6C4355F71}"/>
    <cellStyle name="Linked Cell 22 2 4 9" xfId="23681" xr:uid="{7321BA9F-893C-4E2D-8CFC-9A4E909BD2DC}"/>
    <cellStyle name="Linked Cell 22 2 4 9 2" xfId="23682" xr:uid="{F8C2D723-0864-4162-A248-E175863D91E9}"/>
    <cellStyle name="Linked Cell 22 2 4 9 2 2" xfId="23683" xr:uid="{977C0312-5D77-4C4B-9575-E2EC3FD172BF}"/>
    <cellStyle name="Linked Cell 22 2 4 9 3" xfId="23684" xr:uid="{D0B6A5B2-503D-4BE2-AA49-BF06C18517FA}"/>
    <cellStyle name="Linked Cell 22 2 5" xfId="23685" xr:uid="{F28DB4D0-DBC3-440A-8670-F4C56A779E69}"/>
    <cellStyle name="Linked Cell 22 2 5 10" xfId="23686" xr:uid="{25EE8269-404E-4E83-8262-1BEFF3051FD5}"/>
    <cellStyle name="Linked Cell 22 2 5 10 2" xfId="23687" xr:uid="{1B87514A-0A35-47EE-B062-A969840112D7}"/>
    <cellStyle name="Linked Cell 22 2 5 11" xfId="23688" xr:uid="{8BAE8354-E78C-4207-97F1-01A569A727D0}"/>
    <cellStyle name="Linked Cell 22 2 5 2" xfId="23689" xr:uid="{F0DA5663-1FD7-45D4-BA6E-061BCF084BF3}"/>
    <cellStyle name="Linked Cell 22 2 5 2 2" xfId="23690" xr:uid="{691D3EC9-77CC-4E6C-A49B-A83C1C6CD5BD}"/>
    <cellStyle name="Linked Cell 22 2 5 2 2 2" xfId="23691" xr:uid="{3AA81B5C-80E2-4C5A-B448-96E23E07F06F}"/>
    <cellStyle name="Linked Cell 22 2 5 2 3" xfId="23692" xr:uid="{A34B55E2-D8BB-46F7-B1DB-FB11D0A69C0F}"/>
    <cellStyle name="Linked Cell 22 2 5 3" xfId="23693" xr:uid="{CE9381FC-AB3A-431B-971C-505B24F692BE}"/>
    <cellStyle name="Linked Cell 22 2 5 3 2" xfId="23694" xr:uid="{7F7C2BBE-17DE-4CE8-B3E4-85E0B3D7358B}"/>
    <cellStyle name="Linked Cell 22 2 5 3 2 2" xfId="23695" xr:uid="{5D885D89-8556-434B-A029-FADD3FBE4399}"/>
    <cellStyle name="Linked Cell 22 2 5 3 3" xfId="23696" xr:uid="{1C453D59-E540-49AD-8151-F51C09FF7379}"/>
    <cellStyle name="Linked Cell 22 2 5 4" xfId="23697" xr:uid="{9712525F-B09A-4B44-BB79-6D3354974945}"/>
    <cellStyle name="Linked Cell 22 2 5 4 2" xfId="23698" xr:uid="{CBC4E9A6-E9F1-4598-81D6-7439C821B3E8}"/>
    <cellStyle name="Linked Cell 22 2 5 4 2 2" xfId="23699" xr:uid="{207C6418-ACFC-4BA2-B1AA-2614B47DA15C}"/>
    <cellStyle name="Linked Cell 22 2 5 4 3" xfId="23700" xr:uid="{CCF32284-2673-4D2F-B47A-12686E0ADA92}"/>
    <cellStyle name="Linked Cell 22 2 5 5" xfId="23701" xr:uid="{7A8564ED-5D26-4FF3-BDF2-AF09CD88C8F2}"/>
    <cellStyle name="Linked Cell 22 2 5 5 2" xfId="23702" xr:uid="{7552174D-1223-4057-BF35-43925DB4F886}"/>
    <cellStyle name="Linked Cell 22 2 5 5 2 2" xfId="23703" xr:uid="{A0EC8D4E-3B49-4116-AADC-482D6283A8F2}"/>
    <cellStyle name="Linked Cell 22 2 5 5 3" xfId="23704" xr:uid="{B947BD16-359B-404E-9473-28299C0DD4E7}"/>
    <cellStyle name="Linked Cell 22 2 5 6" xfId="23705" xr:uid="{28624F1F-E3EA-4A15-B0B6-3CE6DC49F6FC}"/>
    <cellStyle name="Linked Cell 22 2 5 6 2" xfId="23706" xr:uid="{2A3891B0-9E84-4899-AC12-19BFB3EAEE67}"/>
    <cellStyle name="Linked Cell 22 2 5 6 2 2" xfId="23707" xr:uid="{9C3E215D-CD8A-44CF-B92A-CB152C188B02}"/>
    <cellStyle name="Linked Cell 22 2 5 6 3" xfId="23708" xr:uid="{861D0AAD-C53C-42A3-B21F-0E3DDDC4993F}"/>
    <cellStyle name="Linked Cell 22 2 5 7" xfId="23709" xr:uid="{8CDBFD63-99D8-496E-BD03-15BF02029C93}"/>
    <cellStyle name="Linked Cell 22 2 5 7 2" xfId="23710" xr:uid="{903880BD-0677-4414-B918-516356623CF2}"/>
    <cellStyle name="Linked Cell 22 2 5 7 2 2" xfId="23711" xr:uid="{BD4CFB75-33AA-4B38-9579-9860089B4D2B}"/>
    <cellStyle name="Linked Cell 22 2 5 7 3" xfId="23712" xr:uid="{FFF787F4-7690-49F7-9AE1-81F0992C52B2}"/>
    <cellStyle name="Linked Cell 22 2 5 8" xfId="23713" xr:uid="{C0F2CE3B-CCFC-4D92-A1A1-A25407DB2936}"/>
    <cellStyle name="Linked Cell 22 2 5 8 2" xfId="23714" xr:uid="{13CC0857-55C3-44A2-A755-C615346897E6}"/>
    <cellStyle name="Linked Cell 22 2 5 8 2 2" xfId="23715" xr:uid="{BA107E36-359F-458D-AE04-D6F1733DDFD4}"/>
    <cellStyle name="Linked Cell 22 2 5 8 3" xfId="23716" xr:uid="{EB835420-1751-4737-8776-8C32879303D4}"/>
    <cellStyle name="Linked Cell 22 2 5 9" xfId="23717" xr:uid="{284C7BE7-FB6B-496D-8E56-7D75EE57A108}"/>
    <cellStyle name="Linked Cell 22 2 5 9 2" xfId="23718" xr:uid="{ECA0F91D-91D9-4ACB-80E3-A7552E586102}"/>
    <cellStyle name="Linked Cell 22 2 5 9 2 2" xfId="23719" xr:uid="{FEFE563A-928A-4B81-951B-6F948DB1171C}"/>
    <cellStyle name="Linked Cell 22 2 5 9 3" xfId="23720" xr:uid="{31FA3013-57A1-4017-9311-52B2DACDE118}"/>
    <cellStyle name="Linked Cell 22 2 6" xfId="23721" xr:uid="{6F1837A9-17B4-44BA-9CD9-97903EDA669D}"/>
    <cellStyle name="Linked Cell 22 2 6 2" xfId="23722" xr:uid="{1EE925A0-2A7B-44F5-A491-90504BC545DF}"/>
    <cellStyle name="Linked Cell 22 2 6 2 2" xfId="23723" xr:uid="{AB41638B-D152-4A71-947A-AC1E5115B731}"/>
    <cellStyle name="Linked Cell 22 2 6 3" xfId="23724" xr:uid="{64AB27AB-9A27-4E7A-A462-FA908F00A536}"/>
    <cellStyle name="Linked Cell 22 2 7" xfId="23725" xr:uid="{0F6CEEC0-F280-4443-8630-805F8A146835}"/>
    <cellStyle name="Linked Cell 22 2 7 2" xfId="23726" xr:uid="{F4CF63C3-7D97-4A95-803D-D7FA4B87F0F3}"/>
    <cellStyle name="Linked Cell 22 2 7 2 2" xfId="23727" xr:uid="{A0DA304F-D392-44F3-A304-455FBAAD840F}"/>
    <cellStyle name="Linked Cell 22 2 7 3" xfId="23728" xr:uid="{80726884-0C8E-4786-A760-AD7AEF8F2301}"/>
    <cellStyle name="Linked Cell 22 2 8" xfId="23729" xr:uid="{2CBF3A3C-E3A8-4730-A004-BB21BA18C9CA}"/>
    <cellStyle name="Linked Cell 22 2 8 2" xfId="23730" xr:uid="{0B961CCB-75A6-43C0-9A8C-1879EB8965ED}"/>
    <cellStyle name="Linked Cell 22 2 8 2 2" xfId="23731" xr:uid="{4D702D71-C9A7-4BC6-8652-12BD4D7533EC}"/>
    <cellStyle name="Linked Cell 22 2 8 3" xfId="23732" xr:uid="{6C4B9D44-B088-43E3-89D0-FE40EDCC2824}"/>
    <cellStyle name="Linked Cell 22 2 9" xfId="23733" xr:uid="{C758F6A6-0604-46F4-8C2E-70E1A77D9397}"/>
    <cellStyle name="Linked Cell 22 2 9 2" xfId="23734" xr:uid="{F711A66D-FE40-4CA6-8864-0E6FCB68CBD9}"/>
    <cellStyle name="Linked Cell 22 2 9 2 2" xfId="23735" xr:uid="{B7704F14-EF87-4841-811F-8F7B7120CA9A}"/>
    <cellStyle name="Linked Cell 22 2 9 3" xfId="23736" xr:uid="{2D4D97E6-4F2F-4E0C-8B14-B8A254195303}"/>
    <cellStyle name="Linked Cell 22 3" xfId="23737" xr:uid="{273BF6BB-311C-4CC8-AE33-3596A769C5B4}"/>
    <cellStyle name="Linked Cell 22 3 10" xfId="23738" xr:uid="{7922D948-1488-457D-8C93-5787B7E4B17F}"/>
    <cellStyle name="Linked Cell 22 3 10 2" xfId="23739" xr:uid="{A895AB44-1A3F-41FC-B399-70E6AF751ACE}"/>
    <cellStyle name="Linked Cell 22 3 10 2 2" xfId="23740" xr:uid="{628ABAA8-9125-4395-AF16-A0D0667C5593}"/>
    <cellStyle name="Linked Cell 22 3 10 3" xfId="23741" xr:uid="{14F846AB-EAD4-43AF-B2C3-33CE0233B78D}"/>
    <cellStyle name="Linked Cell 22 3 11" xfId="23742" xr:uid="{B76D17EF-7C32-498C-A46E-CCCD785FCAE8}"/>
    <cellStyle name="Linked Cell 22 3 11 2" xfId="23743" xr:uid="{7E7A57A3-3F33-46B6-ADC4-572FE8D0439B}"/>
    <cellStyle name="Linked Cell 22 3 11 2 2" xfId="23744" xr:uid="{423426E1-7794-4FD3-B5B5-2DDA96C4843E}"/>
    <cellStyle name="Linked Cell 22 3 11 3" xfId="23745" xr:uid="{A002D928-55ED-4A47-A062-FBB264DB4D85}"/>
    <cellStyle name="Linked Cell 22 3 12" xfId="23746" xr:uid="{117883CB-A6AD-40FE-9A54-029E615A9DAC}"/>
    <cellStyle name="Linked Cell 22 3 12 2" xfId="23747" xr:uid="{E70D5673-15C2-40E4-8D44-9CF524FA3E23}"/>
    <cellStyle name="Linked Cell 22 3 12 2 2" xfId="23748" xr:uid="{F9760B4B-8E17-460C-B8AC-724B6C125AFD}"/>
    <cellStyle name="Linked Cell 22 3 12 3" xfId="23749" xr:uid="{FFE83971-0026-4187-B640-584CEF847F2B}"/>
    <cellStyle name="Linked Cell 22 3 13" xfId="23750" xr:uid="{ECC5A71C-41EE-4022-B00D-DF22F91539A6}"/>
    <cellStyle name="Linked Cell 22 3 13 2" xfId="23751" xr:uid="{A3C68E6C-6ED2-420C-A025-924EC664FC97}"/>
    <cellStyle name="Linked Cell 22 3 14" xfId="23752" xr:uid="{8FD55740-AE54-467E-B4C9-D88730CFD8F2}"/>
    <cellStyle name="Linked Cell 22 3 2" xfId="23753" xr:uid="{D2FC4EE9-3D1E-46E9-A5DA-61D4713CDE92}"/>
    <cellStyle name="Linked Cell 22 3 2 10" xfId="23754" xr:uid="{422957D2-742F-48AE-9759-85A01D8E7E6C}"/>
    <cellStyle name="Linked Cell 22 3 2 10 2" xfId="23755" xr:uid="{44A1CEA1-2021-489A-B933-215DCC1A3B65}"/>
    <cellStyle name="Linked Cell 22 3 2 10 2 2" xfId="23756" xr:uid="{B1710767-C8CC-4FD8-9774-2933D45B6F9E}"/>
    <cellStyle name="Linked Cell 22 3 2 10 3" xfId="23757" xr:uid="{B437F6B7-8E73-44A8-B400-8E533792333B}"/>
    <cellStyle name="Linked Cell 22 3 2 11" xfId="23758" xr:uid="{1FCADD8C-56D4-445D-A6F0-36014A692EED}"/>
    <cellStyle name="Linked Cell 22 3 2 11 2" xfId="23759" xr:uid="{3297D614-9B54-4652-B4B5-4779F0D2EFA4}"/>
    <cellStyle name="Linked Cell 22 3 2 11 2 2" xfId="23760" xr:uid="{D98F735A-C01B-4E75-8AFE-53198D38AEF2}"/>
    <cellStyle name="Linked Cell 22 3 2 11 3" xfId="23761" xr:uid="{AFF35798-88FF-47AC-A7FA-1F3FD7A1AB82}"/>
    <cellStyle name="Linked Cell 22 3 2 12" xfId="23762" xr:uid="{AAF83A89-B254-4C90-9515-23F9AE7D6948}"/>
    <cellStyle name="Linked Cell 22 3 2 12 2" xfId="23763" xr:uid="{FBD57E6D-6614-45EC-B4EC-ADE41CC707D4}"/>
    <cellStyle name="Linked Cell 22 3 2 13" xfId="23764" xr:uid="{442016BD-3250-4533-8079-57BF6EE195C1}"/>
    <cellStyle name="Linked Cell 22 3 2 2" xfId="23765" xr:uid="{E8B6994A-47DD-4FA0-8805-2114A2ACB0A6}"/>
    <cellStyle name="Linked Cell 22 3 2 2 10" xfId="23766" xr:uid="{ABF2BB26-5011-4488-9F7E-94E270083B6B}"/>
    <cellStyle name="Linked Cell 22 3 2 2 10 2" xfId="23767" xr:uid="{3122EB6E-57C0-42DA-BBB8-4D9E6E4CCB6D}"/>
    <cellStyle name="Linked Cell 22 3 2 2 10 2 2" xfId="23768" xr:uid="{F36E08F0-A0A1-4335-8B6B-88DE434754EA}"/>
    <cellStyle name="Linked Cell 22 3 2 2 10 3" xfId="23769" xr:uid="{F42EDCDD-9E20-47AA-8479-8928B4FDA850}"/>
    <cellStyle name="Linked Cell 22 3 2 2 11" xfId="23770" xr:uid="{AD3060CF-9732-45B4-820A-10CCD8FD8FCE}"/>
    <cellStyle name="Linked Cell 22 3 2 2 11 2" xfId="23771" xr:uid="{BEC3D287-93A4-42D5-89EF-6F0297286760}"/>
    <cellStyle name="Linked Cell 22 3 2 2 12" xfId="23772" xr:uid="{6CBED3A0-BF36-4AFA-B32B-65458FC80AB2}"/>
    <cellStyle name="Linked Cell 22 3 2 2 2" xfId="23773" xr:uid="{40DE2252-58CE-4D34-BDB7-D21DF6F8F117}"/>
    <cellStyle name="Linked Cell 22 3 2 2 2 2" xfId="23774" xr:uid="{67E2044E-D7B8-47CC-A4EE-8C07B7E661F3}"/>
    <cellStyle name="Linked Cell 22 3 2 2 2 2 2" xfId="23775" xr:uid="{0FC9A83C-8C6F-4658-B81A-1F308AD2C16C}"/>
    <cellStyle name="Linked Cell 22 3 2 2 2 3" xfId="23776" xr:uid="{C4AFA8A7-7DC7-473A-A20F-09BAC6A22453}"/>
    <cellStyle name="Linked Cell 22 3 2 2 3" xfId="23777" xr:uid="{579D64D8-AB77-4BB3-8A0C-38D18482C509}"/>
    <cellStyle name="Linked Cell 22 3 2 2 3 2" xfId="23778" xr:uid="{24892301-30FD-4E76-9130-7E596CF9A057}"/>
    <cellStyle name="Linked Cell 22 3 2 2 3 2 2" xfId="23779" xr:uid="{654B6B91-668D-4117-856B-9CA989C5C377}"/>
    <cellStyle name="Linked Cell 22 3 2 2 3 3" xfId="23780" xr:uid="{77E33B0A-F988-4FC9-BE01-F54AF371574A}"/>
    <cellStyle name="Linked Cell 22 3 2 2 4" xfId="23781" xr:uid="{07D4A34B-FE13-4342-8090-E0D67F408518}"/>
    <cellStyle name="Linked Cell 22 3 2 2 4 2" xfId="23782" xr:uid="{E7D0DB84-EC4A-43D0-8A53-3AE5A4C1462F}"/>
    <cellStyle name="Linked Cell 22 3 2 2 4 2 2" xfId="23783" xr:uid="{24C4A075-003D-4626-B157-621427E11DEC}"/>
    <cellStyle name="Linked Cell 22 3 2 2 4 3" xfId="23784" xr:uid="{99E5CE37-9B76-41E2-B9B8-A535E5BE0052}"/>
    <cellStyle name="Linked Cell 22 3 2 2 5" xfId="23785" xr:uid="{51B4F0CB-02FC-4739-8E8B-2BE0536469E8}"/>
    <cellStyle name="Linked Cell 22 3 2 2 5 2" xfId="23786" xr:uid="{CF8920E0-0ADF-492F-97D9-6C4F357C1EF3}"/>
    <cellStyle name="Linked Cell 22 3 2 2 5 2 2" xfId="23787" xr:uid="{3CC94E0A-FCB1-4EF8-A5A3-AFE63F6A56DB}"/>
    <cellStyle name="Linked Cell 22 3 2 2 5 3" xfId="23788" xr:uid="{D7DEE4A7-F9F8-43BC-9F58-907365C2F3BF}"/>
    <cellStyle name="Linked Cell 22 3 2 2 6" xfId="23789" xr:uid="{7E7AF4F3-C1E9-4B72-A852-00EE06DF17E9}"/>
    <cellStyle name="Linked Cell 22 3 2 2 6 2" xfId="23790" xr:uid="{1A0ECAA5-A1A2-4F66-AEAF-5AEFF0102939}"/>
    <cellStyle name="Linked Cell 22 3 2 2 6 2 2" xfId="23791" xr:uid="{161FCAFE-D8CA-4FB4-B28F-CF97929C9492}"/>
    <cellStyle name="Linked Cell 22 3 2 2 6 3" xfId="23792" xr:uid="{057AF94A-B606-4260-B91F-5EBFEE211782}"/>
    <cellStyle name="Linked Cell 22 3 2 2 7" xfId="23793" xr:uid="{D78558B6-8D49-4F4B-82C0-E2DDA344F8C7}"/>
    <cellStyle name="Linked Cell 22 3 2 2 7 2" xfId="23794" xr:uid="{6A200F8E-2DBF-4819-9BE8-8D466E790960}"/>
    <cellStyle name="Linked Cell 22 3 2 2 7 2 2" xfId="23795" xr:uid="{95E97F30-9EB9-4E2B-872C-861B0F8EDB4A}"/>
    <cellStyle name="Linked Cell 22 3 2 2 7 3" xfId="23796" xr:uid="{6130F534-03CD-4E2E-92AB-715566AD8510}"/>
    <cellStyle name="Linked Cell 22 3 2 2 8" xfId="23797" xr:uid="{C9CFF77A-7AC1-4D8E-BBC7-89054DF07A77}"/>
    <cellStyle name="Linked Cell 22 3 2 2 8 2" xfId="23798" xr:uid="{2D33A0A8-D4EB-4CF4-A5A4-3CD410DF72C5}"/>
    <cellStyle name="Linked Cell 22 3 2 2 8 2 2" xfId="23799" xr:uid="{3040DB88-58DE-4DAE-ADF0-D39FF9872110}"/>
    <cellStyle name="Linked Cell 22 3 2 2 8 3" xfId="23800" xr:uid="{D38F6DD8-2976-40CB-8748-6B06392C08A1}"/>
    <cellStyle name="Linked Cell 22 3 2 2 9" xfId="23801" xr:uid="{6179C72A-72D0-4270-81E8-4BA3B7ED7212}"/>
    <cellStyle name="Linked Cell 22 3 2 2 9 2" xfId="23802" xr:uid="{6EA43837-E575-41A0-83D7-F5BE3AEE1D46}"/>
    <cellStyle name="Linked Cell 22 3 2 2 9 2 2" xfId="23803" xr:uid="{172A1ACE-EB95-4DCD-89AB-03127F5D1F1D}"/>
    <cellStyle name="Linked Cell 22 3 2 2 9 3" xfId="23804" xr:uid="{B1A0A8BA-21B5-4FF4-A7D1-D4A9A62CEA21}"/>
    <cellStyle name="Linked Cell 22 3 2 3" xfId="23805" xr:uid="{578782A8-EE4F-465D-8B8B-82A82FF6855B}"/>
    <cellStyle name="Linked Cell 22 3 2 3 10" xfId="23806" xr:uid="{055BC8B7-D56A-401A-BE33-C474E90ED3DB}"/>
    <cellStyle name="Linked Cell 22 3 2 3 10 2" xfId="23807" xr:uid="{5E76FD54-3E80-4061-AAD6-D9AC7A4B3DE8}"/>
    <cellStyle name="Linked Cell 22 3 2 3 11" xfId="23808" xr:uid="{6DDD0117-77EB-4988-A3E7-F1BF66137C50}"/>
    <cellStyle name="Linked Cell 22 3 2 3 2" xfId="23809" xr:uid="{75DEEE1B-0EB6-4948-9E5E-CE5DD0F5CEDA}"/>
    <cellStyle name="Linked Cell 22 3 2 3 2 2" xfId="23810" xr:uid="{306EB3AD-E359-45F0-90DF-C8498A1188C6}"/>
    <cellStyle name="Linked Cell 22 3 2 3 2 2 2" xfId="23811" xr:uid="{B63E1170-2332-4395-9746-25EABED52746}"/>
    <cellStyle name="Linked Cell 22 3 2 3 2 3" xfId="23812" xr:uid="{EFA52701-186F-4D3E-B73A-B337ACA7B578}"/>
    <cellStyle name="Linked Cell 22 3 2 3 3" xfId="23813" xr:uid="{F14B4269-71B5-4D51-8DD8-87534607797D}"/>
    <cellStyle name="Linked Cell 22 3 2 3 3 2" xfId="23814" xr:uid="{E506DF8B-5EBB-454E-AACA-180831B6E9DE}"/>
    <cellStyle name="Linked Cell 22 3 2 3 3 2 2" xfId="23815" xr:uid="{767E9100-BA83-4B3E-A496-C214FEEAF9B3}"/>
    <cellStyle name="Linked Cell 22 3 2 3 3 3" xfId="23816" xr:uid="{A51B06B0-79D4-4C09-ABB4-DAD6A121237E}"/>
    <cellStyle name="Linked Cell 22 3 2 3 4" xfId="23817" xr:uid="{5107F02E-5F73-4E04-9171-ABDC97135E3A}"/>
    <cellStyle name="Linked Cell 22 3 2 3 4 2" xfId="23818" xr:uid="{C0DFD2FD-BEEC-4100-89DA-263CD1B50B8F}"/>
    <cellStyle name="Linked Cell 22 3 2 3 4 2 2" xfId="23819" xr:uid="{4A37DC0B-0875-47AC-A7C4-59C7E3866F94}"/>
    <cellStyle name="Linked Cell 22 3 2 3 4 3" xfId="23820" xr:uid="{D67C1565-01A5-4DEA-9282-ADCDA127231E}"/>
    <cellStyle name="Linked Cell 22 3 2 3 5" xfId="23821" xr:uid="{56B7E545-E3DD-45C7-A87A-A6F3F3D9F033}"/>
    <cellStyle name="Linked Cell 22 3 2 3 5 2" xfId="23822" xr:uid="{6C0E6E1B-AB7C-4F73-9049-F257531D9533}"/>
    <cellStyle name="Linked Cell 22 3 2 3 5 2 2" xfId="23823" xr:uid="{FE54254E-B40E-4BA2-81FF-96F8E8CFCC91}"/>
    <cellStyle name="Linked Cell 22 3 2 3 5 3" xfId="23824" xr:uid="{5B85D412-9D2F-442D-B931-204D3C0EE3FC}"/>
    <cellStyle name="Linked Cell 22 3 2 3 6" xfId="23825" xr:uid="{52ECBC10-7ECA-4910-9B53-92FD73F62641}"/>
    <cellStyle name="Linked Cell 22 3 2 3 6 2" xfId="23826" xr:uid="{E24D1AC1-1E6B-4A14-A331-B66EFEF27A23}"/>
    <cellStyle name="Linked Cell 22 3 2 3 6 2 2" xfId="23827" xr:uid="{57E4DE0C-77A5-436A-BDD5-A72FD44624F8}"/>
    <cellStyle name="Linked Cell 22 3 2 3 6 3" xfId="23828" xr:uid="{EB8F05EB-4FE9-4B63-A783-643F3CFD8904}"/>
    <cellStyle name="Linked Cell 22 3 2 3 7" xfId="23829" xr:uid="{F300D172-3F63-445A-A4D0-63B72F0D42D4}"/>
    <cellStyle name="Linked Cell 22 3 2 3 7 2" xfId="23830" xr:uid="{5DD7E832-3CAE-487B-9A1E-18D96F222B9D}"/>
    <cellStyle name="Linked Cell 22 3 2 3 7 2 2" xfId="23831" xr:uid="{B08DEDEF-001B-416A-9F6C-7E59EE28204C}"/>
    <cellStyle name="Linked Cell 22 3 2 3 7 3" xfId="23832" xr:uid="{CA0C96EE-30F6-4494-9782-2BF626B30739}"/>
    <cellStyle name="Linked Cell 22 3 2 3 8" xfId="23833" xr:uid="{6926831B-4899-4854-9D90-A781F878EED3}"/>
    <cellStyle name="Linked Cell 22 3 2 3 8 2" xfId="23834" xr:uid="{ECED648B-7943-4B79-B3F7-35A73936A489}"/>
    <cellStyle name="Linked Cell 22 3 2 3 8 2 2" xfId="23835" xr:uid="{0D9272C8-F15F-467A-9510-B7C65A4C75D8}"/>
    <cellStyle name="Linked Cell 22 3 2 3 8 3" xfId="23836" xr:uid="{29A0202B-1C87-493C-B5DA-9F884FA42C48}"/>
    <cellStyle name="Linked Cell 22 3 2 3 9" xfId="23837" xr:uid="{6A2106FC-AE0C-42FA-97CE-CCDA0BD65FE3}"/>
    <cellStyle name="Linked Cell 22 3 2 3 9 2" xfId="23838" xr:uid="{ADCB10D4-9490-403B-8A8C-C260D301E679}"/>
    <cellStyle name="Linked Cell 22 3 2 3 9 2 2" xfId="23839" xr:uid="{9D05498E-D041-4F9F-A3D4-3E615C57DF87}"/>
    <cellStyle name="Linked Cell 22 3 2 3 9 3" xfId="23840" xr:uid="{73DD4787-CA4B-40C3-A8B1-70DC249EDC26}"/>
    <cellStyle name="Linked Cell 22 3 2 4" xfId="23841" xr:uid="{EEF061C7-6136-419A-A6CD-5E3AFBDDDE8A}"/>
    <cellStyle name="Linked Cell 22 3 2 4 2" xfId="23842" xr:uid="{237515A2-702A-4777-B709-7E0D3ED5BB72}"/>
    <cellStyle name="Linked Cell 22 3 2 4 2 2" xfId="23843" xr:uid="{393D5C53-022A-45C6-8C7F-24D8C545472F}"/>
    <cellStyle name="Linked Cell 22 3 2 4 3" xfId="23844" xr:uid="{CA81CD86-73FE-4D94-AC20-B5E9FBE56794}"/>
    <cellStyle name="Linked Cell 22 3 2 5" xfId="23845" xr:uid="{8E4AFFFA-0E9B-4119-8738-FBCAC51D55EF}"/>
    <cellStyle name="Linked Cell 22 3 2 5 2" xfId="23846" xr:uid="{F9F90FA8-F107-4473-B6C6-1DFEA6E51E27}"/>
    <cellStyle name="Linked Cell 22 3 2 5 2 2" xfId="23847" xr:uid="{2E397A71-BA8A-48E4-87BE-54256897C5E9}"/>
    <cellStyle name="Linked Cell 22 3 2 5 3" xfId="23848" xr:uid="{534FA858-AA6D-4C8D-9108-A529E8B796D4}"/>
    <cellStyle name="Linked Cell 22 3 2 6" xfId="23849" xr:uid="{172126A7-2A48-4903-9598-EAA8B7372929}"/>
    <cellStyle name="Linked Cell 22 3 2 6 2" xfId="23850" xr:uid="{C052A3F8-BA69-42C5-A0B8-196BAAE4299A}"/>
    <cellStyle name="Linked Cell 22 3 2 6 2 2" xfId="23851" xr:uid="{187FA561-7962-4853-8BE5-A263E82C0961}"/>
    <cellStyle name="Linked Cell 22 3 2 6 3" xfId="23852" xr:uid="{830F062F-F8AF-47A7-9F64-941B4E02E87C}"/>
    <cellStyle name="Linked Cell 22 3 2 7" xfId="23853" xr:uid="{E37B8955-385D-4415-AA37-E0FBC03BEA1D}"/>
    <cellStyle name="Linked Cell 22 3 2 7 2" xfId="23854" xr:uid="{256B6856-2921-4E1D-B766-62683F1C7C74}"/>
    <cellStyle name="Linked Cell 22 3 2 7 2 2" xfId="23855" xr:uid="{2BBFE938-6B09-4E9F-9BFF-12586D9F2A8E}"/>
    <cellStyle name="Linked Cell 22 3 2 7 3" xfId="23856" xr:uid="{F4DABE9F-B15F-4A2B-AB2C-4CC583213586}"/>
    <cellStyle name="Linked Cell 22 3 2 8" xfId="23857" xr:uid="{A684F2FA-054D-4858-A3CA-EF7DBB8AE47B}"/>
    <cellStyle name="Linked Cell 22 3 2 8 2" xfId="23858" xr:uid="{AAB465BC-4DB9-4CE5-89FF-D7135FF8CCEC}"/>
    <cellStyle name="Linked Cell 22 3 2 8 2 2" xfId="23859" xr:uid="{1CDAB466-462E-4F13-B7ED-8A942B0C2771}"/>
    <cellStyle name="Linked Cell 22 3 2 8 3" xfId="23860" xr:uid="{2432982F-DA7E-4DB8-98F0-4A2D0A397C34}"/>
    <cellStyle name="Linked Cell 22 3 2 9" xfId="23861" xr:uid="{CFF734F2-97E1-4835-A088-6F65CB4C9D63}"/>
    <cellStyle name="Linked Cell 22 3 2 9 2" xfId="23862" xr:uid="{3D5FC609-920D-4D0D-8C6B-8510FF9A58EA}"/>
    <cellStyle name="Linked Cell 22 3 2 9 2 2" xfId="23863" xr:uid="{0FAC145F-830B-4EF0-B25D-5986BA08548F}"/>
    <cellStyle name="Linked Cell 22 3 2 9 3" xfId="23864" xr:uid="{36516DD7-2D66-41BA-9B5C-51483D857C4E}"/>
    <cellStyle name="Linked Cell 22 3 3" xfId="23865" xr:uid="{B9A52564-D46E-488C-8610-B5335296A3C0}"/>
    <cellStyle name="Linked Cell 22 3 3 10" xfId="23866" xr:uid="{8DEBFB37-E52D-458E-98C2-D7386C4C1ACC}"/>
    <cellStyle name="Linked Cell 22 3 3 10 2" xfId="23867" xr:uid="{928A58A0-D21D-4E6F-BF4F-716A97D917FC}"/>
    <cellStyle name="Linked Cell 22 3 3 10 2 2" xfId="23868" xr:uid="{7E18A926-5CFC-40B3-81CB-D56B1D910CF5}"/>
    <cellStyle name="Linked Cell 22 3 3 10 3" xfId="23869" xr:uid="{CF59EFFB-BAA6-4D04-AE6A-72FD86283589}"/>
    <cellStyle name="Linked Cell 22 3 3 11" xfId="23870" xr:uid="{132B3CC3-89D4-47F5-8B62-149B577D242B}"/>
    <cellStyle name="Linked Cell 22 3 3 11 2" xfId="23871" xr:uid="{6FF88FE9-2235-425D-8AF8-22C281515D0C}"/>
    <cellStyle name="Linked Cell 22 3 3 12" xfId="23872" xr:uid="{0762189E-F225-4B8F-9982-901BB818C045}"/>
    <cellStyle name="Linked Cell 22 3 3 2" xfId="23873" xr:uid="{4894FF9E-E8AB-482A-A8F6-C4784431CC0F}"/>
    <cellStyle name="Linked Cell 22 3 3 2 10" xfId="23874" xr:uid="{B8AF4BC0-AE0A-404E-A1E2-7719234A8876}"/>
    <cellStyle name="Linked Cell 22 3 3 2 10 2" xfId="23875" xr:uid="{46FDCD2E-3ACE-4065-B9C2-77E4DE118337}"/>
    <cellStyle name="Linked Cell 22 3 3 2 11" xfId="23876" xr:uid="{87DA2A76-E44F-4E84-8219-1DF8CFF942D7}"/>
    <cellStyle name="Linked Cell 22 3 3 2 2" xfId="23877" xr:uid="{4F8FD477-2D5A-4111-9F01-2A77DEFA2CE0}"/>
    <cellStyle name="Linked Cell 22 3 3 2 2 2" xfId="23878" xr:uid="{F8AF16FB-6F55-4F34-9EFF-CE5F525161FD}"/>
    <cellStyle name="Linked Cell 22 3 3 2 2 2 2" xfId="23879" xr:uid="{360D7A68-6731-4F3A-B3B5-62C756F93811}"/>
    <cellStyle name="Linked Cell 22 3 3 2 2 3" xfId="23880" xr:uid="{9E765E80-178C-4FE7-8804-B3C944DA36EA}"/>
    <cellStyle name="Linked Cell 22 3 3 2 3" xfId="23881" xr:uid="{8A14E910-BD12-4BD4-9849-A54D76CC572D}"/>
    <cellStyle name="Linked Cell 22 3 3 2 3 2" xfId="23882" xr:uid="{5DA6AAA7-7D83-438C-9FCA-9304E8407615}"/>
    <cellStyle name="Linked Cell 22 3 3 2 3 2 2" xfId="23883" xr:uid="{F26114AB-13B9-406C-AF55-5C3A5CA71F26}"/>
    <cellStyle name="Linked Cell 22 3 3 2 3 3" xfId="23884" xr:uid="{EAFBEECB-6F2E-40CC-9885-48E41F2DBFBC}"/>
    <cellStyle name="Linked Cell 22 3 3 2 4" xfId="23885" xr:uid="{A5BD4A6A-392E-41E0-BD1A-D001A669B0F2}"/>
    <cellStyle name="Linked Cell 22 3 3 2 4 2" xfId="23886" xr:uid="{26B3260B-538E-427E-AB6D-E78068696728}"/>
    <cellStyle name="Linked Cell 22 3 3 2 4 2 2" xfId="23887" xr:uid="{99850F3C-3C88-4F1F-AB78-5B499E985C07}"/>
    <cellStyle name="Linked Cell 22 3 3 2 4 3" xfId="23888" xr:uid="{A98FB141-63B5-4126-BCFF-9408255A1E0B}"/>
    <cellStyle name="Linked Cell 22 3 3 2 5" xfId="23889" xr:uid="{BDFD1493-1114-423A-853E-D08178FC9204}"/>
    <cellStyle name="Linked Cell 22 3 3 2 5 2" xfId="23890" xr:uid="{EDF6962F-4C0A-4012-82B3-715E3CB06214}"/>
    <cellStyle name="Linked Cell 22 3 3 2 5 2 2" xfId="23891" xr:uid="{A53CAF3F-FD08-4C85-BCE6-5FC51294E404}"/>
    <cellStyle name="Linked Cell 22 3 3 2 5 3" xfId="23892" xr:uid="{43E40240-8388-478E-8F36-65018F47B1D7}"/>
    <cellStyle name="Linked Cell 22 3 3 2 6" xfId="23893" xr:uid="{C6356DEB-AD51-408A-81A9-ADFC4F9916DD}"/>
    <cellStyle name="Linked Cell 22 3 3 2 6 2" xfId="23894" xr:uid="{EB62F1C2-BEB5-4606-8211-832C85C96F57}"/>
    <cellStyle name="Linked Cell 22 3 3 2 6 2 2" xfId="23895" xr:uid="{AA30FEF5-39AC-49CB-B19B-1FA55CC56939}"/>
    <cellStyle name="Linked Cell 22 3 3 2 6 3" xfId="23896" xr:uid="{C584581A-AAA3-448A-8BD6-6C3566BD98F3}"/>
    <cellStyle name="Linked Cell 22 3 3 2 7" xfId="23897" xr:uid="{439AE018-D0BD-4BCE-BB3A-D96E0D5179C1}"/>
    <cellStyle name="Linked Cell 22 3 3 2 7 2" xfId="23898" xr:uid="{CB8C8615-870A-48CB-87EF-8EA3AAAA2C5F}"/>
    <cellStyle name="Linked Cell 22 3 3 2 7 2 2" xfId="23899" xr:uid="{68DAE055-B304-4C4C-8399-DCC79DF20F49}"/>
    <cellStyle name="Linked Cell 22 3 3 2 7 3" xfId="23900" xr:uid="{923BC50D-3E51-4C39-8B0D-A37D21AEF232}"/>
    <cellStyle name="Linked Cell 22 3 3 2 8" xfId="23901" xr:uid="{5759056A-BAA0-4F24-934B-5A81EB3ADAE3}"/>
    <cellStyle name="Linked Cell 22 3 3 2 8 2" xfId="23902" xr:uid="{3C9DB78E-BF74-4AAD-BE27-E6A8234A0131}"/>
    <cellStyle name="Linked Cell 22 3 3 2 8 2 2" xfId="23903" xr:uid="{A0A41CDC-710F-40CF-80B0-73EAE7FAD8F1}"/>
    <cellStyle name="Linked Cell 22 3 3 2 8 3" xfId="23904" xr:uid="{5830DD10-BAF3-420D-B0CD-DA3A7AF1564B}"/>
    <cellStyle name="Linked Cell 22 3 3 2 9" xfId="23905" xr:uid="{9C4F4646-7261-48ED-A403-F1594359D19A}"/>
    <cellStyle name="Linked Cell 22 3 3 2 9 2" xfId="23906" xr:uid="{B51D5C1B-5DE6-46A6-ACFD-42EC59140F1E}"/>
    <cellStyle name="Linked Cell 22 3 3 2 9 2 2" xfId="23907" xr:uid="{C4C8021B-CFD3-4541-A255-C04367ED157D}"/>
    <cellStyle name="Linked Cell 22 3 3 2 9 3" xfId="23908" xr:uid="{8BF68B0A-DA39-441D-AE87-E5C5F3F2297E}"/>
    <cellStyle name="Linked Cell 22 3 3 3" xfId="23909" xr:uid="{35CF6539-A832-45C4-AE5D-CD9D83D5584A}"/>
    <cellStyle name="Linked Cell 22 3 3 3 2" xfId="23910" xr:uid="{4DE25D40-5F1D-4091-A020-45B72897D40E}"/>
    <cellStyle name="Linked Cell 22 3 3 3 2 2" xfId="23911" xr:uid="{E50EBF0F-EA7C-403E-9AD9-28C29C33B3CF}"/>
    <cellStyle name="Linked Cell 22 3 3 3 3" xfId="23912" xr:uid="{4B2B1D44-2B08-4A4F-9B53-815EB76C30BB}"/>
    <cellStyle name="Linked Cell 22 3 3 4" xfId="23913" xr:uid="{87DC14F0-44B7-45BD-86ED-60FA8B4C506A}"/>
    <cellStyle name="Linked Cell 22 3 3 4 2" xfId="23914" xr:uid="{FD953A82-ABCF-4159-8FC5-F0B5F849BADB}"/>
    <cellStyle name="Linked Cell 22 3 3 4 2 2" xfId="23915" xr:uid="{343A2A2F-FAB6-450C-966C-CAE1A0BF672E}"/>
    <cellStyle name="Linked Cell 22 3 3 4 3" xfId="23916" xr:uid="{6EEF3F7A-3A00-41E9-92E2-88BB7ED2EBFF}"/>
    <cellStyle name="Linked Cell 22 3 3 5" xfId="23917" xr:uid="{D3290005-F650-481D-9E79-307FA3423156}"/>
    <cellStyle name="Linked Cell 22 3 3 5 2" xfId="23918" xr:uid="{BE9F0F8B-D116-45F2-9BBD-6D99683AF520}"/>
    <cellStyle name="Linked Cell 22 3 3 5 2 2" xfId="23919" xr:uid="{B8FAD9EE-A976-4A3A-83DA-20E05668CCAC}"/>
    <cellStyle name="Linked Cell 22 3 3 5 3" xfId="23920" xr:uid="{5C810366-93D3-4A18-899C-60943A655BD9}"/>
    <cellStyle name="Linked Cell 22 3 3 6" xfId="23921" xr:uid="{90535DD5-FA65-4116-B40F-1D8E677D849E}"/>
    <cellStyle name="Linked Cell 22 3 3 6 2" xfId="23922" xr:uid="{35C3A122-A788-4751-B5CF-8AD5A4049863}"/>
    <cellStyle name="Linked Cell 22 3 3 6 2 2" xfId="23923" xr:uid="{734FD173-90FA-4629-89F6-97A0B59B2B8F}"/>
    <cellStyle name="Linked Cell 22 3 3 6 3" xfId="23924" xr:uid="{EEFF84D3-4A22-4A30-9CFC-DE81282DFCEC}"/>
    <cellStyle name="Linked Cell 22 3 3 7" xfId="23925" xr:uid="{DE9A66E8-48B9-4A09-826E-9E90EB2BEEC6}"/>
    <cellStyle name="Linked Cell 22 3 3 7 2" xfId="23926" xr:uid="{AA237DA3-E56E-4EBD-980A-77E041A1593F}"/>
    <cellStyle name="Linked Cell 22 3 3 7 2 2" xfId="23927" xr:uid="{D9FE4DDC-B0CC-4D32-B241-EA0A694CBD18}"/>
    <cellStyle name="Linked Cell 22 3 3 7 3" xfId="23928" xr:uid="{FD1F97BF-D71F-4334-BB78-8482297E294B}"/>
    <cellStyle name="Linked Cell 22 3 3 8" xfId="23929" xr:uid="{61945351-987B-44B9-BD59-D4761EDE2BA5}"/>
    <cellStyle name="Linked Cell 22 3 3 8 2" xfId="23930" xr:uid="{C8918051-CA80-43C3-9642-725EE637F6B3}"/>
    <cellStyle name="Linked Cell 22 3 3 8 2 2" xfId="23931" xr:uid="{10C63CE3-BBF7-42D3-98C2-FC48CF866256}"/>
    <cellStyle name="Linked Cell 22 3 3 8 3" xfId="23932" xr:uid="{ACC42CC9-2B37-47CD-9497-A0D5D18AFB17}"/>
    <cellStyle name="Linked Cell 22 3 3 9" xfId="23933" xr:uid="{FD6953B8-6B22-4629-860F-954CB10896A4}"/>
    <cellStyle name="Linked Cell 22 3 3 9 2" xfId="23934" xr:uid="{CC6B7F9A-3F6A-44C9-B1D7-FF2E88802CF5}"/>
    <cellStyle name="Linked Cell 22 3 3 9 2 2" xfId="23935" xr:uid="{85FA9240-624D-4656-B17A-A86222A857B8}"/>
    <cellStyle name="Linked Cell 22 3 3 9 3" xfId="23936" xr:uid="{9CE4B80A-21C5-401C-88FF-33D230E866FA}"/>
    <cellStyle name="Linked Cell 22 3 4" xfId="23937" xr:uid="{1918ECE1-285E-47FB-B8E6-10FAD988ECB7}"/>
    <cellStyle name="Linked Cell 22 3 4 10" xfId="23938" xr:uid="{9B28E6E7-0B00-47C2-A0E8-DE74BA22C72E}"/>
    <cellStyle name="Linked Cell 22 3 4 10 2" xfId="23939" xr:uid="{830C5BC0-5F64-47EC-AF83-92E766FDEEC5}"/>
    <cellStyle name="Linked Cell 22 3 4 11" xfId="23940" xr:uid="{050D5D8E-272C-4A48-AFCD-ECFA28001D31}"/>
    <cellStyle name="Linked Cell 22 3 4 2" xfId="23941" xr:uid="{E9D196F6-1E52-4AF5-B6CB-555ECEA3BDCA}"/>
    <cellStyle name="Linked Cell 22 3 4 2 2" xfId="23942" xr:uid="{5448FE62-5216-41EB-BE64-CF6CD80462F4}"/>
    <cellStyle name="Linked Cell 22 3 4 2 2 2" xfId="23943" xr:uid="{8B71B385-9607-4500-82C8-C29EE490B45E}"/>
    <cellStyle name="Linked Cell 22 3 4 2 3" xfId="23944" xr:uid="{1FBA9A14-E1DA-4242-B734-C9A7D97FA7C2}"/>
    <cellStyle name="Linked Cell 22 3 4 3" xfId="23945" xr:uid="{A954F63F-A911-4711-89FA-B7E7A4CF8255}"/>
    <cellStyle name="Linked Cell 22 3 4 3 2" xfId="23946" xr:uid="{3FCADBD1-B72A-4B31-9762-DDCBD8F51B21}"/>
    <cellStyle name="Linked Cell 22 3 4 3 2 2" xfId="23947" xr:uid="{8B4ACCCD-BE99-4538-841F-37AD62A1FF6B}"/>
    <cellStyle name="Linked Cell 22 3 4 3 3" xfId="23948" xr:uid="{20548B31-389E-4D5D-A061-51E9A922B2BD}"/>
    <cellStyle name="Linked Cell 22 3 4 4" xfId="23949" xr:uid="{8D43BEA5-47CC-4F20-ABD4-76EF5A351B50}"/>
    <cellStyle name="Linked Cell 22 3 4 4 2" xfId="23950" xr:uid="{DFE44A31-AF90-473D-9787-C20403E5789E}"/>
    <cellStyle name="Linked Cell 22 3 4 4 2 2" xfId="23951" xr:uid="{8B65579F-8F9E-46C8-B40E-22B4BB59A0FC}"/>
    <cellStyle name="Linked Cell 22 3 4 4 3" xfId="23952" xr:uid="{FF0997C9-43EC-4ADE-BA93-1FF1070B90FE}"/>
    <cellStyle name="Linked Cell 22 3 4 5" xfId="23953" xr:uid="{9DB644C8-FAA0-4F2D-95E7-06ACF2D16CE8}"/>
    <cellStyle name="Linked Cell 22 3 4 5 2" xfId="23954" xr:uid="{3ADB6591-CE68-40F4-8832-1B30371F111C}"/>
    <cellStyle name="Linked Cell 22 3 4 5 2 2" xfId="23955" xr:uid="{1679A686-4591-4C73-BB57-82799BAB1C55}"/>
    <cellStyle name="Linked Cell 22 3 4 5 3" xfId="23956" xr:uid="{347465D1-573E-443A-96E0-BE2734404ED4}"/>
    <cellStyle name="Linked Cell 22 3 4 6" xfId="23957" xr:uid="{FAE75457-773F-48D0-9CC6-F4316E4A5289}"/>
    <cellStyle name="Linked Cell 22 3 4 6 2" xfId="23958" xr:uid="{197BE5CA-03BE-4B37-ACCC-AAFCF96ACF22}"/>
    <cellStyle name="Linked Cell 22 3 4 6 2 2" xfId="23959" xr:uid="{8A241090-D6E4-4CFC-84D5-A153E710C3D8}"/>
    <cellStyle name="Linked Cell 22 3 4 6 3" xfId="23960" xr:uid="{B59C0CF2-C4C8-43B6-8E97-7DA6D84C8133}"/>
    <cellStyle name="Linked Cell 22 3 4 7" xfId="23961" xr:uid="{48468F0A-EA2C-45BE-8626-4830DC59D9F7}"/>
    <cellStyle name="Linked Cell 22 3 4 7 2" xfId="23962" xr:uid="{96FBB269-2565-44A4-930C-D7F5F78F21B2}"/>
    <cellStyle name="Linked Cell 22 3 4 7 2 2" xfId="23963" xr:uid="{7094A745-F445-4130-8FD9-4FD7727C715A}"/>
    <cellStyle name="Linked Cell 22 3 4 7 3" xfId="23964" xr:uid="{8F972C69-7AF2-4B43-AD04-813C5543016D}"/>
    <cellStyle name="Linked Cell 22 3 4 8" xfId="23965" xr:uid="{D0DF73DD-CA12-48D9-8B37-EAB1491D1B13}"/>
    <cellStyle name="Linked Cell 22 3 4 8 2" xfId="23966" xr:uid="{D323C617-7A76-4C93-8A97-AEACB904BBEA}"/>
    <cellStyle name="Linked Cell 22 3 4 8 2 2" xfId="23967" xr:uid="{AB648A31-80A7-444D-80C6-E3CCECEE41D6}"/>
    <cellStyle name="Linked Cell 22 3 4 8 3" xfId="23968" xr:uid="{16378044-D896-4502-AFBD-DE31B68D2460}"/>
    <cellStyle name="Linked Cell 22 3 4 9" xfId="23969" xr:uid="{48B43D97-4506-4703-811E-997A4EFFF0B9}"/>
    <cellStyle name="Linked Cell 22 3 4 9 2" xfId="23970" xr:uid="{7544D52C-00B7-4E8C-AD0F-94F56E90E663}"/>
    <cellStyle name="Linked Cell 22 3 4 9 2 2" xfId="23971" xr:uid="{F4D4D85C-FFDE-448E-8AA3-186B536B6AF0}"/>
    <cellStyle name="Linked Cell 22 3 4 9 3" xfId="23972" xr:uid="{E103F5F5-3F7D-4F27-87B1-557C20CB0467}"/>
    <cellStyle name="Linked Cell 22 3 5" xfId="23973" xr:uid="{EAE718C5-09CA-4533-81CD-8659C3289224}"/>
    <cellStyle name="Linked Cell 22 3 5 2" xfId="23974" xr:uid="{67304ACA-0193-4401-BE97-4E4A1BB51A78}"/>
    <cellStyle name="Linked Cell 22 3 5 2 2" xfId="23975" xr:uid="{441ED873-BB97-4CA5-9A1B-ADE469106953}"/>
    <cellStyle name="Linked Cell 22 3 5 3" xfId="23976" xr:uid="{D47C3FB6-A3DB-45B8-903B-3CC8A8F58AC2}"/>
    <cellStyle name="Linked Cell 22 3 6" xfId="23977" xr:uid="{0C6A677F-DE64-44F1-B257-59E43D15A532}"/>
    <cellStyle name="Linked Cell 22 3 6 2" xfId="23978" xr:uid="{1FE2730F-6D2D-4BA9-93F6-1D407D3D6B39}"/>
    <cellStyle name="Linked Cell 22 3 6 2 2" xfId="23979" xr:uid="{60AE943F-0AE3-4217-BE9C-9667EC11C759}"/>
    <cellStyle name="Linked Cell 22 3 6 3" xfId="23980" xr:uid="{ED9AB134-82EA-4F88-B6A2-A073082A3D9B}"/>
    <cellStyle name="Linked Cell 22 3 7" xfId="23981" xr:uid="{FC3F7ACD-EAFA-4E92-B349-2FE4E78C0163}"/>
    <cellStyle name="Linked Cell 22 3 7 2" xfId="23982" xr:uid="{04C3F50C-CAE6-4A55-8824-16594DC47EC4}"/>
    <cellStyle name="Linked Cell 22 3 7 2 2" xfId="23983" xr:uid="{7A7A4C1D-BE73-434C-84C9-604F4A145611}"/>
    <cellStyle name="Linked Cell 22 3 7 3" xfId="23984" xr:uid="{0A99BD13-C411-4EA1-8144-0886BF5B5539}"/>
    <cellStyle name="Linked Cell 22 3 8" xfId="23985" xr:uid="{5B84DDBC-CBF6-40C7-B800-075201D1DFD1}"/>
    <cellStyle name="Linked Cell 22 3 8 2" xfId="23986" xr:uid="{E404E73D-9FEB-4DFF-8B48-5EBB9AF2CAE1}"/>
    <cellStyle name="Linked Cell 22 3 8 2 2" xfId="23987" xr:uid="{76D034C6-7BCD-46CE-8D10-729B5622C65D}"/>
    <cellStyle name="Linked Cell 22 3 8 3" xfId="23988" xr:uid="{F78C4485-638B-4FD3-B3D2-64D4DA2A2718}"/>
    <cellStyle name="Linked Cell 22 3 9" xfId="23989" xr:uid="{EDF7A78D-BA4E-4DFD-BB35-C0397FF68CD0}"/>
    <cellStyle name="Linked Cell 22 3 9 2" xfId="23990" xr:uid="{B33F2115-B965-4254-8F2C-391D4B163149}"/>
    <cellStyle name="Linked Cell 22 3 9 2 2" xfId="23991" xr:uid="{8947F659-4168-40EA-9A32-A2DB554084B5}"/>
    <cellStyle name="Linked Cell 22 3 9 3" xfId="23992" xr:uid="{6CA30D10-DD3C-4088-B39B-C66B4D6D34AF}"/>
    <cellStyle name="Linked Cell 22 4" xfId="23993" xr:uid="{698A914C-1C1C-4A7F-910B-BAB6B9158563}"/>
    <cellStyle name="Linked Cell 22 4 10" xfId="23994" xr:uid="{FCA8EB54-1E10-4290-B87D-122834701606}"/>
    <cellStyle name="Linked Cell 22 4 10 2" xfId="23995" xr:uid="{D09CAEB4-AA06-4923-B754-26FF9C4AE75F}"/>
    <cellStyle name="Linked Cell 22 4 10 2 2" xfId="23996" xr:uid="{75B94440-77BF-4DD6-B16B-F87AFCAD6B20}"/>
    <cellStyle name="Linked Cell 22 4 10 3" xfId="23997" xr:uid="{0687E437-CD31-4DF4-9CFB-518FC064B4C8}"/>
    <cellStyle name="Linked Cell 22 4 11" xfId="23998" xr:uid="{B173C20E-ADA8-403B-BAF9-ACEEC7021DCD}"/>
    <cellStyle name="Linked Cell 22 4 11 2" xfId="23999" xr:uid="{FE7706F5-C446-489E-A4C6-F1BCF0600D52}"/>
    <cellStyle name="Linked Cell 22 4 11 2 2" xfId="24000" xr:uid="{338BB586-FE6E-46ED-B881-1C7988EC5607}"/>
    <cellStyle name="Linked Cell 22 4 11 3" xfId="24001" xr:uid="{C09C4D67-B10C-4A5E-A4A4-76604DDC9305}"/>
    <cellStyle name="Linked Cell 22 4 12" xfId="24002" xr:uid="{D515580C-9FB1-4E7B-B698-EFDAA1BD7473}"/>
    <cellStyle name="Linked Cell 22 4 12 2" xfId="24003" xr:uid="{FC0D2E03-DDF8-44BF-B1E2-BA1D1BA48D79}"/>
    <cellStyle name="Linked Cell 22 4 13" xfId="24004" xr:uid="{56815A80-B02C-4C91-AD7D-98CDE1902D18}"/>
    <cellStyle name="Linked Cell 22 4 2" xfId="24005" xr:uid="{BB1C597A-73D7-4DBE-9C06-06E3445A8C47}"/>
    <cellStyle name="Linked Cell 22 4 2 10" xfId="24006" xr:uid="{8E275222-4CAD-4F29-9F9B-D717C576DC3A}"/>
    <cellStyle name="Linked Cell 22 4 2 10 2" xfId="24007" xr:uid="{C48F1B84-18A4-46F6-961B-31D18EDC51A5}"/>
    <cellStyle name="Linked Cell 22 4 2 10 2 2" xfId="24008" xr:uid="{7D7ACB0D-93B7-48D9-8E93-108E7820EFA6}"/>
    <cellStyle name="Linked Cell 22 4 2 10 3" xfId="24009" xr:uid="{19DC2A48-F4DA-4B29-930C-940F3D71BA56}"/>
    <cellStyle name="Linked Cell 22 4 2 11" xfId="24010" xr:uid="{2DAA3656-254D-4F7E-B567-9F90A1FA96DE}"/>
    <cellStyle name="Linked Cell 22 4 2 11 2" xfId="24011" xr:uid="{C5822711-974B-4AD0-A523-FA1BC2744FED}"/>
    <cellStyle name="Linked Cell 22 4 2 12" xfId="24012" xr:uid="{84FF21C6-4D4B-43DF-8816-7ADF69BDBC35}"/>
    <cellStyle name="Linked Cell 22 4 2 2" xfId="24013" xr:uid="{BEB76A70-2A96-4E6F-BEBF-93FBC6699F04}"/>
    <cellStyle name="Linked Cell 22 4 2 2 2" xfId="24014" xr:uid="{84CC26CF-96BB-48AF-B496-4D1230057F8F}"/>
    <cellStyle name="Linked Cell 22 4 2 2 2 2" xfId="24015" xr:uid="{605716C7-AF6A-4433-B34B-90375D06C30A}"/>
    <cellStyle name="Linked Cell 22 4 2 2 3" xfId="24016" xr:uid="{2D21C9B5-3FE3-430C-AE59-361A7C9FD579}"/>
    <cellStyle name="Linked Cell 22 4 2 3" xfId="24017" xr:uid="{2879FE4B-3C72-4CE5-8418-127A584567F4}"/>
    <cellStyle name="Linked Cell 22 4 2 3 2" xfId="24018" xr:uid="{B314D152-5664-40EF-A400-03C51A78F19E}"/>
    <cellStyle name="Linked Cell 22 4 2 3 2 2" xfId="24019" xr:uid="{59F49643-04C2-4D0B-AC7C-DE991C13928D}"/>
    <cellStyle name="Linked Cell 22 4 2 3 3" xfId="24020" xr:uid="{B5C5C827-8F86-4822-ADA3-0BC76C7DDED2}"/>
    <cellStyle name="Linked Cell 22 4 2 4" xfId="24021" xr:uid="{04E33D81-A5D1-45FB-8536-36A24DC0FF30}"/>
    <cellStyle name="Linked Cell 22 4 2 4 2" xfId="24022" xr:uid="{7A24C9A5-BBEC-4CC1-A7DE-BEC8750AFDD4}"/>
    <cellStyle name="Linked Cell 22 4 2 4 2 2" xfId="24023" xr:uid="{11C795A3-B894-41B9-A00B-50B900072991}"/>
    <cellStyle name="Linked Cell 22 4 2 4 3" xfId="24024" xr:uid="{CD67A865-B810-4994-B8A4-5CB43065F866}"/>
    <cellStyle name="Linked Cell 22 4 2 5" xfId="24025" xr:uid="{7831CE9A-3D62-40A4-B913-738918A52A36}"/>
    <cellStyle name="Linked Cell 22 4 2 5 2" xfId="24026" xr:uid="{1BF1BF43-659D-4D0D-9219-EF191B0AAD22}"/>
    <cellStyle name="Linked Cell 22 4 2 5 2 2" xfId="24027" xr:uid="{F8E5D48E-8221-4311-AE14-20E88EF10925}"/>
    <cellStyle name="Linked Cell 22 4 2 5 3" xfId="24028" xr:uid="{8231A823-9081-4316-A813-02D81F87633A}"/>
    <cellStyle name="Linked Cell 22 4 2 6" xfId="24029" xr:uid="{17DBF0C0-7DF2-4063-91E6-9DE09BD5A315}"/>
    <cellStyle name="Linked Cell 22 4 2 6 2" xfId="24030" xr:uid="{652DF948-ECF2-45C3-8BAD-A8B2702BE392}"/>
    <cellStyle name="Linked Cell 22 4 2 6 2 2" xfId="24031" xr:uid="{86E1FB83-9FA5-401F-A422-009214235697}"/>
    <cellStyle name="Linked Cell 22 4 2 6 3" xfId="24032" xr:uid="{C52276E7-6DE5-4424-A840-F51C80B8ADF3}"/>
    <cellStyle name="Linked Cell 22 4 2 7" xfId="24033" xr:uid="{CB9D1AED-D188-4896-9A84-2C448D596917}"/>
    <cellStyle name="Linked Cell 22 4 2 7 2" xfId="24034" xr:uid="{7E5398F2-4E49-48D9-94A3-35FFF6ED4C70}"/>
    <cellStyle name="Linked Cell 22 4 2 7 2 2" xfId="24035" xr:uid="{FABAC297-54D4-4938-818F-A9527C9A39C5}"/>
    <cellStyle name="Linked Cell 22 4 2 7 3" xfId="24036" xr:uid="{B75EF8EC-9601-44C6-89FD-A038074ECF9F}"/>
    <cellStyle name="Linked Cell 22 4 2 8" xfId="24037" xr:uid="{E48C79AA-C7A6-4C1E-9890-214EFF4CC9D6}"/>
    <cellStyle name="Linked Cell 22 4 2 8 2" xfId="24038" xr:uid="{E0A79581-5E0B-4545-92A9-97F7434CD8DB}"/>
    <cellStyle name="Linked Cell 22 4 2 8 2 2" xfId="24039" xr:uid="{3C8DAC2C-876D-4C3B-8724-85F81BF22E18}"/>
    <cellStyle name="Linked Cell 22 4 2 8 3" xfId="24040" xr:uid="{75AD3D5C-CF61-4CFE-A0D5-F309F3088BB8}"/>
    <cellStyle name="Linked Cell 22 4 2 9" xfId="24041" xr:uid="{F8E92A5D-B6AE-442A-A40A-8EF982634F77}"/>
    <cellStyle name="Linked Cell 22 4 2 9 2" xfId="24042" xr:uid="{40CD9507-B9A2-46E0-9783-B648B08F11AB}"/>
    <cellStyle name="Linked Cell 22 4 2 9 2 2" xfId="24043" xr:uid="{3A0A75D8-4D95-41EE-88E3-1E8D8AE3C054}"/>
    <cellStyle name="Linked Cell 22 4 2 9 3" xfId="24044" xr:uid="{303418DA-F591-4F63-ACB2-A5D2D47DA06F}"/>
    <cellStyle name="Linked Cell 22 4 3" xfId="24045" xr:uid="{5D4FEE47-17B7-4179-A9D7-874767336C4B}"/>
    <cellStyle name="Linked Cell 22 4 3 10" xfId="24046" xr:uid="{2DEC6EC5-A5DF-4777-8652-1D837ECAE9F7}"/>
    <cellStyle name="Linked Cell 22 4 3 10 2" xfId="24047" xr:uid="{0830B2E8-3C0B-471C-A3F6-3407060F04D3}"/>
    <cellStyle name="Linked Cell 22 4 3 11" xfId="24048" xr:uid="{08F6802E-74BE-4C05-BC92-892505E2E3B2}"/>
    <cellStyle name="Linked Cell 22 4 3 2" xfId="24049" xr:uid="{60B4DDAA-60B5-4DF1-8F43-A28B60931F01}"/>
    <cellStyle name="Linked Cell 22 4 3 2 2" xfId="24050" xr:uid="{BB8BCA51-22B8-42B7-9E27-06C93648C1D6}"/>
    <cellStyle name="Linked Cell 22 4 3 2 2 2" xfId="24051" xr:uid="{8F93C6CF-3121-4272-83EB-723E4C94242F}"/>
    <cellStyle name="Linked Cell 22 4 3 2 3" xfId="24052" xr:uid="{0B4C8D2D-95E2-4716-9DFD-BDB5FF23BA98}"/>
    <cellStyle name="Linked Cell 22 4 3 3" xfId="24053" xr:uid="{5B739847-44BC-4978-B8B7-FAE4CD161841}"/>
    <cellStyle name="Linked Cell 22 4 3 3 2" xfId="24054" xr:uid="{854C0EF5-4922-46B8-82AF-3FCA20099283}"/>
    <cellStyle name="Linked Cell 22 4 3 3 2 2" xfId="24055" xr:uid="{EDDAD372-F022-4F27-B481-FE321AF370D2}"/>
    <cellStyle name="Linked Cell 22 4 3 3 3" xfId="24056" xr:uid="{ADD3DCA6-3699-4E22-96C6-98ADA49E0CA2}"/>
    <cellStyle name="Linked Cell 22 4 3 4" xfId="24057" xr:uid="{4B58365D-DE08-460A-8C0E-92AA46225EC0}"/>
    <cellStyle name="Linked Cell 22 4 3 4 2" xfId="24058" xr:uid="{0A2CF40E-C43A-4E26-B8CC-165FAF0AF7EE}"/>
    <cellStyle name="Linked Cell 22 4 3 4 2 2" xfId="24059" xr:uid="{881C4DC3-09F6-495E-ADFA-2A20E23CB592}"/>
    <cellStyle name="Linked Cell 22 4 3 4 3" xfId="24060" xr:uid="{464ACD38-E4EE-42B4-AB52-5B5FB4AB2497}"/>
    <cellStyle name="Linked Cell 22 4 3 5" xfId="24061" xr:uid="{B7A3ED50-71D3-4BCC-A19A-1195DC08A7A9}"/>
    <cellStyle name="Linked Cell 22 4 3 5 2" xfId="24062" xr:uid="{FBB61655-9FD7-42E8-B628-A95345E82C28}"/>
    <cellStyle name="Linked Cell 22 4 3 5 2 2" xfId="24063" xr:uid="{4069C7E1-0912-410C-A4DA-200505E55BC1}"/>
    <cellStyle name="Linked Cell 22 4 3 5 3" xfId="24064" xr:uid="{1F37264F-EBC9-48D8-823C-4173C17D52E1}"/>
    <cellStyle name="Linked Cell 22 4 3 6" xfId="24065" xr:uid="{6F09655A-1B23-4E4F-BE4C-79A6F3D9510E}"/>
    <cellStyle name="Linked Cell 22 4 3 6 2" xfId="24066" xr:uid="{E10B01F8-7D49-469E-A0FD-57897E990EAA}"/>
    <cellStyle name="Linked Cell 22 4 3 6 2 2" xfId="24067" xr:uid="{79382271-3631-4E80-B33B-0020A89173B4}"/>
    <cellStyle name="Linked Cell 22 4 3 6 3" xfId="24068" xr:uid="{E83D47E1-A8E4-4A6F-8CA6-26DA8DB97F5D}"/>
    <cellStyle name="Linked Cell 22 4 3 7" xfId="24069" xr:uid="{0FF1B854-37FD-4258-B1CE-096741E06FEF}"/>
    <cellStyle name="Linked Cell 22 4 3 7 2" xfId="24070" xr:uid="{B5D4BFAA-63CD-469F-A380-B9BFFE6018EC}"/>
    <cellStyle name="Linked Cell 22 4 3 7 2 2" xfId="24071" xr:uid="{B225A883-2E0B-4DE4-8BE4-CB6CC3F1BABD}"/>
    <cellStyle name="Linked Cell 22 4 3 7 3" xfId="24072" xr:uid="{25ECAAD3-2F4B-474E-957B-C0550C354146}"/>
    <cellStyle name="Linked Cell 22 4 3 8" xfId="24073" xr:uid="{42CD0F23-63DB-403D-82EB-31B98BCC4761}"/>
    <cellStyle name="Linked Cell 22 4 3 8 2" xfId="24074" xr:uid="{8FCE08C7-0F71-4AF2-BD72-B28185534980}"/>
    <cellStyle name="Linked Cell 22 4 3 8 2 2" xfId="24075" xr:uid="{1556F465-5BB3-4F5B-BB99-1067191CD16E}"/>
    <cellStyle name="Linked Cell 22 4 3 8 3" xfId="24076" xr:uid="{A2ADC163-3487-4B1C-A4EC-668D5E7AE475}"/>
    <cellStyle name="Linked Cell 22 4 3 9" xfId="24077" xr:uid="{93B3F501-A6EF-43B5-A43C-C1B0A6D9D9FB}"/>
    <cellStyle name="Linked Cell 22 4 3 9 2" xfId="24078" xr:uid="{6E5338C4-712B-435F-9CE7-DEB8E377A793}"/>
    <cellStyle name="Linked Cell 22 4 3 9 2 2" xfId="24079" xr:uid="{BBAAA68C-08E4-4CF4-B90B-153FADB898B8}"/>
    <cellStyle name="Linked Cell 22 4 3 9 3" xfId="24080" xr:uid="{0A95AA15-DF47-4A11-9F26-84F4DB5B0457}"/>
    <cellStyle name="Linked Cell 22 4 4" xfId="24081" xr:uid="{7A36A291-8027-4CCD-BFDB-782456112647}"/>
    <cellStyle name="Linked Cell 22 4 4 2" xfId="24082" xr:uid="{05BF607A-59AF-4086-9832-21B8AC34D778}"/>
    <cellStyle name="Linked Cell 22 4 4 2 2" xfId="24083" xr:uid="{79265C24-6D24-41EE-A1F8-16C620983DBC}"/>
    <cellStyle name="Linked Cell 22 4 4 3" xfId="24084" xr:uid="{7D59536D-9ACD-465C-9A88-A2DE7C027B41}"/>
    <cellStyle name="Linked Cell 22 4 5" xfId="24085" xr:uid="{4C1126FD-8F42-4D10-B187-90C07636F8F3}"/>
    <cellStyle name="Linked Cell 22 4 5 2" xfId="24086" xr:uid="{F9D4332C-5CD0-487D-89E7-23B9ADF0B407}"/>
    <cellStyle name="Linked Cell 22 4 5 2 2" xfId="24087" xr:uid="{BB9450D8-E306-4BBD-8532-F44A6BCE2873}"/>
    <cellStyle name="Linked Cell 22 4 5 3" xfId="24088" xr:uid="{04C511D1-74D3-41D9-96E1-9483A1FBEDEF}"/>
    <cellStyle name="Linked Cell 22 4 6" xfId="24089" xr:uid="{CC17F33B-953B-4FC4-B8BF-78BDD9FBF546}"/>
    <cellStyle name="Linked Cell 22 4 6 2" xfId="24090" xr:uid="{6ECD8982-C17F-4ACF-9D8F-0BBA2DB05C3A}"/>
    <cellStyle name="Linked Cell 22 4 6 2 2" xfId="24091" xr:uid="{FFA4E3A3-8F70-496C-97A8-EF30CEEDC48D}"/>
    <cellStyle name="Linked Cell 22 4 6 3" xfId="24092" xr:uid="{97B8C6F2-FC2F-45CD-9A70-D2113180A7AF}"/>
    <cellStyle name="Linked Cell 22 4 7" xfId="24093" xr:uid="{CBAD06FE-80FB-4987-AD28-3F058F8F7DD0}"/>
    <cellStyle name="Linked Cell 22 4 7 2" xfId="24094" xr:uid="{9859693D-E26E-4944-90D3-D3C17C1B9428}"/>
    <cellStyle name="Linked Cell 22 4 7 2 2" xfId="24095" xr:uid="{54267CB5-E373-4569-A7E6-2AC956BCE72C}"/>
    <cellStyle name="Linked Cell 22 4 7 3" xfId="24096" xr:uid="{6DC924CF-7A13-4AD3-B743-A525B10732CC}"/>
    <cellStyle name="Linked Cell 22 4 8" xfId="24097" xr:uid="{BF65511F-EEC7-450A-A83F-00F97B7827A2}"/>
    <cellStyle name="Linked Cell 22 4 8 2" xfId="24098" xr:uid="{03C8B254-68BD-490F-9C42-19DEAF6C245A}"/>
    <cellStyle name="Linked Cell 22 4 8 2 2" xfId="24099" xr:uid="{A56A3BE2-C684-4281-BC6A-229A14995039}"/>
    <cellStyle name="Linked Cell 22 4 8 3" xfId="24100" xr:uid="{447CD5B5-5111-42BC-B467-C96EA170A6F1}"/>
    <cellStyle name="Linked Cell 22 4 9" xfId="24101" xr:uid="{FA88D4CA-C89A-4060-A619-F1B03CD193B6}"/>
    <cellStyle name="Linked Cell 22 4 9 2" xfId="24102" xr:uid="{3BE6FA7E-9A22-45C0-83FF-565517D024E8}"/>
    <cellStyle name="Linked Cell 22 4 9 2 2" xfId="24103" xr:uid="{90B518FF-8833-4F7A-AE4A-591596CB85D9}"/>
    <cellStyle name="Linked Cell 22 4 9 3" xfId="24104" xr:uid="{131C3A45-E9A9-4DB0-8C93-26172EA7E1A3}"/>
    <cellStyle name="Linked Cell 23" xfId="24105" xr:uid="{DCAEFB8A-B0C3-4A68-81CE-3582F20B7294}"/>
    <cellStyle name="Linked Cell 23 2" xfId="24106" xr:uid="{812BE4C9-6720-4138-B1F5-C3348B882282}"/>
    <cellStyle name="Linked Cell 23 2 10" xfId="24107" xr:uid="{EB6AFDA1-9C07-4DFD-A172-A97B0F429E9D}"/>
    <cellStyle name="Linked Cell 23 2 10 2" xfId="24108" xr:uid="{C8BD6CF6-6316-4F35-B3E6-400D6CF2ACFF}"/>
    <cellStyle name="Linked Cell 23 2 10 2 2" xfId="24109" xr:uid="{4317E27B-44EF-4322-B438-3188A92C9063}"/>
    <cellStyle name="Linked Cell 23 2 10 3" xfId="24110" xr:uid="{02F16731-2719-4D09-9A5E-6BE33877918F}"/>
    <cellStyle name="Linked Cell 23 2 11" xfId="24111" xr:uid="{64C73B09-EB18-478E-BF1F-2CA73A7DD1CD}"/>
    <cellStyle name="Linked Cell 23 2 11 2" xfId="24112" xr:uid="{5E6C09B1-86E4-4296-89E0-4FA3BB301F41}"/>
    <cellStyle name="Linked Cell 23 2 11 2 2" xfId="24113" xr:uid="{D9900EA6-320A-4BC9-801B-8DE63D51B788}"/>
    <cellStyle name="Linked Cell 23 2 11 3" xfId="24114" xr:uid="{3B9F48E5-281B-4AAC-B354-89A2DD77D1E1}"/>
    <cellStyle name="Linked Cell 23 2 12" xfId="24115" xr:uid="{F6045E6B-E7CD-4F77-A7D0-02BB6CE7F00B}"/>
    <cellStyle name="Linked Cell 23 2 12 2" xfId="24116" xr:uid="{79B5888D-45E4-42B6-9410-EAED1451BDC7}"/>
    <cellStyle name="Linked Cell 23 2 12 2 2" xfId="24117" xr:uid="{02100A57-D726-4E48-B541-45945233A2D6}"/>
    <cellStyle name="Linked Cell 23 2 12 3" xfId="24118" xr:uid="{F3A26FF2-BAB8-4907-AFE5-C5891A915074}"/>
    <cellStyle name="Linked Cell 23 2 13" xfId="24119" xr:uid="{E877F25B-4A4F-433E-B1E1-4288C5C5F392}"/>
    <cellStyle name="Linked Cell 23 2 13 2" xfId="24120" xr:uid="{8A4F6D88-AB17-4617-B137-E6C211BDFED3}"/>
    <cellStyle name="Linked Cell 23 2 13 2 2" xfId="24121" xr:uid="{EAE48430-10CE-4753-9B4B-122F5AAE0BDD}"/>
    <cellStyle name="Linked Cell 23 2 13 3" xfId="24122" xr:uid="{DB6B079D-EA5C-4A6A-A2E7-90A68A92127E}"/>
    <cellStyle name="Linked Cell 23 2 14" xfId="24123" xr:uid="{8338F540-4027-426E-A3B5-CC2B694FFECE}"/>
    <cellStyle name="Linked Cell 23 2 14 2" xfId="24124" xr:uid="{079FE059-022C-4483-9594-D06C5728C528}"/>
    <cellStyle name="Linked Cell 23 2 15" xfId="24125" xr:uid="{2F7CE0AC-1EDF-4939-81E4-AF861E28DD7A}"/>
    <cellStyle name="Linked Cell 23 2 2" xfId="24126" xr:uid="{5D51EEE8-523D-42BC-A050-A91408A554F0}"/>
    <cellStyle name="Linked Cell 23 2 2 10" xfId="24127" xr:uid="{1CA2CBDF-C0A2-41CD-9294-68F5F0B0C911}"/>
    <cellStyle name="Linked Cell 23 2 2 10 2" xfId="24128" xr:uid="{D7331200-31D3-4D77-AB2E-22232059D076}"/>
    <cellStyle name="Linked Cell 23 2 2 10 2 2" xfId="24129" xr:uid="{F8E59A59-B182-417E-9C2F-9500DCAF54B8}"/>
    <cellStyle name="Linked Cell 23 2 2 10 3" xfId="24130" xr:uid="{78790AB1-63B0-460B-8EFC-D081E6842C0F}"/>
    <cellStyle name="Linked Cell 23 2 2 11" xfId="24131" xr:uid="{3C14CE2B-099F-44B5-A038-2EC26CC17227}"/>
    <cellStyle name="Linked Cell 23 2 2 11 2" xfId="24132" xr:uid="{82A658EE-5E3C-4AD2-9382-4B75E4A5C1D6}"/>
    <cellStyle name="Linked Cell 23 2 2 11 2 2" xfId="24133" xr:uid="{26BCFE53-B6D1-4FFE-B9DF-2153D419EB73}"/>
    <cellStyle name="Linked Cell 23 2 2 11 3" xfId="24134" xr:uid="{00802950-63BD-4A8A-8A4C-ABD2C336DA68}"/>
    <cellStyle name="Linked Cell 23 2 2 12" xfId="24135" xr:uid="{039D9A67-46B5-42EB-8EA2-084C78B44AD0}"/>
    <cellStyle name="Linked Cell 23 2 2 12 2" xfId="24136" xr:uid="{DD32DF30-0AE1-48EF-943E-90C1BB48A38D}"/>
    <cellStyle name="Linked Cell 23 2 2 12 2 2" xfId="24137" xr:uid="{73F265F1-E1B8-49B1-B6AB-9E467BAF697A}"/>
    <cellStyle name="Linked Cell 23 2 2 12 3" xfId="24138" xr:uid="{4753EECC-46B2-4705-BE1B-D127752A9901}"/>
    <cellStyle name="Linked Cell 23 2 2 13" xfId="24139" xr:uid="{D57F0B89-030B-4473-BBE6-3688B4D0FF56}"/>
    <cellStyle name="Linked Cell 23 2 2 13 2" xfId="24140" xr:uid="{674E8983-B3F8-499A-A0EA-73B1ED42E52D}"/>
    <cellStyle name="Linked Cell 23 2 2 14" xfId="24141" xr:uid="{22846552-6E99-45FB-8BE7-4163BE1E4494}"/>
    <cellStyle name="Linked Cell 23 2 2 2" xfId="24142" xr:uid="{0657AC0A-5737-46B2-B185-B9BBE9D26E03}"/>
    <cellStyle name="Linked Cell 23 2 2 2 10" xfId="24143" xr:uid="{5FA45F5B-D5C4-4284-84F5-4797C760CE2A}"/>
    <cellStyle name="Linked Cell 23 2 2 2 10 2" xfId="24144" xr:uid="{4BC6934A-B26C-4E70-8149-D42AB047A767}"/>
    <cellStyle name="Linked Cell 23 2 2 2 10 2 2" xfId="24145" xr:uid="{14A16AAB-0224-422E-BB0D-738EEF96364A}"/>
    <cellStyle name="Linked Cell 23 2 2 2 10 3" xfId="24146" xr:uid="{D7C7A8A4-5467-4A49-80CA-AE770DF80256}"/>
    <cellStyle name="Linked Cell 23 2 2 2 11" xfId="24147" xr:uid="{8BFD2C8C-DEB5-4DE1-9E67-7A654D481EF2}"/>
    <cellStyle name="Linked Cell 23 2 2 2 11 2" xfId="24148" xr:uid="{F1F6D25A-FED3-44BA-9729-2FD7A8416BBB}"/>
    <cellStyle name="Linked Cell 23 2 2 2 11 2 2" xfId="24149" xr:uid="{9DC114A1-5C5E-41C5-AF66-6E21AEA935E1}"/>
    <cellStyle name="Linked Cell 23 2 2 2 11 3" xfId="24150" xr:uid="{D4A0D423-2E43-4093-8658-1F70FD07DFF3}"/>
    <cellStyle name="Linked Cell 23 2 2 2 12" xfId="24151" xr:uid="{22A8BD43-5AD1-49BF-A2C6-E53160B7F2E8}"/>
    <cellStyle name="Linked Cell 23 2 2 2 12 2" xfId="24152" xr:uid="{AF3F4C95-E411-41F3-8545-8E5370AD579A}"/>
    <cellStyle name="Linked Cell 23 2 2 2 13" xfId="24153" xr:uid="{21D9DB00-A655-4593-9607-E36887408273}"/>
    <cellStyle name="Linked Cell 23 2 2 2 2" xfId="24154" xr:uid="{8243FC94-B60A-4F0A-BA5E-2620693C7C70}"/>
    <cellStyle name="Linked Cell 23 2 2 2 2 10" xfId="24155" xr:uid="{EB41CAC9-A8B7-47AF-9B84-DF07F385F8B7}"/>
    <cellStyle name="Linked Cell 23 2 2 2 2 10 2" xfId="24156" xr:uid="{633FC1C9-37D9-48B8-81F5-ACE085C68072}"/>
    <cellStyle name="Linked Cell 23 2 2 2 2 10 2 2" xfId="24157" xr:uid="{D775737E-2D4B-4EAE-BBF2-F0351FB786C5}"/>
    <cellStyle name="Linked Cell 23 2 2 2 2 10 3" xfId="24158" xr:uid="{BB023C65-E53B-4AB2-95F2-C53F85A30718}"/>
    <cellStyle name="Linked Cell 23 2 2 2 2 11" xfId="24159" xr:uid="{61E3D2C5-267C-4947-8CF4-C8E254C9C197}"/>
    <cellStyle name="Linked Cell 23 2 2 2 2 11 2" xfId="24160" xr:uid="{D23717E6-ED22-46EB-A84D-9520E8F25F0A}"/>
    <cellStyle name="Linked Cell 23 2 2 2 2 12" xfId="24161" xr:uid="{C5BF692E-8299-408E-8F29-1A5880D5ED49}"/>
    <cellStyle name="Linked Cell 23 2 2 2 2 2" xfId="24162" xr:uid="{9BADAE98-FE5E-4D63-B3F4-58542B84DB22}"/>
    <cellStyle name="Linked Cell 23 2 2 2 2 2 2" xfId="24163" xr:uid="{7B372363-B11C-4FBE-BFA1-CA55B972F4C9}"/>
    <cellStyle name="Linked Cell 23 2 2 2 2 2 2 2" xfId="24164" xr:uid="{B7316806-E1D2-4319-8000-A989C54D18D7}"/>
    <cellStyle name="Linked Cell 23 2 2 2 2 2 3" xfId="24165" xr:uid="{F15CFF85-7D5B-478A-A286-B3754A8C177D}"/>
    <cellStyle name="Linked Cell 23 2 2 2 2 3" xfId="24166" xr:uid="{076BD39E-3C0F-4DDB-8020-8FA8A7033F6B}"/>
    <cellStyle name="Linked Cell 23 2 2 2 2 3 2" xfId="24167" xr:uid="{46B624FD-3E85-4757-A180-3C5216259284}"/>
    <cellStyle name="Linked Cell 23 2 2 2 2 3 2 2" xfId="24168" xr:uid="{053D36FB-716C-4DA4-9B24-DA0E9665D219}"/>
    <cellStyle name="Linked Cell 23 2 2 2 2 3 3" xfId="24169" xr:uid="{58443CE8-A953-4CDD-AAE2-5AECCA59F5BB}"/>
    <cellStyle name="Linked Cell 23 2 2 2 2 4" xfId="24170" xr:uid="{DDC69221-D67A-47DC-8A5A-6015C71716DB}"/>
    <cellStyle name="Linked Cell 23 2 2 2 2 4 2" xfId="24171" xr:uid="{662D5C72-BFE4-4292-BA11-DB86E4DB5AD0}"/>
    <cellStyle name="Linked Cell 23 2 2 2 2 4 2 2" xfId="24172" xr:uid="{744C39FE-8CD6-4EB7-BBD7-4311923B1C5F}"/>
    <cellStyle name="Linked Cell 23 2 2 2 2 4 3" xfId="24173" xr:uid="{BF1AA579-5A6B-487A-BD10-864B3A8276B4}"/>
    <cellStyle name="Linked Cell 23 2 2 2 2 5" xfId="24174" xr:uid="{7F1E0D37-D93D-4CFA-AEDC-D5ADB53E6222}"/>
    <cellStyle name="Linked Cell 23 2 2 2 2 5 2" xfId="24175" xr:uid="{D5914995-3DEB-4062-9152-456938ACE3A6}"/>
    <cellStyle name="Linked Cell 23 2 2 2 2 5 2 2" xfId="24176" xr:uid="{CDCBB981-2AA6-424A-BC12-511E8C7C0BAA}"/>
    <cellStyle name="Linked Cell 23 2 2 2 2 5 3" xfId="24177" xr:uid="{A56C036F-25F5-48A9-813A-25E865CC89BF}"/>
    <cellStyle name="Linked Cell 23 2 2 2 2 6" xfId="24178" xr:uid="{D8849A80-3700-4811-8DF2-453036BF0288}"/>
    <cellStyle name="Linked Cell 23 2 2 2 2 6 2" xfId="24179" xr:uid="{E74760FD-EE3C-4F05-AF8A-6EB6CEA1D876}"/>
    <cellStyle name="Linked Cell 23 2 2 2 2 6 2 2" xfId="24180" xr:uid="{0DD9BDD3-6E36-49B8-99DF-287F133ABA9A}"/>
    <cellStyle name="Linked Cell 23 2 2 2 2 6 3" xfId="24181" xr:uid="{C77960D1-8B4F-4775-A99B-0C90ED7DCA88}"/>
    <cellStyle name="Linked Cell 23 2 2 2 2 7" xfId="24182" xr:uid="{D51708B6-C724-4979-9FC0-53C6C57CC71A}"/>
    <cellStyle name="Linked Cell 23 2 2 2 2 7 2" xfId="24183" xr:uid="{E3277FC6-AF0F-423C-83EC-48714F19A160}"/>
    <cellStyle name="Linked Cell 23 2 2 2 2 7 2 2" xfId="24184" xr:uid="{08D4CF33-2D39-4B9B-8534-9FC61653E1D1}"/>
    <cellStyle name="Linked Cell 23 2 2 2 2 7 3" xfId="24185" xr:uid="{607A6053-9EE2-415D-B26A-8A8103192261}"/>
    <cellStyle name="Linked Cell 23 2 2 2 2 8" xfId="24186" xr:uid="{5FC4D599-928B-49CB-B9F1-677B2771325C}"/>
    <cellStyle name="Linked Cell 23 2 2 2 2 8 2" xfId="24187" xr:uid="{74D03537-7426-44B3-B229-A4932DEC0F47}"/>
    <cellStyle name="Linked Cell 23 2 2 2 2 8 2 2" xfId="24188" xr:uid="{D80929C2-EB2C-4B85-B2D6-C6DC3D5B7FE8}"/>
    <cellStyle name="Linked Cell 23 2 2 2 2 8 3" xfId="24189" xr:uid="{058288C7-5B1D-4B43-A860-C79FFB5AF6AD}"/>
    <cellStyle name="Linked Cell 23 2 2 2 2 9" xfId="24190" xr:uid="{2BFFE639-A0CE-4956-A95A-7980FC559704}"/>
    <cellStyle name="Linked Cell 23 2 2 2 2 9 2" xfId="24191" xr:uid="{3D6AE6B7-D4BD-453D-BE7C-7D394E1F4FFE}"/>
    <cellStyle name="Linked Cell 23 2 2 2 2 9 2 2" xfId="24192" xr:uid="{7481E4A6-08C0-4D88-A986-4D92ED795663}"/>
    <cellStyle name="Linked Cell 23 2 2 2 2 9 3" xfId="24193" xr:uid="{A9C2A3DD-C87E-4DAC-9A14-C7D240F679C6}"/>
    <cellStyle name="Linked Cell 23 2 2 2 3" xfId="24194" xr:uid="{95513FA4-72D5-4048-8B78-0C7273BA620E}"/>
    <cellStyle name="Linked Cell 23 2 2 2 3 10" xfId="24195" xr:uid="{622E2442-D055-4CDE-A6E6-E37933A68818}"/>
    <cellStyle name="Linked Cell 23 2 2 2 3 10 2" xfId="24196" xr:uid="{DEA8854C-18F1-42EB-A735-259AE8C60373}"/>
    <cellStyle name="Linked Cell 23 2 2 2 3 11" xfId="24197" xr:uid="{E0C727CE-2016-49FB-99FD-21033CCEF637}"/>
    <cellStyle name="Linked Cell 23 2 2 2 3 2" xfId="24198" xr:uid="{F71791C2-CF31-473D-A520-011F78C12E79}"/>
    <cellStyle name="Linked Cell 23 2 2 2 3 2 2" xfId="24199" xr:uid="{4F4D9920-2949-4591-913C-4DCB0AFCCFA1}"/>
    <cellStyle name="Linked Cell 23 2 2 2 3 2 2 2" xfId="24200" xr:uid="{0E51C47C-8371-4576-9BC7-CA79F0C55791}"/>
    <cellStyle name="Linked Cell 23 2 2 2 3 2 3" xfId="24201" xr:uid="{3DD4E50E-C096-40A6-A58E-473E72AE4240}"/>
    <cellStyle name="Linked Cell 23 2 2 2 3 3" xfId="24202" xr:uid="{2C7E0949-4124-4979-95DF-CA3D825CCFCC}"/>
    <cellStyle name="Linked Cell 23 2 2 2 3 3 2" xfId="24203" xr:uid="{B00E7E9B-97CD-4BF5-A875-6CA00171BD09}"/>
    <cellStyle name="Linked Cell 23 2 2 2 3 3 2 2" xfId="24204" xr:uid="{725E8649-B519-4BF1-B294-3D3D87EEFD09}"/>
    <cellStyle name="Linked Cell 23 2 2 2 3 3 3" xfId="24205" xr:uid="{67D56670-E685-4D96-B50E-31148BEC773A}"/>
    <cellStyle name="Linked Cell 23 2 2 2 3 4" xfId="24206" xr:uid="{446EC51A-0FA7-41AE-95DD-5BC28712E82F}"/>
    <cellStyle name="Linked Cell 23 2 2 2 3 4 2" xfId="24207" xr:uid="{42EBF12C-0673-4BF0-B804-1DDE8817DB71}"/>
    <cellStyle name="Linked Cell 23 2 2 2 3 4 2 2" xfId="24208" xr:uid="{7911BAF0-C903-44DF-80AC-328D54A1B006}"/>
    <cellStyle name="Linked Cell 23 2 2 2 3 4 3" xfId="24209" xr:uid="{DE429656-5361-46B6-B24F-025BBE100458}"/>
    <cellStyle name="Linked Cell 23 2 2 2 3 5" xfId="24210" xr:uid="{F4D382E1-CEC0-4040-9898-A0D91697F92A}"/>
    <cellStyle name="Linked Cell 23 2 2 2 3 5 2" xfId="24211" xr:uid="{4C03CE36-E50F-4078-BD82-791BDABE3E59}"/>
    <cellStyle name="Linked Cell 23 2 2 2 3 5 2 2" xfId="24212" xr:uid="{CD40A661-C51D-4739-883B-18C85546250A}"/>
    <cellStyle name="Linked Cell 23 2 2 2 3 5 3" xfId="24213" xr:uid="{ED8B1A4A-6331-4DE7-A5DD-86EA9102F73B}"/>
    <cellStyle name="Linked Cell 23 2 2 2 3 6" xfId="24214" xr:uid="{C2FFC798-A1E4-4470-AB51-37B1A070831E}"/>
    <cellStyle name="Linked Cell 23 2 2 2 3 6 2" xfId="24215" xr:uid="{927EB4C9-45D4-44D1-ACDD-569C3B9AA68B}"/>
    <cellStyle name="Linked Cell 23 2 2 2 3 6 2 2" xfId="24216" xr:uid="{4811FB3A-EABA-4945-B26B-EDA939021979}"/>
    <cellStyle name="Linked Cell 23 2 2 2 3 6 3" xfId="24217" xr:uid="{CA06A70C-BF1E-4AEE-83B0-170AC3C5D3D0}"/>
    <cellStyle name="Linked Cell 23 2 2 2 3 7" xfId="24218" xr:uid="{FC02A914-050F-4289-9BB4-C3A4CE24FE01}"/>
    <cellStyle name="Linked Cell 23 2 2 2 3 7 2" xfId="24219" xr:uid="{0B990A4C-EFAD-4B77-B4B7-3DC6751E3AF5}"/>
    <cellStyle name="Linked Cell 23 2 2 2 3 7 2 2" xfId="24220" xr:uid="{2E90FDCE-DF39-4B8A-ABA8-D360E91EFB95}"/>
    <cellStyle name="Linked Cell 23 2 2 2 3 7 3" xfId="24221" xr:uid="{8A6CBF33-C71D-45C8-A4D7-DA6A0FDA2252}"/>
    <cellStyle name="Linked Cell 23 2 2 2 3 8" xfId="24222" xr:uid="{82F39A67-B12A-4375-B22C-BB6CD1F6013E}"/>
    <cellStyle name="Linked Cell 23 2 2 2 3 8 2" xfId="24223" xr:uid="{4B922BE3-4D8A-4D8F-A82B-D04A6BB5293C}"/>
    <cellStyle name="Linked Cell 23 2 2 2 3 8 2 2" xfId="24224" xr:uid="{27B4438E-3E8F-42B9-A98E-4DDFB7D3CD76}"/>
    <cellStyle name="Linked Cell 23 2 2 2 3 8 3" xfId="24225" xr:uid="{BAF82F63-6D38-4D09-BB04-78D0FF354031}"/>
    <cellStyle name="Linked Cell 23 2 2 2 3 9" xfId="24226" xr:uid="{DDF85EED-9C5F-4511-9D5D-A0CC8C1FFABC}"/>
    <cellStyle name="Linked Cell 23 2 2 2 3 9 2" xfId="24227" xr:uid="{5E13D01A-BF21-401C-8B97-430BCB09223E}"/>
    <cellStyle name="Linked Cell 23 2 2 2 3 9 2 2" xfId="24228" xr:uid="{2B801C11-9EE3-44A0-B58C-0C794B404C7E}"/>
    <cellStyle name="Linked Cell 23 2 2 2 3 9 3" xfId="24229" xr:uid="{C117BB6A-2282-4EEC-99EB-81B16B851277}"/>
    <cellStyle name="Linked Cell 23 2 2 2 4" xfId="24230" xr:uid="{76AF43FC-56C9-420D-8C26-0F76C4602394}"/>
    <cellStyle name="Linked Cell 23 2 2 2 4 2" xfId="24231" xr:uid="{E396B9FF-0A28-4C3B-90A7-154F04BE734F}"/>
    <cellStyle name="Linked Cell 23 2 2 2 4 2 2" xfId="24232" xr:uid="{C777EF49-E10D-4A46-9DC0-438B6F6215A3}"/>
    <cellStyle name="Linked Cell 23 2 2 2 4 3" xfId="24233" xr:uid="{77DB3DF6-FC54-4B29-B4FE-F4C9016A7077}"/>
    <cellStyle name="Linked Cell 23 2 2 2 5" xfId="24234" xr:uid="{059A4A55-02FC-464E-A392-4E6B0C8B301B}"/>
    <cellStyle name="Linked Cell 23 2 2 2 5 2" xfId="24235" xr:uid="{8F16F215-65C3-4446-B2A3-5B6A5BC91496}"/>
    <cellStyle name="Linked Cell 23 2 2 2 5 2 2" xfId="24236" xr:uid="{CB25F357-5039-4F18-8881-62DE0A8B31E6}"/>
    <cellStyle name="Linked Cell 23 2 2 2 5 3" xfId="24237" xr:uid="{316EAE75-D604-486F-846D-78E53026670C}"/>
    <cellStyle name="Linked Cell 23 2 2 2 6" xfId="24238" xr:uid="{8A53FE51-BABB-48C0-8E75-CE77AAAE0E65}"/>
    <cellStyle name="Linked Cell 23 2 2 2 6 2" xfId="24239" xr:uid="{20A0F4D9-24B8-4458-887A-36FB341FB139}"/>
    <cellStyle name="Linked Cell 23 2 2 2 6 2 2" xfId="24240" xr:uid="{45BD5580-BDEB-467F-9120-9560C09B162C}"/>
    <cellStyle name="Linked Cell 23 2 2 2 6 3" xfId="24241" xr:uid="{DA6FC430-6C13-40DB-9487-BE975CCFAC9C}"/>
    <cellStyle name="Linked Cell 23 2 2 2 7" xfId="24242" xr:uid="{102934CD-0EA9-414A-A71D-FA84063BD787}"/>
    <cellStyle name="Linked Cell 23 2 2 2 7 2" xfId="24243" xr:uid="{AE4228B9-40D5-4761-B9E8-25CE3F479A3D}"/>
    <cellStyle name="Linked Cell 23 2 2 2 7 2 2" xfId="24244" xr:uid="{B4272BFF-8808-4351-A649-1C5B3978BEA3}"/>
    <cellStyle name="Linked Cell 23 2 2 2 7 3" xfId="24245" xr:uid="{493EDB7D-684D-468D-AF0E-10818233F214}"/>
    <cellStyle name="Linked Cell 23 2 2 2 8" xfId="24246" xr:uid="{E80DD420-A4C7-4583-8038-03D7F950356C}"/>
    <cellStyle name="Linked Cell 23 2 2 2 8 2" xfId="24247" xr:uid="{72AD1C04-9D8E-45A2-BFAA-381C95AE686C}"/>
    <cellStyle name="Linked Cell 23 2 2 2 8 2 2" xfId="24248" xr:uid="{4B26D088-683C-46CF-A3EA-AAC76470FB1A}"/>
    <cellStyle name="Linked Cell 23 2 2 2 8 3" xfId="24249" xr:uid="{B6BE7A37-5784-429B-96C5-AD755A2B01DC}"/>
    <cellStyle name="Linked Cell 23 2 2 2 9" xfId="24250" xr:uid="{391FD2F7-D92E-4841-AD6D-E585F7DE30AE}"/>
    <cellStyle name="Linked Cell 23 2 2 2 9 2" xfId="24251" xr:uid="{7028E256-3D07-4C4F-9DCD-BC2BDAEDFE19}"/>
    <cellStyle name="Linked Cell 23 2 2 2 9 2 2" xfId="24252" xr:uid="{C476B977-0944-4A0C-B242-512A11A88221}"/>
    <cellStyle name="Linked Cell 23 2 2 2 9 3" xfId="24253" xr:uid="{7769A0B0-2678-4232-8CAB-AAF48B776821}"/>
    <cellStyle name="Linked Cell 23 2 2 3" xfId="24254" xr:uid="{3DF2CEF6-9CAE-4B62-9E00-88213850D0F4}"/>
    <cellStyle name="Linked Cell 23 2 2 3 10" xfId="24255" xr:uid="{B12140B3-E1C7-4711-A894-220715828109}"/>
    <cellStyle name="Linked Cell 23 2 2 3 10 2" xfId="24256" xr:uid="{6645320F-0BB9-4933-9E8E-6ABF5E626E05}"/>
    <cellStyle name="Linked Cell 23 2 2 3 10 2 2" xfId="24257" xr:uid="{F75B2C2A-7BAE-473E-A368-2AC9D7816B87}"/>
    <cellStyle name="Linked Cell 23 2 2 3 10 3" xfId="24258" xr:uid="{A5682F14-E825-46AE-BB9F-6F1F83311B54}"/>
    <cellStyle name="Linked Cell 23 2 2 3 11" xfId="24259" xr:uid="{11501EEB-FD61-415B-97C7-31AF7410D0F8}"/>
    <cellStyle name="Linked Cell 23 2 2 3 11 2" xfId="24260" xr:uid="{FD879B2B-85AF-4B25-ACBC-ED44B7FA09A0}"/>
    <cellStyle name="Linked Cell 23 2 2 3 12" xfId="24261" xr:uid="{ADAFB2E4-FBAC-4900-8466-E9706C38B5A7}"/>
    <cellStyle name="Linked Cell 23 2 2 3 2" xfId="24262" xr:uid="{EB46D76C-3209-4E2A-B7E6-D622BAA79185}"/>
    <cellStyle name="Linked Cell 23 2 2 3 2 10" xfId="24263" xr:uid="{80E67E7D-0851-4088-8118-8BFE85BA8ABB}"/>
    <cellStyle name="Linked Cell 23 2 2 3 2 10 2" xfId="24264" xr:uid="{FE935611-2D4C-4838-88C0-AAA69BAF50CC}"/>
    <cellStyle name="Linked Cell 23 2 2 3 2 11" xfId="24265" xr:uid="{EBC44FB2-429D-42D4-B15D-3A411785E7BF}"/>
    <cellStyle name="Linked Cell 23 2 2 3 2 2" xfId="24266" xr:uid="{6190622F-DBB5-4B93-8E6F-F8EE2D8E84AC}"/>
    <cellStyle name="Linked Cell 23 2 2 3 2 2 2" xfId="24267" xr:uid="{EF2B6909-668C-4611-8EA9-158B9A3CCB54}"/>
    <cellStyle name="Linked Cell 23 2 2 3 2 2 2 2" xfId="24268" xr:uid="{557F68D0-E949-47C2-9E0C-584CB99CC7C6}"/>
    <cellStyle name="Linked Cell 23 2 2 3 2 2 3" xfId="24269" xr:uid="{2207D61E-3FE0-4298-80A4-D5755307C7AC}"/>
    <cellStyle name="Linked Cell 23 2 2 3 2 3" xfId="24270" xr:uid="{3F4462A7-EEAE-42A6-BC09-2063158A2E0D}"/>
    <cellStyle name="Linked Cell 23 2 2 3 2 3 2" xfId="24271" xr:uid="{A3EB7388-B7CD-46B1-8CE2-ABE1478AFE7D}"/>
    <cellStyle name="Linked Cell 23 2 2 3 2 3 2 2" xfId="24272" xr:uid="{FBD1818F-8CBF-4CD5-A76A-B2C02A3887B7}"/>
    <cellStyle name="Linked Cell 23 2 2 3 2 3 3" xfId="24273" xr:uid="{2F302D27-6C03-4E0E-82AD-A131A5DAEFD6}"/>
    <cellStyle name="Linked Cell 23 2 2 3 2 4" xfId="24274" xr:uid="{EE538149-3423-4011-951F-AE7B6CB38BC5}"/>
    <cellStyle name="Linked Cell 23 2 2 3 2 4 2" xfId="24275" xr:uid="{73F8D2B1-5991-446F-B9A4-9129D8291DCE}"/>
    <cellStyle name="Linked Cell 23 2 2 3 2 4 2 2" xfId="24276" xr:uid="{626022A6-A88D-427B-83B4-D72389C61EEF}"/>
    <cellStyle name="Linked Cell 23 2 2 3 2 4 3" xfId="24277" xr:uid="{BB3F1BAE-AC3B-4D37-A373-3D28463936F5}"/>
    <cellStyle name="Linked Cell 23 2 2 3 2 5" xfId="24278" xr:uid="{64AE75C2-8A2F-48B6-B19A-DAC4B28C96D2}"/>
    <cellStyle name="Linked Cell 23 2 2 3 2 5 2" xfId="24279" xr:uid="{65914A13-5E39-487F-A41D-5C5BCD4BD5B0}"/>
    <cellStyle name="Linked Cell 23 2 2 3 2 5 2 2" xfId="24280" xr:uid="{C4FDECBE-5C8C-4193-93B6-ADE9AB45CEAC}"/>
    <cellStyle name="Linked Cell 23 2 2 3 2 5 3" xfId="24281" xr:uid="{E5D15985-3753-4D03-A255-7BEAD99EB5C9}"/>
    <cellStyle name="Linked Cell 23 2 2 3 2 6" xfId="24282" xr:uid="{974A134A-DB33-4AD8-9426-575B5F4B9DF7}"/>
    <cellStyle name="Linked Cell 23 2 2 3 2 6 2" xfId="24283" xr:uid="{7DBD51AD-039D-4CBE-A650-DCF2B8FA7BF0}"/>
    <cellStyle name="Linked Cell 23 2 2 3 2 6 2 2" xfId="24284" xr:uid="{5199A870-F983-4481-9E60-6718F40B3400}"/>
    <cellStyle name="Linked Cell 23 2 2 3 2 6 3" xfId="24285" xr:uid="{7F80E780-3765-493C-B63E-9EF34C462ACE}"/>
    <cellStyle name="Linked Cell 23 2 2 3 2 7" xfId="24286" xr:uid="{67BE593E-ABA9-4B48-A040-8236DC0B223D}"/>
    <cellStyle name="Linked Cell 23 2 2 3 2 7 2" xfId="24287" xr:uid="{5F68B0D6-B4E3-420D-A074-F1D1E3FB8D2B}"/>
    <cellStyle name="Linked Cell 23 2 2 3 2 7 2 2" xfId="24288" xr:uid="{45A9A09B-832C-4521-A5DB-2923EC90CF34}"/>
    <cellStyle name="Linked Cell 23 2 2 3 2 7 3" xfId="24289" xr:uid="{F4657E58-BCE2-45D9-B783-082F9178B2F7}"/>
    <cellStyle name="Linked Cell 23 2 2 3 2 8" xfId="24290" xr:uid="{23E68016-1309-4E89-97E3-A8D6DF3AED1C}"/>
    <cellStyle name="Linked Cell 23 2 2 3 2 8 2" xfId="24291" xr:uid="{9B5C2E99-E25D-444D-99ED-6F0465D594EE}"/>
    <cellStyle name="Linked Cell 23 2 2 3 2 8 2 2" xfId="24292" xr:uid="{7C56D41D-E779-461F-9A4F-259C261E0A86}"/>
    <cellStyle name="Linked Cell 23 2 2 3 2 8 3" xfId="24293" xr:uid="{30E5F513-2F36-4E47-83FE-60EBD351F42F}"/>
    <cellStyle name="Linked Cell 23 2 2 3 2 9" xfId="24294" xr:uid="{EE667461-73DF-444B-8075-62CABEDFA81F}"/>
    <cellStyle name="Linked Cell 23 2 2 3 2 9 2" xfId="24295" xr:uid="{FFE467F3-9207-4BCA-BD5B-BE385DD76F54}"/>
    <cellStyle name="Linked Cell 23 2 2 3 2 9 2 2" xfId="24296" xr:uid="{CF2210C6-0A66-469C-985D-B4769008290E}"/>
    <cellStyle name="Linked Cell 23 2 2 3 2 9 3" xfId="24297" xr:uid="{13E10FD7-E598-49BE-89C2-931FF91A532A}"/>
    <cellStyle name="Linked Cell 23 2 2 3 3" xfId="24298" xr:uid="{A86F5DAB-C4A9-4F65-BD58-BE85E6FFE277}"/>
    <cellStyle name="Linked Cell 23 2 2 3 3 2" xfId="24299" xr:uid="{26CE66B0-F012-49FC-9EF2-E1D45A0A8C8C}"/>
    <cellStyle name="Linked Cell 23 2 2 3 3 2 2" xfId="24300" xr:uid="{5F525777-C9AE-4176-97B1-A1BA21737496}"/>
    <cellStyle name="Linked Cell 23 2 2 3 3 3" xfId="24301" xr:uid="{AF2AFDD5-E2CD-4540-943D-66C698C3F8FC}"/>
    <cellStyle name="Linked Cell 23 2 2 3 4" xfId="24302" xr:uid="{55AE7E01-6CD2-4AF1-B9A4-5F0BFCCC0A19}"/>
    <cellStyle name="Linked Cell 23 2 2 3 4 2" xfId="24303" xr:uid="{D3E36829-E492-4E55-953E-CF54394E7F7C}"/>
    <cellStyle name="Linked Cell 23 2 2 3 4 2 2" xfId="24304" xr:uid="{43455499-C590-4F97-8280-4D4B6B75558C}"/>
    <cellStyle name="Linked Cell 23 2 2 3 4 3" xfId="24305" xr:uid="{076A83A5-5029-4CBD-95C7-4A0097994DC5}"/>
    <cellStyle name="Linked Cell 23 2 2 3 5" xfId="24306" xr:uid="{22556407-16BF-4B32-9F02-4083463EEC6D}"/>
    <cellStyle name="Linked Cell 23 2 2 3 5 2" xfId="24307" xr:uid="{0E0AF165-F2F4-48F3-94E7-B9DF374BFED5}"/>
    <cellStyle name="Linked Cell 23 2 2 3 5 2 2" xfId="24308" xr:uid="{25B22E44-5917-47D9-A574-67531B96D535}"/>
    <cellStyle name="Linked Cell 23 2 2 3 5 3" xfId="24309" xr:uid="{628F89AC-576D-4F2B-BA08-DC49D77F0746}"/>
    <cellStyle name="Linked Cell 23 2 2 3 6" xfId="24310" xr:uid="{2875DE27-5E64-4947-B83F-197773528E4E}"/>
    <cellStyle name="Linked Cell 23 2 2 3 6 2" xfId="24311" xr:uid="{0E56420C-DD20-4E74-9F86-0F5004A7701E}"/>
    <cellStyle name="Linked Cell 23 2 2 3 6 2 2" xfId="24312" xr:uid="{283A95DD-12F1-4D2D-B9B1-AF7356C00754}"/>
    <cellStyle name="Linked Cell 23 2 2 3 6 3" xfId="24313" xr:uid="{943E47FC-9CDA-442E-B121-985F8C494937}"/>
    <cellStyle name="Linked Cell 23 2 2 3 7" xfId="24314" xr:uid="{95EAB74B-0222-450D-95E9-A516175C4F50}"/>
    <cellStyle name="Linked Cell 23 2 2 3 7 2" xfId="24315" xr:uid="{6E3F6841-F8B1-41CC-964F-866811C47299}"/>
    <cellStyle name="Linked Cell 23 2 2 3 7 2 2" xfId="24316" xr:uid="{43EE9CE5-B27B-424F-8EB4-A4D6BA7B7CAB}"/>
    <cellStyle name="Linked Cell 23 2 2 3 7 3" xfId="24317" xr:uid="{DE7B08D0-4252-48BA-BD14-C59F60FC80AB}"/>
    <cellStyle name="Linked Cell 23 2 2 3 8" xfId="24318" xr:uid="{52470735-14BE-459D-90D2-C9E99B17A8DC}"/>
    <cellStyle name="Linked Cell 23 2 2 3 8 2" xfId="24319" xr:uid="{FD65608B-6FBE-4A4D-8032-769C06BC8AF1}"/>
    <cellStyle name="Linked Cell 23 2 2 3 8 2 2" xfId="24320" xr:uid="{6DDE0F3B-1842-4629-85F9-01767009AD55}"/>
    <cellStyle name="Linked Cell 23 2 2 3 8 3" xfId="24321" xr:uid="{D3AEA7B6-5B47-4F6F-A632-A0E08E50DE38}"/>
    <cellStyle name="Linked Cell 23 2 2 3 9" xfId="24322" xr:uid="{DBF40049-29C7-4B78-A49E-30CBF8F256C3}"/>
    <cellStyle name="Linked Cell 23 2 2 3 9 2" xfId="24323" xr:uid="{9DBA08C0-98E9-4180-8326-AE0429367D69}"/>
    <cellStyle name="Linked Cell 23 2 2 3 9 2 2" xfId="24324" xr:uid="{945EF7F2-270A-442B-B667-979CA4F32990}"/>
    <cellStyle name="Linked Cell 23 2 2 3 9 3" xfId="24325" xr:uid="{5A460C77-EE47-4980-AB66-C318420B1007}"/>
    <cellStyle name="Linked Cell 23 2 2 4" xfId="24326" xr:uid="{67F6FE2B-0286-4B98-9487-5FD6814C0C7A}"/>
    <cellStyle name="Linked Cell 23 2 2 4 10" xfId="24327" xr:uid="{4D1047B9-B6F3-44EA-8D03-08A393591A18}"/>
    <cellStyle name="Linked Cell 23 2 2 4 10 2" xfId="24328" xr:uid="{DCBB6F4F-CB04-4DDE-8EDD-FB9841903754}"/>
    <cellStyle name="Linked Cell 23 2 2 4 11" xfId="24329" xr:uid="{FF02F4D8-7E03-4229-8E0B-2976CC86B3CA}"/>
    <cellStyle name="Linked Cell 23 2 2 4 2" xfId="24330" xr:uid="{2A0CC222-A1A5-40DA-870B-0667AFEB0F70}"/>
    <cellStyle name="Linked Cell 23 2 2 4 2 2" xfId="24331" xr:uid="{EE07B4E7-3FAF-4D1E-ACC9-5EBB6BD84905}"/>
    <cellStyle name="Linked Cell 23 2 2 4 2 2 2" xfId="24332" xr:uid="{E3D3EB92-7289-453F-BCB8-5AD330F1D0C3}"/>
    <cellStyle name="Linked Cell 23 2 2 4 2 3" xfId="24333" xr:uid="{2A75719F-A428-4BA9-953C-A3B065D3CC44}"/>
    <cellStyle name="Linked Cell 23 2 2 4 3" xfId="24334" xr:uid="{64F7ED08-D7F2-45CC-9C47-75464E73E380}"/>
    <cellStyle name="Linked Cell 23 2 2 4 3 2" xfId="24335" xr:uid="{F0B6F2CA-58D8-41E7-B486-3E3D7E3193A0}"/>
    <cellStyle name="Linked Cell 23 2 2 4 3 2 2" xfId="24336" xr:uid="{1D9AAD0E-91C0-493B-9776-99B4B551F3E5}"/>
    <cellStyle name="Linked Cell 23 2 2 4 3 3" xfId="24337" xr:uid="{61D372BC-51AF-475E-8599-D28F07B54F4F}"/>
    <cellStyle name="Linked Cell 23 2 2 4 4" xfId="24338" xr:uid="{EDB0B5FA-63C9-4AF3-A77A-BC0F8E496721}"/>
    <cellStyle name="Linked Cell 23 2 2 4 4 2" xfId="24339" xr:uid="{51B06F3B-3798-49E8-BE26-177112CE81D0}"/>
    <cellStyle name="Linked Cell 23 2 2 4 4 2 2" xfId="24340" xr:uid="{2E526495-A148-4715-9375-8DE9281A8327}"/>
    <cellStyle name="Linked Cell 23 2 2 4 4 3" xfId="24341" xr:uid="{A1E51E38-FF30-458D-AED5-C620A6A4E798}"/>
    <cellStyle name="Linked Cell 23 2 2 4 5" xfId="24342" xr:uid="{4A4FC7D0-876F-4D15-ACD3-A3416A04A689}"/>
    <cellStyle name="Linked Cell 23 2 2 4 5 2" xfId="24343" xr:uid="{E2F3012F-6AB8-49E7-B735-E8AB25D54A93}"/>
    <cellStyle name="Linked Cell 23 2 2 4 5 2 2" xfId="24344" xr:uid="{213695BE-B88A-4122-B807-D0321704CCB3}"/>
    <cellStyle name="Linked Cell 23 2 2 4 5 3" xfId="24345" xr:uid="{4D8761DB-C3D9-4784-86D1-1BFA55290043}"/>
    <cellStyle name="Linked Cell 23 2 2 4 6" xfId="24346" xr:uid="{9AD9B338-3AAC-412D-8191-89DAF14BFA3A}"/>
    <cellStyle name="Linked Cell 23 2 2 4 6 2" xfId="24347" xr:uid="{20DC940C-C3FD-4019-B4F3-AC1ECA7A6AED}"/>
    <cellStyle name="Linked Cell 23 2 2 4 6 2 2" xfId="24348" xr:uid="{4A836B78-FDA9-4449-8FDF-10A73B71D627}"/>
    <cellStyle name="Linked Cell 23 2 2 4 6 3" xfId="24349" xr:uid="{72191886-1AEC-4640-A2C2-11CCCA9B1F26}"/>
    <cellStyle name="Linked Cell 23 2 2 4 7" xfId="24350" xr:uid="{3A6D7567-0A43-4A5C-925B-E0A36AADD2EE}"/>
    <cellStyle name="Linked Cell 23 2 2 4 7 2" xfId="24351" xr:uid="{89A130F8-9B40-434A-BF0C-B72E4DA41F2B}"/>
    <cellStyle name="Linked Cell 23 2 2 4 7 2 2" xfId="24352" xr:uid="{591E43FF-444A-4FE2-9B4A-5762CD412EDC}"/>
    <cellStyle name="Linked Cell 23 2 2 4 7 3" xfId="24353" xr:uid="{E78C14D6-2695-436D-B7D4-F24FA88DADAD}"/>
    <cellStyle name="Linked Cell 23 2 2 4 8" xfId="24354" xr:uid="{3842D13D-FB83-4012-8CCF-A60F85583A5D}"/>
    <cellStyle name="Linked Cell 23 2 2 4 8 2" xfId="24355" xr:uid="{14FAC9B8-06B1-4ACA-A423-7BF2E23B5064}"/>
    <cellStyle name="Linked Cell 23 2 2 4 8 2 2" xfId="24356" xr:uid="{79CCDB17-A0A2-4C6A-88A7-9846C613C773}"/>
    <cellStyle name="Linked Cell 23 2 2 4 8 3" xfId="24357" xr:uid="{487D39F6-3578-45BF-9614-02F2613AFDCB}"/>
    <cellStyle name="Linked Cell 23 2 2 4 9" xfId="24358" xr:uid="{4BCA4D68-CA9C-4B6F-81F9-C1C54A82A5D4}"/>
    <cellStyle name="Linked Cell 23 2 2 4 9 2" xfId="24359" xr:uid="{31E8B2C0-A40D-4874-ADA5-59144DCB8508}"/>
    <cellStyle name="Linked Cell 23 2 2 4 9 2 2" xfId="24360" xr:uid="{5BBC46DB-D4AF-4756-8CB5-2620D3354439}"/>
    <cellStyle name="Linked Cell 23 2 2 4 9 3" xfId="24361" xr:uid="{0ABA4A88-D81C-48C5-B41A-284FC1861488}"/>
    <cellStyle name="Linked Cell 23 2 2 5" xfId="24362" xr:uid="{74A5BFE7-895D-4C5A-AA62-7981A7ADC361}"/>
    <cellStyle name="Linked Cell 23 2 2 5 2" xfId="24363" xr:uid="{AA808030-43AF-4D79-8D13-EE311C71126B}"/>
    <cellStyle name="Linked Cell 23 2 2 5 2 2" xfId="24364" xr:uid="{86210CF4-FFDC-43A0-8BC6-CD8498DCC395}"/>
    <cellStyle name="Linked Cell 23 2 2 5 3" xfId="24365" xr:uid="{B427A1A2-9DDF-4A9B-A806-018F05EE9537}"/>
    <cellStyle name="Linked Cell 23 2 2 6" xfId="24366" xr:uid="{1FB256FE-7E28-4A19-9490-F19B4A75AF11}"/>
    <cellStyle name="Linked Cell 23 2 2 6 2" xfId="24367" xr:uid="{142909D5-734D-4D1E-8CFC-1464662B1C23}"/>
    <cellStyle name="Linked Cell 23 2 2 6 2 2" xfId="24368" xr:uid="{ABE2EA2A-E61E-4CB0-A9C8-AB655AC585D1}"/>
    <cellStyle name="Linked Cell 23 2 2 6 3" xfId="24369" xr:uid="{3188C2DE-B157-436E-AD08-5BE820BD3C86}"/>
    <cellStyle name="Linked Cell 23 2 2 7" xfId="24370" xr:uid="{FA0160BC-4785-4D94-BD6B-4216D97DAD58}"/>
    <cellStyle name="Linked Cell 23 2 2 7 2" xfId="24371" xr:uid="{4BD2D7AB-5218-4C4E-BF9E-657C3E53FA60}"/>
    <cellStyle name="Linked Cell 23 2 2 7 2 2" xfId="24372" xr:uid="{4BE83CE8-86C8-488B-B0F2-4B0B6FB8E217}"/>
    <cellStyle name="Linked Cell 23 2 2 7 3" xfId="24373" xr:uid="{A7EF0697-D9C7-4569-BC9D-9D42D8D06A33}"/>
    <cellStyle name="Linked Cell 23 2 2 8" xfId="24374" xr:uid="{A5663693-5C05-4155-84A8-095188E08833}"/>
    <cellStyle name="Linked Cell 23 2 2 8 2" xfId="24375" xr:uid="{43827CE8-171F-4849-B0CF-BA2C6BAC18D0}"/>
    <cellStyle name="Linked Cell 23 2 2 8 2 2" xfId="24376" xr:uid="{3AE219C0-B19D-40E9-BC68-660B839EA448}"/>
    <cellStyle name="Linked Cell 23 2 2 8 3" xfId="24377" xr:uid="{DD955B98-9EBC-41D9-B2B2-F570899E7D5A}"/>
    <cellStyle name="Linked Cell 23 2 2 9" xfId="24378" xr:uid="{2FA55D19-9A7B-4EE6-AB79-22F87C6B6412}"/>
    <cellStyle name="Linked Cell 23 2 2 9 2" xfId="24379" xr:uid="{84045F1B-7686-46FF-83FB-35C82C60357D}"/>
    <cellStyle name="Linked Cell 23 2 2 9 2 2" xfId="24380" xr:uid="{454AF9CF-2424-4DD4-96A3-6B6F03F05EFC}"/>
    <cellStyle name="Linked Cell 23 2 2 9 3" xfId="24381" xr:uid="{7348519D-1E31-42C4-AED7-4954777D13B4}"/>
    <cellStyle name="Linked Cell 23 2 3" xfId="24382" xr:uid="{E555464C-058A-49A3-9984-E3FBF27A80F7}"/>
    <cellStyle name="Linked Cell 23 2 3 10" xfId="24383" xr:uid="{C578F07C-62F9-4437-99F6-CE4B2F792B36}"/>
    <cellStyle name="Linked Cell 23 2 3 10 2" xfId="24384" xr:uid="{AB55DF36-9D12-425B-BCFF-B8C18639C89A}"/>
    <cellStyle name="Linked Cell 23 2 3 10 2 2" xfId="24385" xr:uid="{9A9D7FB7-8168-4CCB-8732-C43A53CC2ED4}"/>
    <cellStyle name="Linked Cell 23 2 3 10 3" xfId="24386" xr:uid="{C070F49F-6983-4909-92CC-E3C6BC3DD7A0}"/>
    <cellStyle name="Linked Cell 23 2 3 11" xfId="24387" xr:uid="{FC4147ED-435A-4D30-8C99-D5DE436B3995}"/>
    <cellStyle name="Linked Cell 23 2 3 11 2" xfId="24388" xr:uid="{A5C8D8FE-81F9-432C-9CFA-2BFFB16EA0D7}"/>
    <cellStyle name="Linked Cell 23 2 3 11 2 2" xfId="24389" xr:uid="{43BA310D-D598-4145-A15D-D1DA43C16CA3}"/>
    <cellStyle name="Linked Cell 23 2 3 11 3" xfId="24390" xr:uid="{F0C604C0-1648-4B33-A1BD-D6079438883E}"/>
    <cellStyle name="Linked Cell 23 2 3 12" xfId="24391" xr:uid="{E6A62D3B-3C1B-4633-B496-C3EA710842DD}"/>
    <cellStyle name="Linked Cell 23 2 3 12 2" xfId="24392" xr:uid="{CAA6C2F6-9207-4C37-952F-45A31A6C1405}"/>
    <cellStyle name="Linked Cell 23 2 3 13" xfId="24393" xr:uid="{8251AB7A-FC0C-456E-ACCD-276C569B4BEC}"/>
    <cellStyle name="Linked Cell 23 2 3 2" xfId="24394" xr:uid="{00A5A9FF-A730-4779-9999-0B08861C07CB}"/>
    <cellStyle name="Linked Cell 23 2 3 2 10" xfId="24395" xr:uid="{FDB932C8-432B-4171-8784-728BFE56ED3D}"/>
    <cellStyle name="Linked Cell 23 2 3 2 10 2" xfId="24396" xr:uid="{21C8EBAF-3A6D-4592-A59D-977DF0863A89}"/>
    <cellStyle name="Linked Cell 23 2 3 2 10 2 2" xfId="24397" xr:uid="{3AABEF26-1C27-45EB-84BA-C94FAE3F2C50}"/>
    <cellStyle name="Linked Cell 23 2 3 2 10 3" xfId="24398" xr:uid="{D9F8400D-CFC1-4100-BD2A-8942444244A4}"/>
    <cellStyle name="Linked Cell 23 2 3 2 11" xfId="24399" xr:uid="{5E6D7B5B-B897-41B5-921C-B4695FAD59BA}"/>
    <cellStyle name="Linked Cell 23 2 3 2 11 2" xfId="24400" xr:uid="{904524D6-ACB0-4F85-891A-65F9A959CB79}"/>
    <cellStyle name="Linked Cell 23 2 3 2 12" xfId="24401" xr:uid="{86E16F75-FE4B-446B-BD45-F85C58DFBD31}"/>
    <cellStyle name="Linked Cell 23 2 3 2 2" xfId="24402" xr:uid="{8014E78E-648D-46D7-9146-BF2E6C58E386}"/>
    <cellStyle name="Linked Cell 23 2 3 2 2 2" xfId="24403" xr:uid="{2884B22F-74DE-40DB-AD19-F6871FB5F872}"/>
    <cellStyle name="Linked Cell 23 2 3 2 2 2 2" xfId="24404" xr:uid="{A40BC2E7-0D0A-4152-A1B2-B2FBDE430B35}"/>
    <cellStyle name="Linked Cell 23 2 3 2 2 3" xfId="24405" xr:uid="{571D8F9B-051E-43AB-A808-968AF6928B62}"/>
    <cellStyle name="Linked Cell 23 2 3 2 3" xfId="24406" xr:uid="{3A9B711C-395E-4712-83F7-9430EE591B53}"/>
    <cellStyle name="Linked Cell 23 2 3 2 3 2" xfId="24407" xr:uid="{A13C4BA1-050A-40FD-8F56-AE83D5ED9B93}"/>
    <cellStyle name="Linked Cell 23 2 3 2 3 2 2" xfId="24408" xr:uid="{512D2022-F922-4FAA-B1B7-A3723978A7E6}"/>
    <cellStyle name="Linked Cell 23 2 3 2 3 3" xfId="24409" xr:uid="{57C97BD4-E2C5-4FE6-A8EA-A031059DC2AB}"/>
    <cellStyle name="Linked Cell 23 2 3 2 4" xfId="24410" xr:uid="{CD123FD4-5E5E-486A-9F2E-C78D3E0F29AE}"/>
    <cellStyle name="Linked Cell 23 2 3 2 4 2" xfId="24411" xr:uid="{2F6AADD4-4B2A-41F8-927E-321EF1A77B38}"/>
    <cellStyle name="Linked Cell 23 2 3 2 4 2 2" xfId="24412" xr:uid="{D0541293-EFAE-447B-87EB-36D1E27E7FFF}"/>
    <cellStyle name="Linked Cell 23 2 3 2 4 3" xfId="24413" xr:uid="{671D3357-883F-41F8-8395-4DA353CDE96C}"/>
    <cellStyle name="Linked Cell 23 2 3 2 5" xfId="24414" xr:uid="{AFB502D8-8208-4CBD-A851-EFE626ECDEBE}"/>
    <cellStyle name="Linked Cell 23 2 3 2 5 2" xfId="24415" xr:uid="{F442E6D2-6918-4C52-B232-689358B7F008}"/>
    <cellStyle name="Linked Cell 23 2 3 2 5 2 2" xfId="24416" xr:uid="{8A898391-1D41-4E72-8FB9-21895E9868FB}"/>
    <cellStyle name="Linked Cell 23 2 3 2 5 3" xfId="24417" xr:uid="{B9F3571E-C07B-48A6-BEFD-7945E38DC17E}"/>
    <cellStyle name="Linked Cell 23 2 3 2 6" xfId="24418" xr:uid="{EE490ED3-47E4-4F2E-9A9E-0B3F82EBD51E}"/>
    <cellStyle name="Linked Cell 23 2 3 2 6 2" xfId="24419" xr:uid="{87AA162A-11C9-43BF-A8FD-6C51B347258C}"/>
    <cellStyle name="Linked Cell 23 2 3 2 6 2 2" xfId="24420" xr:uid="{707150F6-FD3C-44CF-A379-5E4C2BD63BFA}"/>
    <cellStyle name="Linked Cell 23 2 3 2 6 3" xfId="24421" xr:uid="{29BB6B85-84B2-47BD-B84E-1E39F9CA1F78}"/>
    <cellStyle name="Linked Cell 23 2 3 2 7" xfId="24422" xr:uid="{88880C9C-808B-40C1-B0A8-458EE5C13FD9}"/>
    <cellStyle name="Linked Cell 23 2 3 2 7 2" xfId="24423" xr:uid="{4CE69B6B-F9F5-4827-95AC-66FE9A2ACF72}"/>
    <cellStyle name="Linked Cell 23 2 3 2 7 2 2" xfId="24424" xr:uid="{FCDBC42A-29DA-40B4-8C97-2399DBEE2883}"/>
    <cellStyle name="Linked Cell 23 2 3 2 7 3" xfId="24425" xr:uid="{36522362-4447-4241-AC5E-BE790901B9E8}"/>
    <cellStyle name="Linked Cell 23 2 3 2 8" xfId="24426" xr:uid="{6B5729A5-6761-44BD-B7E4-A046B775EDCF}"/>
    <cellStyle name="Linked Cell 23 2 3 2 8 2" xfId="24427" xr:uid="{FFCB972E-C08B-4A47-A153-9C4DCA0AB6BC}"/>
    <cellStyle name="Linked Cell 23 2 3 2 8 2 2" xfId="24428" xr:uid="{DA8FA19C-0EC7-4799-8EBB-2352BB6554C2}"/>
    <cellStyle name="Linked Cell 23 2 3 2 8 3" xfId="24429" xr:uid="{9264DF7D-64FC-4144-B8C6-925AB055E738}"/>
    <cellStyle name="Linked Cell 23 2 3 2 9" xfId="24430" xr:uid="{0D3CAADF-9486-4879-B62A-4D075B2AC284}"/>
    <cellStyle name="Linked Cell 23 2 3 2 9 2" xfId="24431" xr:uid="{D644197B-CDF5-47C4-B094-B40B7A2DC092}"/>
    <cellStyle name="Linked Cell 23 2 3 2 9 2 2" xfId="24432" xr:uid="{D45FC1DB-9288-45E4-855E-F194395AF52A}"/>
    <cellStyle name="Linked Cell 23 2 3 2 9 3" xfId="24433" xr:uid="{2521B9ED-8758-4D17-88CE-85AFC7F7EF1A}"/>
    <cellStyle name="Linked Cell 23 2 3 3" xfId="24434" xr:uid="{6ED485F5-179D-43F3-9982-4770CBEF8ECE}"/>
    <cellStyle name="Linked Cell 23 2 3 3 10" xfId="24435" xr:uid="{2F259FDF-F657-4344-902F-8D759F2A0D97}"/>
    <cellStyle name="Linked Cell 23 2 3 3 10 2" xfId="24436" xr:uid="{2022B61A-1CDC-49CB-B9FA-475B6F1ED8F6}"/>
    <cellStyle name="Linked Cell 23 2 3 3 11" xfId="24437" xr:uid="{6FB8C31A-154F-428F-8680-62179F6B2718}"/>
    <cellStyle name="Linked Cell 23 2 3 3 2" xfId="24438" xr:uid="{ECE34BFB-03A2-4AF7-AD59-B198CDFBEACC}"/>
    <cellStyle name="Linked Cell 23 2 3 3 2 2" xfId="24439" xr:uid="{94407765-7C7F-4136-91E3-8EC1FA8D050D}"/>
    <cellStyle name="Linked Cell 23 2 3 3 2 2 2" xfId="24440" xr:uid="{FAD3534E-17BA-44C2-9070-D2874E4D38CD}"/>
    <cellStyle name="Linked Cell 23 2 3 3 2 3" xfId="24441" xr:uid="{27D70DBB-1F54-4598-B830-721ADAC62CA0}"/>
    <cellStyle name="Linked Cell 23 2 3 3 3" xfId="24442" xr:uid="{02033587-B708-4966-9063-FF4943F03C06}"/>
    <cellStyle name="Linked Cell 23 2 3 3 3 2" xfId="24443" xr:uid="{683F1AC8-9BBF-42B1-8605-2CED4069D10C}"/>
    <cellStyle name="Linked Cell 23 2 3 3 3 2 2" xfId="24444" xr:uid="{1F672E79-DC15-4AB7-8C56-1E376D868CE0}"/>
    <cellStyle name="Linked Cell 23 2 3 3 3 3" xfId="24445" xr:uid="{FD1EF0CD-3A28-4223-9FF9-04DF9A342248}"/>
    <cellStyle name="Linked Cell 23 2 3 3 4" xfId="24446" xr:uid="{08275E8A-526F-405F-A8EC-8CCF949BDF85}"/>
    <cellStyle name="Linked Cell 23 2 3 3 4 2" xfId="24447" xr:uid="{2BFF7B88-711C-47E1-A49C-B4294420016D}"/>
    <cellStyle name="Linked Cell 23 2 3 3 4 2 2" xfId="24448" xr:uid="{30E00DAE-5DC3-4B19-8147-97AD532747D2}"/>
    <cellStyle name="Linked Cell 23 2 3 3 4 3" xfId="24449" xr:uid="{C62A436B-9ACB-449D-9F9F-70ECDBF7C3C0}"/>
    <cellStyle name="Linked Cell 23 2 3 3 5" xfId="24450" xr:uid="{D281F8E7-6E5E-4B1B-807A-97240964B82B}"/>
    <cellStyle name="Linked Cell 23 2 3 3 5 2" xfId="24451" xr:uid="{FA9AD42F-9D82-42F7-8F42-3C0246C154A6}"/>
    <cellStyle name="Linked Cell 23 2 3 3 5 2 2" xfId="24452" xr:uid="{25678DB3-C409-476E-9D1F-1AFC15BF673E}"/>
    <cellStyle name="Linked Cell 23 2 3 3 5 3" xfId="24453" xr:uid="{FEDB7AC8-F1CF-473C-AC56-040C0699D2CD}"/>
    <cellStyle name="Linked Cell 23 2 3 3 6" xfId="24454" xr:uid="{A7593A5C-DF09-4A94-9E63-FF009D4EE627}"/>
    <cellStyle name="Linked Cell 23 2 3 3 6 2" xfId="24455" xr:uid="{2C8955CC-B15B-4188-B44F-F3BA6CB50504}"/>
    <cellStyle name="Linked Cell 23 2 3 3 6 2 2" xfId="24456" xr:uid="{050F1FA8-4759-4689-9CDE-9D67298C0023}"/>
    <cellStyle name="Linked Cell 23 2 3 3 6 3" xfId="24457" xr:uid="{F4366DBF-3EDE-4288-A52D-147C8CB6C279}"/>
    <cellStyle name="Linked Cell 23 2 3 3 7" xfId="24458" xr:uid="{FB1AB98F-BA15-4819-87BB-E0416F73A88B}"/>
    <cellStyle name="Linked Cell 23 2 3 3 7 2" xfId="24459" xr:uid="{AC42659C-C7B4-41DF-9875-604EA059E5D0}"/>
    <cellStyle name="Linked Cell 23 2 3 3 7 2 2" xfId="24460" xr:uid="{7055E256-2E11-4D17-8F28-1A32C2747CD5}"/>
    <cellStyle name="Linked Cell 23 2 3 3 7 3" xfId="24461" xr:uid="{01AF6C13-546B-4577-B913-D6D3BAEBEC28}"/>
    <cellStyle name="Linked Cell 23 2 3 3 8" xfId="24462" xr:uid="{53960B21-E761-4357-AEE1-48F0BDAA5433}"/>
    <cellStyle name="Linked Cell 23 2 3 3 8 2" xfId="24463" xr:uid="{77E7F786-FB51-4FDC-A4CE-FB0591FA2D96}"/>
    <cellStyle name="Linked Cell 23 2 3 3 8 2 2" xfId="24464" xr:uid="{0D58C280-E7B1-4D9D-86F8-3C874116A69D}"/>
    <cellStyle name="Linked Cell 23 2 3 3 8 3" xfId="24465" xr:uid="{967255DD-B528-4208-BD45-C9AC59FCB2A8}"/>
    <cellStyle name="Linked Cell 23 2 3 3 9" xfId="24466" xr:uid="{23E56F1F-E4CA-49C2-9EA1-4DC2BD3E7397}"/>
    <cellStyle name="Linked Cell 23 2 3 3 9 2" xfId="24467" xr:uid="{99E8B9CE-449F-4E22-B5AD-4507D0FA6DD4}"/>
    <cellStyle name="Linked Cell 23 2 3 3 9 2 2" xfId="24468" xr:uid="{9C7284EF-DBF3-4533-B10C-694AFCA3FF50}"/>
    <cellStyle name="Linked Cell 23 2 3 3 9 3" xfId="24469" xr:uid="{82EBB101-8ADE-4F1A-BEDA-AFB0E3A6E68C}"/>
    <cellStyle name="Linked Cell 23 2 3 4" xfId="24470" xr:uid="{B7ABDAE2-EC58-4DA9-B1F6-52B56792A1BD}"/>
    <cellStyle name="Linked Cell 23 2 3 4 2" xfId="24471" xr:uid="{EEB756BF-9C5C-48B5-9845-B8431F148B4F}"/>
    <cellStyle name="Linked Cell 23 2 3 4 2 2" xfId="24472" xr:uid="{D493CEF7-8503-47F8-B7A5-B2AA1B536AAC}"/>
    <cellStyle name="Linked Cell 23 2 3 4 3" xfId="24473" xr:uid="{DDF44A5C-C1DA-4441-9FC3-5818B158D482}"/>
    <cellStyle name="Linked Cell 23 2 3 5" xfId="24474" xr:uid="{541A7F0C-8F08-4545-A018-DC0512133669}"/>
    <cellStyle name="Linked Cell 23 2 3 5 2" xfId="24475" xr:uid="{0ACFF4A0-EA8F-4A90-914A-D51E747A6349}"/>
    <cellStyle name="Linked Cell 23 2 3 5 2 2" xfId="24476" xr:uid="{DD6E4075-A134-4EE9-B780-74FFFF8F723F}"/>
    <cellStyle name="Linked Cell 23 2 3 5 3" xfId="24477" xr:uid="{B9F20BE2-DCDF-438B-8C4E-CDE47929C898}"/>
    <cellStyle name="Linked Cell 23 2 3 6" xfId="24478" xr:uid="{198EAC74-8947-4C0B-8911-97EC683B0777}"/>
    <cellStyle name="Linked Cell 23 2 3 6 2" xfId="24479" xr:uid="{938526D3-5D67-4540-AB54-0C746E3FD0EA}"/>
    <cellStyle name="Linked Cell 23 2 3 6 2 2" xfId="24480" xr:uid="{BAE0F9A2-30F9-46EB-BBB8-F82EA04A0DD1}"/>
    <cellStyle name="Linked Cell 23 2 3 6 3" xfId="24481" xr:uid="{FED61889-FCE7-49C2-9CD0-4098463F49E5}"/>
    <cellStyle name="Linked Cell 23 2 3 7" xfId="24482" xr:uid="{48B225EA-8E51-4CDC-8D11-CFED6DCE88E4}"/>
    <cellStyle name="Linked Cell 23 2 3 7 2" xfId="24483" xr:uid="{086D5B99-16CB-4949-B88D-AE65B85FEEDC}"/>
    <cellStyle name="Linked Cell 23 2 3 7 2 2" xfId="24484" xr:uid="{6F450751-C7E0-4371-9796-D704B2227BE1}"/>
    <cellStyle name="Linked Cell 23 2 3 7 3" xfId="24485" xr:uid="{6AC6A2EF-6290-4EC1-BB0B-F3AAD1305399}"/>
    <cellStyle name="Linked Cell 23 2 3 8" xfId="24486" xr:uid="{0D192D31-A395-4AD8-8F37-3A3AEB819037}"/>
    <cellStyle name="Linked Cell 23 2 3 8 2" xfId="24487" xr:uid="{D7E9AD36-E961-47C3-BC6D-E3D72A549710}"/>
    <cellStyle name="Linked Cell 23 2 3 8 2 2" xfId="24488" xr:uid="{BCE8894C-E32B-4F5E-A629-A5030DD52B21}"/>
    <cellStyle name="Linked Cell 23 2 3 8 3" xfId="24489" xr:uid="{83705457-8EE5-46E6-B43B-3DA678C54AE1}"/>
    <cellStyle name="Linked Cell 23 2 3 9" xfId="24490" xr:uid="{351D6EE1-3030-46C6-BCBA-5C7654EEBCC5}"/>
    <cellStyle name="Linked Cell 23 2 3 9 2" xfId="24491" xr:uid="{4CDDF8D0-F704-4470-829F-C32152FEE6FD}"/>
    <cellStyle name="Linked Cell 23 2 3 9 2 2" xfId="24492" xr:uid="{3F92828E-2D06-4DDD-8AAE-8CDCEA94FC8A}"/>
    <cellStyle name="Linked Cell 23 2 3 9 3" xfId="24493" xr:uid="{A5B3689C-F3B4-418E-AA3B-5972A17E159D}"/>
    <cellStyle name="Linked Cell 23 2 4" xfId="24494" xr:uid="{D30169EE-07A0-4343-B28C-3763D1817710}"/>
    <cellStyle name="Linked Cell 23 2 4 10" xfId="24495" xr:uid="{24349D1E-0EF5-4E2E-B638-CE75FF349891}"/>
    <cellStyle name="Linked Cell 23 2 4 10 2" xfId="24496" xr:uid="{D865C962-2352-47B4-B6B7-BC08E83EDAC3}"/>
    <cellStyle name="Linked Cell 23 2 4 10 2 2" xfId="24497" xr:uid="{F996CEFA-719A-4DAD-A49F-FFD35EEA6935}"/>
    <cellStyle name="Linked Cell 23 2 4 10 3" xfId="24498" xr:uid="{EDD8E031-6794-4A90-BDF3-40D1638B7CB0}"/>
    <cellStyle name="Linked Cell 23 2 4 11" xfId="24499" xr:uid="{9B26F3B3-0F0B-4CE3-886C-181E696A783E}"/>
    <cellStyle name="Linked Cell 23 2 4 11 2" xfId="24500" xr:uid="{94552564-3637-4468-9315-9BD2BAB2A3F9}"/>
    <cellStyle name="Linked Cell 23 2 4 12" xfId="24501" xr:uid="{5FF36791-1F42-4DA7-9417-A3943749FEC1}"/>
    <cellStyle name="Linked Cell 23 2 4 2" xfId="24502" xr:uid="{AE1748D3-FDC2-4167-BB5D-5E9EF9164B32}"/>
    <cellStyle name="Linked Cell 23 2 4 2 10" xfId="24503" xr:uid="{E35F21D2-C034-4DC0-9F37-77864A7373ED}"/>
    <cellStyle name="Linked Cell 23 2 4 2 10 2" xfId="24504" xr:uid="{7CD8D577-7F91-4C0C-8A0A-374C923290EE}"/>
    <cellStyle name="Linked Cell 23 2 4 2 11" xfId="24505" xr:uid="{78934445-D004-4C3E-B34B-4379A48EF2DC}"/>
    <cellStyle name="Linked Cell 23 2 4 2 2" xfId="24506" xr:uid="{F7DDB39E-AAA9-4E80-8ADB-896CDC31E388}"/>
    <cellStyle name="Linked Cell 23 2 4 2 2 2" xfId="24507" xr:uid="{541E674F-D696-4047-BC9E-40567F759DC2}"/>
    <cellStyle name="Linked Cell 23 2 4 2 2 2 2" xfId="24508" xr:uid="{7CD44CBD-FB7E-4DB6-BAA2-886D08F27795}"/>
    <cellStyle name="Linked Cell 23 2 4 2 2 3" xfId="24509" xr:uid="{66801E4C-FCF9-40B6-998B-913D7FBF2F52}"/>
    <cellStyle name="Linked Cell 23 2 4 2 3" xfId="24510" xr:uid="{1C34DA47-2F46-4B8A-8699-145E803F9585}"/>
    <cellStyle name="Linked Cell 23 2 4 2 3 2" xfId="24511" xr:uid="{DFFE0760-8DE6-44D5-B83C-7BA1D861CE2B}"/>
    <cellStyle name="Linked Cell 23 2 4 2 3 2 2" xfId="24512" xr:uid="{CA05C3E3-3E5E-42C1-8D44-55C545C25D2F}"/>
    <cellStyle name="Linked Cell 23 2 4 2 3 3" xfId="24513" xr:uid="{CB023D8F-C0AF-4D29-A0F2-65F4755A9F99}"/>
    <cellStyle name="Linked Cell 23 2 4 2 4" xfId="24514" xr:uid="{A18CC882-2C84-4A95-BFBC-A4E884883786}"/>
    <cellStyle name="Linked Cell 23 2 4 2 4 2" xfId="24515" xr:uid="{A2DCC0BB-1AF9-4EAF-883B-96D846106369}"/>
    <cellStyle name="Linked Cell 23 2 4 2 4 2 2" xfId="24516" xr:uid="{D74BAAB2-24AB-4A9D-ABE6-DC5C6183C5AE}"/>
    <cellStyle name="Linked Cell 23 2 4 2 4 3" xfId="24517" xr:uid="{0870CB22-676E-4445-AC77-724AF63EA441}"/>
    <cellStyle name="Linked Cell 23 2 4 2 5" xfId="24518" xr:uid="{7EDE2D14-17B9-4900-9603-0B5D0CC17785}"/>
    <cellStyle name="Linked Cell 23 2 4 2 5 2" xfId="24519" xr:uid="{575F9715-0E6E-4739-9BFA-3A440696C28F}"/>
    <cellStyle name="Linked Cell 23 2 4 2 5 2 2" xfId="24520" xr:uid="{E525A745-E931-444E-8491-55F623FEA5A3}"/>
    <cellStyle name="Linked Cell 23 2 4 2 5 3" xfId="24521" xr:uid="{32B12DF5-0763-4145-B9A7-D32184110906}"/>
    <cellStyle name="Linked Cell 23 2 4 2 6" xfId="24522" xr:uid="{744E4E19-28C0-44D6-A7BF-B6755C9A1FC6}"/>
    <cellStyle name="Linked Cell 23 2 4 2 6 2" xfId="24523" xr:uid="{6D7C6CE6-C99A-48F2-8AB7-8147D795D6BC}"/>
    <cellStyle name="Linked Cell 23 2 4 2 6 2 2" xfId="24524" xr:uid="{1070416F-84FC-4489-9407-04C2A7B683A4}"/>
    <cellStyle name="Linked Cell 23 2 4 2 6 3" xfId="24525" xr:uid="{0B9DCE2B-A447-406F-93E8-E15B863D7962}"/>
    <cellStyle name="Linked Cell 23 2 4 2 7" xfId="24526" xr:uid="{F5C3415F-CD9A-4308-AA17-2D474C6E5506}"/>
    <cellStyle name="Linked Cell 23 2 4 2 7 2" xfId="24527" xr:uid="{C147D14C-A38A-4280-B2A1-7C31AA4F7848}"/>
    <cellStyle name="Linked Cell 23 2 4 2 7 2 2" xfId="24528" xr:uid="{BB95D3FE-9AF5-4B99-AEDC-AEB112873C11}"/>
    <cellStyle name="Linked Cell 23 2 4 2 7 3" xfId="24529" xr:uid="{39E3911F-FD2D-40BC-B57A-7766B5B30D03}"/>
    <cellStyle name="Linked Cell 23 2 4 2 8" xfId="24530" xr:uid="{083C5088-D1CC-412E-825C-3B831D0A70C5}"/>
    <cellStyle name="Linked Cell 23 2 4 2 8 2" xfId="24531" xr:uid="{C36541F5-BBDE-4FB0-8BEE-EDA97A49F885}"/>
    <cellStyle name="Linked Cell 23 2 4 2 8 2 2" xfId="24532" xr:uid="{55558ECD-9174-4B61-B56F-EE6F4E7840F2}"/>
    <cellStyle name="Linked Cell 23 2 4 2 8 3" xfId="24533" xr:uid="{371287C5-452D-488F-B61F-5E309E6F4FDB}"/>
    <cellStyle name="Linked Cell 23 2 4 2 9" xfId="24534" xr:uid="{0AC982EB-9CAC-4CE9-9BCD-F9C8748794E7}"/>
    <cellStyle name="Linked Cell 23 2 4 2 9 2" xfId="24535" xr:uid="{71704222-676A-4B14-8129-723945CB89AC}"/>
    <cellStyle name="Linked Cell 23 2 4 2 9 2 2" xfId="24536" xr:uid="{D6C48BD3-A167-4152-81A7-53A28CCF66B1}"/>
    <cellStyle name="Linked Cell 23 2 4 2 9 3" xfId="24537" xr:uid="{12EBD8A4-6B32-4D8E-A841-EDCE7104A623}"/>
    <cellStyle name="Linked Cell 23 2 4 3" xfId="24538" xr:uid="{CBAF1F5F-ACFC-4A0E-9C51-8EFBE4CCC972}"/>
    <cellStyle name="Linked Cell 23 2 4 3 2" xfId="24539" xr:uid="{7B3CCAC2-C49B-458D-B18D-BC3D18910B70}"/>
    <cellStyle name="Linked Cell 23 2 4 3 2 2" xfId="24540" xr:uid="{B4E71B37-CB89-4610-B459-E615BF635A89}"/>
    <cellStyle name="Linked Cell 23 2 4 3 3" xfId="24541" xr:uid="{18F31F20-B667-4AC5-8325-8387B26D0E3D}"/>
    <cellStyle name="Linked Cell 23 2 4 4" xfId="24542" xr:uid="{68A4A2C3-88DB-4254-A467-4DAF4D477CE5}"/>
    <cellStyle name="Linked Cell 23 2 4 4 2" xfId="24543" xr:uid="{5483D20F-4021-4AFF-9F5C-ABBBE6E71D8B}"/>
    <cellStyle name="Linked Cell 23 2 4 4 2 2" xfId="24544" xr:uid="{D6A81BE4-4BCC-4365-95FF-106468AAFA57}"/>
    <cellStyle name="Linked Cell 23 2 4 4 3" xfId="24545" xr:uid="{124BDE23-2DC4-4792-925D-00ABFFB94D6E}"/>
    <cellStyle name="Linked Cell 23 2 4 5" xfId="24546" xr:uid="{82FC7525-F2B9-4A41-B959-11C4BCDB340B}"/>
    <cellStyle name="Linked Cell 23 2 4 5 2" xfId="24547" xr:uid="{3CEFDD1F-DCD1-4022-813A-B5FA20826A3E}"/>
    <cellStyle name="Linked Cell 23 2 4 5 2 2" xfId="24548" xr:uid="{5257B7FF-4C87-4942-B06D-1680485120BD}"/>
    <cellStyle name="Linked Cell 23 2 4 5 3" xfId="24549" xr:uid="{5627C325-7186-45A1-9394-E8A50C9A187F}"/>
    <cellStyle name="Linked Cell 23 2 4 6" xfId="24550" xr:uid="{E654B1D1-E25E-472C-8629-87A452F24D2B}"/>
    <cellStyle name="Linked Cell 23 2 4 6 2" xfId="24551" xr:uid="{B53D2BFF-552A-46CD-86F9-756C7DABF071}"/>
    <cellStyle name="Linked Cell 23 2 4 6 2 2" xfId="24552" xr:uid="{B2CDAB6F-6548-4E46-954C-607713ABDA3C}"/>
    <cellStyle name="Linked Cell 23 2 4 6 3" xfId="24553" xr:uid="{FDE1125D-B901-4C5D-B887-EEFDA4269738}"/>
    <cellStyle name="Linked Cell 23 2 4 7" xfId="24554" xr:uid="{C9A1CFB1-5803-4EDA-98A1-343C2E72D5F5}"/>
    <cellStyle name="Linked Cell 23 2 4 7 2" xfId="24555" xr:uid="{F994081A-40BC-4C47-A1A3-87B0CF6EC6D5}"/>
    <cellStyle name="Linked Cell 23 2 4 7 2 2" xfId="24556" xr:uid="{82F86A09-CC01-485D-BECB-D61EE9AD7480}"/>
    <cellStyle name="Linked Cell 23 2 4 7 3" xfId="24557" xr:uid="{28B760AD-D6E6-41B3-9759-12E9E04BA86E}"/>
    <cellStyle name="Linked Cell 23 2 4 8" xfId="24558" xr:uid="{9755C398-0BA8-4530-AC2B-43FFCB4CEFCA}"/>
    <cellStyle name="Linked Cell 23 2 4 8 2" xfId="24559" xr:uid="{CE7D736D-4E20-41BB-A67A-F1D221C5010B}"/>
    <cellStyle name="Linked Cell 23 2 4 8 2 2" xfId="24560" xr:uid="{9911AA30-4B98-40D3-81F8-B0C3E7560C8D}"/>
    <cellStyle name="Linked Cell 23 2 4 8 3" xfId="24561" xr:uid="{6ACC3EB3-3163-4996-8461-C28B4167E6F7}"/>
    <cellStyle name="Linked Cell 23 2 4 9" xfId="24562" xr:uid="{A787C7F8-9CF2-4A69-BB44-876B87469038}"/>
    <cellStyle name="Linked Cell 23 2 4 9 2" xfId="24563" xr:uid="{A0590821-32E5-43F1-8372-BAA10E2965EA}"/>
    <cellStyle name="Linked Cell 23 2 4 9 2 2" xfId="24564" xr:uid="{992134F3-A673-4A62-8715-06E1C1329600}"/>
    <cellStyle name="Linked Cell 23 2 4 9 3" xfId="24565" xr:uid="{8F0D03AF-5FE9-4172-BE0B-58436910197E}"/>
    <cellStyle name="Linked Cell 23 2 5" xfId="24566" xr:uid="{72C7CB3B-0170-415D-9B15-C579AA1069CD}"/>
    <cellStyle name="Linked Cell 23 2 5 10" xfId="24567" xr:uid="{BF26B67F-2B44-4FB4-9B97-75D352CF2A6E}"/>
    <cellStyle name="Linked Cell 23 2 5 10 2" xfId="24568" xr:uid="{90E64FBA-E4DE-46D8-AE12-F4383A812A5A}"/>
    <cellStyle name="Linked Cell 23 2 5 11" xfId="24569" xr:uid="{169B5298-FC03-4C66-86EE-36E405B42CB1}"/>
    <cellStyle name="Linked Cell 23 2 5 2" xfId="24570" xr:uid="{C7F802E8-C43C-4011-87DE-387C123CA823}"/>
    <cellStyle name="Linked Cell 23 2 5 2 2" xfId="24571" xr:uid="{B802C8DE-9D41-4D3E-875F-0A5A54C6E1C0}"/>
    <cellStyle name="Linked Cell 23 2 5 2 2 2" xfId="24572" xr:uid="{78B5C8C8-661D-4222-8EF6-4585749E9D60}"/>
    <cellStyle name="Linked Cell 23 2 5 2 3" xfId="24573" xr:uid="{E3C7D23D-2FCB-4E4D-9DF7-DFD7028C9FDF}"/>
    <cellStyle name="Linked Cell 23 2 5 3" xfId="24574" xr:uid="{78375486-AEC5-4B24-9C28-8D0BA490DA08}"/>
    <cellStyle name="Linked Cell 23 2 5 3 2" xfId="24575" xr:uid="{8D7024B5-1615-484B-A81B-B26381558B21}"/>
    <cellStyle name="Linked Cell 23 2 5 3 2 2" xfId="24576" xr:uid="{7CF41E4C-46A3-4560-BBF9-66346E0BBCA3}"/>
    <cellStyle name="Linked Cell 23 2 5 3 3" xfId="24577" xr:uid="{08B78C10-D1D8-4114-A725-0292CD4095BD}"/>
    <cellStyle name="Linked Cell 23 2 5 4" xfId="24578" xr:uid="{D386634E-FD58-457A-A693-434877E0B7DC}"/>
    <cellStyle name="Linked Cell 23 2 5 4 2" xfId="24579" xr:uid="{7872CBA6-D7FD-4781-8A64-11275A7C6545}"/>
    <cellStyle name="Linked Cell 23 2 5 4 2 2" xfId="24580" xr:uid="{9057818A-8AAF-4798-B33D-C8ACE7D18E80}"/>
    <cellStyle name="Linked Cell 23 2 5 4 3" xfId="24581" xr:uid="{051C1BC6-E164-4E52-9DB3-72A5921C560D}"/>
    <cellStyle name="Linked Cell 23 2 5 5" xfId="24582" xr:uid="{26B97705-3C39-4997-AC60-C90A80417AEC}"/>
    <cellStyle name="Linked Cell 23 2 5 5 2" xfId="24583" xr:uid="{92E3E157-A5CC-4AC7-948D-92BB2A87D27A}"/>
    <cellStyle name="Linked Cell 23 2 5 5 2 2" xfId="24584" xr:uid="{F542BB14-D10C-4EAD-955F-018E9137B855}"/>
    <cellStyle name="Linked Cell 23 2 5 5 3" xfId="24585" xr:uid="{60F32157-5D7B-44F8-846E-BED1BE369DE3}"/>
    <cellStyle name="Linked Cell 23 2 5 6" xfId="24586" xr:uid="{22DAE891-6CE9-437F-858E-EA70556D6726}"/>
    <cellStyle name="Linked Cell 23 2 5 6 2" xfId="24587" xr:uid="{11768D2E-F79C-45B2-93C3-BB31F1C7C20F}"/>
    <cellStyle name="Linked Cell 23 2 5 6 2 2" xfId="24588" xr:uid="{41B7A848-15D9-43A9-AD85-5055D4A4FE85}"/>
    <cellStyle name="Linked Cell 23 2 5 6 3" xfId="24589" xr:uid="{256EF2DF-B939-4FFB-9B4A-82E4E3504338}"/>
    <cellStyle name="Linked Cell 23 2 5 7" xfId="24590" xr:uid="{4F468C78-1AD8-4618-A1D3-9983BCB72E4D}"/>
    <cellStyle name="Linked Cell 23 2 5 7 2" xfId="24591" xr:uid="{172DFB8F-EFC2-4E0A-AF84-AEA6B38628A9}"/>
    <cellStyle name="Linked Cell 23 2 5 7 2 2" xfId="24592" xr:uid="{F790CCD3-788A-4CC3-8637-3033EAAF65D4}"/>
    <cellStyle name="Linked Cell 23 2 5 7 3" xfId="24593" xr:uid="{A3246B60-E9C4-4B57-B98C-8307408D5669}"/>
    <cellStyle name="Linked Cell 23 2 5 8" xfId="24594" xr:uid="{75D5F7ED-986D-4161-B689-C677B93DABFA}"/>
    <cellStyle name="Linked Cell 23 2 5 8 2" xfId="24595" xr:uid="{3180E69C-A185-45A5-8E89-ADA41D894D11}"/>
    <cellStyle name="Linked Cell 23 2 5 8 2 2" xfId="24596" xr:uid="{024B1C28-72D0-4978-9CC9-9584BDD610A0}"/>
    <cellStyle name="Linked Cell 23 2 5 8 3" xfId="24597" xr:uid="{624A4F60-457F-4B00-9A86-E01029351003}"/>
    <cellStyle name="Linked Cell 23 2 5 9" xfId="24598" xr:uid="{DCF3CA30-A014-4139-A159-3BB68440FEAE}"/>
    <cellStyle name="Linked Cell 23 2 5 9 2" xfId="24599" xr:uid="{1283CC2D-1922-4BE2-807C-39206B3E0E89}"/>
    <cellStyle name="Linked Cell 23 2 5 9 2 2" xfId="24600" xr:uid="{53839A56-C36D-4F73-B837-7BDBFE4658E9}"/>
    <cellStyle name="Linked Cell 23 2 5 9 3" xfId="24601" xr:uid="{3D80B966-CF26-436B-903E-26A1725F39EE}"/>
    <cellStyle name="Linked Cell 23 2 6" xfId="24602" xr:uid="{615608B2-3D10-4A88-8D07-8082A28FC10D}"/>
    <cellStyle name="Linked Cell 23 2 6 2" xfId="24603" xr:uid="{A588EF82-D005-40BD-A1D2-007E853FC220}"/>
    <cellStyle name="Linked Cell 23 2 6 2 2" xfId="24604" xr:uid="{65E3D6F2-CD71-4B7B-B7F6-39F2C8D572D4}"/>
    <cellStyle name="Linked Cell 23 2 6 3" xfId="24605" xr:uid="{70669B5D-E476-4328-8C6A-6B88A8B3461B}"/>
    <cellStyle name="Linked Cell 23 2 7" xfId="24606" xr:uid="{5CD6564A-E827-499E-8B64-25B0C9999C62}"/>
    <cellStyle name="Linked Cell 23 2 7 2" xfId="24607" xr:uid="{05AAE29F-5ABD-45E8-A303-2EFABB007674}"/>
    <cellStyle name="Linked Cell 23 2 7 2 2" xfId="24608" xr:uid="{1667E7F2-8345-4BD2-B331-CA765614D81B}"/>
    <cellStyle name="Linked Cell 23 2 7 3" xfId="24609" xr:uid="{20C0425B-1AD8-47D6-BC49-1D4CFF2DC9B1}"/>
    <cellStyle name="Linked Cell 23 2 8" xfId="24610" xr:uid="{F944188E-2FB9-456C-A454-E9DFE8289D9C}"/>
    <cellStyle name="Linked Cell 23 2 8 2" xfId="24611" xr:uid="{CB6AADA7-490A-4482-81D4-E913DA529A53}"/>
    <cellStyle name="Linked Cell 23 2 8 2 2" xfId="24612" xr:uid="{FA90A05A-256E-47F3-BA5D-60296B68280F}"/>
    <cellStyle name="Linked Cell 23 2 8 3" xfId="24613" xr:uid="{26215F57-B0BD-41A6-81AA-EC11D871391A}"/>
    <cellStyle name="Linked Cell 23 2 9" xfId="24614" xr:uid="{754B2ADD-ABD8-4AAD-B7A3-6AA2EE34103C}"/>
    <cellStyle name="Linked Cell 23 2 9 2" xfId="24615" xr:uid="{410112B4-2129-47F9-A7CB-92C6310CF370}"/>
    <cellStyle name="Linked Cell 23 2 9 2 2" xfId="24616" xr:uid="{A1FE133D-1C8B-4F14-ABCC-85AECABC1702}"/>
    <cellStyle name="Linked Cell 23 2 9 3" xfId="24617" xr:uid="{6558FD59-0A71-4A4A-8E05-25C5B5540D14}"/>
    <cellStyle name="Linked Cell 23 3" xfId="24618" xr:uid="{59D95D03-4BDA-4CF6-86B7-5C9297DB90EC}"/>
    <cellStyle name="Linked Cell 23 3 10" xfId="24619" xr:uid="{8C194AAA-ECC6-4EC9-8E40-E1E67F3DFF43}"/>
    <cellStyle name="Linked Cell 23 3 10 2" xfId="24620" xr:uid="{A9A4C781-295C-4408-B6FE-2F2CE21A959C}"/>
    <cellStyle name="Linked Cell 23 3 10 2 2" xfId="24621" xr:uid="{12608506-243D-49FA-935E-658F755B09C5}"/>
    <cellStyle name="Linked Cell 23 3 10 3" xfId="24622" xr:uid="{0FA57881-9F6F-42DC-B7F8-16B2BC28311D}"/>
    <cellStyle name="Linked Cell 23 3 11" xfId="24623" xr:uid="{A8368AE4-B1A7-4F86-8F95-ADDC30A02AAE}"/>
    <cellStyle name="Linked Cell 23 3 11 2" xfId="24624" xr:uid="{4BC56084-75D9-474C-A853-4B1341CFD9F5}"/>
    <cellStyle name="Linked Cell 23 3 11 2 2" xfId="24625" xr:uid="{9DFAF3D1-6FAA-4269-8605-A8F822B2B650}"/>
    <cellStyle name="Linked Cell 23 3 11 3" xfId="24626" xr:uid="{7B1CDC5E-4CE6-45FC-9D83-E4348B73952C}"/>
    <cellStyle name="Linked Cell 23 3 12" xfId="24627" xr:uid="{90925881-E51A-4793-8159-46A4954B9D30}"/>
    <cellStyle name="Linked Cell 23 3 12 2" xfId="24628" xr:uid="{998D4B7B-6A40-4308-9D6F-6013D73D195E}"/>
    <cellStyle name="Linked Cell 23 3 12 2 2" xfId="24629" xr:uid="{EF170C92-ED94-4195-9295-C0B8FA277E13}"/>
    <cellStyle name="Linked Cell 23 3 12 3" xfId="24630" xr:uid="{9150832D-0E2C-4070-BE96-DD86E47738F4}"/>
    <cellStyle name="Linked Cell 23 3 13" xfId="24631" xr:uid="{975B06BE-A285-442F-862B-82B650872C6E}"/>
    <cellStyle name="Linked Cell 23 3 13 2" xfId="24632" xr:uid="{1CC7A8C8-4633-4EC2-B7F2-0819828D7B51}"/>
    <cellStyle name="Linked Cell 23 3 14" xfId="24633" xr:uid="{E6FD87BD-E447-4EE2-AB00-0E6599C4D67A}"/>
    <cellStyle name="Linked Cell 23 3 2" xfId="24634" xr:uid="{0E74691F-FB78-4FCB-9737-89954A036323}"/>
    <cellStyle name="Linked Cell 23 3 2 10" xfId="24635" xr:uid="{1E9DCE02-0534-468D-BBB5-0682E01AB790}"/>
    <cellStyle name="Linked Cell 23 3 2 10 2" xfId="24636" xr:uid="{61E223A3-BF74-46C0-8FA0-EDF7ECE6B65A}"/>
    <cellStyle name="Linked Cell 23 3 2 10 2 2" xfId="24637" xr:uid="{FA990765-56E4-40E3-8486-B807B6E752E9}"/>
    <cellStyle name="Linked Cell 23 3 2 10 3" xfId="24638" xr:uid="{FA0E363B-F5A0-4B43-BBFF-844970C94229}"/>
    <cellStyle name="Linked Cell 23 3 2 11" xfId="24639" xr:uid="{6AD48D46-FC88-4910-B576-699277110FDA}"/>
    <cellStyle name="Linked Cell 23 3 2 11 2" xfId="24640" xr:uid="{61A36BA3-12F2-4982-8ACB-FEEE9A04FD66}"/>
    <cellStyle name="Linked Cell 23 3 2 11 2 2" xfId="24641" xr:uid="{E2105940-5F04-4A95-98C7-93B707688168}"/>
    <cellStyle name="Linked Cell 23 3 2 11 3" xfId="24642" xr:uid="{F0BDF6AB-B87A-4835-B050-D57C4FE0B920}"/>
    <cellStyle name="Linked Cell 23 3 2 12" xfId="24643" xr:uid="{46C39F0E-4EDB-47DE-93D9-26C5C72172AA}"/>
    <cellStyle name="Linked Cell 23 3 2 12 2" xfId="24644" xr:uid="{93502A8C-C03B-4191-998C-880EA39902DD}"/>
    <cellStyle name="Linked Cell 23 3 2 13" xfId="24645" xr:uid="{B3C6E36F-2439-40A5-AC2A-9B63AB8E3E13}"/>
    <cellStyle name="Linked Cell 23 3 2 2" xfId="24646" xr:uid="{D66D8810-B25E-43E4-910A-65257A15AB0A}"/>
    <cellStyle name="Linked Cell 23 3 2 2 10" xfId="24647" xr:uid="{19E7EE63-A3E9-4734-BD56-7DD7683478EE}"/>
    <cellStyle name="Linked Cell 23 3 2 2 10 2" xfId="24648" xr:uid="{60B89908-2729-4349-B416-8C531E6A5F1A}"/>
    <cellStyle name="Linked Cell 23 3 2 2 10 2 2" xfId="24649" xr:uid="{D8383208-1632-430A-8C92-D47C5DE8C169}"/>
    <cellStyle name="Linked Cell 23 3 2 2 10 3" xfId="24650" xr:uid="{7AAD1093-5F55-43A8-8E22-DE7735C67C4D}"/>
    <cellStyle name="Linked Cell 23 3 2 2 11" xfId="24651" xr:uid="{1FEC7986-9F4E-4917-8D5B-923612062A22}"/>
    <cellStyle name="Linked Cell 23 3 2 2 11 2" xfId="24652" xr:uid="{D92C51AA-2494-4952-B0A8-4347CEAABC20}"/>
    <cellStyle name="Linked Cell 23 3 2 2 12" xfId="24653" xr:uid="{0A40D5FB-EB3C-43F4-A9A0-B3A5E6853229}"/>
    <cellStyle name="Linked Cell 23 3 2 2 2" xfId="24654" xr:uid="{FF839B89-7D06-4D97-9CC4-3901C4B20E74}"/>
    <cellStyle name="Linked Cell 23 3 2 2 2 2" xfId="24655" xr:uid="{28D9F337-3A23-439C-886E-6B482491F1A1}"/>
    <cellStyle name="Linked Cell 23 3 2 2 2 2 2" xfId="24656" xr:uid="{FECCDE3E-11F2-4B54-BFFA-F180E59EB64B}"/>
    <cellStyle name="Linked Cell 23 3 2 2 2 3" xfId="24657" xr:uid="{13D89206-5AFD-414A-A134-34B731FFE13F}"/>
    <cellStyle name="Linked Cell 23 3 2 2 3" xfId="24658" xr:uid="{8C9FB83E-3486-41AA-A0AA-65BFC0942188}"/>
    <cellStyle name="Linked Cell 23 3 2 2 3 2" xfId="24659" xr:uid="{775C93FD-61B8-4008-846C-6F98A0F03A1B}"/>
    <cellStyle name="Linked Cell 23 3 2 2 3 2 2" xfId="24660" xr:uid="{FA46B00E-8FCB-4FE5-9010-0A172604CDE1}"/>
    <cellStyle name="Linked Cell 23 3 2 2 3 3" xfId="24661" xr:uid="{5241F236-B54C-44E6-9C83-C90D68D42A59}"/>
    <cellStyle name="Linked Cell 23 3 2 2 4" xfId="24662" xr:uid="{47C91F11-2E61-4D76-A1CD-3FA6D88F5DF9}"/>
    <cellStyle name="Linked Cell 23 3 2 2 4 2" xfId="24663" xr:uid="{D2C7984C-2013-43B4-9710-F73F7825078E}"/>
    <cellStyle name="Linked Cell 23 3 2 2 4 2 2" xfId="24664" xr:uid="{2D00C75F-26EC-4CBD-8872-F976BED869FC}"/>
    <cellStyle name="Linked Cell 23 3 2 2 4 3" xfId="24665" xr:uid="{1F3971FC-7FAD-4AF9-938E-04FEDB0D2FAF}"/>
    <cellStyle name="Linked Cell 23 3 2 2 5" xfId="24666" xr:uid="{35CCD2BC-EA66-493B-8FE0-661AFB4A46B2}"/>
    <cellStyle name="Linked Cell 23 3 2 2 5 2" xfId="24667" xr:uid="{A9889CCD-3E6B-4B3E-BB46-AA28F49F01E2}"/>
    <cellStyle name="Linked Cell 23 3 2 2 5 2 2" xfId="24668" xr:uid="{98621BBF-EB7C-4A73-A35C-A14B0019B0EA}"/>
    <cellStyle name="Linked Cell 23 3 2 2 5 3" xfId="24669" xr:uid="{6ECCE289-7DA8-4E3D-9D3E-B6E2554A185C}"/>
    <cellStyle name="Linked Cell 23 3 2 2 6" xfId="24670" xr:uid="{EF752C90-72E2-4E1C-85AD-5F73E9C97045}"/>
    <cellStyle name="Linked Cell 23 3 2 2 6 2" xfId="24671" xr:uid="{CDE7DC16-194B-4B89-8AA6-492028827949}"/>
    <cellStyle name="Linked Cell 23 3 2 2 6 2 2" xfId="24672" xr:uid="{4AF4AD52-1902-4560-8450-0925FE80650D}"/>
    <cellStyle name="Linked Cell 23 3 2 2 6 3" xfId="24673" xr:uid="{15DE17EC-9364-4BEE-8097-AF9DE865955B}"/>
    <cellStyle name="Linked Cell 23 3 2 2 7" xfId="24674" xr:uid="{3768096E-6BC3-425C-8DF1-D3243D9D3B05}"/>
    <cellStyle name="Linked Cell 23 3 2 2 7 2" xfId="24675" xr:uid="{CBB97FB3-0053-4612-8D08-9F313D99926F}"/>
    <cellStyle name="Linked Cell 23 3 2 2 7 2 2" xfId="24676" xr:uid="{8C6EAE8D-0448-4337-A4FF-2CB1C17D5EE4}"/>
    <cellStyle name="Linked Cell 23 3 2 2 7 3" xfId="24677" xr:uid="{66B564BA-66D0-4C47-BD4A-A4F8B423D272}"/>
    <cellStyle name="Linked Cell 23 3 2 2 8" xfId="24678" xr:uid="{95D621DF-730D-4BD0-BF0D-73B1D8E62A66}"/>
    <cellStyle name="Linked Cell 23 3 2 2 8 2" xfId="24679" xr:uid="{1F325A95-41AD-4462-A0F8-8E67C2A18866}"/>
    <cellStyle name="Linked Cell 23 3 2 2 8 2 2" xfId="24680" xr:uid="{8804A91F-80D3-4B78-B748-C25848791D8B}"/>
    <cellStyle name="Linked Cell 23 3 2 2 8 3" xfId="24681" xr:uid="{1BF6EE75-7984-4B10-B599-8FE872DA96A5}"/>
    <cellStyle name="Linked Cell 23 3 2 2 9" xfId="24682" xr:uid="{AE446409-B0B2-4F1C-9081-65EEC6825C73}"/>
    <cellStyle name="Linked Cell 23 3 2 2 9 2" xfId="24683" xr:uid="{36B253D0-95A4-4F5F-8F39-CCF842D81E2E}"/>
    <cellStyle name="Linked Cell 23 3 2 2 9 2 2" xfId="24684" xr:uid="{C822B963-4FC1-464F-A83F-58D62484050D}"/>
    <cellStyle name="Linked Cell 23 3 2 2 9 3" xfId="24685" xr:uid="{499CC132-2CCE-4DBE-BD8D-7985ADCEE99A}"/>
    <cellStyle name="Linked Cell 23 3 2 3" xfId="24686" xr:uid="{C1188C8A-AB9C-4579-B34F-51892DE7CCF7}"/>
    <cellStyle name="Linked Cell 23 3 2 3 10" xfId="24687" xr:uid="{A67D6961-54BB-4E60-8121-FACDB5EFB1F5}"/>
    <cellStyle name="Linked Cell 23 3 2 3 10 2" xfId="24688" xr:uid="{52B1675F-E75E-4006-8B14-8D81B1F57954}"/>
    <cellStyle name="Linked Cell 23 3 2 3 11" xfId="24689" xr:uid="{4D5C8A1D-6DA7-4839-B374-1194A4BE83DC}"/>
    <cellStyle name="Linked Cell 23 3 2 3 2" xfId="24690" xr:uid="{C03596AB-8C06-420B-9786-F683B2AECA1F}"/>
    <cellStyle name="Linked Cell 23 3 2 3 2 2" xfId="24691" xr:uid="{EF0E98AE-0CA0-4432-82BD-1DC5A1ED2F5D}"/>
    <cellStyle name="Linked Cell 23 3 2 3 2 2 2" xfId="24692" xr:uid="{0F965C99-87FE-4E46-8BA5-128EA3C5DD05}"/>
    <cellStyle name="Linked Cell 23 3 2 3 2 3" xfId="24693" xr:uid="{A4104E50-8113-4A85-859D-3270755FA729}"/>
    <cellStyle name="Linked Cell 23 3 2 3 3" xfId="24694" xr:uid="{47C2B005-72B7-4DD3-A3A7-B99FD181296F}"/>
    <cellStyle name="Linked Cell 23 3 2 3 3 2" xfId="24695" xr:uid="{DEF72769-F80F-4753-949E-88A3178B2BEA}"/>
    <cellStyle name="Linked Cell 23 3 2 3 3 2 2" xfId="24696" xr:uid="{04A12807-11BB-4B5E-803A-A4B2BB1F9CB1}"/>
    <cellStyle name="Linked Cell 23 3 2 3 3 3" xfId="24697" xr:uid="{1F03EF75-C36D-4ACC-B66C-80080F73423F}"/>
    <cellStyle name="Linked Cell 23 3 2 3 4" xfId="24698" xr:uid="{6F0D8CE5-EF8C-42F5-A4EF-726EAA57749F}"/>
    <cellStyle name="Linked Cell 23 3 2 3 4 2" xfId="24699" xr:uid="{B823AE2C-C68B-4BC1-8AD7-2A1910541186}"/>
    <cellStyle name="Linked Cell 23 3 2 3 4 2 2" xfId="24700" xr:uid="{D959CB00-AA36-4D01-9D4E-50A277F75996}"/>
    <cellStyle name="Linked Cell 23 3 2 3 4 3" xfId="24701" xr:uid="{A75FD887-56D9-46E9-9DA7-889B09B541FC}"/>
    <cellStyle name="Linked Cell 23 3 2 3 5" xfId="24702" xr:uid="{4A665CA7-D63C-4E78-9DBF-78A45442ECE3}"/>
    <cellStyle name="Linked Cell 23 3 2 3 5 2" xfId="24703" xr:uid="{6F196A30-BC1B-4A46-B197-5F8823D17923}"/>
    <cellStyle name="Linked Cell 23 3 2 3 5 2 2" xfId="24704" xr:uid="{5D321AD5-735B-46A1-97E2-6091901A367D}"/>
    <cellStyle name="Linked Cell 23 3 2 3 5 3" xfId="24705" xr:uid="{676F736D-B479-4859-8CC8-624EBD7EF0E5}"/>
    <cellStyle name="Linked Cell 23 3 2 3 6" xfId="24706" xr:uid="{A6209CBF-6FBA-4F24-A335-B26745104F55}"/>
    <cellStyle name="Linked Cell 23 3 2 3 6 2" xfId="24707" xr:uid="{A2844D0F-978A-4BF0-A99B-D9EB6766F215}"/>
    <cellStyle name="Linked Cell 23 3 2 3 6 2 2" xfId="24708" xr:uid="{87A6FA26-084F-4CFF-939B-F4472EA34155}"/>
    <cellStyle name="Linked Cell 23 3 2 3 6 3" xfId="24709" xr:uid="{DB959542-B991-4F08-B9A3-4A91BB1AEB14}"/>
    <cellStyle name="Linked Cell 23 3 2 3 7" xfId="24710" xr:uid="{8772CF4A-EB12-4675-9F71-21B427285CC6}"/>
    <cellStyle name="Linked Cell 23 3 2 3 7 2" xfId="24711" xr:uid="{C72E3B3E-EBB1-480B-8DAF-011CF55A00CD}"/>
    <cellStyle name="Linked Cell 23 3 2 3 7 2 2" xfId="24712" xr:uid="{4C70EBEE-5638-4D71-B495-9387275A0EBA}"/>
    <cellStyle name="Linked Cell 23 3 2 3 7 3" xfId="24713" xr:uid="{6723E7F6-0ED7-43BA-BFF8-E2F09426A00C}"/>
    <cellStyle name="Linked Cell 23 3 2 3 8" xfId="24714" xr:uid="{7AE70681-1BC9-4158-A369-5756C53B3510}"/>
    <cellStyle name="Linked Cell 23 3 2 3 8 2" xfId="24715" xr:uid="{3DC4CE34-0AB9-46A5-9E20-C94D231D9C44}"/>
    <cellStyle name="Linked Cell 23 3 2 3 8 2 2" xfId="24716" xr:uid="{2B60AD25-F728-4FF0-8008-D5DD0862030A}"/>
    <cellStyle name="Linked Cell 23 3 2 3 8 3" xfId="24717" xr:uid="{9ADEE464-B056-4654-89D1-A0A83F6B286F}"/>
    <cellStyle name="Linked Cell 23 3 2 3 9" xfId="24718" xr:uid="{9F8A9D6C-9070-48AA-9547-44CB04D6ECCC}"/>
    <cellStyle name="Linked Cell 23 3 2 3 9 2" xfId="24719" xr:uid="{5E015BED-A3BA-41E4-A1C4-F8CD9E47A76E}"/>
    <cellStyle name="Linked Cell 23 3 2 3 9 2 2" xfId="24720" xr:uid="{09FD4F25-92D6-44D4-A1A1-CA3C980DCBA6}"/>
    <cellStyle name="Linked Cell 23 3 2 3 9 3" xfId="24721" xr:uid="{FA1126D0-A86E-40E0-8FB2-8EDA73993910}"/>
    <cellStyle name="Linked Cell 23 3 2 4" xfId="24722" xr:uid="{2BF6B2B8-9F0B-4DAD-A01A-C73A52718E90}"/>
    <cellStyle name="Linked Cell 23 3 2 4 2" xfId="24723" xr:uid="{D2F5CB0E-C9B2-43A7-8147-B247F8B0D4D9}"/>
    <cellStyle name="Linked Cell 23 3 2 4 2 2" xfId="24724" xr:uid="{D15F2274-D072-4347-B8CF-5E1A1F39073B}"/>
    <cellStyle name="Linked Cell 23 3 2 4 3" xfId="24725" xr:uid="{25A58A80-D677-4976-8BB7-750A36718688}"/>
    <cellStyle name="Linked Cell 23 3 2 5" xfId="24726" xr:uid="{8F908EAA-F05D-4FFE-A51F-D46EDDC46BFE}"/>
    <cellStyle name="Linked Cell 23 3 2 5 2" xfId="24727" xr:uid="{E1BDBCCA-0E53-4EA3-8BDC-98C553F578B1}"/>
    <cellStyle name="Linked Cell 23 3 2 5 2 2" xfId="24728" xr:uid="{464524FB-A890-436E-BCAF-19B4EA3591AB}"/>
    <cellStyle name="Linked Cell 23 3 2 5 3" xfId="24729" xr:uid="{463B8F20-15B0-4583-A242-8F6E07FAED2C}"/>
    <cellStyle name="Linked Cell 23 3 2 6" xfId="24730" xr:uid="{2B381269-8778-45DB-85EC-14D5A0F44226}"/>
    <cellStyle name="Linked Cell 23 3 2 6 2" xfId="24731" xr:uid="{AA3C0FD1-ED1D-4804-AD61-295F7A9C9531}"/>
    <cellStyle name="Linked Cell 23 3 2 6 2 2" xfId="24732" xr:uid="{9C10CD0B-DCE4-4135-BC11-6ECE171EE0EC}"/>
    <cellStyle name="Linked Cell 23 3 2 6 3" xfId="24733" xr:uid="{2C31B4AA-71FB-4662-B713-44BCB77FBB03}"/>
    <cellStyle name="Linked Cell 23 3 2 7" xfId="24734" xr:uid="{EE5F37E9-8691-4446-BD47-DE36ABFB7B1D}"/>
    <cellStyle name="Linked Cell 23 3 2 7 2" xfId="24735" xr:uid="{B858DCCC-7340-4A0A-B2F1-911907E96A26}"/>
    <cellStyle name="Linked Cell 23 3 2 7 2 2" xfId="24736" xr:uid="{6071413F-DDDB-431C-8D22-191297989D42}"/>
    <cellStyle name="Linked Cell 23 3 2 7 3" xfId="24737" xr:uid="{C5DD86F7-DCD6-4A32-99DF-2209DA31BBBA}"/>
    <cellStyle name="Linked Cell 23 3 2 8" xfId="24738" xr:uid="{0ECBE780-1940-4C0F-B061-0D764AB42CF3}"/>
    <cellStyle name="Linked Cell 23 3 2 8 2" xfId="24739" xr:uid="{5711BF93-AD15-44E0-AA9F-6E6CD9481EDB}"/>
    <cellStyle name="Linked Cell 23 3 2 8 2 2" xfId="24740" xr:uid="{7940BEDB-DCA5-40A3-A853-73BB59A58D31}"/>
    <cellStyle name="Linked Cell 23 3 2 8 3" xfId="24741" xr:uid="{9F113CB5-E5C0-4BFD-9955-63BB82606292}"/>
    <cellStyle name="Linked Cell 23 3 2 9" xfId="24742" xr:uid="{1D8C530C-691B-43EE-B454-70F13EA90335}"/>
    <cellStyle name="Linked Cell 23 3 2 9 2" xfId="24743" xr:uid="{C428424D-22D8-43CE-B80B-73258B5FF469}"/>
    <cellStyle name="Linked Cell 23 3 2 9 2 2" xfId="24744" xr:uid="{462C8D80-03DB-4037-930C-651E9BD7C4DC}"/>
    <cellStyle name="Linked Cell 23 3 2 9 3" xfId="24745" xr:uid="{0AD572FF-A596-421A-9AC2-D8DB0C9AC6A8}"/>
    <cellStyle name="Linked Cell 23 3 3" xfId="24746" xr:uid="{6705AD25-A27F-4C36-91F6-BF884A546EB8}"/>
    <cellStyle name="Linked Cell 23 3 3 10" xfId="24747" xr:uid="{DB29FCDE-6283-494F-B9E0-31EB38097795}"/>
    <cellStyle name="Linked Cell 23 3 3 10 2" xfId="24748" xr:uid="{3B6B0400-1890-43FB-BDB0-3E099488A32F}"/>
    <cellStyle name="Linked Cell 23 3 3 10 2 2" xfId="24749" xr:uid="{7659CDDC-A8B8-4FB3-BC66-CE5F534A1D17}"/>
    <cellStyle name="Linked Cell 23 3 3 10 3" xfId="24750" xr:uid="{7C704980-5AAD-4C7D-85ED-E6CCFDA4CB6A}"/>
    <cellStyle name="Linked Cell 23 3 3 11" xfId="24751" xr:uid="{3DCA7434-7F7F-4340-AD93-91B3573673DA}"/>
    <cellStyle name="Linked Cell 23 3 3 11 2" xfId="24752" xr:uid="{23EA2909-5261-4A89-8F77-CA66978A354E}"/>
    <cellStyle name="Linked Cell 23 3 3 12" xfId="24753" xr:uid="{F3C7EBA7-E1AE-4E7F-A3F4-E22E59E97F1F}"/>
    <cellStyle name="Linked Cell 23 3 3 2" xfId="24754" xr:uid="{154B6DEC-65D7-4F3B-B790-E5A18CCB45A2}"/>
    <cellStyle name="Linked Cell 23 3 3 2 10" xfId="24755" xr:uid="{BADE1068-1EAB-409D-A2F8-B1FED3E4E958}"/>
    <cellStyle name="Linked Cell 23 3 3 2 10 2" xfId="24756" xr:uid="{2EDA245D-C486-4480-A34D-940863F72F1D}"/>
    <cellStyle name="Linked Cell 23 3 3 2 11" xfId="24757" xr:uid="{8679EDB7-A43B-4327-B36B-8FE01A658419}"/>
    <cellStyle name="Linked Cell 23 3 3 2 2" xfId="24758" xr:uid="{B6250FC6-E0F6-4B69-9B2F-9A024F7895D2}"/>
    <cellStyle name="Linked Cell 23 3 3 2 2 2" xfId="24759" xr:uid="{7E744BDA-76AF-4E95-AB63-3D0D2197EF14}"/>
    <cellStyle name="Linked Cell 23 3 3 2 2 2 2" xfId="24760" xr:uid="{E5B02FC7-2885-4F17-83D7-89DEF19DF22A}"/>
    <cellStyle name="Linked Cell 23 3 3 2 2 3" xfId="24761" xr:uid="{B16206D3-1C02-4858-B24B-9846B7A1D626}"/>
    <cellStyle name="Linked Cell 23 3 3 2 3" xfId="24762" xr:uid="{C9AA8B72-A11A-4AA9-9137-4C10BC9A4C8F}"/>
    <cellStyle name="Linked Cell 23 3 3 2 3 2" xfId="24763" xr:uid="{34F1F3F1-C6DB-4DD1-B19D-572D0655A480}"/>
    <cellStyle name="Linked Cell 23 3 3 2 3 2 2" xfId="24764" xr:uid="{AADE04FB-F6F6-437F-AF45-83F346744230}"/>
    <cellStyle name="Linked Cell 23 3 3 2 3 3" xfId="24765" xr:uid="{BAB098C7-A239-4A90-B038-418E7DAAFE64}"/>
    <cellStyle name="Linked Cell 23 3 3 2 4" xfId="24766" xr:uid="{02689E31-F474-4635-B1F0-88E1E6A15DCA}"/>
    <cellStyle name="Linked Cell 23 3 3 2 4 2" xfId="24767" xr:uid="{61981AAE-768B-4DEA-B207-33FA890B72F1}"/>
    <cellStyle name="Linked Cell 23 3 3 2 4 2 2" xfId="24768" xr:uid="{CD06355B-9901-47A3-B2A6-BECA79BE98E1}"/>
    <cellStyle name="Linked Cell 23 3 3 2 4 3" xfId="24769" xr:uid="{FAC2E9CF-02EE-4D4E-8652-F6DCAC1427CA}"/>
    <cellStyle name="Linked Cell 23 3 3 2 5" xfId="24770" xr:uid="{EBAFAF79-0A80-44A4-ABA4-DA8E005DFD8A}"/>
    <cellStyle name="Linked Cell 23 3 3 2 5 2" xfId="24771" xr:uid="{FC67CF28-BD1D-46F5-AB7B-E9D91CCBCDA5}"/>
    <cellStyle name="Linked Cell 23 3 3 2 5 2 2" xfId="24772" xr:uid="{30892FF0-1429-4611-8D33-574823AACAC5}"/>
    <cellStyle name="Linked Cell 23 3 3 2 5 3" xfId="24773" xr:uid="{1D0F386F-BFFF-4EF3-9F11-2C520D36E2C1}"/>
    <cellStyle name="Linked Cell 23 3 3 2 6" xfId="24774" xr:uid="{A5F9E197-39C5-4206-96E1-FF27D50D2B1E}"/>
    <cellStyle name="Linked Cell 23 3 3 2 6 2" xfId="24775" xr:uid="{0CE2938C-3E47-40A0-9F7A-630626EEF9F6}"/>
    <cellStyle name="Linked Cell 23 3 3 2 6 2 2" xfId="24776" xr:uid="{17C15181-7999-461B-837F-D7DB18115BA8}"/>
    <cellStyle name="Linked Cell 23 3 3 2 6 3" xfId="24777" xr:uid="{2EF725B2-C7EF-46B9-8A26-9DD42A4F1333}"/>
    <cellStyle name="Linked Cell 23 3 3 2 7" xfId="24778" xr:uid="{CA6DDDFF-AED1-4ED7-8B02-D8A2057EF3FD}"/>
    <cellStyle name="Linked Cell 23 3 3 2 7 2" xfId="24779" xr:uid="{05C23CA2-8903-4A61-9D56-90F18BB8AFC1}"/>
    <cellStyle name="Linked Cell 23 3 3 2 7 2 2" xfId="24780" xr:uid="{58F98FD8-C63A-4D33-9367-8D20EB9C2284}"/>
    <cellStyle name="Linked Cell 23 3 3 2 7 3" xfId="24781" xr:uid="{6C399586-0F12-4075-8C97-622ADED949F6}"/>
    <cellStyle name="Linked Cell 23 3 3 2 8" xfId="24782" xr:uid="{CEC08F52-C76A-48CC-A6DA-C0BDAD2ECA87}"/>
    <cellStyle name="Linked Cell 23 3 3 2 8 2" xfId="24783" xr:uid="{DF02E542-B209-4929-B75D-9EFC61E9B256}"/>
    <cellStyle name="Linked Cell 23 3 3 2 8 2 2" xfId="24784" xr:uid="{111E9910-CF81-4024-9022-9272F06C4BA4}"/>
    <cellStyle name="Linked Cell 23 3 3 2 8 3" xfId="24785" xr:uid="{2A33749D-48F1-4690-BBED-D228615BFB77}"/>
    <cellStyle name="Linked Cell 23 3 3 2 9" xfId="24786" xr:uid="{13E3BD06-27C9-4E18-9723-B4A54819307D}"/>
    <cellStyle name="Linked Cell 23 3 3 2 9 2" xfId="24787" xr:uid="{41E56077-E068-4F56-BB37-B010A4238193}"/>
    <cellStyle name="Linked Cell 23 3 3 2 9 2 2" xfId="24788" xr:uid="{9EA925CB-1DB5-4842-874E-1553F9CFE666}"/>
    <cellStyle name="Linked Cell 23 3 3 2 9 3" xfId="24789" xr:uid="{A220953D-315D-45A5-A33C-A221ED1314B4}"/>
    <cellStyle name="Linked Cell 23 3 3 3" xfId="24790" xr:uid="{90B86DDA-7A33-48A7-B99B-D42DF46E88A2}"/>
    <cellStyle name="Linked Cell 23 3 3 3 2" xfId="24791" xr:uid="{3AE022D7-C51C-428A-863D-82F80280BD99}"/>
    <cellStyle name="Linked Cell 23 3 3 3 2 2" xfId="24792" xr:uid="{B82002EF-7514-4370-9C52-6668FAAA7E5F}"/>
    <cellStyle name="Linked Cell 23 3 3 3 3" xfId="24793" xr:uid="{80F90683-9AE8-40E1-9344-E0C5F9E46FE4}"/>
    <cellStyle name="Linked Cell 23 3 3 4" xfId="24794" xr:uid="{93951CD0-EB58-479D-930C-4F548F1A16BD}"/>
    <cellStyle name="Linked Cell 23 3 3 4 2" xfId="24795" xr:uid="{F09744FB-F910-4A15-86FA-C469A3991E86}"/>
    <cellStyle name="Linked Cell 23 3 3 4 2 2" xfId="24796" xr:uid="{05298209-31AD-41D7-B796-4595D3EF7251}"/>
    <cellStyle name="Linked Cell 23 3 3 4 3" xfId="24797" xr:uid="{F5BECC10-5D39-4BC0-9EE8-5D938B16A412}"/>
    <cellStyle name="Linked Cell 23 3 3 5" xfId="24798" xr:uid="{F7435746-99F0-4987-95B7-75BD2A93417D}"/>
    <cellStyle name="Linked Cell 23 3 3 5 2" xfId="24799" xr:uid="{D99F68FB-4AE5-42F8-A7C0-4F69F0D988DD}"/>
    <cellStyle name="Linked Cell 23 3 3 5 2 2" xfId="24800" xr:uid="{FD6A2AF8-6E22-434F-9E54-4981B05B9F80}"/>
    <cellStyle name="Linked Cell 23 3 3 5 3" xfId="24801" xr:uid="{B379149A-9C8B-4BA5-958E-299C737E4045}"/>
    <cellStyle name="Linked Cell 23 3 3 6" xfId="24802" xr:uid="{D7011140-CE0D-4E53-8D50-3F46F00CA3E8}"/>
    <cellStyle name="Linked Cell 23 3 3 6 2" xfId="24803" xr:uid="{B489D885-6693-4317-ADC3-EB7047CA1B58}"/>
    <cellStyle name="Linked Cell 23 3 3 6 2 2" xfId="24804" xr:uid="{F0EACA5B-EF80-4BA3-AFD8-05C0B7FB05BB}"/>
    <cellStyle name="Linked Cell 23 3 3 6 3" xfId="24805" xr:uid="{BD468285-181C-44AB-91E6-4C881E5A4FC3}"/>
    <cellStyle name="Linked Cell 23 3 3 7" xfId="24806" xr:uid="{5E836746-6B91-476F-926B-DAC898E30E33}"/>
    <cellStyle name="Linked Cell 23 3 3 7 2" xfId="24807" xr:uid="{C8F89A8E-097B-4BF7-92A0-903A523F4A5A}"/>
    <cellStyle name="Linked Cell 23 3 3 7 2 2" xfId="24808" xr:uid="{FB6F8E9D-E34A-404F-8506-AD334845F60E}"/>
    <cellStyle name="Linked Cell 23 3 3 7 3" xfId="24809" xr:uid="{D5963FE4-22A7-4802-9A6C-7B338BEFE512}"/>
    <cellStyle name="Linked Cell 23 3 3 8" xfId="24810" xr:uid="{A8B8B6FA-0B03-4D05-A708-4F47165E2F0A}"/>
    <cellStyle name="Linked Cell 23 3 3 8 2" xfId="24811" xr:uid="{318F79EB-8DA4-4CD3-B48A-44BA47E2F1AC}"/>
    <cellStyle name="Linked Cell 23 3 3 8 2 2" xfId="24812" xr:uid="{DC33741C-1485-4104-8300-69DAD569DFB1}"/>
    <cellStyle name="Linked Cell 23 3 3 8 3" xfId="24813" xr:uid="{4D3D75F7-5A1C-401E-A8A0-6A297D9D8056}"/>
    <cellStyle name="Linked Cell 23 3 3 9" xfId="24814" xr:uid="{624FAFFF-D4CC-4559-8A72-5BC25121EF81}"/>
    <cellStyle name="Linked Cell 23 3 3 9 2" xfId="24815" xr:uid="{61C0C273-0BB9-48D1-A7F5-5160D7A4586B}"/>
    <cellStyle name="Linked Cell 23 3 3 9 2 2" xfId="24816" xr:uid="{E20B3E49-1AC4-4E63-903D-054BDDBB0BD4}"/>
    <cellStyle name="Linked Cell 23 3 3 9 3" xfId="24817" xr:uid="{05395449-D999-4B54-88C4-5B52F9651BB9}"/>
    <cellStyle name="Linked Cell 23 3 4" xfId="24818" xr:uid="{390E9108-43B7-476E-8FDE-6AA486220E70}"/>
    <cellStyle name="Linked Cell 23 3 4 10" xfId="24819" xr:uid="{5AD59DF8-42F9-4F9D-B8DA-40F07BE9B809}"/>
    <cellStyle name="Linked Cell 23 3 4 10 2" xfId="24820" xr:uid="{7965FDA1-69BA-4A5C-805B-306DBE882055}"/>
    <cellStyle name="Linked Cell 23 3 4 11" xfId="24821" xr:uid="{C0B40CA7-F9C9-4173-AB2B-C0C0F5D0A809}"/>
    <cellStyle name="Linked Cell 23 3 4 2" xfId="24822" xr:uid="{EA6EBC1F-D08D-42B1-8A84-FB9F13F1D36C}"/>
    <cellStyle name="Linked Cell 23 3 4 2 2" xfId="24823" xr:uid="{6112E791-60E0-40E2-B7E4-83290565698E}"/>
    <cellStyle name="Linked Cell 23 3 4 2 2 2" xfId="24824" xr:uid="{9C254D24-2E46-413C-A06C-3F9219D9E423}"/>
    <cellStyle name="Linked Cell 23 3 4 2 3" xfId="24825" xr:uid="{D93D0E24-BD3B-4EA1-AD71-489E9BDC434A}"/>
    <cellStyle name="Linked Cell 23 3 4 3" xfId="24826" xr:uid="{AF6E257E-B125-4D7C-A48E-F28493EB46C8}"/>
    <cellStyle name="Linked Cell 23 3 4 3 2" xfId="24827" xr:uid="{EF36651E-3367-437A-BC9D-04F04FC4B1DB}"/>
    <cellStyle name="Linked Cell 23 3 4 3 2 2" xfId="24828" xr:uid="{C2D7C448-C0F4-45AD-94C7-1AB714D8F135}"/>
    <cellStyle name="Linked Cell 23 3 4 3 3" xfId="24829" xr:uid="{8D2478AE-B42D-4BA9-8D2E-2C216198E3E0}"/>
    <cellStyle name="Linked Cell 23 3 4 4" xfId="24830" xr:uid="{2DB2B9D9-ED1D-4870-87FA-4F3C3B17A96B}"/>
    <cellStyle name="Linked Cell 23 3 4 4 2" xfId="24831" xr:uid="{36979FA7-387C-405B-8630-BDF35E7A231F}"/>
    <cellStyle name="Linked Cell 23 3 4 4 2 2" xfId="24832" xr:uid="{4F8F7FBC-0F15-45A8-965B-3565736D3DA7}"/>
    <cellStyle name="Linked Cell 23 3 4 4 3" xfId="24833" xr:uid="{7A7CE6B4-CCE5-44B0-B197-650933319245}"/>
    <cellStyle name="Linked Cell 23 3 4 5" xfId="24834" xr:uid="{58919A33-598D-48F8-93F3-F1CB0CD0C981}"/>
    <cellStyle name="Linked Cell 23 3 4 5 2" xfId="24835" xr:uid="{77F43A43-C303-42F9-86E3-6AD053E73D9A}"/>
    <cellStyle name="Linked Cell 23 3 4 5 2 2" xfId="24836" xr:uid="{F8A52652-C6D1-422C-A3C8-7165AEC3C431}"/>
    <cellStyle name="Linked Cell 23 3 4 5 3" xfId="24837" xr:uid="{A4977FAB-6FE1-45B2-86AC-C48D7596E5C9}"/>
    <cellStyle name="Linked Cell 23 3 4 6" xfId="24838" xr:uid="{7944BBB2-3C2F-42CD-9B17-0DC46FB89937}"/>
    <cellStyle name="Linked Cell 23 3 4 6 2" xfId="24839" xr:uid="{4FAF8F72-9EC2-4D38-9D05-DF53C0F92378}"/>
    <cellStyle name="Linked Cell 23 3 4 6 2 2" xfId="24840" xr:uid="{50CE3DD8-0E85-4AEF-B016-10DECF47F3A4}"/>
    <cellStyle name="Linked Cell 23 3 4 6 3" xfId="24841" xr:uid="{9B5AA352-967D-4477-9FEF-3A3E0C931A96}"/>
    <cellStyle name="Linked Cell 23 3 4 7" xfId="24842" xr:uid="{48CD0DA2-D8BD-407B-B695-77AB4DF07338}"/>
    <cellStyle name="Linked Cell 23 3 4 7 2" xfId="24843" xr:uid="{7C70B582-DB6C-4E50-B433-3628CE25C50E}"/>
    <cellStyle name="Linked Cell 23 3 4 7 2 2" xfId="24844" xr:uid="{5F628C79-BFC0-44C7-9A25-48DCCCE62025}"/>
    <cellStyle name="Linked Cell 23 3 4 7 3" xfId="24845" xr:uid="{5530B8ED-037A-4DFF-AEB2-0BC1831B90D0}"/>
    <cellStyle name="Linked Cell 23 3 4 8" xfId="24846" xr:uid="{05D3B0D0-3972-491F-BE05-24201B724DD1}"/>
    <cellStyle name="Linked Cell 23 3 4 8 2" xfId="24847" xr:uid="{E76184A0-1360-490F-BA60-231E9AC5A690}"/>
    <cellStyle name="Linked Cell 23 3 4 8 2 2" xfId="24848" xr:uid="{12CEB6B4-E499-49F4-905F-7B32CE570A82}"/>
    <cellStyle name="Linked Cell 23 3 4 8 3" xfId="24849" xr:uid="{A6667BA2-844F-484E-A2B6-B71F597D9F2F}"/>
    <cellStyle name="Linked Cell 23 3 4 9" xfId="24850" xr:uid="{8CC3E4F6-9CD5-4740-94E3-2AED5E007CF8}"/>
    <cellStyle name="Linked Cell 23 3 4 9 2" xfId="24851" xr:uid="{E4F44B0D-A111-42DC-AAD6-6B2D06EFEC93}"/>
    <cellStyle name="Linked Cell 23 3 4 9 2 2" xfId="24852" xr:uid="{359B02E4-5AAB-4610-90BD-677FA39705F4}"/>
    <cellStyle name="Linked Cell 23 3 4 9 3" xfId="24853" xr:uid="{34C1E124-CE2E-4AAC-B256-C2A75BC38D2D}"/>
    <cellStyle name="Linked Cell 23 3 5" xfId="24854" xr:uid="{6F5635C5-C247-4AF2-8AAE-851A8FCD1716}"/>
    <cellStyle name="Linked Cell 23 3 5 2" xfId="24855" xr:uid="{DF655EA6-F876-4DEA-9AD4-8B1260C5802B}"/>
    <cellStyle name="Linked Cell 23 3 5 2 2" xfId="24856" xr:uid="{266D4F04-AD5B-4C65-9821-E6469C3DE864}"/>
    <cellStyle name="Linked Cell 23 3 5 3" xfId="24857" xr:uid="{ED3FF7A7-1B77-4FAC-9759-3359A595F573}"/>
    <cellStyle name="Linked Cell 23 3 6" xfId="24858" xr:uid="{7678F8E6-130D-48EB-8DDE-A7D636C15383}"/>
    <cellStyle name="Linked Cell 23 3 6 2" xfId="24859" xr:uid="{B6FF7628-B5BF-42B7-B52E-58FBFDF7E577}"/>
    <cellStyle name="Linked Cell 23 3 6 2 2" xfId="24860" xr:uid="{5C4E65D8-C7F8-4293-85F2-7D47408706B3}"/>
    <cellStyle name="Linked Cell 23 3 6 3" xfId="24861" xr:uid="{C7A87E7B-E588-4CD8-AFB1-4EA8AB930D4C}"/>
    <cellStyle name="Linked Cell 23 3 7" xfId="24862" xr:uid="{17BAE110-CDC3-4C14-B49F-D973404DBC41}"/>
    <cellStyle name="Linked Cell 23 3 7 2" xfId="24863" xr:uid="{D209D671-CD32-460B-8E8F-2B7AD79B3B08}"/>
    <cellStyle name="Linked Cell 23 3 7 2 2" xfId="24864" xr:uid="{6AA6B26D-3B0D-4C63-BEDD-6F8CF041A5E5}"/>
    <cellStyle name="Linked Cell 23 3 7 3" xfId="24865" xr:uid="{52BDEFE5-9175-451D-861D-CCBEFFEBC7DF}"/>
    <cellStyle name="Linked Cell 23 3 8" xfId="24866" xr:uid="{5AEC12CC-B68D-47D1-B8CB-B55498F9317B}"/>
    <cellStyle name="Linked Cell 23 3 8 2" xfId="24867" xr:uid="{9FFE3D93-9C0D-4EED-957A-A7A7DC172AFC}"/>
    <cellStyle name="Linked Cell 23 3 8 2 2" xfId="24868" xr:uid="{5DDE27C0-4C6C-4023-8C48-2EE1326E6458}"/>
    <cellStyle name="Linked Cell 23 3 8 3" xfId="24869" xr:uid="{C903C6E1-8FFD-4B14-B01D-54F825CD1FCA}"/>
    <cellStyle name="Linked Cell 23 3 9" xfId="24870" xr:uid="{258D8D91-4115-4FA4-8CC6-B75C6AFC4670}"/>
    <cellStyle name="Linked Cell 23 3 9 2" xfId="24871" xr:uid="{AFE96C1E-8FA8-4138-A3E6-C9E27EC4EB25}"/>
    <cellStyle name="Linked Cell 23 3 9 2 2" xfId="24872" xr:uid="{A1345290-7442-4333-BEF9-830BAE4F94F9}"/>
    <cellStyle name="Linked Cell 23 3 9 3" xfId="24873" xr:uid="{8A07AEAC-DCBF-4C60-8327-CD3E6A9C9406}"/>
    <cellStyle name="Linked Cell 23 4" xfId="24874" xr:uid="{0FC2DB17-F66B-462D-857D-1AD9A52EBF37}"/>
    <cellStyle name="Linked Cell 23 4 10" xfId="24875" xr:uid="{398EE538-B036-48CA-BFF4-32E18C5C9176}"/>
    <cellStyle name="Linked Cell 23 4 10 2" xfId="24876" xr:uid="{9BEEEEB0-4BE0-41D3-937E-1903AF97E582}"/>
    <cellStyle name="Linked Cell 23 4 10 2 2" xfId="24877" xr:uid="{7DC459D8-5824-4455-8611-2B81702B7AB8}"/>
    <cellStyle name="Linked Cell 23 4 10 3" xfId="24878" xr:uid="{1BF9DE51-A69D-464B-B080-4C5763B9896D}"/>
    <cellStyle name="Linked Cell 23 4 11" xfId="24879" xr:uid="{00F58CBD-5BFE-47D9-BAF5-2CD5BA14DBBE}"/>
    <cellStyle name="Linked Cell 23 4 11 2" xfId="24880" xr:uid="{5959303D-EEB4-44E0-B736-8C1D7BC1E378}"/>
    <cellStyle name="Linked Cell 23 4 11 2 2" xfId="24881" xr:uid="{88D0D808-7285-45F0-80E3-353B8C49CFEA}"/>
    <cellStyle name="Linked Cell 23 4 11 3" xfId="24882" xr:uid="{84614DA1-914D-4A55-822F-7DAB2E92554A}"/>
    <cellStyle name="Linked Cell 23 4 12" xfId="24883" xr:uid="{D228C8F3-08A0-437E-9A43-3E732B30663B}"/>
    <cellStyle name="Linked Cell 23 4 12 2" xfId="24884" xr:uid="{3654F5FC-D066-4A1F-A0C3-E1226EB1A2F6}"/>
    <cellStyle name="Linked Cell 23 4 13" xfId="24885" xr:uid="{60F1E76C-74DD-4D4D-B070-2C5303EFAB5E}"/>
    <cellStyle name="Linked Cell 23 4 2" xfId="24886" xr:uid="{D9E293A2-BAEE-4A15-ADF0-8B96B27405D3}"/>
    <cellStyle name="Linked Cell 23 4 2 10" xfId="24887" xr:uid="{1EFD4AA7-AB4C-42EE-8460-5B9994F3BD6C}"/>
    <cellStyle name="Linked Cell 23 4 2 10 2" xfId="24888" xr:uid="{B2CAB1C0-8AB0-4BC9-B2B4-8F081A0CB705}"/>
    <cellStyle name="Linked Cell 23 4 2 10 2 2" xfId="24889" xr:uid="{D4FF9A8B-B8BD-466E-B314-9183639E566B}"/>
    <cellStyle name="Linked Cell 23 4 2 10 3" xfId="24890" xr:uid="{C0B1F94C-BD91-49DF-A775-D9DCA80F6678}"/>
    <cellStyle name="Linked Cell 23 4 2 11" xfId="24891" xr:uid="{DBB82BBE-D3E9-4877-842B-544B1DB0986C}"/>
    <cellStyle name="Linked Cell 23 4 2 11 2" xfId="24892" xr:uid="{18E4227B-4864-42A5-ADC5-66908F44718A}"/>
    <cellStyle name="Linked Cell 23 4 2 12" xfId="24893" xr:uid="{AAD4C5C2-297A-44B4-867D-743833D2F3C8}"/>
    <cellStyle name="Linked Cell 23 4 2 2" xfId="24894" xr:uid="{F7B5150A-DE1C-452D-AE19-C8E6F1352FCD}"/>
    <cellStyle name="Linked Cell 23 4 2 2 2" xfId="24895" xr:uid="{B2492F2D-C9B2-467F-A8AF-F3DEF86ED557}"/>
    <cellStyle name="Linked Cell 23 4 2 2 2 2" xfId="24896" xr:uid="{B3D71B27-44CF-410C-A598-6A770405052A}"/>
    <cellStyle name="Linked Cell 23 4 2 2 3" xfId="24897" xr:uid="{B125D1B8-E7C8-4C4E-8D36-584E206AA1A2}"/>
    <cellStyle name="Linked Cell 23 4 2 3" xfId="24898" xr:uid="{62B9CE62-FAC6-4196-894D-2167FD2E6353}"/>
    <cellStyle name="Linked Cell 23 4 2 3 2" xfId="24899" xr:uid="{C4354380-32A1-4B53-8368-E475F6E66C85}"/>
    <cellStyle name="Linked Cell 23 4 2 3 2 2" xfId="24900" xr:uid="{C46A60CD-0D65-478F-ADF1-936BF2D57CF9}"/>
    <cellStyle name="Linked Cell 23 4 2 3 3" xfId="24901" xr:uid="{CC830D18-F73D-4456-B30A-D76B7405DAB2}"/>
    <cellStyle name="Linked Cell 23 4 2 4" xfId="24902" xr:uid="{26FF9201-5D33-431C-91C8-A66FCB11C7C9}"/>
    <cellStyle name="Linked Cell 23 4 2 4 2" xfId="24903" xr:uid="{2A70CFA0-D4F6-45E6-A565-9BD51976CE59}"/>
    <cellStyle name="Linked Cell 23 4 2 4 2 2" xfId="24904" xr:uid="{5292AC3B-7581-4294-A31E-AC4CBEE91D79}"/>
    <cellStyle name="Linked Cell 23 4 2 4 3" xfId="24905" xr:uid="{DCC554E0-815D-4C9C-AF0D-86709DC2C331}"/>
    <cellStyle name="Linked Cell 23 4 2 5" xfId="24906" xr:uid="{E2551CCC-AA38-401A-BDA3-95C51844252E}"/>
    <cellStyle name="Linked Cell 23 4 2 5 2" xfId="24907" xr:uid="{62D6C911-530A-4211-9A71-4853DA45D7C7}"/>
    <cellStyle name="Linked Cell 23 4 2 5 2 2" xfId="24908" xr:uid="{0E1D7DD0-DA4D-4C56-A40E-5A0A47BCA4D1}"/>
    <cellStyle name="Linked Cell 23 4 2 5 3" xfId="24909" xr:uid="{02D23297-5F9D-48A4-B0EA-557B74215C23}"/>
    <cellStyle name="Linked Cell 23 4 2 6" xfId="24910" xr:uid="{EE0C97AE-B687-4026-BDCA-0CA98BF80DD9}"/>
    <cellStyle name="Linked Cell 23 4 2 6 2" xfId="24911" xr:uid="{4FEA0F43-C01C-499B-A519-630C37AC8F01}"/>
    <cellStyle name="Linked Cell 23 4 2 6 2 2" xfId="24912" xr:uid="{1E27A434-EAF7-4958-9325-39280CD3EC97}"/>
    <cellStyle name="Linked Cell 23 4 2 6 3" xfId="24913" xr:uid="{AF46215B-E7E0-4CD6-8B26-EAB006B063D1}"/>
    <cellStyle name="Linked Cell 23 4 2 7" xfId="24914" xr:uid="{F927CDE4-E78D-44C0-9D99-BE5EA888CB53}"/>
    <cellStyle name="Linked Cell 23 4 2 7 2" xfId="24915" xr:uid="{D6E2B4D3-73FC-4F17-9CA4-6FCCDA5450EC}"/>
    <cellStyle name="Linked Cell 23 4 2 7 2 2" xfId="24916" xr:uid="{C441A4DD-9081-4234-B06F-EBAC9E85F29D}"/>
    <cellStyle name="Linked Cell 23 4 2 7 3" xfId="24917" xr:uid="{523614B6-1B58-4E8B-AFAE-2CD498ABD889}"/>
    <cellStyle name="Linked Cell 23 4 2 8" xfId="24918" xr:uid="{58125EF6-12EC-470F-BE43-2ECE265D1E26}"/>
    <cellStyle name="Linked Cell 23 4 2 8 2" xfId="24919" xr:uid="{0A607E99-54E3-4C1B-878D-2D524C089B38}"/>
    <cellStyle name="Linked Cell 23 4 2 8 2 2" xfId="24920" xr:uid="{84D67A59-D485-4A5A-8E15-B7B8BCFD073A}"/>
    <cellStyle name="Linked Cell 23 4 2 8 3" xfId="24921" xr:uid="{F93CD641-F349-4FB0-9272-D67D8920499F}"/>
    <cellStyle name="Linked Cell 23 4 2 9" xfId="24922" xr:uid="{832D794A-D621-4249-9A69-4AA9CFFDBC38}"/>
    <cellStyle name="Linked Cell 23 4 2 9 2" xfId="24923" xr:uid="{56EC30CE-AE3A-4AD2-8F84-992184E53F5A}"/>
    <cellStyle name="Linked Cell 23 4 2 9 2 2" xfId="24924" xr:uid="{AAAF33CF-2DF1-4B16-ACF4-E98D9881DF9D}"/>
    <cellStyle name="Linked Cell 23 4 2 9 3" xfId="24925" xr:uid="{76C56D5D-0FBA-485E-9A9D-4F9052FD398A}"/>
    <cellStyle name="Linked Cell 23 4 3" xfId="24926" xr:uid="{50D0A715-5928-4E99-9846-9AC92E6325CC}"/>
    <cellStyle name="Linked Cell 23 4 3 10" xfId="24927" xr:uid="{875D4741-6A4E-4FAE-BA82-D6779C1442D9}"/>
    <cellStyle name="Linked Cell 23 4 3 10 2" xfId="24928" xr:uid="{D3BDBDDD-2355-4E67-8B1F-4AB0391A03FD}"/>
    <cellStyle name="Linked Cell 23 4 3 11" xfId="24929" xr:uid="{27955773-6ACE-4254-B752-E722A3C07277}"/>
    <cellStyle name="Linked Cell 23 4 3 2" xfId="24930" xr:uid="{DE6601B3-350D-47C7-BF0F-61DE4B58F819}"/>
    <cellStyle name="Linked Cell 23 4 3 2 2" xfId="24931" xr:uid="{3BC60BD8-19F7-4A65-8E77-6BBD39B5B83F}"/>
    <cellStyle name="Linked Cell 23 4 3 2 2 2" xfId="24932" xr:uid="{21A203D1-C23F-4794-A587-EDC3CF67FC12}"/>
    <cellStyle name="Linked Cell 23 4 3 2 3" xfId="24933" xr:uid="{39562B9C-D9C5-42AF-9A42-617823505D7E}"/>
    <cellStyle name="Linked Cell 23 4 3 3" xfId="24934" xr:uid="{5E7600FD-CCB1-4BC0-80A7-344A522287ED}"/>
    <cellStyle name="Linked Cell 23 4 3 3 2" xfId="24935" xr:uid="{0761A3C3-8F5C-430F-A811-EEE51766CEB2}"/>
    <cellStyle name="Linked Cell 23 4 3 3 2 2" xfId="24936" xr:uid="{01CBAD2B-1FCE-421C-805B-EDFE55AEA0AF}"/>
    <cellStyle name="Linked Cell 23 4 3 3 3" xfId="24937" xr:uid="{4A88C946-934B-4119-AA24-D154A675092B}"/>
    <cellStyle name="Linked Cell 23 4 3 4" xfId="24938" xr:uid="{AE4020E2-8C6D-4C11-A8A1-AAF838856034}"/>
    <cellStyle name="Linked Cell 23 4 3 4 2" xfId="24939" xr:uid="{02B8C9DC-159C-45C9-B2F9-4A2DF598D3AE}"/>
    <cellStyle name="Linked Cell 23 4 3 4 2 2" xfId="24940" xr:uid="{615DA310-77C7-430E-97A2-9E18F47E9BE0}"/>
    <cellStyle name="Linked Cell 23 4 3 4 3" xfId="24941" xr:uid="{F1F0D2B2-36CC-47A8-A105-4A088F0F53B5}"/>
    <cellStyle name="Linked Cell 23 4 3 5" xfId="24942" xr:uid="{5E577F3C-D2E4-4D90-A04C-57605A276FE2}"/>
    <cellStyle name="Linked Cell 23 4 3 5 2" xfId="24943" xr:uid="{15F30383-A9E2-48DC-A437-E840B39863B2}"/>
    <cellStyle name="Linked Cell 23 4 3 5 2 2" xfId="24944" xr:uid="{78B609DF-82E8-49DA-A78B-C145548A706D}"/>
    <cellStyle name="Linked Cell 23 4 3 5 3" xfId="24945" xr:uid="{6C09307B-B2C9-44CA-AECC-7CAC31960767}"/>
    <cellStyle name="Linked Cell 23 4 3 6" xfId="24946" xr:uid="{BFE27376-E548-4B0E-820F-5420A93B6491}"/>
    <cellStyle name="Linked Cell 23 4 3 6 2" xfId="24947" xr:uid="{C453A1D2-B584-4C3E-9B02-FDA8C32DDD87}"/>
    <cellStyle name="Linked Cell 23 4 3 6 2 2" xfId="24948" xr:uid="{9660FED5-2EC7-4F4A-B854-7CD1132F3225}"/>
    <cellStyle name="Linked Cell 23 4 3 6 3" xfId="24949" xr:uid="{679A511E-7F23-49DB-A7B4-F7BCF278F6B2}"/>
    <cellStyle name="Linked Cell 23 4 3 7" xfId="24950" xr:uid="{44CE3557-4B95-4E18-9D8B-8A63DA8730F7}"/>
    <cellStyle name="Linked Cell 23 4 3 7 2" xfId="24951" xr:uid="{611C6332-0B18-4456-BFB1-D3782EF4105A}"/>
    <cellStyle name="Linked Cell 23 4 3 7 2 2" xfId="24952" xr:uid="{75966E63-7CBE-4034-A02E-9EE19E814A6C}"/>
    <cellStyle name="Linked Cell 23 4 3 7 3" xfId="24953" xr:uid="{23C2C742-E132-4AB5-9EE7-5CB994DC2D4B}"/>
    <cellStyle name="Linked Cell 23 4 3 8" xfId="24954" xr:uid="{EDD01A41-FB3C-4379-9152-7B3346130544}"/>
    <cellStyle name="Linked Cell 23 4 3 8 2" xfId="24955" xr:uid="{BF73AB05-432A-43EE-BAED-56411123E1EE}"/>
    <cellStyle name="Linked Cell 23 4 3 8 2 2" xfId="24956" xr:uid="{539BF316-F422-48D7-97D0-B0FA99E23ABA}"/>
    <cellStyle name="Linked Cell 23 4 3 8 3" xfId="24957" xr:uid="{C1C99010-38F5-41C1-87F7-9E966D1A8192}"/>
    <cellStyle name="Linked Cell 23 4 3 9" xfId="24958" xr:uid="{3F8B0E7C-8EC1-4061-8B52-5C9C011EB725}"/>
    <cellStyle name="Linked Cell 23 4 3 9 2" xfId="24959" xr:uid="{5BC801C1-ACAE-45F9-BB1B-0724C660404E}"/>
    <cellStyle name="Linked Cell 23 4 3 9 2 2" xfId="24960" xr:uid="{54204057-514D-4E00-BBF7-735F0E0D8AEB}"/>
    <cellStyle name="Linked Cell 23 4 3 9 3" xfId="24961" xr:uid="{6D7F5C33-EB15-42D1-B7F4-A43EABCF4B03}"/>
    <cellStyle name="Linked Cell 23 4 4" xfId="24962" xr:uid="{FF344866-A9E8-41A4-AE83-9B503AB7539E}"/>
    <cellStyle name="Linked Cell 23 4 4 2" xfId="24963" xr:uid="{45215D93-C6D7-47F5-BB54-5CFEA49B20B6}"/>
    <cellStyle name="Linked Cell 23 4 4 2 2" xfId="24964" xr:uid="{77C55502-E0CB-444E-9C70-B6EA808D8443}"/>
    <cellStyle name="Linked Cell 23 4 4 3" xfId="24965" xr:uid="{444B4F85-41B2-4BEE-AFA6-6E73E91F8AF5}"/>
    <cellStyle name="Linked Cell 23 4 5" xfId="24966" xr:uid="{7D7803A7-45AE-4138-97FB-78CC95F9EEE3}"/>
    <cellStyle name="Linked Cell 23 4 5 2" xfId="24967" xr:uid="{7529205F-B085-44F0-90BC-66CBA75F59C0}"/>
    <cellStyle name="Linked Cell 23 4 5 2 2" xfId="24968" xr:uid="{05E41347-83C5-47BB-8B59-B188349142D0}"/>
    <cellStyle name="Linked Cell 23 4 5 3" xfId="24969" xr:uid="{4D964A39-5227-48C4-B646-8247EFA5F431}"/>
    <cellStyle name="Linked Cell 23 4 6" xfId="24970" xr:uid="{B067AB6E-32FA-440B-92AD-D455886CF471}"/>
    <cellStyle name="Linked Cell 23 4 6 2" xfId="24971" xr:uid="{4A88B016-8DA0-44B9-A5C5-F3D7D2B32A10}"/>
    <cellStyle name="Linked Cell 23 4 6 2 2" xfId="24972" xr:uid="{F761F466-87A3-4D45-A368-6D3C7AA2BFE1}"/>
    <cellStyle name="Linked Cell 23 4 6 3" xfId="24973" xr:uid="{46C3486A-DFBF-41F6-A7E6-5BE5C2135625}"/>
    <cellStyle name="Linked Cell 23 4 7" xfId="24974" xr:uid="{6E58B025-5066-4C16-A5CE-AD4D689FCFE2}"/>
    <cellStyle name="Linked Cell 23 4 7 2" xfId="24975" xr:uid="{9721591B-99F6-4FCC-B7A4-8CAF2785361E}"/>
    <cellStyle name="Linked Cell 23 4 7 2 2" xfId="24976" xr:uid="{F4B0EAB7-93BA-495E-930F-280646358450}"/>
    <cellStyle name="Linked Cell 23 4 7 3" xfId="24977" xr:uid="{552544FB-1790-4786-B190-7CD5BB443DF7}"/>
    <cellStyle name="Linked Cell 23 4 8" xfId="24978" xr:uid="{B0594032-E59E-4AD4-80C4-2FE14716373A}"/>
    <cellStyle name="Linked Cell 23 4 8 2" xfId="24979" xr:uid="{E2A31BFA-7241-4BA3-9DBD-82708F20ED84}"/>
    <cellStyle name="Linked Cell 23 4 8 2 2" xfId="24980" xr:uid="{4370D69E-5565-4DF4-9FA3-08A485404988}"/>
    <cellStyle name="Linked Cell 23 4 8 3" xfId="24981" xr:uid="{2453BD25-3358-4907-9BA4-43182397CAA6}"/>
    <cellStyle name="Linked Cell 23 4 9" xfId="24982" xr:uid="{1A076EF9-3789-4EAC-9337-2FEF8A877EE5}"/>
    <cellStyle name="Linked Cell 23 4 9 2" xfId="24983" xr:uid="{6BF3404A-6063-4466-AD0B-A203A1839AC4}"/>
    <cellStyle name="Linked Cell 23 4 9 2 2" xfId="24984" xr:uid="{15790C71-05F0-4B61-B6C0-93B20B0F819C}"/>
    <cellStyle name="Linked Cell 23 4 9 3" xfId="24985" xr:uid="{74444380-293D-4E57-ABF7-359DD145483A}"/>
    <cellStyle name="Linked Cell 24" xfId="24986" xr:uid="{988BF58B-F8B0-4B62-9D04-67333B030AAB}"/>
    <cellStyle name="Linked Cell 24 2" xfId="24987" xr:uid="{8EF43295-DF82-4493-A190-473FD5F221F6}"/>
    <cellStyle name="Linked Cell 24 2 10" xfId="24988" xr:uid="{7F976828-B83F-40B8-ADA6-D03BEA8713B3}"/>
    <cellStyle name="Linked Cell 24 2 10 2" xfId="24989" xr:uid="{C23D8B2B-4F17-4928-9806-016B235F60AC}"/>
    <cellStyle name="Linked Cell 24 2 10 2 2" xfId="24990" xr:uid="{BA6C3EEA-8727-497C-BDD8-F31A642A6383}"/>
    <cellStyle name="Linked Cell 24 2 10 3" xfId="24991" xr:uid="{2CDA7A3D-DB39-49AA-B6B6-1D0A7E05BB93}"/>
    <cellStyle name="Linked Cell 24 2 11" xfId="24992" xr:uid="{21F5B61E-E0D0-45CE-90F1-F18FBBCB8D07}"/>
    <cellStyle name="Linked Cell 24 2 11 2" xfId="24993" xr:uid="{48B03D92-9939-45AD-AE9E-486BA3D941DD}"/>
    <cellStyle name="Linked Cell 24 2 11 2 2" xfId="24994" xr:uid="{C0498A68-E6EA-4954-9A5C-F00847A4F4D5}"/>
    <cellStyle name="Linked Cell 24 2 11 3" xfId="24995" xr:uid="{C826DE2C-B7B5-4AB6-BAC5-CEABC6207779}"/>
    <cellStyle name="Linked Cell 24 2 12" xfId="24996" xr:uid="{49B59CC5-971C-404D-B511-D19D647EB6C2}"/>
    <cellStyle name="Linked Cell 24 2 12 2" xfId="24997" xr:uid="{957F3DE4-B88A-4ECB-9774-F4C845461BDF}"/>
    <cellStyle name="Linked Cell 24 2 12 2 2" xfId="24998" xr:uid="{89EC9DA1-D66E-4C6C-9EFF-A6EAADCE4008}"/>
    <cellStyle name="Linked Cell 24 2 12 3" xfId="24999" xr:uid="{8EBFB972-78F0-4418-9AAC-1091186F6B10}"/>
    <cellStyle name="Linked Cell 24 2 13" xfId="25000" xr:uid="{BDE2BC1F-D4C4-40B5-AA05-19EDFF517F3C}"/>
    <cellStyle name="Linked Cell 24 2 13 2" xfId="25001" xr:uid="{39D36258-342E-4A8A-836D-4882F1DBA193}"/>
    <cellStyle name="Linked Cell 24 2 13 2 2" xfId="25002" xr:uid="{ECA2F2E1-6122-4614-A59F-5FC4B78C1104}"/>
    <cellStyle name="Linked Cell 24 2 13 3" xfId="25003" xr:uid="{81EB6CC6-8E54-4AF1-BFDD-595B5FB5CBA3}"/>
    <cellStyle name="Linked Cell 24 2 14" xfId="25004" xr:uid="{D055F219-0E12-4265-85AC-D72D4642CAF6}"/>
    <cellStyle name="Linked Cell 24 2 14 2" xfId="25005" xr:uid="{825B3312-A287-452E-AE96-7400D10CAF99}"/>
    <cellStyle name="Linked Cell 24 2 15" xfId="25006" xr:uid="{2405FFD4-79D8-4285-AC41-7B10FA39455C}"/>
    <cellStyle name="Linked Cell 24 2 2" xfId="25007" xr:uid="{E3FCF6EE-DCB3-405D-9F50-8A7B8A67C187}"/>
    <cellStyle name="Linked Cell 24 2 2 10" xfId="25008" xr:uid="{E94E4A05-BB48-42CD-99B7-7ADAE738983A}"/>
    <cellStyle name="Linked Cell 24 2 2 10 2" xfId="25009" xr:uid="{217A8A06-0182-4766-873A-5883392A11D3}"/>
    <cellStyle name="Linked Cell 24 2 2 10 2 2" xfId="25010" xr:uid="{AB49DEBF-6620-40EE-BDBF-8D178C045BCC}"/>
    <cellStyle name="Linked Cell 24 2 2 10 3" xfId="25011" xr:uid="{F82060EF-CB7D-4736-9645-D7A49519A9D7}"/>
    <cellStyle name="Linked Cell 24 2 2 11" xfId="25012" xr:uid="{4BD9654D-2AB3-47F9-8224-805BA4AD2D1B}"/>
    <cellStyle name="Linked Cell 24 2 2 11 2" xfId="25013" xr:uid="{F0EEB684-1483-47B2-A3DB-459A6122D6B3}"/>
    <cellStyle name="Linked Cell 24 2 2 11 2 2" xfId="25014" xr:uid="{43AB3DC2-3F95-498E-95E5-143E9E295CF6}"/>
    <cellStyle name="Linked Cell 24 2 2 11 3" xfId="25015" xr:uid="{293DAE1C-CE00-4577-A17D-B3AA653CE5A8}"/>
    <cellStyle name="Linked Cell 24 2 2 12" xfId="25016" xr:uid="{4DB62FD5-6ED1-42B2-A7E6-78C1DFB80351}"/>
    <cellStyle name="Linked Cell 24 2 2 12 2" xfId="25017" xr:uid="{006AAF86-7D5B-47FF-A3C5-3AF4852859AD}"/>
    <cellStyle name="Linked Cell 24 2 2 12 2 2" xfId="25018" xr:uid="{F87A3B4A-BBB4-4537-9E48-323C25A0389F}"/>
    <cellStyle name="Linked Cell 24 2 2 12 3" xfId="25019" xr:uid="{66FCCD4E-FC1C-490D-8DD8-BB350912DAED}"/>
    <cellStyle name="Linked Cell 24 2 2 13" xfId="25020" xr:uid="{E7537B69-9B19-4842-AD69-923AC310FD2C}"/>
    <cellStyle name="Linked Cell 24 2 2 13 2" xfId="25021" xr:uid="{E2EDD535-A28E-47CE-9A12-CB1D83C996A0}"/>
    <cellStyle name="Linked Cell 24 2 2 14" xfId="25022" xr:uid="{E955E328-0918-4179-9005-AA61E1C6DDF5}"/>
    <cellStyle name="Linked Cell 24 2 2 2" xfId="25023" xr:uid="{6DE670ED-A108-41D7-8580-3ADDFBF6830B}"/>
    <cellStyle name="Linked Cell 24 2 2 2 10" xfId="25024" xr:uid="{B91762A7-A334-412D-8C35-A43D57177F60}"/>
    <cellStyle name="Linked Cell 24 2 2 2 10 2" xfId="25025" xr:uid="{E0653BFA-B335-497D-AA40-90684C10EBED}"/>
    <cellStyle name="Linked Cell 24 2 2 2 10 2 2" xfId="25026" xr:uid="{8FAA93CB-3A63-4AA4-9306-985E1B4DB76B}"/>
    <cellStyle name="Linked Cell 24 2 2 2 10 3" xfId="25027" xr:uid="{C45DCF74-03EF-4B5F-A0D5-0DF9DF6FB19C}"/>
    <cellStyle name="Linked Cell 24 2 2 2 11" xfId="25028" xr:uid="{00CDF87F-4E7E-45EA-B67A-08B9054BECC4}"/>
    <cellStyle name="Linked Cell 24 2 2 2 11 2" xfId="25029" xr:uid="{EA67DE28-65A4-4C87-9816-E20576ADDE1B}"/>
    <cellStyle name="Linked Cell 24 2 2 2 11 2 2" xfId="25030" xr:uid="{119261D3-14B8-41D5-9E4D-37429DFA94D6}"/>
    <cellStyle name="Linked Cell 24 2 2 2 11 3" xfId="25031" xr:uid="{4DF022AF-7821-4956-B022-60A116F4B7C0}"/>
    <cellStyle name="Linked Cell 24 2 2 2 12" xfId="25032" xr:uid="{C4BF3B3A-4D28-4391-8B40-94C39AF4A360}"/>
    <cellStyle name="Linked Cell 24 2 2 2 12 2" xfId="25033" xr:uid="{B09C715B-FB89-47A9-BCFF-5F7E142185EC}"/>
    <cellStyle name="Linked Cell 24 2 2 2 13" xfId="25034" xr:uid="{35927225-E1DD-4406-A459-85AC2978669C}"/>
    <cellStyle name="Linked Cell 24 2 2 2 2" xfId="25035" xr:uid="{4C48582F-67B7-4B06-8C01-FAD554DE1350}"/>
    <cellStyle name="Linked Cell 24 2 2 2 2 10" xfId="25036" xr:uid="{6F4D9F5F-FEC5-475F-86B1-AE032344277F}"/>
    <cellStyle name="Linked Cell 24 2 2 2 2 10 2" xfId="25037" xr:uid="{1B78800E-89DA-4C37-B984-48A96D461264}"/>
    <cellStyle name="Linked Cell 24 2 2 2 2 10 2 2" xfId="25038" xr:uid="{6B9CDA5A-FBA0-4341-9862-ADC4BCF7C3EF}"/>
    <cellStyle name="Linked Cell 24 2 2 2 2 10 3" xfId="25039" xr:uid="{F1D81B7D-992B-42C7-A20C-F124F0485AE5}"/>
    <cellStyle name="Linked Cell 24 2 2 2 2 11" xfId="25040" xr:uid="{E61E6BB0-6AB8-4BB7-9EDE-DE03CA9BE7E6}"/>
    <cellStyle name="Linked Cell 24 2 2 2 2 11 2" xfId="25041" xr:uid="{F4C3A613-25AA-4CB0-9820-935AA8708EBB}"/>
    <cellStyle name="Linked Cell 24 2 2 2 2 12" xfId="25042" xr:uid="{1BDEAC33-6311-4BDC-BC53-F9590AE3E1A0}"/>
    <cellStyle name="Linked Cell 24 2 2 2 2 2" xfId="25043" xr:uid="{8F40D014-08AC-4375-A80E-35FF31242EDD}"/>
    <cellStyle name="Linked Cell 24 2 2 2 2 2 2" xfId="25044" xr:uid="{F89D805E-A693-4B60-96E6-67BE5CDB7539}"/>
    <cellStyle name="Linked Cell 24 2 2 2 2 2 2 2" xfId="25045" xr:uid="{D874692F-1659-4663-82A3-1617A9514467}"/>
    <cellStyle name="Linked Cell 24 2 2 2 2 2 3" xfId="25046" xr:uid="{DF713AE3-B916-4362-AF28-ED15E5D0568F}"/>
    <cellStyle name="Linked Cell 24 2 2 2 2 3" xfId="25047" xr:uid="{37AE2E7E-27FB-487A-A1FD-346BA2B6C488}"/>
    <cellStyle name="Linked Cell 24 2 2 2 2 3 2" xfId="25048" xr:uid="{968DF935-88C8-4C12-9E6A-7538C38D6DB4}"/>
    <cellStyle name="Linked Cell 24 2 2 2 2 3 2 2" xfId="25049" xr:uid="{E7CB3E88-AC1A-455E-8B55-1E4CC98761A1}"/>
    <cellStyle name="Linked Cell 24 2 2 2 2 3 3" xfId="25050" xr:uid="{3096AC16-2190-4E71-A96A-CE19BBC32975}"/>
    <cellStyle name="Linked Cell 24 2 2 2 2 4" xfId="25051" xr:uid="{682A8076-EDEF-494D-9F1A-19D84327FED9}"/>
    <cellStyle name="Linked Cell 24 2 2 2 2 4 2" xfId="25052" xr:uid="{EF552315-6FF8-4149-97AC-D743230E92E0}"/>
    <cellStyle name="Linked Cell 24 2 2 2 2 4 2 2" xfId="25053" xr:uid="{8C2DDAFE-3F1C-4656-98DA-831E4713FA46}"/>
    <cellStyle name="Linked Cell 24 2 2 2 2 4 3" xfId="25054" xr:uid="{7EE1CD42-0948-4983-8BA4-4F1200666B5C}"/>
    <cellStyle name="Linked Cell 24 2 2 2 2 5" xfId="25055" xr:uid="{159117DB-9133-467B-ABEF-968CC8E80BEC}"/>
    <cellStyle name="Linked Cell 24 2 2 2 2 5 2" xfId="25056" xr:uid="{315D1933-37FF-4AEE-A836-9AE09271C153}"/>
    <cellStyle name="Linked Cell 24 2 2 2 2 5 2 2" xfId="25057" xr:uid="{0A676148-B89A-404D-B6DF-82BD95E985B7}"/>
    <cellStyle name="Linked Cell 24 2 2 2 2 5 3" xfId="25058" xr:uid="{9203F1BF-748D-4C76-BD1F-48E080B61C0A}"/>
    <cellStyle name="Linked Cell 24 2 2 2 2 6" xfId="25059" xr:uid="{2E6C6724-930B-47FB-8C80-4A245F07C61C}"/>
    <cellStyle name="Linked Cell 24 2 2 2 2 6 2" xfId="25060" xr:uid="{50C0734D-A7B5-4F05-B99D-AFA3C7B2C3F3}"/>
    <cellStyle name="Linked Cell 24 2 2 2 2 6 2 2" xfId="25061" xr:uid="{C292E530-4D48-4AC8-B779-A9C4598FA40C}"/>
    <cellStyle name="Linked Cell 24 2 2 2 2 6 3" xfId="25062" xr:uid="{7D8C8EBD-E2E9-44C8-8C2F-232DDA8DAB8D}"/>
    <cellStyle name="Linked Cell 24 2 2 2 2 7" xfId="25063" xr:uid="{7EDF6DC0-DC7E-4E1A-ABA9-54AE0F8024E7}"/>
    <cellStyle name="Linked Cell 24 2 2 2 2 7 2" xfId="25064" xr:uid="{6FB8BB3B-CB5F-4A11-9C24-72D96EE75C50}"/>
    <cellStyle name="Linked Cell 24 2 2 2 2 7 2 2" xfId="25065" xr:uid="{15D7B3B9-16F5-4AD1-BBC7-8C2F4A934329}"/>
    <cellStyle name="Linked Cell 24 2 2 2 2 7 3" xfId="25066" xr:uid="{A984D400-755D-4B86-9591-F05F773EF58C}"/>
    <cellStyle name="Linked Cell 24 2 2 2 2 8" xfId="25067" xr:uid="{8FBBF864-E054-4BD5-AB48-4D2C42FA4058}"/>
    <cellStyle name="Linked Cell 24 2 2 2 2 8 2" xfId="25068" xr:uid="{0BBB8493-DB30-44A4-B94C-1352A298393C}"/>
    <cellStyle name="Linked Cell 24 2 2 2 2 8 2 2" xfId="25069" xr:uid="{38A27E49-73AE-48D5-AAC3-57E6A2C0B591}"/>
    <cellStyle name="Linked Cell 24 2 2 2 2 8 3" xfId="25070" xr:uid="{672B48C5-3FDE-4663-87F5-BB60069C4726}"/>
    <cellStyle name="Linked Cell 24 2 2 2 2 9" xfId="25071" xr:uid="{286AA896-4C1B-42B2-80C9-D8730835C6D4}"/>
    <cellStyle name="Linked Cell 24 2 2 2 2 9 2" xfId="25072" xr:uid="{3163F8B2-AF66-4091-BF59-3EE47A21B30F}"/>
    <cellStyle name="Linked Cell 24 2 2 2 2 9 2 2" xfId="25073" xr:uid="{985C2450-8709-4C53-B74A-31853F8BE6CB}"/>
    <cellStyle name="Linked Cell 24 2 2 2 2 9 3" xfId="25074" xr:uid="{EEED59C6-64CB-46E1-839B-6E4776E88FB5}"/>
    <cellStyle name="Linked Cell 24 2 2 2 3" xfId="25075" xr:uid="{1E5737F2-0B57-442C-BEA2-312DF328B48F}"/>
    <cellStyle name="Linked Cell 24 2 2 2 3 10" xfId="25076" xr:uid="{998E5A6A-093B-4CA6-B9F8-5FD53336D19E}"/>
    <cellStyle name="Linked Cell 24 2 2 2 3 10 2" xfId="25077" xr:uid="{E87D6777-5D87-4B3E-B22B-565583FB16C4}"/>
    <cellStyle name="Linked Cell 24 2 2 2 3 11" xfId="25078" xr:uid="{8CF10D81-AA28-4CCF-B9ED-573662FEB773}"/>
    <cellStyle name="Linked Cell 24 2 2 2 3 2" xfId="25079" xr:uid="{E82F3AD0-EC6E-4D65-A1A3-7F3759C47198}"/>
    <cellStyle name="Linked Cell 24 2 2 2 3 2 2" xfId="25080" xr:uid="{F04C0897-29DB-4C49-9F65-F339CAC81552}"/>
    <cellStyle name="Linked Cell 24 2 2 2 3 2 2 2" xfId="25081" xr:uid="{C83E29AF-0AAD-48D1-B79F-F88FAE8DE900}"/>
    <cellStyle name="Linked Cell 24 2 2 2 3 2 3" xfId="25082" xr:uid="{7E570528-9D8A-4517-BC7F-86B5DC009F70}"/>
    <cellStyle name="Linked Cell 24 2 2 2 3 3" xfId="25083" xr:uid="{8011D8EF-AE48-4F28-AABB-0AAD5AFCD3FE}"/>
    <cellStyle name="Linked Cell 24 2 2 2 3 3 2" xfId="25084" xr:uid="{D3457FA0-C918-48D1-9005-F54F200AE732}"/>
    <cellStyle name="Linked Cell 24 2 2 2 3 3 2 2" xfId="25085" xr:uid="{D9E3F448-3497-4FC0-B84C-7956FF1533CF}"/>
    <cellStyle name="Linked Cell 24 2 2 2 3 3 3" xfId="25086" xr:uid="{0B95C220-9A1B-43B2-B99F-8EDF6F337C09}"/>
    <cellStyle name="Linked Cell 24 2 2 2 3 4" xfId="25087" xr:uid="{34D9F910-7561-4543-9076-194ABFCB7244}"/>
    <cellStyle name="Linked Cell 24 2 2 2 3 4 2" xfId="25088" xr:uid="{8DA2CE6A-E64B-49AD-BB0C-91010C80B903}"/>
    <cellStyle name="Linked Cell 24 2 2 2 3 4 2 2" xfId="25089" xr:uid="{3BEEB61D-1A3E-4E98-AD22-60F7CDFA9D24}"/>
    <cellStyle name="Linked Cell 24 2 2 2 3 4 3" xfId="25090" xr:uid="{E79BFCF1-840F-4B7A-9400-DB1268536290}"/>
    <cellStyle name="Linked Cell 24 2 2 2 3 5" xfId="25091" xr:uid="{BBD4B7AA-3F03-49E0-BE28-96D4D6FB3A8C}"/>
    <cellStyle name="Linked Cell 24 2 2 2 3 5 2" xfId="25092" xr:uid="{359AA423-1C36-4D80-92A8-FC6495D8157E}"/>
    <cellStyle name="Linked Cell 24 2 2 2 3 5 2 2" xfId="25093" xr:uid="{76CE24DA-41E4-4F3F-9A16-906AE79ECC6F}"/>
    <cellStyle name="Linked Cell 24 2 2 2 3 5 3" xfId="25094" xr:uid="{49048FC2-08ED-4853-A6A2-E1B3BC38D8D3}"/>
    <cellStyle name="Linked Cell 24 2 2 2 3 6" xfId="25095" xr:uid="{D7819B8A-F439-46D3-AAB3-13ECF956BC36}"/>
    <cellStyle name="Linked Cell 24 2 2 2 3 6 2" xfId="25096" xr:uid="{130C9514-E0E6-4997-A0FE-3749B2E4C046}"/>
    <cellStyle name="Linked Cell 24 2 2 2 3 6 2 2" xfId="25097" xr:uid="{07FB0E8B-00B7-4448-A903-AE5F11F63677}"/>
    <cellStyle name="Linked Cell 24 2 2 2 3 6 3" xfId="25098" xr:uid="{354626BC-30A4-42CB-BD94-92F1F2EF1688}"/>
    <cellStyle name="Linked Cell 24 2 2 2 3 7" xfId="25099" xr:uid="{326B550D-F1D2-40CA-9573-6184F9308763}"/>
    <cellStyle name="Linked Cell 24 2 2 2 3 7 2" xfId="25100" xr:uid="{962EFF78-EEAB-4356-97D2-33D5DA6ED64A}"/>
    <cellStyle name="Linked Cell 24 2 2 2 3 7 2 2" xfId="25101" xr:uid="{E52C58F2-EECB-49D4-9015-7EEB60EAC4A4}"/>
    <cellStyle name="Linked Cell 24 2 2 2 3 7 3" xfId="25102" xr:uid="{3ED36625-B7E0-4613-905E-7BEF3A8200DB}"/>
    <cellStyle name="Linked Cell 24 2 2 2 3 8" xfId="25103" xr:uid="{C91E5EFF-CF63-4BF1-BE63-06FF7FAD2B81}"/>
    <cellStyle name="Linked Cell 24 2 2 2 3 8 2" xfId="25104" xr:uid="{02E7E546-623D-454C-A0BE-41221DFDF016}"/>
    <cellStyle name="Linked Cell 24 2 2 2 3 8 2 2" xfId="25105" xr:uid="{357A12C1-A724-4A86-BD74-8A967EED9C69}"/>
    <cellStyle name="Linked Cell 24 2 2 2 3 8 3" xfId="25106" xr:uid="{AAEF1CF8-4373-4D0C-8512-B0F4FB7C34EC}"/>
    <cellStyle name="Linked Cell 24 2 2 2 3 9" xfId="25107" xr:uid="{07729E2E-9B32-4EA3-9E95-AE68092EFF57}"/>
    <cellStyle name="Linked Cell 24 2 2 2 3 9 2" xfId="25108" xr:uid="{67303088-0417-410E-82EC-8A17DDC67FCB}"/>
    <cellStyle name="Linked Cell 24 2 2 2 3 9 2 2" xfId="25109" xr:uid="{CA70DABA-6C9B-41C3-8308-EBA67D1F70CD}"/>
    <cellStyle name="Linked Cell 24 2 2 2 3 9 3" xfId="25110" xr:uid="{8368852D-CCFB-425A-AF7D-E30A82F6FDBA}"/>
    <cellStyle name="Linked Cell 24 2 2 2 4" xfId="25111" xr:uid="{5AE4D5E4-0096-45A8-B48F-4E680F2C4085}"/>
    <cellStyle name="Linked Cell 24 2 2 2 4 2" xfId="25112" xr:uid="{AFB0B75E-4C61-4840-B8D2-1B90C6426826}"/>
    <cellStyle name="Linked Cell 24 2 2 2 4 2 2" xfId="25113" xr:uid="{A4D1BD48-9ABB-4BA6-80CF-A43A97F80242}"/>
    <cellStyle name="Linked Cell 24 2 2 2 4 3" xfId="25114" xr:uid="{D569D79D-2759-4998-B5E7-A4147E7B12F8}"/>
    <cellStyle name="Linked Cell 24 2 2 2 5" xfId="25115" xr:uid="{F0078091-AB3E-4F31-BDDC-DE29B90CD36A}"/>
    <cellStyle name="Linked Cell 24 2 2 2 5 2" xfId="25116" xr:uid="{D9386408-AEF5-492F-B901-53D64154ECC1}"/>
    <cellStyle name="Linked Cell 24 2 2 2 5 2 2" xfId="25117" xr:uid="{FF084F7A-0B2F-4C17-A13E-EE9FF8F642BB}"/>
    <cellStyle name="Linked Cell 24 2 2 2 5 3" xfId="25118" xr:uid="{CD029707-94E5-4DD0-9F0F-B25756077900}"/>
    <cellStyle name="Linked Cell 24 2 2 2 6" xfId="25119" xr:uid="{028E8CB6-62F9-4BEC-9054-BAD296ABD7BC}"/>
    <cellStyle name="Linked Cell 24 2 2 2 6 2" xfId="25120" xr:uid="{5FEBD623-D935-479B-BAB7-A55D936EDF93}"/>
    <cellStyle name="Linked Cell 24 2 2 2 6 2 2" xfId="25121" xr:uid="{5EA35F21-619E-406D-AC4F-22509970572B}"/>
    <cellStyle name="Linked Cell 24 2 2 2 6 3" xfId="25122" xr:uid="{DAC1B8FB-094E-4824-A704-E5DA7AB56202}"/>
    <cellStyle name="Linked Cell 24 2 2 2 7" xfId="25123" xr:uid="{273AA8AE-E61B-40AB-AC30-31546875BDDD}"/>
    <cellStyle name="Linked Cell 24 2 2 2 7 2" xfId="25124" xr:uid="{883A5AF9-1843-4F55-8763-5ECD28D36ED9}"/>
    <cellStyle name="Linked Cell 24 2 2 2 7 2 2" xfId="25125" xr:uid="{0F36802F-BA30-40CD-B106-247DF1D2AC71}"/>
    <cellStyle name="Linked Cell 24 2 2 2 7 3" xfId="25126" xr:uid="{E72A8944-5738-4036-85DA-F93A8FCD52E3}"/>
    <cellStyle name="Linked Cell 24 2 2 2 8" xfId="25127" xr:uid="{11B22F82-6A6B-45A6-852D-D643D7A85228}"/>
    <cellStyle name="Linked Cell 24 2 2 2 8 2" xfId="25128" xr:uid="{CE1B9FB6-675A-49D2-BBC4-173DD60A4F5B}"/>
    <cellStyle name="Linked Cell 24 2 2 2 8 2 2" xfId="25129" xr:uid="{29165229-CCFD-4D10-BE48-8596AE69D242}"/>
    <cellStyle name="Linked Cell 24 2 2 2 8 3" xfId="25130" xr:uid="{99F40E46-D45F-4EAB-8205-6F31548C29CE}"/>
    <cellStyle name="Linked Cell 24 2 2 2 9" xfId="25131" xr:uid="{9518A411-2954-4B46-86D3-F0B50CEC2091}"/>
    <cellStyle name="Linked Cell 24 2 2 2 9 2" xfId="25132" xr:uid="{1A7EE14F-433C-4B49-8593-6218AAAB10CE}"/>
    <cellStyle name="Linked Cell 24 2 2 2 9 2 2" xfId="25133" xr:uid="{4AADFCDA-85B0-4DF2-B64D-4ACF4BC5FCF4}"/>
    <cellStyle name="Linked Cell 24 2 2 2 9 3" xfId="25134" xr:uid="{9DE01821-D6EC-40A8-9CD5-9B286BCDFD36}"/>
    <cellStyle name="Linked Cell 24 2 2 3" xfId="25135" xr:uid="{244BCD18-FFA8-4F4A-AC18-79BFF7A9586A}"/>
    <cellStyle name="Linked Cell 24 2 2 3 10" xfId="25136" xr:uid="{AD72AC9E-D5CF-4840-95E2-024CF1AF9CB0}"/>
    <cellStyle name="Linked Cell 24 2 2 3 10 2" xfId="25137" xr:uid="{65A2B8BF-4EED-43B0-A251-CDA644EE112F}"/>
    <cellStyle name="Linked Cell 24 2 2 3 10 2 2" xfId="25138" xr:uid="{F9E175AB-1152-465E-A8C5-300BB180AF19}"/>
    <cellStyle name="Linked Cell 24 2 2 3 10 3" xfId="25139" xr:uid="{EB91E94C-3DD2-4381-9AB5-0B031FE04718}"/>
    <cellStyle name="Linked Cell 24 2 2 3 11" xfId="25140" xr:uid="{E2C2D97F-A492-40CA-81AF-D5A931AFDFDC}"/>
    <cellStyle name="Linked Cell 24 2 2 3 11 2" xfId="25141" xr:uid="{2DB382D6-97D6-4F6C-BE6E-55DCEAC4BC7A}"/>
    <cellStyle name="Linked Cell 24 2 2 3 12" xfId="25142" xr:uid="{40D22F15-F407-4906-8940-67EDF425805B}"/>
    <cellStyle name="Linked Cell 24 2 2 3 2" xfId="25143" xr:uid="{5BC80C3B-0722-456C-9B3C-03F8B98394FE}"/>
    <cellStyle name="Linked Cell 24 2 2 3 2 10" xfId="25144" xr:uid="{A0B0EC9A-669F-434E-8B0F-6AEC97D374DB}"/>
    <cellStyle name="Linked Cell 24 2 2 3 2 10 2" xfId="25145" xr:uid="{20200C39-18D5-4133-A3B2-F9F1E41EF5B3}"/>
    <cellStyle name="Linked Cell 24 2 2 3 2 11" xfId="25146" xr:uid="{0DC4D877-5EAB-40EE-8308-59D644332041}"/>
    <cellStyle name="Linked Cell 24 2 2 3 2 2" xfId="25147" xr:uid="{9DB5CB73-C9F8-4B8D-A269-065C2A523E25}"/>
    <cellStyle name="Linked Cell 24 2 2 3 2 2 2" xfId="25148" xr:uid="{D8131565-FFA8-493A-8CB6-79472B576DFE}"/>
    <cellStyle name="Linked Cell 24 2 2 3 2 2 2 2" xfId="25149" xr:uid="{661F6992-C503-4581-94EA-958B5743E9F3}"/>
    <cellStyle name="Linked Cell 24 2 2 3 2 2 3" xfId="25150" xr:uid="{929E4779-B192-4C58-872F-D8039196485A}"/>
    <cellStyle name="Linked Cell 24 2 2 3 2 3" xfId="25151" xr:uid="{9C7A911A-31F0-4D82-B789-F55C03B6F41D}"/>
    <cellStyle name="Linked Cell 24 2 2 3 2 3 2" xfId="25152" xr:uid="{A3510B82-821B-4C01-9B66-C764E19689EB}"/>
    <cellStyle name="Linked Cell 24 2 2 3 2 3 2 2" xfId="25153" xr:uid="{E9969FA0-9032-4218-9DAF-47C2FE1D10BA}"/>
    <cellStyle name="Linked Cell 24 2 2 3 2 3 3" xfId="25154" xr:uid="{662FD5F0-A68D-4044-A2A3-B96436709133}"/>
    <cellStyle name="Linked Cell 24 2 2 3 2 4" xfId="25155" xr:uid="{9E6BAAC1-CF22-4EA8-BD32-6D7037360B82}"/>
    <cellStyle name="Linked Cell 24 2 2 3 2 4 2" xfId="25156" xr:uid="{5EAD4F25-4F2A-4083-BDB2-B09F573B94BB}"/>
    <cellStyle name="Linked Cell 24 2 2 3 2 4 2 2" xfId="25157" xr:uid="{9103C84E-B411-4119-BAB2-F635C466DF5A}"/>
    <cellStyle name="Linked Cell 24 2 2 3 2 4 3" xfId="25158" xr:uid="{2308786F-1A5A-4343-9C4D-7B1A9CFA08F5}"/>
    <cellStyle name="Linked Cell 24 2 2 3 2 5" xfId="25159" xr:uid="{374A7E63-8DBC-4BDA-9CF0-76C2961125BF}"/>
    <cellStyle name="Linked Cell 24 2 2 3 2 5 2" xfId="25160" xr:uid="{F20424DD-5650-486E-88AF-06898FE1A114}"/>
    <cellStyle name="Linked Cell 24 2 2 3 2 5 2 2" xfId="25161" xr:uid="{AAFE3DB7-9043-409B-A5B9-B00267428E2F}"/>
    <cellStyle name="Linked Cell 24 2 2 3 2 5 3" xfId="25162" xr:uid="{3167B223-4C31-4EAB-82D8-4FC1CD286EC9}"/>
    <cellStyle name="Linked Cell 24 2 2 3 2 6" xfId="25163" xr:uid="{D7A8537B-CEB1-43D9-A488-43E717748501}"/>
    <cellStyle name="Linked Cell 24 2 2 3 2 6 2" xfId="25164" xr:uid="{678D09F6-D75E-418E-8153-C819FC143914}"/>
    <cellStyle name="Linked Cell 24 2 2 3 2 6 2 2" xfId="25165" xr:uid="{A608E0C8-1969-4F7B-ADC3-9B1D1B216040}"/>
    <cellStyle name="Linked Cell 24 2 2 3 2 6 3" xfId="25166" xr:uid="{B815F6C7-4721-447F-9300-BD846E2B7B6B}"/>
    <cellStyle name="Linked Cell 24 2 2 3 2 7" xfId="25167" xr:uid="{725E6568-891E-4617-896B-FCE7958E23A6}"/>
    <cellStyle name="Linked Cell 24 2 2 3 2 7 2" xfId="25168" xr:uid="{F7769EB0-B86D-4E7A-897B-38B67DC22465}"/>
    <cellStyle name="Linked Cell 24 2 2 3 2 7 2 2" xfId="25169" xr:uid="{4C2F33A2-C5A6-4253-93D3-4D675570A793}"/>
    <cellStyle name="Linked Cell 24 2 2 3 2 7 3" xfId="25170" xr:uid="{34EE10B3-448F-4BBE-B9FF-DC219DF5EEDC}"/>
    <cellStyle name="Linked Cell 24 2 2 3 2 8" xfId="25171" xr:uid="{7CD07FE2-DAD7-4E60-90F4-0CE05BF809CB}"/>
    <cellStyle name="Linked Cell 24 2 2 3 2 8 2" xfId="25172" xr:uid="{26675F85-C328-4F8C-8923-19EAE16B4A15}"/>
    <cellStyle name="Linked Cell 24 2 2 3 2 8 2 2" xfId="25173" xr:uid="{945146EC-D198-462B-808A-E0C93E59D6C6}"/>
    <cellStyle name="Linked Cell 24 2 2 3 2 8 3" xfId="25174" xr:uid="{C126B493-B282-479A-A311-4BCAB6AE986C}"/>
    <cellStyle name="Linked Cell 24 2 2 3 2 9" xfId="25175" xr:uid="{28E676A0-4576-42EC-ADE0-FBA86682EF42}"/>
    <cellStyle name="Linked Cell 24 2 2 3 2 9 2" xfId="25176" xr:uid="{6D706C52-D10F-4C1A-9DE2-4361275F300B}"/>
    <cellStyle name="Linked Cell 24 2 2 3 2 9 2 2" xfId="25177" xr:uid="{9FBE1809-0F5D-4696-A2B7-E9D04891D07F}"/>
    <cellStyle name="Linked Cell 24 2 2 3 2 9 3" xfId="25178" xr:uid="{AE8B5B27-8BA9-4B9B-BC11-30A3AC87D71D}"/>
    <cellStyle name="Linked Cell 24 2 2 3 3" xfId="25179" xr:uid="{95D70F28-D488-4482-9D24-35D3021215D1}"/>
    <cellStyle name="Linked Cell 24 2 2 3 3 2" xfId="25180" xr:uid="{EFE8C3F9-99F3-4F8B-839F-6A93FFE3E305}"/>
    <cellStyle name="Linked Cell 24 2 2 3 3 2 2" xfId="25181" xr:uid="{F7277595-BF44-446D-BF62-9484CF75B233}"/>
    <cellStyle name="Linked Cell 24 2 2 3 3 3" xfId="25182" xr:uid="{076104CD-7B69-4832-8606-4E41687252FB}"/>
    <cellStyle name="Linked Cell 24 2 2 3 4" xfId="25183" xr:uid="{81D2B756-6EC5-4658-B1E7-F1A44E26839B}"/>
    <cellStyle name="Linked Cell 24 2 2 3 4 2" xfId="25184" xr:uid="{8DC3DD04-1E0F-4724-8D30-2FECFFE660FB}"/>
    <cellStyle name="Linked Cell 24 2 2 3 4 2 2" xfId="25185" xr:uid="{ED545673-CAAF-478F-917F-D186C2B728CF}"/>
    <cellStyle name="Linked Cell 24 2 2 3 4 3" xfId="25186" xr:uid="{4403B881-FFB9-423E-B7FB-F2EA5122A428}"/>
    <cellStyle name="Linked Cell 24 2 2 3 5" xfId="25187" xr:uid="{D4615C51-8AC6-4213-AF54-78B7149D4928}"/>
    <cellStyle name="Linked Cell 24 2 2 3 5 2" xfId="25188" xr:uid="{C1C57849-73CD-44AD-9E38-C574DAA52A97}"/>
    <cellStyle name="Linked Cell 24 2 2 3 5 2 2" xfId="25189" xr:uid="{B692E2DE-3E0D-4247-B355-A9032BE6E20B}"/>
    <cellStyle name="Linked Cell 24 2 2 3 5 3" xfId="25190" xr:uid="{6695F96E-8B88-4F6C-889F-2C3C51232ECF}"/>
    <cellStyle name="Linked Cell 24 2 2 3 6" xfId="25191" xr:uid="{628A8ECA-F099-40F1-AA5C-E4F3833E707A}"/>
    <cellStyle name="Linked Cell 24 2 2 3 6 2" xfId="25192" xr:uid="{AF75B229-1DB9-4D7B-B8B1-7083DE4C219F}"/>
    <cellStyle name="Linked Cell 24 2 2 3 6 2 2" xfId="25193" xr:uid="{DAFED596-234A-411F-BABC-9EE983FD2684}"/>
    <cellStyle name="Linked Cell 24 2 2 3 6 3" xfId="25194" xr:uid="{AF6821C8-69FA-4067-B3DB-7E70EAC11086}"/>
    <cellStyle name="Linked Cell 24 2 2 3 7" xfId="25195" xr:uid="{20CC9464-2114-4ADD-A072-7A3453E651F5}"/>
    <cellStyle name="Linked Cell 24 2 2 3 7 2" xfId="25196" xr:uid="{B4CA0332-C837-4C60-B9BF-CAE696733F57}"/>
    <cellStyle name="Linked Cell 24 2 2 3 7 2 2" xfId="25197" xr:uid="{CE3D522B-9E4F-456E-BE18-544986EDC52A}"/>
    <cellStyle name="Linked Cell 24 2 2 3 7 3" xfId="25198" xr:uid="{7B8E5CE7-8A47-4053-BE9A-BC911110E282}"/>
    <cellStyle name="Linked Cell 24 2 2 3 8" xfId="25199" xr:uid="{0D31F09A-D874-447C-B1A6-EB60ED47AEEA}"/>
    <cellStyle name="Linked Cell 24 2 2 3 8 2" xfId="25200" xr:uid="{FE7DDE3F-BD50-4639-8536-3E10E2129335}"/>
    <cellStyle name="Linked Cell 24 2 2 3 8 2 2" xfId="25201" xr:uid="{619B6428-7744-4762-AC2F-EC817E48B1E9}"/>
    <cellStyle name="Linked Cell 24 2 2 3 8 3" xfId="25202" xr:uid="{CA8388A7-56F1-4966-81F2-757188F9162C}"/>
    <cellStyle name="Linked Cell 24 2 2 3 9" xfId="25203" xr:uid="{97E8EBF4-6786-45C0-8ADC-6377C3702A2D}"/>
    <cellStyle name="Linked Cell 24 2 2 3 9 2" xfId="25204" xr:uid="{CDF8FF77-460D-422D-8B07-0B545E8A703D}"/>
    <cellStyle name="Linked Cell 24 2 2 3 9 2 2" xfId="25205" xr:uid="{5655C738-C835-4E7A-A473-86795D6ACE2C}"/>
    <cellStyle name="Linked Cell 24 2 2 3 9 3" xfId="25206" xr:uid="{C5FDAE92-F92B-40E5-B23C-932C0400F881}"/>
    <cellStyle name="Linked Cell 24 2 2 4" xfId="25207" xr:uid="{17B419EE-C3B1-42FB-92FD-1A8D403612D5}"/>
    <cellStyle name="Linked Cell 24 2 2 4 10" xfId="25208" xr:uid="{1DE8452F-EB3A-4EFA-B352-FD1D0F1B13D8}"/>
    <cellStyle name="Linked Cell 24 2 2 4 10 2" xfId="25209" xr:uid="{8BAEF601-A34B-47BA-A16C-B42366DAF67E}"/>
    <cellStyle name="Linked Cell 24 2 2 4 11" xfId="25210" xr:uid="{EAF149F6-643A-4FCF-B1BF-ECC6E1ADA280}"/>
    <cellStyle name="Linked Cell 24 2 2 4 2" xfId="25211" xr:uid="{FDD00784-B121-472A-B110-96C460695F57}"/>
    <cellStyle name="Linked Cell 24 2 2 4 2 2" xfId="25212" xr:uid="{97C68F39-4026-474F-B401-7C9464CF2600}"/>
    <cellStyle name="Linked Cell 24 2 2 4 2 2 2" xfId="25213" xr:uid="{9F8360E8-1940-49D0-9536-E640C726BDAE}"/>
    <cellStyle name="Linked Cell 24 2 2 4 2 3" xfId="25214" xr:uid="{00563281-943A-40E1-96B7-902AABEB857A}"/>
    <cellStyle name="Linked Cell 24 2 2 4 3" xfId="25215" xr:uid="{05EDB3E3-4A8E-4AEC-8C55-CE3D057BA325}"/>
    <cellStyle name="Linked Cell 24 2 2 4 3 2" xfId="25216" xr:uid="{F6C0361B-C248-462B-B714-C0124443A5B4}"/>
    <cellStyle name="Linked Cell 24 2 2 4 3 2 2" xfId="25217" xr:uid="{90FE56A7-4F73-46DB-9D62-6C6806602B88}"/>
    <cellStyle name="Linked Cell 24 2 2 4 3 3" xfId="25218" xr:uid="{445F0E25-8E12-44F5-91E9-540070A00BF5}"/>
    <cellStyle name="Linked Cell 24 2 2 4 4" xfId="25219" xr:uid="{B5029112-30E7-43E1-B721-3751FCA299EE}"/>
    <cellStyle name="Linked Cell 24 2 2 4 4 2" xfId="25220" xr:uid="{2F1ED3D3-265A-41F1-8766-CD1F0B06E911}"/>
    <cellStyle name="Linked Cell 24 2 2 4 4 2 2" xfId="25221" xr:uid="{2C188A22-DE0F-4DFE-809F-7C7D985368E3}"/>
    <cellStyle name="Linked Cell 24 2 2 4 4 3" xfId="25222" xr:uid="{C1AC581F-AD61-4145-95FD-BCEF250D7754}"/>
    <cellStyle name="Linked Cell 24 2 2 4 5" xfId="25223" xr:uid="{BF440E73-C597-4E09-8AA4-FD38126FCD21}"/>
    <cellStyle name="Linked Cell 24 2 2 4 5 2" xfId="25224" xr:uid="{989C5C82-9B78-48BF-B0FE-001C5E7C57C7}"/>
    <cellStyle name="Linked Cell 24 2 2 4 5 2 2" xfId="25225" xr:uid="{FD38FA1B-FA52-494F-9FEC-ADCE9366852F}"/>
    <cellStyle name="Linked Cell 24 2 2 4 5 3" xfId="25226" xr:uid="{9081E37F-9F8B-43B7-985D-90FECB781246}"/>
    <cellStyle name="Linked Cell 24 2 2 4 6" xfId="25227" xr:uid="{00A212F4-BD06-4040-97B8-89A26F5ED4AF}"/>
    <cellStyle name="Linked Cell 24 2 2 4 6 2" xfId="25228" xr:uid="{379A7257-2709-4A98-92B5-F60271EC9FA1}"/>
    <cellStyle name="Linked Cell 24 2 2 4 6 2 2" xfId="25229" xr:uid="{46BD5397-91EB-4008-95EB-AA32692923A4}"/>
    <cellStyle name="Linked Cell 24 2 2 4 6 3" xfId="25230" xr:uid="{59B1C98E-EDB8-43C4-99D3-696531419E47}"/>
    <cellStyle name="Linked Cell 24 2 2 4 7" xfId="25231" xr:uid="{4EBD0711-7121-4164-BAEB-C350B0FBEC16}"/>
    <cellStyle name="Linked Cell 24 2 2 4 7 2" xfId="25232" xr:uid="{4887626B-EA3A-4A53-8B2E-77AB68F2FB5F}"/>
    <cellStyle name="Linked Cell 24 2 2 4 7 2 2" xfId="25233" xr:uid="{6C6759B5-4519-4F29-AB83-8A8E7172FE87}"/>
    <cellStyle name="Linked Cell 24 2 2 4 7 3" xfId="25234" xr:uid="{3C9D5FED-DE9C-4D10-8292-E1917DC621AF}"/>
    <cellStyle name="Linked Cell 24 2 2 4 8" xfId="25235" xr:uid="{42959748-DBAE-4634-99B1-DE03C579D2C3}"/>
    <cellStyle name="Linked Cell 24 2 2 4 8 2" xfId="25236" xr:uid="{47708784-33CE-4AFD-9ACB-0B195D362F0C}"/>
    <cellStyle name="Linked Cell 24 2 2 4 8 2 2" xfId="25237" xr:uid="{D856878B-6BB9-4445-8DFF-698B3F040370}"/>
    <cellStyle name="Linked Cell 24 2 2 4 8 3" xfId="25238" xr:uid="{A811F7EA-061E-4050-A09F-8DE7716794A4}"/>
    <cellStyle name="Linked Cell 24 2 2 4 9" xfId="25239" xr:uid="{3A6FCBE0-FB78-474C-9C86-39A10989A77E}"/>
    <cellStyle name="Linked Cell 24 2 2 4 9 2" xfId="25240" xr:uid="{02F3C75E-2645-4F71-9E3E-FD1D72F776A4}"/>
    <cellStyle name="Linked Cell 24 2 2 4 9 2 2" xfId="25241" xr:uid="{EAFFC8DE-3CD8-4626-9AB2-D14AF4A6C184}"/>
    <cellStyle name="Linked Cell 24 2 2 4 9 3" xfId="25242" xr:uid="{A78431CC-1D08-457A-9BDC-EF49B6A2EBC9}"/>
    <cellStyle name="Linked Cell 24 2 2 5" xfId="25243" xr:uid="{0BF9EE72-7411-4936-B02C-D5CCEB54057D}"/>
    <cellStyle name="Linked Cell 24 2 2 5 2" xfId="25244" xr:uid="{4BC63493-7740-41C4-B463-B69CFB32DD5D}"/>
    <cellStyle name="Linked Cell 24 2 2 5 2 2" xfId="25245" xr:uid="{EFB5A9B5-602A-46EF-9AB6-7E4ED2EA3BCE}"/>
    <cellStyle name="Linked Cell 24 2 2 5 3" xfId="25246" xr:uid="{1B4DD417-0EEF-418F-B79D-88C70B1E0350}"/>
    <cellStyle name="Linked Cell 24 2 2 6" xfId="25247" xr:uid="{49695795-2F50-49AD-8056-42B43FA5EB6A}"/>
    <cellStyle name="Linked Cell 24 2 2 6 2" xfId="25248" xr:uid="{A3B60E7F-8873-4BE0-8D27-FF21F63C8961}"/>
    <cellStyle name="Linked Cell 24 2 2 6 2 2" xfId="25249" xr:uid="{B49365D0-4B01-4DE4-89FB-E794083CDEF4}"/>
    <cellStyle name="Linked Cell 24 2 2 6 3" xfId="25250" xr:uid="{E3EC2A8D-DF8E-4FE9-9040-815C7CF6F084}"/>
    <cellStyle name="Linked Cell 24 2 2 7" xfId="25251" xr:uid="{1F0ECE06-B66B-409B-84CD-823D00F8153B}"/>
    <cellStyle name="Linked Cell 24 2 2 7 2" xfId="25252" xr:uid="{92F541C5-B8FF-4BC3-A8A0-C923CBB2DBB0}"/>
    <cellStyle name="Linked Cell 24 2 2 7 2 2" xfId="25253" xr:uid="{8C64F1A2-93AB-4387-83B5-E6F9D1746F22}"/>
    <cellStyle name="Linked Cell 24 2 2 7 3" xfId="25254" xr:uid="{FCC57C93-3FA9-4435-9E79-DAAF556CD379}"/>
    <cellStyle name="Linked Cell 24 2 2 8" xfId="25255" xr:uid="{EEB087CF-1EA5-40F0-9656-12EB38A2D7D8}"/>
    <cellStyle name="Linked Cell 24 2 2 8 2" xfId="25256" xr:uid="{230DE06D-BBED-400B-B267-1B2A4B88E92E}"/>
    <cellStyle name="Linked Cell 24 2 2 8 2 2" xfId="25257" xr:uid="{0B2D2747-9ED9-4085-9580-CF66BDC2FD1D}"/>
    <cellStyle name="Linked Cell 24 2 2 8 3" xfId="25258" xr:uid="{12E9A87C-48FE-4A27-A055-C02B19803FAE}"/>
    <cellStyle name="Linked Cell 24 2 2 9" xfId="25259" xr:uid="{5D9D4006-FBE7-48F3-B063-79023C266C00}"/>
    <cellStyle name="Linked Cell 24 2 2 9 2" xfId="25260" xr:uid="{95F2B9D5-A66F-42E5-8C4A-CB23BF719F0A}"/>
    <cellStyle name="Linked Cell 24 2 2 9 2 2" xfId="25261" xr:uid="{F53B4FDC-345E-4887-910F-96A6610848A6}"/>
    <cellStyle name="Linked Cell 24 2 2 9 3" xfId="25262" xr:uid="{79C137E1-2C50-4792-8C09-B79529734D7C}"/>
    <cellStyle name="Linked Cell 24 2 3" xfId="25263" xr:uid="{F5BAA7CE-0593-4AC9-ADCD-57C883B4591E}"/>
    <cellStyle name="Linked Cell 24 2 3 10" xfId="25264" xr:uid="{FE42E6C9-F0BA-4DE8-924C-776593694AF0}"/>
    <cellStyle name="Linked Cell 24 2 3 10 2" xfId="25265" xr:uid="{32AF4688-93BE-44D0-90D5-FF086B64ED6E}"/>
    <cellStyle name="Linked Cell 24 2 3 10 2 2" xfId="25266" xr:uid="{C2378881-FD42-476D-B71D-34D1631BC675}"/>
    <cellStyle name="Linked Cell 24 2 3 10 3" xfId="25267" xr:uid="{961E7664-626F-40E8-9B39-56C5FB109A88}"/>
    <cellStyle name="Linked Cell 24 2 3 11" xfId="25268" xr:uid="{EC9896EE-4DEC-4951-86D2-CDEF62623C68}"/>
    <cellStyle name="Linked Cell 24 2 3 11 2" xfId="25269" xr:uid="{FB7D3B70-B9AE-4906-B2DB-847E796DBC56}"/>
    <cellStyle name="Linked Cell 24 2 3 11 2 2" xfId="25270" xr:uid="{83C74B35-1EB7-4BBC-9B89-C8A22E86379E}"/>
    <cellStyle name="Linked Cell 24 2 3 11 3" xfId="25271" xr:uid="{F11FBB66-45A1-4776-B7C2-34A8B0DB9CE9}"/>
    <cellStyle name="Linked Cell 24 2 3 12" xfId="25272" xr:uid="{458FA5CA-ABCE-4B4A-82B6-36566C13D091}"/>
    <cellStyle name="Linked Cell 24 2 3 12 2" xfId="25273" xr:uid="{8584C854-5D5F-4814-BACA-D06735DB5044}"/>
    <cellStyle name="Linked Cell 24 2 3 13" xfId="25274" xr:uid="{52A11D27-0BA3-4F64-A317-CE08C6871236}"/>
    <cellStyle name="Linked Cell 24 2 3 2" xfId="25275" xr:uid="{2224F65B-66FE-4FCC-BB2C-97C74DD03102}"/>
    <cellStyle name="Linked Cell 24 2 3 2 10" xfId="25276" xr:uid="{830E40F9-2494-4AD6-910F-C5E2CEFD6AA9}"/>
    <cellStyle name="Linked Cell 24 2 3 2 10 2" xfId="25277" xr:uid="{DDBBED2E-964E-441C-9C8E-A624E3C0A22B}"/>
    <cellStyle name="Linked Cell 24 2 3 2 10 2 2" xfId="25278" xr:uid="{43E628BB-0B72-42B9-A992-3CF108AC61DE}"/>
    <cellStyle name="Linked Cell 24 2 3 2 10 3" xfId="25279" xr:uid="{44C6D681-E9DB-47D9-9EBF-F62F75EDCFE1}"/>
    <cellStyle name="Linked Cell 24 2 3 2 11" xfId="25280" xr:uid="{8C881A28-3F94-4A04-A16F-961FB135F27E}"/>
    <cellStyle name="Linked Cell 24 2 3 2 11 2" xfId="25281" xr:uid="{BAE4E8AC-B82B-4A92-A336-7DBECD3A3D5E}"/>
    <cellStyle name="Linked Cell 24 2 3 2 12" xfId="25282" xr:uid="{A3C275B0-798F-4E72-9D07-FE3068E4ACB9}"/>
    <cellStyle name="Linked Cell 24 2 3 2 2" xfId="25283" xr:uid="{A1A735D3-79F6-4F3B-8D62-246BDEDCE7EF}"/>
    <cellStyle name="Linked Cell 24 2 3 2 2 2" xfId="25284" xr:uid="{F968EC75-06E6-4E68-A58F-8C68CE24A8A3}"/>
    <cellStyle name="Linked Cell 24 2 3 2 2 2 2" xfId="25285" xr:uid="{9D7AAF17-0CE1-4B55-AA27-56491CDE0419}"/>
    <cellStyle name="Linked Cell 24 2 3 2 2 3" xfId="25286" xr:uid="{7EE1234A-126D-4FC9-8689-7E7EEA78175C}"/>
    <cellStyle name="Linked Cell 24 2 3 2 3" xfId="25287" xr:uid="{C6A4E4D3-5CE4-498E-8740-CEE49F08D98B}"/>
    <cellStyle name="Linked Cell 24 2 3 2 3 2" xfId="25288" xr:uid="{B5203527-0B6B-4403-A083-A53E0E75DC5D}"/>
    <cellStyle name="Linked Cell 24 2 3 2 3 2 2" xfId="25289" xr:uid="{DE66A821-DD17-497B-833D-AE96B76A2F71}"/>
    <cellStyle name="Linked Cell 24 2 3 2 3 3" xfId="25290" xr:uid="{C9B3DE45-2841-45ED-B9BA-D5DA2B4E0A15}"/>
    <cellStyle name="Linked Cell 24 2 3 2 4" xfId="25291" xr:uid="{47B12B8E-2D53-4A2D-A607-B9A6C1C9B99A}"/>
    <cellStyle name="Linked Cell 24 2 3 2 4 2" xfId="25292" xr:uid="{AA8ADA8C-BA9B-4F18-9753-B30D796C0DA7}"/>
    <cellStyle name="Linked Cell 24 2 3 2 4 2 2" xfId="25293" xr:uid="{B541DEE3-532B-4E38-96F2-0921C63B68E3}"/>
    <cellStyle name="Linked Cell 24 2 3 2 4 3" xfId="25294" xr:uid="{23A9A7FA-4C27-4496-AE6F-C97FB9571F26}"/>
    <cellStyle name="Linked Cell 24 2 3 2 5" xfId="25295" xr:uid="{68D51044-62F8-4B8A-93AF-11EC9458BE7D}"/>
    <cellStyle name="Linked Cell 24 2 3 2 5 2" xfId="25296" xr:uid="{C285A197-8D69-465A-B49F-57459C1C4DE9}"/>
    <cellStyle name="Linked Cell 24 2 3 2 5 2 2" xfId="25297" xr:uid="{386FE18C-43F1-4CC5-AEF8-9298954CF8C5}"/>
    <cellStyle name="Linked Cell 24 2 3 2 5 3" xfId="25298" xr:uid="{DC00CF0F-C20D-43D2-93DD-900E3ACA139B}"/>
    <cellStyle name="Linked Cell 24 2 3 2 6" xfId="25299" xr:uid="{11F80125-6230-42D5-BE6E-5FEFDB201B0A}"/>
    <cellStyle name="Linked Cell 24 2 3 2 6 2" xfId="25300" xr:uid="{1D877CC1-BBB6-4421-AAB2-2B95BFBA7583}"/>
    <cellStyle name="Linked Cell 24 2 3 2 6 2 2" xfId="25301" xr:uid="{2CF52D31-68E9-4CA7-A656-1BFF5F62D4DC}"/>
    <cellStyle name="Linked Cell 24 2 3 2 6 3" xfId="25302" xr:uid="{FDF6816D-64FC-4CA1-9AB4-AB4405EA2A15}"/>
    <cellStyle name="Linked Cell 24 2 3 2 7" xfId="25303" xr:uid="{87B4A912-C2C0-47EA-946C-96691DD68173}"/>
    <cellStyle name="Linked Cell 24 2 3 2 7 2" xfId="25304" xr:uid="{3F8BF32E-815D-40E1-83BD-1FF282FB76A8}"/>
    <cellStyle name="Linked Cell 24 2 3 2 7 2 2" xfId="25305" xr:uid="{48CD620F-D59D-42DC-9712-7C0B3F103C52}"/>
    <cellStyle name="Linked Cell 24 2 3 2 7 3" xfId="25306" xr:uid="{7EE599EF-404F-4FB2-8932-13D52BD5BB9A}"/>
    <cellStyle name="Linked Cell 24 2 3 2 8" xfId="25307" xr:uid="{5DB4BCDF-3464-4368-93AF-241A590FA2AB}"/>
    <cellStyle name="Linked Cell 24 2 3 2 8 2" xfId="25308" xr:uid="{5CF2DB29-32A0-429B-A31C-9564C70C408E}"/>
    <cellStyle name="Linked Cell 24 2 3 2 8 2 2" xfId="25309" xr:uid="{C2EFE6DB-3192-4DDD-BA71-A87538C3552A}"/>
    <cellStyle name="Linked Cell 24 2 3 2 8 3" xfId="25310" xr:uid="{348FFBC6-0AF4-4494-AC72-FEA59903F8AA}"/>
    <cellStyle name="Linked Cell 24 2 3 2 9" xfId="25311" xr:uid="{87CA4EED-1402-4F93-A4EE-A9DC7F22E2D8}"/>
    <cellStyle name="Linked Cell 24 2 3 2 9 2" xfId="25312" xr:uid="{2E0AF3DF-F038-4C2F-B889-C2D4D30CC01F}"/>
    <cellStyle name="Linked Cell 24 2 3 2 9 2 2" xfId="25313" xr:uid="{75255980-C27B-4A37-B63D-783A6D489CCB}"/>
    <cellStyle name="Linked Cell 24 2 3 2 9 3" xfId="25314" xr:uid="{576CFF46-5A15-4F9E-B483-38AA15845776}"/>
    <cellStyle name="Linked Cell 24 2 3 3" xfId="25315" xr:uid="{BD7DE66D-4A8F-43FA-873A-87B0A46C1648}"/>
    <cellStyle name="Linked Cell 24 2 3 3 10" xfId="25316" xr:uid="{90ED5E0C-2A2A-4A05-97D7-DD0D798C6E88}"/>
    <cellStyle name="Linked Cell 24 2 3 3 10 2" xfId="25317" xr:uid="{1D64964B-86D8-4B7E-ADC5-F379E17FB6CD}"/>
    <cellStyle name="Linked Cell 24 2 3 3 11" xfId="25318" xr:uid="{915D776B-B25B-43BA-BA98-A6380374F5FD}"/>
    <cellStyle name="Linked Cell 24 2 3 3 2" xfId="25319" xr:uid="{1B15FA54-55D9-496C-9F5D-E17399811E6C}"/>
    <cellStyle name="Linked Cell 24 2 3 3 2 2" xfId="25320" xr:uid="{125DDC41-A72D-4575-8D01-69212A08B319}"/>
    <cellStyle name="Linked Cell 24 2 3 3 2 2 2" xfId="25321" xr:uid="{4573A6D7-C562-44AD-BBFD-538CA42BF501}"/>
    <cellStyle name="Linked Cell 24 2 3 3 2 3" xfId="25322" xr:uid="{690BAFE6-ED84-4EE4-928B-F6D7AC671161}"/>
    <cellStyle name="Linked Cell 24 2 3 3 3" xfId="25323" xr:uid="{E32C54DE-8A12-4882-A4C7-1417FEF7C447}"/>
    <cellStyle name="Linked Cell 24 2 3 3 3 2" xfId="25324" xr:uid="{EFEBC8C6-A769-47F0-B5A5-14ACB9DE65D6}"/>
    <cellStyle name="Linked Cell 24 2 3 3 3 2 2" xfId="25325" xr:uid="{75E55A2C-E115-4863-96A4-8625AF633CA6}"/>
    <cellStyle name="Linked Cell 24 2 3 3 3 3" xfId="25326" xr:uid="{C37C6B1F-FF49-46C6-B03C-D49D9751FA76}"/>
    <cellStyle name="Linked Cell 24 2 3 3 4" xfId="25327" xr:uid="{BEA68DD8-651D-4688-A20D-F213058B3136}"/>
    <cellStyle name="Linked Cell 24 2 3 3 4 2" xfId="25328" xr:uid="{D2E3A500-CDA6-4965-A7D5-D31C4067B38A}"/>
    <cellStyle name="Linked Cell 24 2 3 3 4 2 2" xfId="25329" xr:uid="{162B8438-2EA1-462B-8E3A-F0284FCD4174}"/>
    <cellStyle name="Linked Cell 24 2 3 3 4 3" xfId="25330" xr:uid="{6834982E-03C9-4F08-A8C0-E1EAAEA5E265}"/>
    <cellStyle name="Linked Cell 24 2 3 3 5" xfId="25331" xr:uid="{C548FFDC-445A-493D-B6AA-8F2095120363}"/>
    <cellStyle name="Linked Cell 24 2 3 3 5 2" xfId="25332" xr:uid="{464F9CFA-5465-43F3-B33D-445B64BCBF09}"/>
    <cellStyle name="Linked Cell 24 2 3 3 5 2 2" xfId="25333" xr:uid="{8F9319B2-8371-4694-BFE7-73FF900970C5}"/>
    <cellStyle name="Linked Cell 24 2 3 3 5 3" xfId="25334" xr:uid="{9BB9A4D9-3634-41F8-9899-E23BFADA1147}"/>
    <cellStyle name="Linked Cell 24 2 3 3 6" xfId="25335" xr:uid="{254A2BDA-CFE8-41BD-AC52-0B183A891BA3}"/>
    <cellStyle name="Linked Cell 24 2 3 3 6 2" xfId="25336" xr:uid="{5D2FF9FA-8044-496C-99EE-F02E87EA2FA5}"/>
    <cellStyle name="Linked Cell 24 2 3 3 6 2 2" xfId="25337" xr:uid="{FA54870A-4F3F-4C26-8E1E-E5228C64DDBD}"/>
    <cellStyle name="Linked Cell 24 2 3 3 6 3" xfId="25338" xr:uid="{569A1501-0517-43BC-BEE5-D266DA8034F5}"/>
    <cellStyle name="Linked Cell 24 2 3 3 7" xfId="25339" xr:uid="{F9EE40F8-3078-43A9-B250-5668B02401EE}"/>
    <cellStyle name="Linked Cell 24 2 3 3 7 2" xfId="25340" xr:uid="{54395EF6-2C2D-4980-B17E-F3342849327B}"/>
    <cellStyle name="Linked Cell 24 2 3 3 7 2 2" xfId="25341" xr:uid="{D32E17A6-2AEE-42ED-83FA-6E65D482964C}"/>
    <cellStyle name="Linked Cell 24 2 3 3 7 3" xfId="25342" xr:uid="{9B8B6B04-80B2-4DA7-B80D-F118B72CA026}"/>
    <cellStyle name="Linked Cell 24 2 3 3 8" xfId="25343" xr:uid="{6B7036A9-9889-4636-9517-95B1D09A5124}"/>
    <cellStyle name="Linked Cell 24 2 3 3 8 2" xfId="25344" xr:uid="{DD829193-F592-4B7D-B5C5-22479E8E4583}"/>
    <cellStyle name="Linked Cell 24 2 3 3 8 2 2" xfId="25345" xr:uid="{08AE238E-8E11-48B3-8098-1A9D8DFB05D6}"/>
    <cellStyle name="Linked Cell 24 2 3 3 8 3" xfId="25346" xr:uid="{8707A53A-157F-4B1E-9D28-B4C7B3854C1A}"/>
    <cellStyle name="Linked Cell 24 2 3 3 9" xfId="25347" xr:uid="{10668F1F-8D88-4349-A36F-95B6FC3FDB07}"/>
    <cellStyle name="Linked Cell 24 2 3 3 9 2" xfId="25348" xr:uid="{D93A7315-09C6-435B-A7A9-0D6A7A842B57}"/>
    <cellStyle name="Linked Cell 24 2 3 3 9 2 2" xfId="25349" xr:uid="{F635BC23-06FF-4399-8050-E142FD830E52}"/>
    <cellStyle name="Linked Cell 24 2 3 3 9 3" xfId="25350" xr:uid="{2E451297-7BAC-4A35-8D92-B508F174FFC4}"/>
    <cellStyle name="Linked Cell 24 2 3 4" xfId="25351" xr:uid="{BDF86C88-4020-4438-8349-A846089E378A}"/>
    <cellStyle name="Linked Cell 24 2 3 4 2" xfId="25352" xr:uid="{125FFBE6-71A6-4AF2-BC5F-9CBE4378D466}"/>
    <cellStyle name="Linked Cell 24 2 3 4 2 2" xfId="25353" xr:uid="{FCE913B1-8204-4C49-8B8F-C056140AF3B7}"/>
    <cellStyle name="Linked Cell 24 2 3 4 3" xfId="25354" xr:uid="{3C614346-4CE2-4EE3-B672-460490A4B793}"/>
    <cellStyle name="Linked Cell 24 2 3 5" xfId="25355" xr:uid="{DEE8169D-55C6-4654-9016-EEEC498D9464}"/>
    <cellStyle name="Linked Cell 24 2 3 5 2" xfId="25356" xr:uid="{83E2C0A5-9ADD-4587-9A1B-FD29B9B2019B}"/>
    <cellStyle name="Linked Cell 24 2 3 5 2 2" xfId="25357" xr:uid="{E3EC2BB1-60DE-4E73-8C61-46B9DDD231C1}"/>
    <cellStyle name="Linked Cell 24 2 3 5 3" xfId="25358" xr:uid="{E2BF518F-8809-47E7-89AF-DBB027A3900D}"/>
    <cellStyle name="Linked Cell 24 2 3 6" xfId="25359" xr:uid="{A049EAEA-C5D4-4818-B2BB-7875B9328876}"/>
    <cellStyle name="Linked Cell 24 2 3 6 2" xfId="25360" xr:uid="{7B17E30B-EB5A-4E63-A5D7-2A302BD731A0}"/>
    <cellStyle name="Linked Cell 24 2 3 6 2 2" xfId="25361" xr:uid="{F7F0F119-948F-4D8B-8A2B-57DF71A5F871}"/>
    <cellStyle name="Linked Cell 24 2 3 6 3" xfId="25362" xr:uid="{3436973C-3672-4EE8-9447-D774FB57381D}"/>
    <cellStyle name="Linked Cell 24 2 3 7" xfId="25363" xr:uid="{0B1CB725-3F1A-48EA-B477-FE933E6065F1}"/>
    <cellStyle name="Linked Cell 24 2 3 7 2" xfId="25364" xr:uid="{949B592B-78F4-495A-8BAE-EE8084D1F977}"/>
    <cellStyle name="Linked Cell 24 2 3 7 2 2" xfId="25365" xr:uid="{B3529919-D8B4-4B29-8118-3CA814D3E29B}"/>
    <cellStyle name="Linked Cell 24 2 3 7 3" xfId="25366" xr:uid="{C010D813-FCF3-4F5B-A6CA-3318290DBB57}"/>
    <cellStyle name="Linked Cell 24 2 3 8" xfId="25367" xr:uid="{A4D39A54-E570-44AC-A197-E82F4D7E93A5}"/>
    <cellStyle name="Linked Cell 24 2 3 8 2" xfId="25368" xr:uid="{6BA7E90C-31F7-47ED-AECB-F8C729D5CAB9}"/>
    <cellStyle name="Linked Cell 24 2 3 8 2 2" xfId="25369" xr:uid="{5002C19A-3D73-430D-AC66-224549ABFF36}"/>
    <cellStyle name="Linked Cell 24 2 3 8 3" xfId="25370" xr:uid="{9D412044-4C96-4F12-AF58-87EA990EE766}"/>
    <cellStyle name="Linked Cell 24 2 3 9" xfId="25371" xr:uid="{9648E6A8-FF6F-4F2C-9260-1F41753B5FE0}"/>
    <cellStyle name="Linked Cell 24 2 3 9 2" xfId="25372" xr:uid="{547914B5-9088-4183-8431-933C784CAFD1}"/>
    <cellStyle name="Linked Cell 24 2 3 9 2 2" xfId="25373" xr:uid="{0990EF69-EC5A-43CC-BA02-3667B6E9AE9B}"/>
    <cellStyle name="Linked Cell 24 2 3 9 3" xfId="25374" xr:uid="{38DD38CF-9A01-4E74-A14E-680CB373766E}"/>
    <cellStyle name="Linked Cell 24 2 4" xfId="25375" xr:uid="{B81B8C3C-8AB1-46F0-BD05-A2AD651E6ECF}"/>
    <cellStyle name="Linked Cell 24 2 4 10" xfId="25376" xr:uid="{D30D06F3-A2CC-4A9A-96CA-8F8B117F55F4}"/>
    <cellStyle name="Linked Cell 24 2 4 10 2" xfId="25377" xr:uid="{2D63AB15-F9B5-4D65-8DE3-93D6D0819A75}"/>
    <cellStyle name="Linked Cell 24 2 4 10 2 2" xfId="25378" xr:uid="{75025A51-3EBF-46EE-8304-0E9B69D4CC1F}"/>
    <cellStyle name="Linked Cell 24 2 4 10 3" xfId="25379" xr:uid="{BE350002-D6FE-4D47-8DE7-AA83497922BF}"/>
    <cellStyle name="Linked Cell 24 2 4 11" xfId="25380" xr:uid="{9A638A35-DEAE-49F3-9739-ECAD06EB2868}"/>
    <cellStyle name="Linked Cell 24 2 4 11 2" xfId="25381" xr:uid="{7D6AF92B-DAE0-4DE4-9FFF-DE1C5FB01AA7}"/>
    <cellStyle name="Linked Cell 24 2 4 12" xfId="25382" xr:uid="{AAA7EAB8-BE06-4807-AA0D-17D55A1D0DA3}"/>
    <cellStyle name="Linked Cell 24 2 4 2" xfId="25383" xr:uid="{24CC1066-0E4B-484F-B33D-5E1A2FA49D29}"/>
    <cellStyle name="Linked Cell 24 2 4 2 10" xfId="25384" xr:uid="{A2AB65A6-014A-4949-B51D-0757569AA2BE}"/>
    <cellStyle name="Linked Cell 24 2 4 2 10 2" xfId="25385" xr:uid="{10B9235D-C65B-438C-BB03-1035F39461BC}"/>
    <cellStyle name="Linked Cell 24 2 4 2 11" xfId="25386" xr:uid="{85D29E6F-8D09-4184-95DF-16538EA43C9F}"/>
    <cellStyle name="Linked Cell 24 2 4 2 2" xfId="25387" xr:uid="{5D06DAB9-7849-4246-AAF9-4935D340F733}"/>
    <cellStyle name="Linked Cell 24 2 4 2 2 2" xfId="25388" xr:uid="{1D801588-3CDB-437A-95BF-6442986E7CB2}"/>
    <cellStyle name="Linked Cell 24 2 4 2 2 2 2" xfId="25389" xr:uid="{C7F4FB78-9716-42DF-83A8-D5E222A3F85C}"/>
    <cellStyle name="Linked Cell 24 2 4 2 2 3" xfId="25390" xr:uid="{80FF5C1D-E5EF-46AA-8644-5D5D4BF28EBA}"/>
    <cellStyle name="Linked Cell 24 2 4 2 3" xfId="25391" xr:uid="{8F527396-F6FB-4435-9C02-FFA1644EFBF6}"/>
    <cellStyle name="Linked Cell 24 2 4 2 3 2" xfId="25392" xr:uid="{FBF50B1A-2D66-43B6-A75D-8850E92582FC}"/>
    <cellStyle name="Linked Cell 24 2 4 2 3 2 2" xfId="25393" xr:uid="{089F4CC5-FBEA-42D9-BF8A-040F6A5FFB71}"/>
    <cellStyle name="Linked Cell 24 2 4 2 3 3" xfId="25394" xr:uid="{BFA6C211-A1B4-4607-BF51-A0A66FBC60E0}"/>
    <cellStyle name="Linked Cell 24 2 4 2 4" xfId="25395" xr:uid="{A9333B02-6F91-4B27-8AA0-8153410B5EA2}"/>
    <cellStyle name="Linked Cell 24 2 4 2 4 2" xfId="25396" xr:uid="{2A4704A7-2584-46E3-8C94-283FD6AA6B1C}"/>
    <cellStyle name="Linked Cell 24 2 4 2 4 2 2" xfId="25397" xr:uid="{69CD0B09-D2AF-42E7-BE2D-8E275B542DD7}"/>
    <cellStyle name="Linked Cell 24 2 4 2 4 3" xfId="25398" xr:uid="{5D323C56-0DBA-4F6E-BF46-906BEB6EFB9E}"/>
    <cellStyle name="Linked Cell 24 2 4 2 5" xfId="25399" xr:uid="{78885E64-04E2-4B65-B1BD-21386FDF61B0}"/>
    <cellStyle name="Linked Cell 24 2 4 2 5 2" xfId="25400" xr:uid="{606952BA-58AD-449B-B7FC-6DD999F32228}"/>
    <cellStyle name="Linked Cell 24 2 4 2 5 2 2" xfId="25401" xr:uid="{1C537AB0-1920-407F-9CD4-73C1398A35A8}"/>
    <cellStyle name="Linked Cell 24 2 4 2 5 3" xfId="25402" xr:uid="{830B9C57-D637-4315-860D-D24A38060E17}"/>
    <cellStyle name="Linked Cell 24 2 4 2 6" xfId="25403" xr:uid="{1685284A-16D0-4357-A24E-137CA0EA900C}"/>
    <cellStyle name="Linked Cell 24 2 4 2 6 2" xfId="25404" xr:uid="{7BA1DF1A-59B4-44FE-9E06-557B8C18764F}"/>
    <cellStyle name="Linked Cell 24 2 4 2 6 2 2" xfId="25405" xr:uid="{10037E7C-6318-4B5D-8FF5-CBE948B97AA5}"/>
    <cellStyle name="Linked Cell 24 2 4 2 6 3" xfId="25406" xr:uid="{D17C9651-6C39-46B8-9E30-B3BF35A1190A}"/>
    <cellStyle name="Linked Cell 24 2 4 2 7" xfId="25407" xr:uid="{702DE62F-8511-4F97-9719-2805150B517D}"/>
    <cellStyle name="Linked Cell 24 2 4 2 7 2" xfId="25408" xr:uid="{EA54FA96-2F45-4594-8EF9-EED019481E3D}"/>
    <cellStyle name="Linked Cell 24 2 4 2 7 2 2" xfId="25409" xr:uid="{FF26203A-5887-4B87-92CF-D95099F2BBAB}"/>
    <cellStyle name="Linked Cell 24 2 4 2 7 3" xfId="25410" xr:uid="{B8DEA139-0E6B-4BA3-8ABE-9AEEE15ECA4C}"/>
    <cellStyle name="Linked Cell 24 2 4 2 8" xfId="25411" xr:uid="{64FBED3C-FE59-419E-B7B6-94AC20845E40}"/>
    <cellStyle name="Linked Cell 24 2 4 2 8 2" xfId="25412" xr:uid="{E1857F36-DC38-4FB4-95E1-8C44D12E6547}"/>
    <cellStyle name="Linked Cell 24 2 4 2 8 2 2" xfId="25413" xr:uid="{9F523742-50DB-463C-9FA9-C38373DE482C}"/>
    <cellStyle name="Linked Cell 24 2 4 2 8 3" xfId="25414" xr:uid="{B3066A24-D5FE-4027-A798-B42F0035A14B}"/>
    <cellStyle name="Linked Cell 24 2 4 2 9" xfId="25415" xr:uid="{14BFF2C5-E79F-4B0C-83E4-81D673533C78}"/>
    <cellStyle name="Linked Cell 24 2 4 2 9 2" xfId="25416" xr:uid="{5646D8DF-ED6E-40FA-8F4C-6F322DBA7FAF}"/>
    <cellStyle name="Linked Cell 24 2 4 2 9 2 2" xfId="25417" xr:uid="{2C9D28AC-DC86-4D64-B7C1-782D858B68AA}"/>
    <cellStyle name="Linked Cell 24 2 4 2 9 3" xfId="25418" xr:uid="{B463B5C2-4230-47E6-8EFE-7A9F8E63460B}"/>
    <cellStyle name="Linked Cell 24 2 4 3" xfId="25419" xr:uid="{931A2C84-3753-4A4F-9D0D-5287DA35EDB6}"/>
    <cellStyle name="Linked Cell 24 2 4 3 2" xfId="25420" xr:uid="{7BB11C49-5B0F-4AF7-8E90-60AEA6B0CEBA}"/>
    <cellStyle name="Linked Cell 24 2 4 3 2 2" xfId="25421" xr:uid="{D828C731-9E34-41B6-BEFE-9485306FB0B5}"/>
    <cellStyle name="Linked Cell 24 2 4 3 3" xfId="25422" xr:uid="{B00286CB-E2F1-49F8-A8E5-BFD1819F8870}"/>
    <cellStyle name="Linked Cell 24 2 4 4" xfId="25423" xr:uid="{D6F1AF08-7AF8-4856-9558-ED2B5BB12E6A}"/>
    <cellStyle name="Linked Cell 24 2 4 4 2" xfId="25424" xr:uid="{EF729F87-7C9F-4403-BD09-A211E8D8B230}"/>
    <cellStyle name="Linked Cell 24 2 4 4 2 2" xfId="25425" xr:uid="{EDDD7845-3738-42AB-BB5F-E48C92ABEEB3}"/>
    <cellStyle name="Linked Cell 24 2 4 4 3" xfId="25426" xr:uid="{69F5F5A6-A41E-4F62-AE4E-9BFE779C50CF}"/>
    <cellStyle name="Linked Cell 24 2 4 5" xfId="25427" xr:uid="{18076F6D-DC2F-475B-9F7F-D82DC74DDB3C}"/>
    <cellStyle name="Linked Cell 24 2 4 5 2" xfId="25428" xr:uid="{D8D1BA8E-4787-4301-9A9E-504450072ABF}"/>
    <cellStyle name="Linked Cell 24 2 4 5 2 2" xfId="25429" xr:uid="{064D57EB-359C-47A0-A271-9BB51583EE5D}"/>
    <cellStyle name="Linked Cell 24 2 4 5 3" xfId="25430" xr:uid="{C3D18775-EBA6-498B-8B7F-C779B19E7D2A}"/>
    <cellStyle name="Linked Cell 24 2 4 6" xfId="25431" xr:uid="{D9C7CB36-BF8A-49B4-838B-33FB69050237}"/>
    <cellStyle name="Linked Cell 24 2 4 6 2" xfId="25432" xr:uid="{235F0957-1229-4771-850A-A1D524BEBAD5}"/>
    <cellStyle name="Linked Cell 24 2 4 6 2 2" xfId="25433" xr:uid="{7AEE8EAF-FABE-4457-ACE6-2D71C3365B06}"/>
    <cellStyle name="Linked Cell 24 2 4 6 3" xfId="25434" xr:uid="{D933AC87-5100-4EDF-9194-BC5D3EB8041D}"/>
    <cellStyle name="Linked Cell 24 2 4 7" xfId="25435" xr:uid="{575F8F3A-7A13-4A52-91BD-F20C87E793A3}"/>
    <cellStyle name="Linked Cell 24 2 4 7 2" xfId="25436" xr:uid="{05D6EE98-5708-4C0F-BC48-B4888D2BAD8A}"/>
    <cellStyle name="Linked Cell 24 2 4 7 2 2" xfId="25437" xr:uid="{E47BD5EA-3E9A-46D5-A493-95C2195F2FCC}"/>
    <cellStyle name="Linked Cell 24 2 4 7 3" xfId="25438" xr:uid="{E1574FB5-187C-40ED-9CA2-805992E3E04C}"/>
    <cellStyle name="Linked Cell 24 2 4 8" xfId="25439" xr:uid="{7E014660-A7FB-4FC7-8F2C-466F708C92FC}"/>
    <cellStyle name="Linked Cell 24 2 4 8 2" xfId="25440" xr:uid="{2B3822EF-5807-4238-97E4-51245A83BD2F}"/>
    <cellStyle name="Linked Cell 24 2 4 8 2 2" xfId="25441" xr:uid="{A857D4D8-1A39-4EFE-9B68-D65CF15131D5}"/>
    <cellStyle name="Linked Cell 24 2 4 8 3" xfId="25442" xr:uid="{0CA64BCC-1BE9-4954-B495-1311D62B95F8}"/>
    <cellStyle name="Linked Cell 24 2 4 9" xfId="25443" xr:uid="{D2E53594-91A4-4C2B-B188-8FDD1DE761CD}"/>
    <cellStyle name="Linked Cell 24 2 4 9 2" xfId="25444" xr:uid="{98F5BA25-9E37-435D-8222-6EC8CE03F8BD}"/>
    <cellStyle name="Linked Cell 24 2 4 9 2 2" xfId="25445" xr:uid="{54432206-2AA4-438D-9C00-D982156C403F}"/>
    <cellStyle name="Linked Cell 24 2 4 9 3" xfId="25446" xr:uid="{6DA5F2F3-624D-4EDF-86ED-5889FCC0C80F}"/>
    <cellStyle name="Linked Cell 24 2 5" xfId="25447" xr:uid="{C2535C88-005B-46DC-AF7C-BB28B6023EE5}"/>
    <cellStyle name="Linked Cell 24 2 5 10" xfId="25448" xr:uid="{24F5F1AF-0718-4DC2-AAD6-EB0B606870A7}"/>
    <cellStyle name="Linked Cell 24 2 5 10 2" xfId="25449" xr:uid="{A2D58F75-1347-47D5-88F9-BBF9263AE5A9}"/>
    <cellStyle name="Linked Cell 24 2 5 11" xfId="25450" xr:uid="{7DD6F816-6A7E-4BAF-8519-3B9CE5C792B4}"/>
    <cellStyle name="Linked Cell 24 2 5 2" xfId="25451" xr:uid="{444AB801-1508-436D-9698-E19DBDB8AE24}"/>
    <cellStyle name="Linked Cell 24 2 5 2 2" xfId="25452" xr:uid="{DE8AFEA6-D47B-4B82-960A-5BA8990C180F}"/>
    <cellStyle name="Linked Cell 24 2 5 2 2 2" xfId="25453" xr:uid="{E368167C-85E0-4812-9526-12163FBC8531}"/>
    <cellStyle name="Linked Cell 24 2 5 2 3" xfId="25454" xr:uid="{7E73B75D-1671-4BC9-99EF-443887A8B7CF}"/>
    <cellStyle name="Linked Cell 24 2 5 3" xfId="25455" xr:uid="{9D3A822A-5053-465F-B94C-BEA9F45463DA}"/>
    <cellStyle name="Linked Cell 24 2 5 3 2" xfId="25456" xr:uid="{2C898B0C-6F72-46A7-9607-8B968244E356}"/>
    <cellStyle name="Linked Cell 24 2 5 3 2 2" xfId="25457" xr:uid="{A434EA30-065D-4315-A814-C6E6993AC114}"/>
    <cellStyle name="Linked Cell 24 2 5 3 3" xfId="25458" xr:uid="{277B9497-4396-4531-A87E-6469DFABE97B}"/>
    <cellStyle name="Linked Cell 24 2 5 4" xfId="25459" xr:uid="{ECAC1CF6-27C2-4DF3-9EEC-FC6D5759B549}"/>
    <cellStyle name="Linked Cell 24 2 5 4 2" xfId="25460" xr:uid="{1E7B68AA-C55E-47EE-B867-0F1A2EC25D81}"/>
    <cellStyle name="Linked Cell 24 2 5 4 2 2" xfId="25461" xr:uid="{6C77DA1F-AB61-4AA5-A38B-7FA9F2B4CACA}"/>
    <cellStyle name="Linked Cell 24 2 5 4 3" xfId="25462" xr:uid="{8C5DCFE7-D441-4F2E-8AEA-EE515C2C1B5D}"/>
    <cellStyle name="Linked Cell 24 2 5 5" xfId="25463" xr:uid="{600BF5BD-AEB4-4783-B175-BC7C33CDC4BA}"/>
    <cellStyle name="Linked Cell 24 2 5 5 2" xfId="25464" xr:uid="{12B6A8DE-0476-4FDD-93E5-B8225A6BC2CA}"/>
    <cellStyle name="Linked Cell 24 2 5 5 2 2" xfId="25465" xr:uid="{A6B2DF8F-2CF9-472B-8B55-021CF7712890}"/>
    <cellStyle name="Linked Cell 24 2 5 5 3" xfId="25466" xr:uid="{E2FBD813-FAA4-4A07-86E3-5C2CB78BE7E0}"/>
    <cellStyle name="Linked Cell 24 2 5 6" xfId="25467" xr:uid="{0582C331-9C76-408F-AC96-0CCE7889768D}"/>
    <cellStyle name="Linked Cell 24 2 5 6 2" xfId="25468" xr:uid="{1D527057-3D30-417A-8FF8-DE7825EE6735}"/>
    <cellStyle name="Linked Cell 24 2 5 6 2 2" xfId="25469" xr:uid="{700CD6C7-4C3B-4D77-9502-AF6B26F31717}"/>
    <cellStyle name="Linked Cell 24 2 5 6 3" xfId="25470" xr:uid="{83AEFED2-92DD-4F65-AC97-4DCEF5BF8A38}"/>
    <cellStyle name="Linked Cell 24 2 5 7" xfId="25471" xr:uid="{945DCB04-2C04-4A53-9743-1BD4E11E91D6}"/>
    <cellStyle name="Linked Cell 24 2 5 7 2" xfId="25472" xr:uid="{98217131-E210-4ED3-AAAB-53E204F33244}"/>
    <cellStyle name="Linked Cell 24 2 5 7 2 2" xfId="25473" xr:uid="{9A34C9F0-43A8-4EBB-916A-933C5E6703BD}"/>
    <cellStyle name="Linked Cell 24 2 5 7 3" xfId="25474" xr:uid="{2AE2B470-CB2D-41FC-9F87-F26369163272}"/>
    <cellStyle name="Linked Cell 24 2 5 8" xfId="25475" xr:uid="{73D8D200-78CB-4A88-82A2-12EC464088CE}"/>
    <cellStyle name="Linked Cell 24 2 5 8 2" xfId="25476" xr:uid="{26C250E8-13F9-47A6-9C49-89C1051B84BF}"/>
    <cellStyle name="Linked Cell 24 2 5 8 2 2" xfId="25477" xr:uid="{72FAE8AF-86E1-47E6-96CC-AED3B7685805}"/>
    <cellStyle name="Linked Cell 24 2 5 8 3" xfId="25478" xr:uid="{0926F65F-E220-4C10-879F-EC7D2C416D21}"/>
    <cellStyle name="Linked Cell 24 2 5 9" xfId="25479" xr:uid="{9BDE08C0-E8CD-465B-BD10-E3793DAB4A52}"/>
    <cellStyle name="Linked Cell 24 2 5 9 2" xfId="25480" xr:uid="{422E5DB2-E0F9-4067-A44E-747778812252}"/>
    <cellStyle name="Linked Cell 24 2 5 9 2 2" xfId="25481" xr:uid="{34C63270-AD1B-4539-9CBA-F831E4F474DF}"/>
    <cellStyle name="Linked Cell 24 2 5 9 3" xfId="25482" xr:uid="{1FBFB7EC-D241-4D11-923F-9BD0B3E4373E}"/>
    <cellStyle name="Linked Cell 24 2 6" xfId="25483" xr:uid="{93601BA9-E9C9-4E85-88E5-203704DBCCA7}"/>
    <cellStyle name="Linked Cell 24 2 6 2" xfId="25484" xr:uid="{94E0FF8A-1821-4F75-874A-A6485B401C46}"/>
    <cellStyle name="Linked Cell 24 2 6 2 2" xfId="25485" xr:uid="{39C5980D-D04A-404D-A559-70D51113420D}"/>
    <cellStyle name="Linked Cell 24 2 6 3" xfId="25486" xr:uid="{A5F8400D-411D-45C7-B18A-DF167D451B63}"/>
    <cellStyle name="Linked Cell 24 2 7" xfId="25487" xr:uid="{32C105D1-A775-4031-8361-12F0C7E2C456}"/>
    <cellStyle name="Linked Cell 24 2 7 2" xfId="25488" xr:uid="{1E420F6A-8F25-40A0-BF19-D246031FD238}"/>
    <cellStyle name="Linked Cell 24 2 7 2 2" xfId="25489" xr:uid="{F0AC0BB5-2F86-4EF1-AD1F-9CCBD178AFE9}"/>
    <cellStyle name="Linked Cell 24 2 7 3" xfId="25490" xr:uid="{D0FC1D98-5002-435E-8889-41B9B3D73350}"/>
    <cellStyle name="Linked Cell 24 2 8" xfId="25491" xr:uid="{9B22B171-D345-467D-9EA9-05FBA1F5A620}"/>
    <cellStyle name="Linked Cell 24 2 8 2" xfId="25492" xr:uid="{B4FCE534-5EB9-4A76-BB13-3CAF179D9011}"/>
    <cellStyle name="Linked Cell 24 2 8 2 2" xfId="25493" xr:uid="{AFB67E80-FD37-42E0-82DB-AE04E94A590E}"/>
    <cellStyle name="Linked Cell 24 2 8 3" xfId="25494" xr:uid="{DC65B9F1-9F25-4CBC-B6D1-F8392B8E4BF0}"/>
    <cellStyle name="Linked Cell 24 2 9" xfId="25495" xr:uid="{541A4CE5-12C9-47D6-BF5E-3D91C71FEFAD}"/>
    <cellStyle name="Linked Cell 24 2 9 2" xfId="25496" xr:uid="{57659AE8-2FEF-4E51-B424-E7D30F185D19}"/>
    <cellStyle name="Linked Cell 24 2 9 2 2" xfId="25497" xr:uid="{0429520D-2BC4-41E2-B7DE-5C812F2B99BA}"/>
    <cellStyle name="Linked Cell 24 2 9 3" xfId="25498" xr:uid="{12F2A1C8-6B75-481F-97DD-F690B241CA71}"/>
    <cellStyle name="Linked Cell 24 3" xfId="25499" xr:uid="{036D1A4B-41EA-467E-80EF-439E1511485D}"/>
    <cellStyle name="Linked Cell 24 3 10" xfId="25500" xr:uid="{453457F4-915E-4761-AA81-19C67696223A}"/>
    <cellStyle name="Linked Cell 24 3 10 2" xfId="25501" xr:uid="{D4120039-890D-462F-B71A-942AE74F8C4E}"/>
    <cellStyle name="Linked Cell 24 3 10 2 2" xfId="25502" xr:uid="{AE90DEF7-756A-4B10-8623-CF3B1B9E6D36}"/>
    <cellStyle name="Linked Cell 24 3 10 3" xfId="25503" xr:uid="{B9F05E7A-AEC1-4496-B22F-5C6D4CDBC71C}"/>
    <cellStyle name="Linked Cell 24 3 11" xfId="25504" xr:uid="{D85D927C-76FD-4253-80EE-6D273D1E518D}"/>
    <cellStyle name="Linked Cell 24 3 11 2" xfId="25505" xr:uid="{CD00A850-B843-410B-B9BD-B5EEDB812EC1}"/>
    <cellStyle name="Linked Cell 24 3 11 2 2" xfId="25506" xr:uid="{18F60B59-0934-4A15-AA65-4626A3B78255}"/>
    <cellStyle name="Linked Cell 24 3 11 3" xfId="25507" xr:uid="{8AE85170-4FB4-4CA3-A72A-29D5AD90DC47}"/>
    <cellStyle name="Linked Cell 24 3 12" xfId="25508" xr:uid="{E6B8212B-7508-4F9E-BE88-B913F3F3417E}"/>
    <cellStyle name="Linked Cell 24 3 12 2" xfId="25509" xr:uid="{E1B8BC42-221F-43D7-B3D2-85F4BA339841}"/>
    <cellStyle name="Linked Cell 24 3 12 2 2" xfId="25510" xr:uid="{76AB8107-EFFE-46CC-8B0D-94650A3FF2FE}"/>
    <cellStyle name="Linked Cell 24 3 12 3" xfId="25511" xr:uid="{A476136F-6137-4E90-B12A-72D7B6324CE5}"/>
    <cellStyle name="Linked Cell 24 3 13" xfId="25512" xr:uid="{49198AA9-5EFD-446F-A2D3-18BAE7CE1CB8}"/>
    <cellStyle name="Linked Cell 24 3 13 2" xfId="25513" xr:uid="{C29989DE-94BA-455E-B37E-6C79CDED8C8D}"/>
    <cellStyle name="Linked Cell 24 3 14" xfId="25514" xr:uid="{4A77B131-B6F7-43A6-956F-4978125E413B}"/>
    <cellStyle name="Linked Cell 24 3 2" xfId="25515" xr:uid="{C9C49958-849B-40A8-9A04-3010FCBBF0B3}"/>
    <cellStyle name="Linked Cell 24 3 2 10" xfId="25516" xr:uid="{C094FDA9-2E99-4122-B11E-1DD30475D896}"/>
    <cellStyle name="Linked Cell 24 3 2 10 2" xfId="25517" xr:uid="{D232E43B-443F-49A0-893C-FF988070CE75}"/>
    <cellStyle name="Linked Cell 24 3 2 10 2 2" xfId="25518" xr:uid="{1AED349D-16A4-4A1A-BDDC-AB79B9295C41}"/>
    <cellStyle name="Linked Cell 24 3 2 10 3" xfId="25519" xr:uid="{EA68EE3D-E6C1-4715-BCFE-30B1B659C4E3}"/>
    <cellStyle name="Linked Cell 24 3 2 11" xfId="25520" xr:uid="{A7D7DE5E-FF9A-4AF7-AD4C-74978B0F101A}"/>
    <cellStyle name="Linked Cell 24 3 2 11 2" xfId="25521" xr:uid="{5F0ABB4B-6B9E-4EE7-A65D-2FD873B5FE55}"/>
    <cellStyle name="Linked Cell 24 3 2 11 2 2" xfId="25522" xr:uid="{B0C0B2BD-8FCD-4366-8214-D69E4C0230D8}"/>
    <cellStyle name="Linked Cell 24 3 2 11 3" xfId="25523" xr:uid="{54DBE466-11E6-4C6F-9B59-4A9A804AF723}"/>
    <cellStyle name="Linked Cell 24 3 2 12" xfId="25524" xr:uid="{B619C1CF-5227-416C-B3AA-493044349243}"/>
    <cellStyle name="Linked Cell 24 3 2 12 2" xfId="25525" xr:uid="{39E2B49E-585E-4B09-B292-474EFCC96256}"/>
    <cellStyle name="Linked Cell 24 3 2 13" xfId="25526" xr:uid="{CBAB3D02-FA73-4152-A0E0-204F3B35B88A}"/>
    <cellStyle name="Linked Cell 24 3 2 2" xfId="25527" xr:uid="{5301D04E-FABE-4686-ABAE-21DB7CB581CA}"/>
    <cellStyle name="Linked Cell 24 3 2 2 10" xfId="25528" xr:uid="{8B921587-62DF-4038-9AB8-FC340287CCE4}"/>
    <cellStyle name="Linked Cell 24 3 2 2 10 2" xfId="25529" xr:uid="{DA7ECB3C-2E97-4B36-A390-5D311DED0123}"/>
    <cellStyle name="Linked Cell 24 3 2 2 10 2 2" xfId="25530" xr:uid="{F23934C0-F3C3-423D-93FE-AE4489B786BC}"/>
    <cellStyle name="Linked Cell 24 3 2 2 10 3" xfId="25531" xr:uid="{9408AD61-E8A9-4D31-B65A-B5E0FB883E69}"/>
    <cellStyle name="Linked Cell 24 3 2 2 11" xfId="25532" xr:uid="{37BB8762-5F5E-48CB-9C9A-D58A5414B8BE}"/>
    <cellStyle name="Linked Cell 24 3 2 2 11 2" xfId="25533" xr:uid="{B2C3BDA4-B5DF-4D17-BE7A-BB767B0772D7}"/>
    <cellStyle name="Linked Cell 24 3 2 2 12" xfId="25534" xr:uid="{BD35E160-78E2-485F-92D8-FC9BCD13E4D6}"/>
    <cellStyle name="Linked Cell 24 3 2 2 2" xfId="25535" xr:uid="{1CF1969B-3046-4BFC-B8BC-BD8A20418A48}"/>
    <cellStyle name="Linked Cell 24 3 2 2 2 2" xfId="25536" xr:uid="{D95A996B-9FD5-4734-9514-349764791860}"/>
    <cellStyle name="Linked Cell 24 3 2 2 2 2 2" xfId="25537" xr:uid="{DDFA7D83-9C6B-4529-8045-9C1205FBFD7A}"/>
    <cellStyle name="Linked Cell 24 3 2 2 2 3" xfId="25538" xr:uid="{2565BBF8-B179-4522-969F-30E21EF7F17B}"/>
    <cellStyle name="Linked Cell 24 3 2 2 3" xfId="25539" xr:uid="{EB8DBA21-67D0-4983-907F-E5AD8877CD5E}"/>
    <cellStyle name="Linked Cell 24 3 2 2 3 2" xfId="25540" xr:uid="{6A009BBF-E243-4216-9A2E-E4815DC1F063}"/>
    <cellStyle name="Linked Cell 24 3 2 2 3 2 2" xfId="25541" xr:uid="{C1DB46F7-E4EE-4E95-98FB-C436FEBA19F7}"/>
    <cellStyle name="Linked Cell 24 3 2 2 3 3" xfId="25542" xr:uid="{C3AEED37-C677-4086-9420-5E6EE709BB22}"/>
    <cellStyle name="Linked Cell 24 3 2 2 4" xfId="25543" xr:uid="{D092A45A-5168-4915-898D-AF7459ACAF77}"/>
    <cellStyle name="Linked Cell 24 3 2 2 4 2" xfId="25544" xr:uid="{7B1B6F4A-91EE-49DC-BF80-74F2DA32981A}"/>
    <cellStyle name="Linked Cell 24 3 2 2 4 2 2" xfId="25545" xr:uid="{EF6976C5-131E-4495-89E7-51E5E0A14363}"/>
    <cellStyle name="Linked Cell 24 3 2 2 4 3" xfId="25546" xr:uid="{FB1BF95D-9CAB-429F-8EC1-2BB0C6833C31}"/>
    <cellStyle name="Linked Cell 24 3 2 2 5" xfId="25547" xr:uid="{3316E991-9849-43AF-8F67-416773D43D81}"/>
    <cellStyle name="Linked Cell 24 3 2 2 5 2" xfId="25548" xr:uid="{E787C74F-9279-4835-9AF6-1A6C16F5A1E8}"/>
    <cellStyle name="Linked Cell 24 3 2 2 5 2 2" xfId="25549" xr:uid="{1E35934A-E581-4AB4-B1AE-5ACD038DA4F6}"/>
    <cellStyle name="Linked Cell 24 3 2 2 5 3" xfId="25550" xr:uid="{7C7001F2-1616-4821-BBDB-6D64C11BF996}"/>
    <cellStyle name="Linked Cell 24 3 2 2 6" xfId="25551" xr:uid="{5FAA7A98-A908-4F11-98C2-416C24917CE1}"/>
    <cellStyle name="Linked Cell 24 3 2 2 6 2" xfId="25552" xr:uid="{C2068C0D-1446-4B43-BF7D-0B3AF0CC8FF2}"/>
    <cellStyle name="Linked Cell 24 3 2 2 6 2 2" xfId="25553" xr:uid="{BFD6D189-2D86-46BB-B2CA-4AFCBFC0BC82}"/>
    <cellStyle name="Linked Cell 24 3 2 2 6 3" xfId="25554" xr:uid="{D6F29822-B3D5-45BD-9F4B-678F0CE4D420}"/>
    <cellStyle name="Linked Cell 24 3 2 2 7" xfId="25555" xr:uid="{EF939235-1992-466D-A14D-A0C2E8122496}"/>
    <cellStyle name="Linked Cell 24 3 2 2 7 2" xfId="25556" xr:uid="{CA21848B-9995-4B19-AA6F-BE2BCDD0B999}"/>
    <cellStyle name="Linked Cell 24 3 2 2 7 2 2" xfId="25557" xr:uid="{E0DF8A64-1D46-405A-94CD-D7E0BC9DB866}"/>
    <cellStyle name="Linked Cell 24 3 2 2 7 3" xfId="25558" xr:uid="{A658F0CF-9414-423B-8249-5DD53DD008A5}"/>
    <cellStyle name="Linked Cell 24 3 2 2 8" xfId="25559" xr:uid="{ED55AF64-EAFA-4E1D-808E-A6D3791BBF87}"/>
    <cellStyle name="Linked Cell 24 3 2 2 8 2" xfId="25560" xr:uid="{089EF2E4-890E-4A84-A103-95D768D2E40D}"/>
    <cellStyle name="Linked Cell 24 3 2 2 8 2 2" xfId="25561" xr:uid="{148593B5-8DAB-49B5-B56F-5020F6EE1366}"/>
    <cellStyle name="Linked Cell 24 3 2 2 8 3" xfId="25562" xr:uid="{D3EF7309-7375-44DA-833E-3A12B3F1B8C1}"/>
    <cellStyle name="Linked Cell 24 3 2 2 9" xfId="25563" xr:uid="{DAF92F41-FF97-4443-A305-1B93A68B1DFB}"/>
    <cellStyle name="Linked Cell 24 3 2 2 9 2" xfId="25564" xr:uid="{7B84C2C9-69FC-43DF-9E8C-FE659B9718C6}"/>
    <cellStyle name="Linked Cell 24 3 2 2 9 2 2" xfId="25565" xr:uid="{9694A40B-6344-4A7A-9D94-048F3985965B}"/>
    <cellStyle name="Linked Cell 24 3 2 2 9 3" xfId="25566" xr:uid="{9ED1C19D-CCE7-44B0-87C7-9EE5E2943CAE}"/>
    <cellStyle name="Linked Cell 24 3 2 3" xfId="25567" xr:uid="{1FCF8CC8-4889-489D-8813-FEF25953098D}"/>
    <cellStyle name="Linked Cell 24 3 2 3 10" xfId="25568" xr:uid="{323D5B29-58D4-4491-8F4A-715B157062EE}"/>
    <cellStyle name="Linked Cell 24 3 2 3 10 2" xfId="25569" xr:uid="{2E1C6E6B-927E-4DF5-B667-1C9A54E245B2}"/>
    <cellStyle name="Linked Cell 24 3 2 3 11" xfId="25570" xr:uid="{C0FD4121-D984-4EA3-9813-B4D2D8B57BEB}"/>
    <cellStyle name="Linked Cell 24 3 2 3 2" xfId="25571" xr:uid="{8F54BC68-2E19-49CD-943A-7B73C7806D30}"/>
    <cellStyle name="Linked Cell 24 3 2 3 2 2" xfId="25572" xr:uid="{662B06E5-5E60-4838-B046-2DB5B5CBD2B6}"/>
    <cellStyle name="Linked Cell 24 3 2 3 2 2 2" xfId="25573" xr:uid="{3BF62548-54EC-42B6-A479-C4A7E61EFC02}"/>
    <cellStyle name="Linked Cell 24 3 2 3 2 3" xfId="25574" xr:uid="{6B893A8B-F14D-4B32-8824-D58A37A7EC73}"/>
    <cellStyle name="Linked Cell 24 3 2 3 3" xfId="25575" xr:uid="{49C651BE-B37C-4E74-995A-8A7518BBA0C8}"/>
    <cellStyle name="Linked Cell 24 3 2 3 3 2" xfId="25576" xr:uid="{DAD41AF7-87AA-404E-B67D-3A6BAAA24568}"/>
    <cellStyle name="Linked Cell 24 3 2 3 3 2 2" xfId="25577" xr:uid="{90A6A0BB-C767-46F9-A4B3-13FEF346E3CA}"/>
    <cellStyle name="Linked Cell 24 3 2 3 3 3" xfId="25578" xr:uid="{F54A545B-BA44-4688-A03E-2AF324047C23}"/>
    <cellStyle name="Linked Cell 24 3 2 3 4" xfId="25579" xr:uid="{5003DAFF-B247-4F8D-9DAC-82580CEBB8CA}"/>
    <cellStyle name="Linked Cell 24 3 2 3 4 2" xfId="25580" xr:uid="{B3D701C0-C48A-4325-B918-9CA17BA97FA8}"/>
    <cellStyle name="Linked Cell 24 3 2 3 4 2 2" xfId="25581" xr:uid="{80CD9EE6-FF46-482F-AD03-39BB62199031}"/>
    <cellStyle name="Linked Cell 24 3 2 3 4 3" xfId="25582" xr:uid="{F0AD4FC4-6D4A-4F22-AC56-C565FCE25ABE}"/>
    <cellStyle name="Linked Cell 24 3 2 3 5" xfId="25583" xr:uid="{8E0F1227-BA71-4D45-945C-C2DDBA660E56}"/>
    <cellStyle name="Linked Cell 24 3 2 3 5 2" xfId="25584" xr:uid="{F52A33D7-5C78-4388-AA75-5D2C47A4965F}"/>
    <cellStyle name="Linked Cell 24 3 2 3 5 2 2" xfId="25585" xr:uid="{CAD0B345-BECD-44FB-BDA5-D2C51D8F6BFA}"/>
    <cellStyle name="Linked Cell 24 3 2 3 5 3" xfId="25586" xr:uid="{A041118F-DDA7-4B2C-A92D-609A9352ADBB}"/>
    <cellStyle name="Linked Cell 24 3 2 3 6" xfId="25587" xr:uid="{42E20BF3-117F-41F4-B1B9-E3A7F953DFBF}"/>
    <cellStyle name="Linked Cell 24 3 2 3 6 2" xfId="25588" xr:uid="{AA9580DE-1E99-4C26-A7B1-F5C146443CF1}"/>
    <cellStyle name="Linked Cell 24 3 2 3 6 2 2" xfId="25589" xr:uid="{C962CC4E-9309-4242-B931-650AF5C94EDA}"/>
    <cellStyle name="Linked Cell 24 3 2 3 6 3" xfId="25590" xr:uid="{F8B0B141-0375-488D-9B93-B39AFF3B3519}"/>
    <cellStyle name="Linked Cell 24 3 2 3 7" xfId="25591" xr:uid="{3D0E8271-463E-4E2E-A3D9-BA7DEC5A9591}"/>
    <cellStyle name="Linked Cell 24 3 2 3 7 2" xfId="25592" xr:uid="{0C00247A-E636-4937-ADF8-EE13CE60200A}"/>
    <cellStyle name="Linked Cell 24 3 2 3 7 2 2" xfId="25593" xr:uid="{E2255CC3-3AD0-40AD-94B0-769EFE0928B3}"/>
    <cellStyle name="Linked Cell 24 3 2 3 7 3" xfId="25594" xr:uid="{1C145C18-7F0D-4651-9676-C367563119AD}"/>
    <cellStyle name="Linked Cell 24 3 2 3 8" xfId="25595" xr:uid="{50BDD666-7AC0-4529-B1A4-3351FEE5FC33}"/>
    <cellStyle name="Linked Cell 24 3 2 3 8 2" xfId="25596" xr:uid="{95AF2D24-F4A3-4C00-A196-3551315BA02D}"/>
    <cellStyle name="Linked Cell 24 3 2 3 8 2 2" xfId="25597" xr:uid="{CC6C15F5-1596-42E8-9C94-923782F475C8}"/>
    <cellStyle name="Linked Cell 24 3 2 3 8 3" xfId="25598" xr:uid="{44E2FF31-5103-44BB-904F-36C2B252EABD}"/>
    <cellStyle name="Linked Cell 24 3 2 3 9" xfId="25599" xr:uid="{20109780-887F-4547-8F46-E5BDD65A4B76}"/>
    <cellStyle name="Linked Cell 24 3 2 3 9 2" xfId="25600" xr:uid="{B6BB174D-1D24-4FBC-9CD5-0C66B09766AB}"/>
    <cellStyle name="Linked Cell 24 3 2 3 9 2 2" xfId="25601" xr:uid="{A166FBEF-CA1D-4CF6-A5D2-E4EF75178C30}"/>
    <cellStyle name="Linked Cell 24 3 2 3 9 3" xfId="25602" xr:uid="{62B08249-519C-488B-A552-B73DAA98A24A}"/>
    <cellStyle name="Linked Cell 24 3 2 4" xfId="25603" xr:uid="{4CD684E4-E77A-4FD7-BE8D-CEF2678C79DF}"/>
    <cellStyle name="Linked Cell 24 3 2 4 2" xfId="25604" xr:uid="{CBC85F9F-180C-4D1F-AF85-07C59AD544CB}"/>
    <cellStyle name="Linked Cell 24 3 2 4 2 2" xfId="25605" xr:uid="{F1A1D7E3-7C19-447B-8522-F8D1CF5D4C3B}"/>
    <cellStyle name="Linked Cell 24 3 2 4 3" xfId="25606" xr:uid="{6FD56838-D14A-47B1-9C84-BBA46395B5C6}"/>
    <cellStyle name="Linked Cell 24 3 2 5" xfId="25607" xr:uid="{FB08B604-38A9-43CB-86E8-2C30FA1F5E18}"/>
    <cellStyle name="Linked Cell 24 3 2 5 2" xfId="25608" xr:uid="{68E327DA-BF95-4749-B8A8-5F02FC276C9E}"/>
    <cellStyle name="Linked Cell 24 3 2 5 2 2" xfId="25609" xr:uid="{1A174EAB-7AD2-4260-A126-B31FFB335297}"/>
    <cellStyle name="Linked Cell 24 3 2 5 3" xfId="25610" xr:uid="{1914D0B1-2514-49DC-9C96-23C24D11A687}"/>
    <cellStyle name="Linked Cell 24 3 2 6" xfId="25611" xr:uid="{B0B9C842-DADF-42C9-A7F3-C5B56BC25412}"/>
    <cellStyle name="Linked Cell 24 3 2 6 2" xfId="25612" xr:uid="{0A1459BC-C699-4D9A-AE41-D485E00DBC4E}"/>
    <cellStyle name="Linked Cell 24 3 2 6 2 2" xfId="25613" xr:uid="{E1E405CA-F467-432F-8C8E-E4E6F98C42DC}"/>
    <cellStyle name="Linked Cell 24 3 2 6 3" xfId="25614" xr:uid="{D4FC6A29-D881-4D53-ACB9-3D3101E2CF43}"/>
    <cellStyle name="Linked Cell 24 3 2 7" xfId="25615" xr:uid="{06DC5F53-73FA-4795-B4C7-F610B3553245}"/>
    <cellStyle name="Linked Cell 24 3 2 7 2" xfId="25616" xr:uid="{5C76FB6D-4C82-4CC5-8AF2-894CD7D3FA7B}"/>
    <cellStyle name="Linked Cell 24 3 2 7 2 2" xfId="25617" xr:uid="{0D34F879-CE1A-4B71-BC21-316C8A65AD76}"/>
    <cellStyle name="Linked Cell 24 3 2 7 3" xfId="25618" xr:uid="{DBB8A84E-594C-4324-868D-10C305150E17}"/>
    <cellStyle name="Linked Cell 24 3 2 8" xfId="25619" xr:uid="{9E0C501D-6164-4D98-8332-8C7E33FC8D20}"/>
    <cellStyle name="Linked Cell 24 3 2 8 2" xfId="25620" xr:uid="{DE4B09FF-4EEB-41F7-B9F2-871265F59CEB}"/>
    <cellStyle name="Linked Cell 24 3 2 8 2 2" xfId="25621" xr:uid="{4C7549E8-391E-4F69-8085-4A91F8057322}"/>
    <cellStyle name="Linked Cell 24 3 2 8 3" xfId="25622" xr:uid="{5EB95357-C50C-485D-8CB2-DD47632FCCDC}"/>
    <cellStyle name="Linked Cell 24 3 2 9" xfId="25623" xr:uid="{36922450-38D1-4E69-A41B-AE3D4B072706}"/>
    <cellStyle name="Linked Cell 24 3 2 9 2" xfId="25624" xr:uid="{5BEC126B-2608-4862-9A06-24E53C75A118}"/>
    <cellStyle name="Linked Cell 24 3 2 9 2 2" xfId="25625" xr:uid="{14EBAC07-C002-4E33-880D-558FAFD29DA1}"/>
    <cellStyle name="Linked Cell 24 3 2 9 3" xfId="25626" xr:uid="{EFD63F33-AF75-4124-B8AF-6D79DB1216E9}"/>
    <cellStyle name="Linked Cell 24 3 3" xfId="25627" xr:uid="{4A79E87A-8B97-4E5F-B42A-BBDB3B104EC6}"/>
    <cellStyle name="Linked Cell 24 3 3 10" xfId="25628" xr:uid="{BA92B70A-1C5B-4103-A881-8D3DC6B31D3F}"/>
    <cellStyle name="Linked Cell 24 3 3 10 2" xfId="25629" xr:uid="{EBE3F3A4-13B7-4D8A-9ABE-A7D8A180BC73}"/>
    <cellStyle name="Linked Cell 24 3 3 10 2 2" xfId="25630" xr:uid="{DAD1E18F-B3F9-42A3-A7B4-014FF8FCFCE1}"/>
    <cellStyle name="Linked Cell 24 3 3 10 3" xfId="25631" xr:uid="{1C16EE5F-ED97-4076-A388-C9BD982669B1}"/>
    <cellStyle name="Linked Cell 24 3 3 11" xfId="25632" xr:uid="{74BD77A1-26A1-4CCF-97BA-F15DB07E3D91}"/>
    <cellStyle name="Linked Cell 24 3 3 11 2" xfId="25633" xr:uid="{89E20BC5-87EB-4D48-A073-87FBA3789E5B}"/>
    <cellStyle name="Linked Cell 24 3 3 12" xfId="25634" xr:uid="{F49D16F4-F400-4C1E-96D4-D422F2DAC42E}"/>
    <cellStyle name="Linked Cell 24 3 3 2" xfId="25635" xr:uid="{03682A46-23E4-471E-A9C7-ADB3100B38E9}"/>
    <cellStyle name="Linked Cell 24 3 3 2 10" xfId="25636" xr:uid="{D94C5C69-92E1-4C29-A918-68F343F3FEC5}"/>
    <cellStyle name="Linked Cell 24 3 3 2 10 2" xfId="25637" xr:uid="{92399742-09FF-4097-B892-C9615241600C}"/>
    <cellStyle name="Linked Cell 24 3 3 2 11" xfId="25638" xr:uid="{28A81B95-6AD5-433D-9C11-C0F161729F1D}"/>
    <cellStyle name="Linked Cell 24 3 3 2 2" xfId="25639" xr:uid="{92B61DDD-0D71-4AAB-A5F7-229D77A0C2E1}"/>
    <cellStyle name="Linked Cell 24 3 3 2 2 2" xfId="25640" xr:uid="{6D24DD4D-7AB0-4547-A868-3D8645D579F2}"/>
    <cellStyle name="Linked Cell 24 3 3 2 2 2 2" xfId="25641" xr:uid="{04B2DC3A-4221-40F8-AE8D-9B6641789A1A}"/>
    <cellStyle name="Linked Cell 24 3 3 2 2 3" xfId="25642" xr:uid="{063F57F4-D3D9-4C98-98C1-B3D5B0FD091A}"/>
    <cellStyle name="Linked Cell 24 3 3 2 3" xfId="25643" xr:uid="{88982F73-5BF9-421D-A4B6-D93EFC9C14EE}"/>
    <cellStyle name="Linked Cell 24 3 3 2 3 2" xfId="25644" xr:uid="{9BBFF025-0C56-4F0A-8F3D-F6705B3F7FC7}"/>
    <cellStyle name="Linked Cell 24 3 3 2 3 2 2" xfId="25645" xr:uid="{FCA12676-6B1E-4C21-8CA4-83BCC83FDEE5}"/>
    <cellStyle name="Linked Cell 24 3 3 2 3 3" xfId="25646" xr:uid="{2FF4B421-53A4-4C22-A546-8EC52E81566B}"/>
    <cellStyle name="Linked Cell 24 3 3 2 4" xfId="25647" xr:uid="{FECCADAB-B592-43D4-807A-0D556DE442FD}"/>
    <cellStyle name="Linked Cell 24 3 3 2 4 2" xfId="25648" xr:uid="{9468E853-2281-444C-AF09-1516451FE049}"/>
    <cellStyle name="Linked Cell 24 3 3 2 4 2 2" xfId="25649" xr:uid="{0B7CDCEE-C550-408B-B18E-0309BB1E7F8B}"/>
    <cellStyle name="Linked Cell 24 3 3 2 4 3" xfId="25650" xr:uid="{134595C9-6FB3-4C22-9B22-98F7651A6B57}"/>
    <cellStyle name="Linked Cell 24 3 3 2 5" xfId="25651" xr:uid="{1C64AC5F-C67A-44DC-87C4-CA88FF9824C5}"/>
    <cellStyle name="Linked Cell 24 3 3 2 5 2" xfId="25652" xr:uid="{2D0F2AAC-3499-4D27-9E79-79877BFFC595}"/>
    <cellStyle name="Linked Cell 24 3 3 2 5 2 2" xfId="25653" xr:uid="{B753CB9F-5F2D-4A49-9D97-A6A45290F28A}"/>
    <cellStyle name="Linked Cell 24 3 3 2 5 3" xfId="25654" xr:uid="{1035259B-2BE4-494C-917D-6ABA66C7E00C}"/>
    <cellStyle name="Linked Cell 24 3 3 2 6" xfId="25655" xr:uid="{820413C2-4CAD-4213-A159-CFEA7DBEA8D8}"/>
    <cellStyle name="Linked Cell 24 3 3 2 6 2" xfId="25656" xr:uid="{E151BECC-1C5B-480E-A730-E6F081BFB3F5}"/>
    <cellStyle name="Linked Cell 24 3 3 2 6 2 2" xfId="25657" xr:uid="{7552205B-B20C-4FEC-B671-745B98ABDE1E}"/>
    <cellStyle name="Linked Cell 24 3 3 2 6 3" xfId="25658" xr:uid="{79663BF9-A6D7-4AFE-810B-736B779B68B5}"/>
    <cellStyle name="Linked Cell 24 3 3 2 7" xfId="25659" xr:uid="{C5037388-15A7-4131-87C3-FA3DB8153F82}"/>
    <cellStyle name="Linked Cell 24 3 3 2 7 2" xfId="25660" xr:uid="{FC5AF7CF-85AD-46E4-AC8D-9480CA14CA5B}"/>
    <cellStyle name="Linked Cell 24 3 3 2 7 2 2" xfId="25661" xr:uid="{BBA3272C-9619-4AE0-A333-03738F1C7B32}"/>
    <cellStyle name="Linked Cell 24 3 3 2 7 3" xfId="25662" xr:uid="{1531CC15-59E9-439C-B33F-BA3437D03384}"/>
    <cellStyle name="Linked Cell 24 3 3 2 8" xfId="25663" xr:uid="{7F10ED1B-EE2C-4A24-ACCA-2DD70807332F}"/>
    <cellStyle name="Linked Cell 24 3 3 2 8 2" xfId="25664" xr:uid="{F70BE8DC-C899-4C6E-8091-F025EA096770}"/>
    <cellStyle name="Linked Cell 24 3 3 2 8 2 2" xfId="25665" xr:uid="{1D8EE04E-DBBB-4ACC-B096-7977654241C9}"/>
    <cellStyle name="Linked Cell 24 3 3 2 8 3" xfId="25666" xr:uid="{D657B354-F574-408C-952E-1F1C25A23DB9}"/>
    <cellStyle name="Linked Cell 24 3 3 2 9" xfId="25667" xr:uid="{DEF8A695-F2E5-4BDF-A1CE-130D16171177}"/>
    <cellStyle name="Linked Cell 24 3 3 2 9 2" xfId="25668" xr:uid="{EEAAE7FA-6A6A-41E3-AB85-36A7C8286B55}"/>
    <cellStyle name="Linked Cell 24 3 3 2 9 2 2" xfId="25669" xr:uid="{2C2D62C6-94CB-434A-BDEC-8BEC32CF086F}"/>
    <cellStyle name="Linked Cell 24 3 3 2 9 3" xfId="25670" xr:uid="{7C08BBBC-E111-4544-98C5-D8C46A73F0EF}"/>
    <cellStyle name="Linked Cell 24 3 3 3" xfId="25671" xr:uid="{590BA222-0E9C-4B16-83A7-1192A830A397}"/>
    <cellStyle name="Linked Cell 24 3 3 3 2" xfId="25672" xr:uid="{D78B53F4-88C9-4003-8616-DA70FDE6AF81}"/>
    <cellStyle name="Linked Cell 24 3 3 3 2 2" xfId="25673" xr:uid="{4AC878C3-7C2C-412D-8651-48204656159D}"/>
    <cellStyle name="Linked Cell 24 3 3 3 3" xfId="25674" xr:uid="{80D31372-7ED2-4DBF-B215-765F773C4DB4}"/>
    <cellStyle name="Linked Cell 24 3 3 4" xfId="25675" xr:uid="{7BF654E1-1A1B-4981-B60D-63E5C8DCFCD8}"/>
    <cellStyle name="Linked Cell 24 3 3 4 2" xfId="25676" xr:uid="{40A456BD-0C05-492A-B117-967C0AC09F97}"/>
    <cellStyle name="Linked Cell 24 3 3 4 2 2" xfId="25677" xr:uid="{C266B761-EBDE-478E-A753-EBDA6B16C4F5}"/>
    <cellStyle name="Linked Cell 24 3 3 4 3" xfId="25678" xr:uid="{987055F1-4474-46DC-8754-D405C2956B57}"/>
    <cellStyle name="Linked Cell 24 3 3 5" xfId="25679" xr:uid="{5CC16E5B-E9C2-4222-8CFD-694FF65CE5A8}"/>
    <cellStyle name="Linked Cell 24 3 3 5 2" xfId="25680" xr:uid="{BD041079-298F-4CFF-9DA9-0B9EB00E9BAA}"/>
    <cellStyle name="Linked Cell 24 3 3 5 2 2" xfId="25681" xr:uid="{031E733F-F81D-4584-A855-BC2887DD05C7}"/>
    <cellStyle name="Linked Cell 24 3 3 5 3" xfId="25682" xr:uid="{5B0B3A9F-853C-44CD-9336-0535DBBF5BF8}"/>
    <cellStyle name="Linked Cell 24 3 3 6" xfId="25683" xr:uid="{2FD79B65-A7D7-4885-AB50-E67DCC217A86}"/>
    <cellStyle name="Linked Cell 24 3 3 6 2" xfId="25684" xr:uid="{1C20EA3D-70B1-411A-BB01-B814F2AAE681}"/>
    <cellStyle name="Linked Cell 24 3 3 6 2 2" xfId="25685" xr:uid="{C197F060-E848-4B3D-B574-1C35C8459089}"/>
    <cellStyle name="Linked Cell 24 3 3 6 3" xfId="25686" xr:uid="{D15EA4DF-8BD3-4883-BF67-48B411258EE3}"/>
    <cellStyle name="Linked Cell 24 3 3 7" xfId="25687" xr:uid="{91CAB54E-73C6-4289-9ABC-49B0F9F27AC9}"/>
    <cellStyle name="Linked Cell 24 3 3 7 2" xfId="25688" xr:uid="{28CB5493-5F90-406F-8271-60A6C4A25F45}"/>
    <cellStyle name="Linked Cell 24 3 3 7 2 2" xfId="25689" xr:uid="{4DBB843A-6E42-463B-8FCB-FF54A21C8D45}"/>
    <cellStyle name="Linked Cell 24 3 3 7 3" xfId="25690" xr:uid="{388E01B4-AE61-4B2B-B06F-10708B9BFB92}"/>
    <cellStyle name="Linked Cell 24 3 3 8" xfId="25691" xr:uid="{70F45DA2-99C1-456F-8F6B-8099A7F6C1CF}"/>
    <cellStyle name="Linked Cell 24 3 3 8 2" xfId="25692" xr:uid="{B639ECB7-42CF-42BE-ABD7-A447CC4C2ABC}"/>
    <cellStyle name="Linked Cell 24 3 3 8 2 2" xfId="25693" xr:uid="{6EA6A77E-9338-4DCF-B3A4-A1800987DAD5}"/>
    <cellStyle name="Linked Cell 24 3 3 8 3" xfId="25694" xr:uid="{0D1A439E-CAAD-416E-9DA9-BBF0E6359D46}"/>
    <cellStyle name="Linked Cell 24 3 3 9" xfId="25695" xr:uid="{B770AEBD-2792-4371-885A-E5F9AE1FA821}"/>
    <cellStyle name="Linked Cell 24 3 3 9 2" xfId="25696" xr:uid="{108CA011-6EFC-49B2-9D32-5B3E71884506}"/>
    <cellStyle name="Linked Cell 24 3 3 9 2 2" xfId="25697" xr:uid="{62589CF2-634C-457C-BBF6-7C3E05AC5AF1}"/>
    <cellStyle name="Linked Cell 24 3 3 9 3" xfId="25698" xr:uid="{F15D2889-74D8-4BE4-8054-8326C2003020}"/>
    <cellStyle name="Linked Cell 24 3 4" xfId="25699" xr:uid="{25382ABF-860C-465C-B582-56A2F737F545}"/>
    <cellStyle name="Linked Cell 24 3 4 10" xfId="25700" xr:uid="{1A456826-E24C-48F2-9FA0-6F4CB0295087}"/>
    <cellStyle name="Linked Cell 24 3 4 10 2" xfId="25701" xr:uid="{6318D429-8DD1-408B-9535-7CBD50F464FD}"/>
    <cellStyle name="Linked Cell 24 3 4 11" xfId="25702" xr:uid="{D0EFFC87-C2FB-48E9-97C7-8C8EA1C0E4C6}"/>
    <cellStyle name="Linked Cell 24 3 4 2" xfId="25703" xr:uid="{92C4047E-612A-483A-88F4-4B9061361227}"/>
    <cellStyle name="Linked Cell 24 3 4 2 2" xfId="25704" xr:uid="{C92C9E4D-2443-4A61-A161-82D8B24D340E}"/>
    <cellStyle name="Linked Cell 24 3 4 2 2 2" xfId="25705" xr:uid="{DBD7BF7E-7041-43ED-B150-BE87F53EAE22}"/>
    <cellStyle name="Linked Cell 24 3 4 2 3" xfId="25706" xr:uid="{D6DF31DD-978E-493D-85C0-C2DDF2038BB7}"/>
    <cellStyle name="Linked Cell 24 3 4 3" xfId="25707" xr:uid="{63F865DD-46BA-42F6-A3C9-B00F6CE86995}"/>
    <cellStyle name="Linked Cell 24 3 4 3 2" xfId="25708" xr:uid="{425503CC-A37D-4FFC-BF8F-29F55689298E}"/>
    <cellStyle name="Linked Cell 24 3 4 3 2 2" xfId="25709" xr:uid="{7FF9F47A-5DF9-436C-9C53-CDA9ABFFDB61}"/>
    <cellStyle name="Linked Cell 24 3 4 3 3" xfId="25710" xr:uid="{8C51AFC5-515A-42BC-BE92-B01FB97003A1}"/>
    <cellStyle name="Linked Cell 24 3 4 4" xfId="25711" xr:uid="{78C3D482-5968-4FED-85B2-97BC8F753220}"/>
    <cellStyle name="Linked Cell 24 3 4 4 2" xfId="25712" xr:uid="{38BDACC2-7C04-4B78-9748-A43B76967E21}"/>
    <cellStyle name="Linked Cell 24 3 4 4 2 2" xfId="25713" xr:uid="{585CF64B-BABD-4711-B189-AB74564307A5}"/>
    <cellStyle name="Linked Cell 24 3 4 4 3" xfId="25714" xr:uid="{B17F041F-BED4-409B-A763-23238C9BED86}"/>
    <cellStyle name="Linked Cell 24 3 4 5" xfId="25715" xr:uid="{A5BB03F5-A338-4BE7-89BE-60A101067AFD}"/>
    <cellStyle name="Linked Cell 24 3 4 5 2" xfId="25716" xr:uid="{6D3A9E57-5D7D-49E9-A10E-067C5C9CF927}"/>
    <cellStyle name="Linked Cell 24 3 4 5 2 2" xfId="25717" xr:uid="{56D8DA98-1A2E-4999-807D-4E1A64E67B8D}"/>
    <cellStyle name="Linked Cell 24 3 4 5 3" xfId="25718" xr:uid="{FEE07F49-4A03-4947-A6FD-426B9F6C0AD6}"/>
    <cellStyle name="Linked Cell 24 3 4 6" xfId="25719" xr:uid="{889F3CE2-4F85-4E79-A5ED-4383A6EF4918}"/>
    <cellStyle name="Linked Cell 24 3 4 6 2" xfId="25720" xr:uid="{A0A87BFD-DA90-4FF8-940B-CFFB4470B7F6}"/>
    <cellStyle name="Linked Cell 24 3 4 6 2 2" xfId="25721" xr:uid="{9C9F7310-F8C4-4BAA-9CF1-A4BCEB1D3E8B}"/>
    <cellStyle name="Linked Cell 24 3 4 6 3" xfId="25722" xr:uid="{F5BBB667-2748-44EA-8D56-D1A739802BA5}"/>
    <cellStyle name="Linked Cell 24 3 4 7" xfId="25723" xr:uid="{01ADB785-52A4-41AE-9D7F-AAAAA6D98E70}"/>
    <cellStyle name="Linked Cell 24 3 4 7 2" xfId="25724" xr:uid="{D73C7C4C-B860-452E-A08A-909136B02619}"/>
    <cellStyle name="Linked Cell 24 3 4 7 2 2" xfId="25725" xr:uid="{18F4DA29-ED20-4DCC-9BE9-050831CDF24C}"/>
    <cellStyle name="Linked Cell 24 3 4 7 3" xfId="25726" xr:uid="{AD6DD340-0BDF-4999-BB35-EE9A31C36260}"/>
    <cellStyle name="Linked Cell 24 3 4 8" xfId="25727" xr:uid="{3473459D-2D9E-4389-8C20-820092D4030C}"/>
    <cellStyle name="Linked Cell 24 3 4 8 2" xfId="25728" xr:uid="{90DEEDC5-045D-448A-9CCE-3FB3AA29F271}"/>
    <cellStyle name="Linked Cell 24 3 4 8 2 2" xfId="25729" xr:uid="{7AB72FD3-9C2E-45B9-9E83-FFC3B7D66233}"/>
    <cellStyle name="Linked Cell 24 3 4 8 3" xfId="25730" xr:uid="{7D0F85C7-D9C2-4E44-9A1A-7123037CB767}"/>
    <cellStyle name="Linked Cell 24 3 4 9" xfId="25731" xr:uid="{E5D1E19B-3674-4E90-8A2A-673572907091}"/>
    <cellStyle name="Linked Cell 24 3 4 9 2" xfId="25732" xr:uid="{7F2A952E-291B-4789-B637-3DFF8D35CC2B}"/>
    <cellStyle name="Linked Cell 24 3 4 9 2 2" xfId="25733" xr:uid="{4879A321-6AAA-4C3E-A6E6-A3E42C5632E1}"/>
    <cellStyle name="Linked Cell 24 3 4 9 3" xfId="25734" xr:uid="{5EB06E7D-0F65-4020-BE98-7D70958ECEAF}"/>
    <cellStyle name="Linked Cell 24 3 5" xfId="25735" xr:uid="{33AD601E-55BC-4995-B0D3-15C7C3800034}"/>
    <cellStyle name="Linked Cell 24 3 5 2" xfId="25736" xr:uid="{5718C8EF-757F-4E7E-9F9E-31F01D7FB939}"/>
    <cellStyle name="Linked Cell 24 3 5 2 2" xfId="25737" xr:uid="{F63DCEFA-B6DC-4320-BB1E-29440BA4A83A}"/>
    <cellStyle name="Linked Cell 24 3 5 3" xfId="25738" xr:uid="{5973120B-5498-4FDD-872F-8CDC5502C6DC}"/>
    <cellStyle name="Linked Cell 24 3 6" xfId="25739" xr:uid="{EB88CC1B-2711-4502-B3ED-8B2D5D72CD35}"/>
    <cellStyle name="Linked Cell 24 3 6 2" xfId="25740" xr:uid="{20E521AA-3238-4ECB-8B27-D31082AD158C}"/>
    <cellStyle name="Linked Cell 24 3 6 2 2" xfId="25741" xr:uid="{A548180B-DCF4-4099-B2C3-2C75653428A2}"/>
    <cellStyle name="Linked Cell 24 3 6 3" xfId="25742" xr:uid="{B475CF96-1BDD-4AAD-83A5-BF0BCFB3C731}"/>
    <cellStyle name="Linked Cell 24 3 7" xfId="25743" xr:uid="{73FE0320-DDE0-4573-BE9B-09C0254F7AB4}"/>
    <cellStyle name="Linked Cell 24 3 7 2" xfId="25744" xr:uid="{A0956C1B-DBF2-4F74-AA31-45CD5EB89B37}"/>
    <cellStyle name="Linked Cell 24 3 7 2 2" xfId="25745" xr:uid="{31A913CA-D562-42A1-89A7-1507C0CD156B}"/>
    <cellStyle name="Linked Cell 24 3 7 3" xfId="25746" xr:uid="{A58EF5AA-40FA-4C83-B2D9-746E134521E0}"/>
    <cellStyle name="Linked Cell 24 3 8" xfId="25747" xr:uid="{C496C3B5-6653-47CA-8FCB-C5BA1362C6B1}"/>
    <cellStyle name="Linked Cell 24 3 8 2" xfId="25748" xr:uid="{2DAA637E-0C2A-44CF-A0BF-9FF1040F7A0D}"/>
    <cellStyle name="Linked Cell 24 3 8 2 2" xfId="25749" xr:uid="{EEAFA976-FB8B-4E61-8FE1-EEA0D5960311}"/>
    <cellStyle name="Linked Cell 24 3 8 3" xfId="25750" xr:uid="{3276C07B-48DA-4BDE-8BC7-961BDB9CE8A1}"/>
    <cellStyle name="Linked Cell 24 3 9" xfId="25751" xr:uid="{B5DA7B7E-DE9D-4077-89B7-6DA1AEDBE4A3}"/>
    <cellStyle name="Linked Cell 24 3 9 2" xfId="25752" xr:uid="{0865B5CB-3810-4AE8-817D-3BBF4E19FF18}"/>
    <cellStyle name="Linked Cell 24 3 9 2 2" xfId="25753" xr:uid="{291A4A59-56FD-48FB-8D5C-0F87C7ABF66F}"/>
    <cellStyle name="Linked Cell 24 3 9 3" xfId="25754" xr:uid="{AC60C886-D292-46D0-B79E-696DF485B1C1}"/>
    <cellStyle name="Linked Cell 24 4" xfId="25755" xr:uid="{A7432887-0F43-4D66-B223-18C224BFB66D}"/>
    <cellStyle name="Linked Cell 24 4 10" xfId="25756" xr:uid="{CC1E2B9C-5C9C-4ECD-98D7-70D3C1BD5F94}"/>
    <cellStyle name="Linked Cell 24 4 10 2" xfId="25757" xr:uid="{FF62DFDA-1A41-42AC-9BF3-9C60DD0DA13D}"/>
    <cellStyle name="Linked Cell 24 4 10 2 2" xfId="25758" xr:uid="{9C5118AC-B578-4C22-80AD-31EB981ECCAE}"/>
    <cellStyle name="Linked Cell 24 4 10 3" xfId="25759" xr:uid="{65FE6A75-43BD-4D1C-A3B3-B76FD1462CA5}"/>
    <cellStyle name="Linked Cell 24 4 11" xfId="25760" xr:uid="{DD1E5F33-51AD-4CB1-829B-391A3DE2A782}"/>
    <cellStyle name="Linked Cell 24 4 11 2" xfId="25761" xr:uid="{18C6E854-843F-4EE5-9BB4-5D3B6773F344}"/>
    <cellStyle name="Linked Cell 24 4 11 2 2" xfId="25762" xr:uid="{C5248007-57A3-4E79-9ACA-F4865085FD67}"/>
    <cellStyle name="Linked Cell 24 4 11 3" xfId="25763" xr:uid="{5EF0E66C-5BA8-4370-BBB4-CEFC2BEE8409}"/>
    <cellStyle name="Linked Cell 24 4 12" xfId="25764" xr:uid="{271E9ECA-EB07-429C-8A45-D921745093E0}"/>
    <cellStyle name="Linked Cell 24 4 12 2" xfId="25765" xr:uid="{2373FCA4-AB35-430F-8FF1-2963589340DD}"/>
    <cellStyle name="Linked Cell 24 4 13" xfId="25766" xr:uid="{BA0FEAEE-3BBE-4C2A-A96A-1DB046734D5D}"/>
    <cellStyle name="Linked Cell 24 4 2" xfId="25767" xr:uid="{5794F2DB-B523-452E-B552-5FCCD76BEB0E}"/>
    <cellStyle name="Linked Cell 24 4 2 10" xfId="25768" xr:uid="{D328F71D-22F5-4675-97F6-24F95F8FAE1A}"/>
    <cellStyle name="Linked Cell 24 4 2 10 2" xfId="25769" xr:uid="{44E9F1F8-5584-44DE-A034-CF6CBCECC298}"/>
    <cellStyle name="Linked Cell 24 4 2 10 2 2" xfId="25770" xr:uid="{51A83619-49DF-407C-B7C8-DFFA8660FF39}"/>
    <cellStyle name="Linked Cell 24 4 2 10 3" xfId="25771" xr:uid="{11076F9E-D6FF-48A9-B416-C1585E1CB457}"/>
    <cellStyle name="Linked Cell 24 4 2 11" xfId="25772" xr:uid="{93B251AF-72AD-480C-874B-920F1A8BB370}"/>
    <cellStyle name="Linked Cell 24 4 2 11 2" xfId="25773" xr:uid="{9B1DFE55-EE6B-4BEB-9A5B-AC938E0F4953}"/>
    <cellStyle name="Linked Cell 24 4 2 12" xfId="25774" xr:uid="{6D381AB0-D83D-45A8-973E-137A03DC97A9}"/>
    <cellStyle name="Linked Cell 24 4 2 2" xfId="25775" xr:uid="{CD12A747-D07F-4AAD-8381-BC83906A045E}"/>
    <cellStyle name="Linked Cell 24 4 2 2 2" xfId="25776" xr:uid="{BD4FC485-2898-45A9-8C4E-ECFB55F4FA5D}"/>
    <cellStyle name="Linked Cell 24 4 2 2 2 2" xfId="25777" xr:uid="{89D78EB6-AEFE-4922-8336-6A37B356CCCA}"/>
    <cellStyle name="Linked Cell 24 4 2 2 3" xfId="25778" xr:uid="{35A5279A-92C2-4821-974C-A060A7C9A670}"/>
    <cellStyle name="Linked Cell 24 4 2 3" xfId="25779" xr:uid="{B93E48C1-070B-4F10-AED3-AEB68B6B8ADD}"/>
    <cellStyle name="Linked Cell 24 4 2 3 2" xfId="25780" xr:uid="{C771C823-8A7D-48AB-8CFE-59D89C3524BE}"/>
    <cellStyle name="Linked Cell 24 4 2 3 2 2" xfId="25781" xr:uid="{FAD8E09A-00D5-4FBA-947D-251EFF4C86EE}"/>
    <cellStyle name="Linked Cell 24 4 2 3 3" xfId="25782" xr:uid="{86E7B7E4-8EC7-4267-A8E9-435B8D925E7D}"/>
    <cellStyle name="Linked Cell 24 4 2 4" xfId="25783" xr:uid="{523B492D-4711-4DD1-8279-34B6CFC634B5}"/>
    <cellStyle name="Linked Cell 24 4 2 4 2" xfId="25784" xr:uid="{EBBD42CB-4EEE-4E77-A6FE-C933947FA257}"/>
    <cellStyle name="Linked Cell 24 4 2 4 2 2" xfId="25785" xr:uid="{7D190656-1AB0-4559-A20A-FC5293E508E6}"/>
    <cellStyle name="Linked Cell 24 4 2 4 3" xfId="25786" xr:uid="{079794B8-6AC2-4425-87A0-EE82CFAD6168}"/>
    <cellStyle name="Linked Cell 24 4 2 5" xfId="25787" xr:uid="{82F9D659-69B2-4F00-A0A1-44E51F76FFDB}"/>
    <cellStyle name="Linked Cell 24 4 2 5 2" xfId="25788" xr:uid="{8F5358FF-CB31-492B-B222-D3B183DE51B9}"/>
    <cellStyle name="Linked Cell 24 4 2 5 2 2" xfId="25789" xr:uid="{AD00E0F8-55A5-4F78-85D4-14161D3B4941}"/>
    <cellStyle name="Linked Cell 24 4 2 5 3" xfId="25790" xr:uid="{BC81A256-D7A8-4257-BBED-455EABF07328}"/>
    <cellStyle name="Linked Cell 24 4 2 6" xfId="25791" xr:uid="{738A5106-4F9D-4DCE-AC08-623A212FF716}"/>
    <cellStyle name="Linked Cell 24 4 2 6 2" xfId="25792" xr:uid="{ABBB6E4E-35EB-4080-9F75-E3D3477E8B22}"/>
    <cellStyle name="Linked Cell 24 4 2 6 2 2" xfId="25793" xr:uid="{B840D97D-4ECF-4AE7-8000-B0A3F85BCE6A}"/>
    <cellStyle name="Linked Cell 24 4 2 6 3" xfId="25794" xr:uid="{72B03914-9CDE-4538-B15A-1FA27E5045D6}"/>
    <cellStyle name="Linked Cell 24 4 2 7" xfId="25795" xr:uid="{1082472A-D84A-4D7A-B4C6-4C7CD572E635}"/>
    <cellStyle name="Linked Cell 24 4 2 7 2" xfId="25796" xr:uid="{23342993-607A-4840-98F1-3EFA150D7348}"/>
    <cellStyle name="Linked Cell 24 4 2 7 2 2" xfId="25797" xr:uid="{45A42D2E-C47C-4602-B8A7-27BFC7710813}"/>
    <cellStyle name="Linked Cell 24 4 2 7 3" xfId="25798" xr:uid="{BABDC033-71DD-40D0-9E7D-A4392F03F957}"/>
    <cellStyle name="Linked Cell 24 4 2 8" xfId="25799" xr:uid="{65C7F6C7-1792-44D3-9CF4-B26ACA0CAC86}"/>
    <cellStyle name="Linked Cell 24 4 2 8 2" xfId="25800" xr:uid="{F6B7A0F6-5FAB-4C09-B981-40E248578171}"/>
    <cellStyle name="Linked Cell 24 4 2 8 2 2" xfId="25801" xr:uid="{7C719078-8850-42A7-BAAF-CE63FC39B38D}"/>
    <cellStyle name="Linked Cell 24 4 2 8 3" xfId="25802" xr:uid="{16668C6C-C22F-44C8-BC6D-DC33C2ABF6E5}"/>
    <cellStyle name="Linked Cell 24 4 2 9" xfId="25803" xr:uid="{DF3B4BA3-46D9-403D-9CA8-E63B32D9B534}"/>
    <cellStyle name="Linked Cell 24 4 2 9 2" xfId="25804" xr:uid="{DB91E8CB-DBDA-4B8D-963E-1F564D4917E0}"/>
    <cellStyle name="Linked Cell 24 4 2 9 2 2" xfId="25805" xr:uid="{9CB573D8-318D-44C3-85BE-147589183B7F}"/>
    <cellStyle name="Linked Cell 24 4 2 9 3" xfId="25806" xr:uid="{C8FC8001-C163-4E77-A826-A830DA52CDDE}"/>
    <cellStyle name="Linked Cell 24 4 3" xfId="25807" xr:uid="{D1B6956E-53F0-4E71-9531-EF686FBAECB3}"/>
    <cellStyle name="Linked Cell 24 4 3 10" xfId="25808" xr:uid="{2057B650-2C5C-4442-B1C8-CFEA64A8892B}"/>
    <cellStyle name="Linked Cell 24 4 3 10 2" xfId="25809" xr:uid="{C0AFDC67-6FDE-48FE-93C8-BCEE52AB47B7}"/>
    <cellStyle name="Linked Cell 24 4 3 11" xfId="25810" xr:uid="{B10D4E07-B402-4927-864C-EC926E4BBFDC}"/>
    <cellStyle name="Linked Cell 24 4 3 2" xfId="25811" xr:uid="{ED9604A6-8B00-4049-9392-2B3574B723CD}"/>
    <cellStyle name="Linked Cell 24 4 3 2 2" xfId="25812" xr:uid="{269F90F0-0E57-4DF9-B1B7-8B211A691E21}"/>
    <cellStyle name="Linked Cell 24 4 3 2 2 2" xfId="25813" xr:uid="{28CDA3A3-9E78-430C-93B1-B1ED0F5F3827}"/>
    <cellStyle name="Linked Cell 24 4 3 2 3" xfId="25814" xr:uid="{98FFF557-41E0-42EE-B06B-C03595E266A5}"/>
    <cellStyle name="Linked Cell 24 4 3 3" xfId="25815" xr:uid="{528D65F8-221F-4C3C-98C0-E6C685D556A9}"/>
    <cellStyle name="Linked Cell 24 4 3 3 2" xfId="25816" xr:uid="{20601D1B-A994-4963-A8C1-4C04B73FB4D0}"/>
    <cellStyle name="Linked Cell 24 4 3 3 2 2" xfId="25817" xr:uid="{605FDE29-E67F-4779-A628-7150A16D7348}"/>
    <cellStyle name="Linked Cell 24 4 3 3 3" xfId="25818" xr:uid="{BC86E4C9-5B2F-424E-B1A6-DE57483F6BAD}"/>
    <cellStyle name="Linked Cell 24 4 3 4" xfId="25819" xr:uid="{92AAE155-2DFD-417D-9012-9160CACF728C}"/>
    <cellStyle name="Linked Cell 24 4 3 4 2" xfId="25820" xr:uid="{5187EDDA-47CC-4F13-8728-60BD00DE6D64}"/>
    <cellStyle name="Linked Cell 24 4 3 4 2 2" xfId="25821" xr:uid="{FD86D4FF-8F41-48D2-8847-709D6AB63584}"/>
    <cellStyle name="Linked Cell 24 4 3 4 3" xfId="25822" xr:uid="{30DD8148-CE03-40AE-9F54-C530FB868299}"/>
    <cellStyle name="Linked Cell 24 4 3 5" xfId="25823" xr:uid="{E62AEA74-8856-4916-A981-E77D74E6AEFE}"/>
    <cellStyle name="Linked Cell 24 4 3 5 2" xfId="25824" xr:uid="{17351709-2FA3-4F99-A2FF-702A9817775F}"/>
    <cellStyle name="Linked Cell 24 4 3 5 2 2" xfId="25825" xr:uid="{1303E856-7BBC-446C-B451-F66B2EFEAAB0}"/>
    <cellStyle name="Linked Cell 24 4 3 5 3" xfId="25826" xr:uid="{58EDEE35-00CF-467C-8C58-B8C102042372}"/>
    <cellStyle name="Linked Cell 24 4 3 6" xfId="25827" xr:uid="{0766F252-3BE0-4B87-8421-FE7DCA92AF29}"/>
    <cellStyle name="Linked Cell 24 4 3 6 2" xfId="25828" xr:uid="{73879A0B-7905-4473-9AE1-5A748A9733B9}"/>
    <cellStyle name="Linked Cell 24 4 3 6 2 2" xfId="25829" xr:uid="{559B8601-00D4-4AC8-B9BA-7509198F4FEF}"/>
    <cellStyle name="Linked Cell 24 4 3 6 3" xfId="25830" xr:uid="{CA633FC0-83D0-4141-8803-1628F98B9FBB}"/>
    <cellStyle name="Linked Cell 24 4 3 7" xfId="25831" xr:uid="{3DE7EB56-B692-416C-8C5D-3B97FE4A2D85}"/>
    <cellStyle name="Linked Cell 24 4 3 7 2" xfId="25832" xr:uid="{2D46E911-0E2A-44BC-878E-817FF7EDD0EF}"/>
    <cellStyle name="Linked Cell 24 4 3 7 2 2" xfId="25833" xr:uid="{DF82BB07-8DB8-4604-99EA-CB3EDB57EEC9}"/>
    <cellStyle name="Linked Cell 24 4 3 7 3" xfId="25834" xr:uid="{6AC668F7-4279-4267-9445-5E065E9A6CB9}"/>
    <cellStyle name="Linked Cell 24 4 3 8" xfId="25835" xr:uid="{A8979748-CA53-410B-95DD-D620BCF8B58A}"/>
    <cellStyle name="Linked Cell 24 4 3 8 2" xfId="25836" xr:uid="{B00117E2-C3BB-44C4-8B7C-986C3AEE8E9D}"/>
    <cellStyle name="Linked Cell 24 4 3 8 2 2" xfId="25837" xr:uid="{789443B0-3512-41F8-9524-9939CC393F53}"/>
    <cellStyle name="Linked Cell 24 4 3 8 3" xfId="25838" xr:uid="{4D5648DD-E343-4391-99F3-187CDD75D939}"/>
    <cellStyle name="Linked Cell 24 4 3 9" xfId="25839" xr:uid="{C964037D-A51D-4542-9C21-D41E7CD44CCC}"/>
    <cellStyle name="Linked Cell 24 4 3 9 2" xfId="25840" xr:uid="{F7883F98-093A-4B36-A080-9D19A593F66D}"/>
    <cellStyle name="Linked Cell 24 4 3 9 2 2" xfId="25841" xr:uid="{5CD54D7D-C4DA-4ECE-BD53-C71574570F1B}"/>
    <cellStyle name="Linked Cell 24 4 3 9 3" xfId="25842" xr:uid="{3003E1EC-23DA-48EC-B901-ACBABBD09436}"/>
    <cellStyle name="Linked Cell 24 4 4" xfId="25843" xr:uid="{F823A2CC-1617-4E77-B32E-BECA2E85FD04}"/>
    <cellStyle name="Linked Cell 24 4 4 2" xfId="25844" xr:uid="{86AA8A99-AB19-4F37-A8C0-0AD30F19D2CF}"/>
    <cellStyle name="Linked Cell 24 4 4 2 2" xfId="25845" xr:uid="{0B8A409F-A24A-45E7-8A23-DC25A6415525}"/>
    <cellStyle name="Linked Cell 24 4 4 3" xfId="25846" xr:uid="{58CC01B4-6BFB-4A5C-8CAE-9F4261DA2733}"/>
    <cellStyle name="Linked Cell 24 4 5" xfId="25847" xr:uid="{41307B27-7AEB-44B4-9E5B-14A3D6C00CBC}"/>
    <cellStyle name="Linked Cell 24 4 5 2" xfId="25848" xr:uid="{B6555C7C-0B18-41B9-B5D7-39669B0C087E}"/>
    <cellStyle name="Linked Cell 24 4 5 2 2" xfId="25849" xr:uid="{010D6429-EAFD-4257-B249-C305F5EC6E79}"/>
    <cellStyle name="Linked Cell 24 4 5 3" xfId="25850" xr:uid="{9003300A-8F2D-4A59-B38D-9E0890F353B9}"/>
    <cellStyle name="Linked Cell 24 4 6" xfId="25851" xr:uid="{8EDB0B4E-B8AA-4F05-AFA3-0181C47F47D3}"/>
    <cellStyle name="Linked Cell 24 4 6 2" xfId="25852" xr:uid="{9B60A993-B838-4353-9CF1-F5DDBE1A10E4}"/>
    <cellStyle name="Linked Cell 24 4 6 2 2" xfId="25853" xr:uid="{FCD8C308-C0B5-4293-B17F-E20D822FFCD6}"/>
    <cellStyle name="Linked Cell 24 4 6 3" xfId="25854" xr:uid="{101DACA1-3555-4D42-BC7F-6463B955EF5E}"/>
    <cellStyle name="Linked Cell 24 4 7" xfId="25855" xr:uid="{07F39A6E-B030-4BB1-B87E-0AEF8AE175AB}"/>
    <cellStyle name="Linked Cell 24 4 7 2" xfId="25856" xr:uid="{614EFFED-04D6-4ED7-8049-D91BE3EF849A}"/>
    <cellStyle name="Linked Cell 24 4 7 2 2" xfId="25857" xr:uid="{4F92E003-0E7D-4525-B544-201D92C67207}"/>
    <cellStyle name="Linked Cell 24 4 7 3" xfId="25858" xr:uid="{BA24090C-476A-485D-B9D0-D3B9EB99221F}"/>
    <cellStyle name="Linked Cell 24 4 8" xfId="25859" xr:uid="{9E4C555F-7BC3-4B8C-8C3D-33B9D561A56E}"/>
    <cellStyle name="Linked Cell 24 4 8 2" xfId="25860" xr:uid="{4FFB27AA-ABA8-443D-A44D-690236B16D4F}"/>
    <cellStyle name="Linked Cell 24 4 8 2 2" xfId="25861" xr:uid="{A0FD35B1-760F-4F65-A3D0-8B651025B25E}"/>
    <cellStyle name="Linked Cell 24 4 8 3" xfId="25862" xr:uid="{0FF049A7-F58D-45D2-B6E4-BCBF6FC005ED}"/>
    <cellStyle name="Linked Cell 24 4 9" xfId="25863" xr:uid="{C9B1A356-C6C8-4F5C-A1AE-A752BEF83842}"/>
    <cellStyle name="Linked Cell 24 4 9 2" xfId="25864" xr:uid="{18D92A8F-4906-4F67-B4E4-CD82A60B713D}"/>
    <cellStyle name="Linked Cell 24 4 9 2 2" xfId="25865" xr:uid="{13B0C6EC-D0C0-4555-ABB1-946DF0C336BE}"/>
    <cellStyle name="Linked Cell 24 4 9 3" xfId="25866" xr:uid="{02C13BC8-0E31-40C0-9E15-61B2AF13EAE2}"/>
    <cellStyle name="Linked Cell 25" xfId="25867" xr:uid="{C23D82C3-2D4B-4800-9D09-8BE2D32EDEC5}"/>
    <cellStyle name="Linked Cell 25 2" xfId="25868" xr:uid="{BE0EC247-90CF-4AFA-BACC-A83EC5BA6B55}"/>
    <cellStyle name="Linked Cell 25 2 10" xfId="25869" xr:uid="{BD7DEF9E-77E8-428F-B841-9CD4F223A0D9}"/>
    <cellStyle name="Linked Cell 25 2 10 2" xfId="25870" xr:uid="{CC79DD4E-2100-4FFF-9446-8CD550A6AB01}"/>
    <cellStyle name="Linked Cell 25 2 10 2 2" xfId="25871" xr:uid="{183BD033-25B2-48EB-BB4D-CBE4A90DE4BB}"/>
    <cellStyle name="Linked Cell 25 2 10 3" xfId="25872" xr:uid="{82E7D0D9-A8EF-4F8A-8FE9-7B8D9904D463}"/>
    <cellStyle name="Linked Cell 25 2 11" xfId="25873" xr:uid="{11C624C1-A0A7-4BAD-94D5-4D65311E97F0}"/>
    <cellStyle name="Linked Cell 25 2 11 2" xfId="25874" xr:uid="{CB106EA0-FA62-49EC-ACCC-2C51FD82A682}"/>
    <cellStyle name="Linked Cell 25 2 11 2 2" xfId="25875" xr:uid="{2F3A2563-77BA-4654-9C7D-F4CBD02A1894}"/>
    <cellStyle name="Linked Cell 25 2 11 3" xfId="25876" xr:uid="{F2AB5873-C53D-4D8B-8760-CAE4B8E64C8C}"/>
    <cellStyle name="Linked Cell 25 2 12" xfId="25877" xr:uid="{B927E4BC-F45F-4D32-BD90-7541D1AEED9C}"/>
    <cellStyle name="Linked Cell 25 2 12 2" xfId="25878" xr:uid="{BF307456-BB54-4087-93BF-361AB6FE15F9}"/>
    <cellStyle name="Linked Cell 25 2 12 2 2" xfId="25879" xr:uid="{33B56384-6317-4A06-B30A-4E614E0301E6}"/>
    <cellStyle name="Linked Cell 25 2 12 3" xfId="25880" xr:uid="{7947CE40-9921-415A-8B35-B5E655773948}"/>
    <cellStyle name="Linked Cell 25 2 13" xfId="25881" xr:uid="{3E506217-51C9-4F06-82E8-108FD4C2C72D}"/>
    <cellStyle name="Linked Cell 25 2 13 2" xfId="25882" xr:uid="{C5F959C8-4C5F-4024-BA0E-DE29951AEFFB}"/>
    <cellStyle name="Linked Cell 25 2 13 2 2" xfId="25883" xr:uid="{000A9A53-6D11-4BE7-A874-3E071A7537A3}"/>
    <cellStyle name="Linked Cell 25 2 13 3" xfId="25884" xr:uid="{FF6B8982-CA51-48DD-A8CC-91B49DC75136}"/>
    <cellStyle name="Linked Cell 25 2 14" xfId="25885" xr:uid="{AC158913-EA58-48EB-87FC-C030F146C473}"/>
    <cellStyle name="Linked Cell 25 2 14 2" xfId="25886" xr:uid="{BB205700-DB01-4C8A-8D08-0498E5E8106A}"/>
    <cellStyle name="Linked Cell 25 2 15" xfId="25887" xr:uid="{A2F80C16-0D76-4D39-81E7-DFB19F94F5E0}"/>
    <cellStyle name="Linked Cell 25 2 2" xfId="25888" xr:uid="{3A0E3CC5-1B8F-4093-B09D-CB7DB905BEA7}"/>
    <cellStyle name="Linked Cell 25 2 2 10" xfId="25889" xr:uid="{354E10E3-52F9-4E03-AF32-D2E0C213F893}"/>
    <cellStyle name="Linked Cell 25 2 2 10 2" xfId="25890" xr:uid="{DEDBCABC-D183-44C4-ADBB-B19B23722328}"/>
    <cellStyle name="Linked Cell 25 2 2 10 2 2" xfId="25891" xr:uid="{E3CB0B61-F7F8-4C4E-B05C-446CCD53FB7F}"/>
    <cellStyle name="Linked Cell 25 2 2 10 3" xfId="25892" xr:uid="{11E4F658-9B23-4349-800E-14C9652EB6D7}"/>
    <cellStyle name="Linked Cell 25 2 2 11" xfId="25893" xr:uid="{54E8024C-324E-41E6-809D-B80564889023}"/>
    <cellStyle name="Linked Cell 25 2 2 11 2" xfId="25894" xr:uid="{C77FBAC7-7FA6-4FCF-A93C-815FFB4CAA6E}"/>
    <cellStyle name="Linked Cell 25 2 2 11 2 2" xfId="25895" xr:uid="{DA647CC2-3EA6-482E-8AF2-0D7DA00EA7FA}"/>
    <cellStyle name="Linked Cell 25 2 2 11 3" xfId="25896" xr:uid="{267C8358-2786-4E76-BDCA-E46BF4C1C413}"/>
    <cellStyle name="Linked Cell 25 2 2 12" xfId="25897" xr:uid="{2199482D-5720-4701-BA0E-39CA9BA378E0}"/>
    <cellStyle name="Linked Cell 25 2 2 12 2" xfId="25898" xr:uid="{7C2446BF-C317-468A-9684-B200F9335289}"/>
    <cellStyle name="Linked Cell 25 2 2 12 2 2" xfId="25899" xr:uid="{9879B582-1390-49FC-A403-89A4DFE4B5F6}"/>
    <cellStyle name="Linked Cell 25 2 2 12 3" xfId="25900" xr:uid="{E60DCC35-1D31-4799-9909-C64A1ED23CCD}"/>
    <cellStyle name="Linked Cell 25 2 2 13" xfId="25901" xr:uid="{B7580D93-CD80-4699-BC4F-737E74E5DA22}"/>
    <cellStyle name="Linked Cell 25 2 2 13 2" xfId="25902" xr:uid="{C9EE9A69-C335-43AE-BA21-F1855B2159D4}"/>
    <cellStyle name="Linked Cell 25 2 2 14" xfId="25903" xr:uid="{6F7424CD-69AE-4966-9727-735AF21747BA}"/>
    <cellStyle name="Linked Cell 25 2 2 2" xfId="25904" xr:uid="{098A4DCC-77C7-4626-ADA2-4D6D61A5CF49}"/>
    <cellStyle name="Linked Cell 25 2 2 2 10" xfId="25905" xr:uid="{AF234EC4-51D9-42A8-A382-D6A000E3A802}"/>
    <cellStyle name="Linked Cell 25 2 2 2 10 2" xfId="25906" xr:uid="{8D5F9270-E0B9-454B-A1D2-F09848994DB4}"/>
    <cellStyle name="Linked Cell 25 2 2 2 10 2 2" xfId="25907" xr:uid="{C6C62B61-2453-422D-BAC8-60B3B67C6E28}"/>
    <cellStyle name="Linked Cell 25 2 2 2 10 3" xfId="25908" xr:uid="{3F045D3E-4056-4DA2-B285-4AA528D56A2D}"/>
    <cellStyle name="Linked Cell 25 2 2 2 11" xfId="25909" xr:uid="{180985CD-9EB6-4A3C-B22C-577314FDBF36}"/>
    <cellStyle name="Linked Cell 25 2 2 2 11 2" xfId="25910" xr:uid="{D19F5569-CC05-403C-B826-65F458963FE4}"/>
    <cellStyle name="Linked Cell 25 2 2 2 11 2 2" xfId="25911" xr:uid="{607FF54C-F4D2-4B20-BF59-69956963D94C}"/>
    <cellStyle name="Linked Cell 25 2 2 2 11 3" xfId="25912" xr:uid="{7CB0A917-D574-4802-9C74-7797FA1D9D7B}"/>
    <cellStyle name="Linked Cell 25 2 2 2 12" xfId="25913" xr:uid="{DC884547-0CD7-414C-B493-6894B48373AE}"/>
    <cellStyle name="Linked Cell 25 2 2 2 12 2" xfId="25914" xr:uid="{19B7A18C-E285-4F72-9648-ADB497620396}"/>
    <cellStyle name="Linked Cell 25 2 2 2 13" xfId="25915" xr:uid="{94A50109-E82D-43AC-80A9-F7A5207D6DC1}"/>
    <cellStyle name="Linked Cell 25 2 2 2 2" xfId="25916" xr:uid="{746C9CB6-303B-423C-9FC7-F4504DB6261E}"/>
    <cellStyle name="Linked Cell 25 2 2 2 2 10" xfId="25917" xr:uid="{CF42FFD1-75B9-40CB-9127-3FC8596E1B6D}"/>
    <cellStyle name="Linked Cell 25 2 2 2 2 10 2" xfId="25918" xr:uid="{3A86AE79-E75F-4DCA-8735-169E29333317}"/>
    <cellStyle name="Linked Cell 25 2 2 2 2 10 2 2" xfId="25919" xr:uid="{CCBCA458-E870-4427-A1B2-6D27695E90C5}"/>
    <cellStyle name="Linked Cell 25 2 2 2 2 10 3" xfId="25920" xr:uid="{AD2B6898-A40A-4C05-B640-69E2FCA6ADC8}"/>
    <cellStyle name="Linked Cell 25 2 2 2 2 11" xfId="25921" xr:uid="{3F6BC68C-6F90-423E-AE10-3291A60CE4B9}"/>
    <cellStyle name="Linked Cell 25 2 2 2 2 11 2" xfId="25922" xr:uid="{67B74A32-C77E-4EA1-9E78-DDF12F9B30BD}"/>
    <cellStyle name="Linked Cell 25 2 2 2 2 12" xfId="25923" xr:uid="{8E0E513C-B6BE-46CD-B51E-376A487F158D}"/>
    <cellStyle name="Linked Cell 25 2 2 2 2 2" xfId="25924" xr:uid="{787A4DCD-A0CE-4826-A850-46FF00385FEF}"/>
    <cellStyle name="Linked Cell 25 2 2 2 2 2 2" xfId="25925" xr:uid="{0EABB04F-2DFA-4FF6-BC4C-6D1A2C0FE9D7}"/>
    <cellStyle name="Linked Cell 25 2 2 2 2 2 2 2" xfId="25926" xr:uid="{D1A9E2D5-98F9-47CC-A78B-7D5F56ABCB3B}"/>
    <cellStyle name="Linked Cell 25 2 2 2 2 2 3" xfId="25927" xr:uid="{A8024A41-D3BC-41E9-ABEF-BCA46809DAFC}"/>
    <cellStyle name="Linked Cell 25 2 2 2 2 3" xfId="25928" xr:uid="{2776DDA1-9E5B-4FA2-80A0-EA932F8838D9}"/>
    <cellStyle name="Linked Cell 25 2 2 2 2 3 2" xfId="25929" xr:uid="{D29F4A8E-1BC6-481E-8978-ADB3980B7251}"/>
    <cellStyle name="Linked Cell 25 2 2 2 2 3 2 2" xfId="25930" xr:uid="{4C8AC646-F60C-4CE9-B490-9FD3C884ED4A}"/>
    <cellStyle name="Linked Cell 25 2 2 2 2 3 3" xfId="25931" xr:uid="{59A169FF-9AD9-4F0A-9D44-9D6846E243BF}"/>
    <cellStyle name="Linked Cell 25 2 2 2 2 4" xfId="25932" xr:uid="{35E37071-493D-4205-933B-CE9B1E8C787C}"/>
    <cellStyle name="Linked Cell 25 2 2 2 2 4 2" xfId="25933" xr:uid="{B3C9A105-1D31-42EE-A3A6-5F2EF8DE9888}"/>
    <cellStyle name="Linked Cell 25 2 2 2 2 4 2 2" xfId="25934" xr:uid="{F80AF746-7AE5-4EA0-9EF8-39782AD0BAF9}"/>
    <cellStyle name="Linked Cell 25 2 2 2 2 4 3" xfId="25935" xr:uid="{3F9B32A8-1320-418B-BBEC-D75ADECE7AF3}"/>
    <cellStyle name="Linked Cell 25 2 2 2 2 5" xfId="25936" xr:uid="{6DB2E988-721E-44CE-94CE-98761777D480}"/>
    <cellStyle name="Linked Cell 25 2 2 2 2 5 2" xfId="25937" xr:uid="{E859E6F7-CF83-47CC-8782-31D043142086}"/>
    <cellStyle name="Linked Cell 25 2 2 2 2 5 2 2" xfId="25938" xr:uid="{C5C74F47-78B5-4604-9782-46BCF9B30021}"/>
    <cellStyle name="Linked Cell 25 2 2 2 2 5 3" xfId="25939" xr:uid="{F47A00E2-4314-4951-B428-310507C82576}"/>
    <cellStyle name="Linked Cell 25 2 2 2 2 6" xfId="25940" xr:uid="{450154E4-B786-42F9-992F-C1FFA24FAD9E}"/>
    <cellStyle name="Linked Cell 25 2 2 2 2 6 2" xfId="25941" xr:uid="{B29FC5FF-AA35-4085-8FB4-46DA2BA4F319}"/>
    <cellStyle name="Linked Cell 25 2 2 2 2 6 2 2" xfId="25942" xr:uid="{05AC90EA-FC9C-4FCF-AD90-64C7AA3BD813}"/>
    <cellStyle name="Linked Cell 25 2 2 2 2 6 3" xfId="25943" xr:uid="{DA945D75-79F7-4565-BEC1-17FF0CD85B59}"/>
    <cellStyle name="Linked Cell 25 2 2 2 2 7" xfId="25944" xr:uid="{F46AED1C-4091-40D4-8A35-11E32A358B30}"/>
    <cellStyle name="Linked Cell 25 2 2 2 2 7 2" xfId="25945" xr:uid="{AB136B59-E7A5-4CF1-9A6F-0A1CB7F30F08}"/>
    <cellStyle name="Linked Cell 25 2 2 2 2 7 2 2" xfId="25946" xr:uid="{2D8AB3DE-44BF-45B8-A26A-A0CCDF3A0056}"/>
    <cellStyle name="Linked Cell 25 2 2 2 2 7 3" xfId="25947" xr:uid="{69B5B547-33DD-41C6-9A83-30FBD178AD71}"/>
    <cellStyle name="Linked Cell 25 2 2 2 2 8" xfId="25948" xr:uid="{657DED22-80CB-4A39-83DB-AA8CE4F0307A}"/>
    <cellStyle name="Linked Cell 25 2 2 2 2 8 2" xfId="25949" xr:uid="{AD35BFE9-E087-4383-BFE2-9DA826621AA8}"/>
    <cellStyle name="Linked Cell 25 2 2 2 2 8 2 2" xfId="25950" xr:uid="{1F5932F7-4389-43F5-9ED3-BD82FAFF79A6}"/>
    <cellStyle name="Linked Cell 25 2 2 2 2 8 3" xfId="25951" xr:uid="{C0FD6136-8E08-4826-9FF5-F87A51ABC722}"/>
    <cellStyle name="Linked Cell 25 2 2 2 2 9" xfId="25952" xr:uid="{CD85E2E4-B844-48B6-A928-455362E98CC2}"/>
    <cellStyle name="Linked Cell 25 2 2 2 2 9 2" xfId="25953" xr:uid="{449C5944-F537-41A0-9354-D3FD22F23FDB}"/>
    <cellStyle name="Linked Cell 25 2 2 2 2 9 2 2" xfId="25954" xr:uid="{3400A8D7-8C76-48EE-BDE9-B74837E82D11}"/>
    <cellStyle name="Linked Cell 25 2 2 2 2 9 3" xfId="25955" xr:uid="{6AF958E6-B665-490A-9B4F-BC9D52CA1CA8}"/>
    <cellStyle name="Linked Cell 25 2 2 2 3" xfId="25956" xr:uid="{3879496C-EC74-4560-B147-8F70A9197FAA}"/>
    <cellStyle name="Linked Cell 25 2 2 2 3 10" xfId="25957" xr:uid="{9BECF294-567C-4F0E-83DC-CEBFEFF667C4}"/>
    <cellStyle name="Linked Cell 25 2 2 2 3 10 2" xfId="25958" xr:uid="{8287362E-C259-4196-84B1-1C06CE8C59DE}"/>
    <cellStyle name="Linked Cell 25 2 2 2 3 11" xfId="25959" xr:uid="{C22D3521-94B1-414E-958A-1A1795A93D06}"/>
    <cellStyle name="Linked Cell 25 2 2 2 3 2" xfId="25960" xr:uid="{C390E756-10FD-45E9-9F54-74E4E261B7D3}"/>
    <cellStyle name="Linked Cell 25 2 2 2 3 2 2" xfId="25961" xr:uid="{742A5D46-B3EE-4D72-9E5D-F9082803BF10}"/>
    <cellStyle name="Linked Cell 25 2 2 2 3 2 2 2" xfId="25962" xr:uid="{C86A198A-AC3E-4CDE-98F5-51CF57D74FD6}"/>
    <cellStyle name="Linked Cell 25 2 2 2 3 2 3" xfId="25963" xr:uid="{A721498B-36A2-40DF-936C-C6CF005BD44E}"/>
    <cellStyle name="Linked Cell 25 2 2 2 3 3" xfId="25964" xr:uid="{CC3A50E0-CAE5-444E-B8E2-318A90934E17}"/>
    <cellStyle name="Linked Cell 25 2 2 2 3 3 2" xfId="25965" xr:uid="{ED8E42B9-5EE8-490D-AB89-44A9FBAD9D30}"/>
    <cellStyle name="Linked Cell 25 2 2 2 3 3 2 2" xfId="25966" xr:uid="{644020BB-08F9-4145-8D80-2CA578C0A8D1}"/>
    <cellStyle name="Linked Cell 25 2 2 2 3 3 3" xfId="25967" xr:uid="{55BD39BF-D551-45B0-8837-9168921D2BD1}"/>
    <cellStyle name="Linked Cell 25 2 2 2 3 4" xfId="25968" xr:uid="{86C4F1C6-211A-4D92-8421-51EACC95C1DF}"/>
    <cellStyle name="Linked Cell 25 2 2 2 3 4 2" xfId="25969" xr:uid="{1B376374-EBB2-41B5-9C2F-A364F6937A61}"/>
    <cellStyle name="Linked Cell 25 2 2 2 3 4 2 2" xfId="25970" xr:uid="{1356D3D6-09D0-45F8-AA38-3C87BEA0199C}"/>
    <cellStyle name="Linked Cell 25 2 2 2 3 4 3" xfId="25971" xr:uid="{FA62FD7E-7152-4ABE-A820-F452BCC05DF4}"/>
    <cellStyle name="Linked Cell 25 2 2 2 3 5" xfId="25972" xr:uid="{3E677178-D8F5-4163-A9DA-B3E84E0DDBAF}"/>
    <cellStyle name="Linked Cell 25 2 2 2 3 5 2" xfId="25973" xr:uid="{D88527BB-BAAC-481A-9E1B-EBB70C32478C}"/>
    <cellStyle name="Linked Cell 25 2 2 2 3 5 2 2" xfId="25974" xr:uid="{E220FCE2-EC27-4638-B533-CFED9AC4417C}"/>
    <cellStyle name="Linked Cell 25 2 2 2 3 5 3" xfId="25975" xr:uid="{C540DC05-66F6-4C62-975A-4C0E0C0CDD0F}"/>
    <cellStyle name="Linked Cell 25 2 2 2 3 6" xfId="25976" xr:uid="{0FF9F2CD-D9A5-42B9-97DA-22DFE272E291}"/>
    <cellStyle name="Linked Cell 25 2 2 2 3 6 2" xfId="25977" xr:uid="{A23AFA7A-C94E-4616-BC3C-77C53F03D80F}"/>
    <cellStyle name="Linked Cell 25 2 2 2 3 6 2 2" xfId="25978" xr:uid="{AC5CB97E-48BF-41A8-90F5-355510428907}"/>
    <cellStyle name="Linked Cell 25 2 2 2 3 6 3" xfId="25979" xr:uid="{25927DEB-454A-4508-8663-0A7BEBD781E8}"/>
    <cellStyle name="Linked Cell 25 2 2 2 3 7" xfId="25980" xr:uid="{15F9EEE0-09AB-4F26-9F68-D45C0F015223}"/>
    <cellStyle name="Linked Cell 25 2 2 2 3 7 2" xfId="25981" xr:uid="{80C9D2CC-C594-4340-B369-EDB17C2BFD65}"/>
    <cellStyle name="Linked Cell 25 2 2 2 3 7 2 2" xfId="25982" xr:uid="{A90E974C-1A86-4106-BC8F-4F6C2B45540B}"/>
    <cellStyle name="Linked Cell 25 2 2 2 3 7 3" xfId="25983" xr:uid="{64F82E2C-5876-4174-9C31-5AC9AF98CC1C}"/>
    <cellStyle name="Linked Cell 25 2 2 2 3 8" xfId="25984" xr:uid="{C84186C2-A9CD-4C77-B195-C100FF8E8DDA}"/>
    <cellStyle name="Linked Cell 25 2 2 2 3 8 2" xfId="25985" xr:uid="{FB44C565-C432-419F-9F0E-E11FE2F7CBB2}"/>
    <cellStyle name="Linked Cell 25 2 2 2 3 8 2 2" xfId="25986" xr:uid="{93674828-F2A2-4E43-9079-6FE9CCF7E01C}"/>
    <cellStyle name="Linked Cell 25 2 2 2 3 8 3" xfId="25987" xr:uid="{4E234520-582F-4097-B4E1-91BC2F9825AF}"/>
    <cellStyle name="Linked Cell 25 2 2 2 3 9" xfId="25988" xr:uid="{3A653D3C-5EC0-49DE-B8E0-60A70CD0F181}"/>
    <cellStyle name="Linked Cell 25 2 2 2 3 9 2" xfId="25989" xr:uid="{72A8F0DE-267B-4906-A0D5-7E5FCB3C3887}"/>
    <cellStyle name="Linked Cell 25 2 2 2 3 9 2 2" xfId="25990" xr:uid="{4D202EB3-4097-4F5D-A003-948146ABB37C}"/>
    <cellStyle name="Linked Cell 25 2 2 2 3 9 3" xfId="25991" xr:uid="{106DBB72-5185-486B-B20C-F744F2A5B693}"/>
    <cellStyle name="Linked Cell 25 2 2 2 4" xfId="25992" xr:uid="{5359BB37-9A6C-4D18-A2DD-CB48CF02CA0E}"/>
    <cellStyle name="Linked Cell 25 2 2 2 4 2" xfId="25993" xr:uid="{224B9D59-B399-4E14-BAA6-E617CFE84150}"/>
    <cellStyle name="Linked Cell 25 2 2 2 4 2 2" xfId="25994" xr:uid="{E61DCFEA-0C05-4907-AA20-54C9B7601EA0}"/>
    <cellStyle name="Linked Cell 25 2 2 2 4 3" xfId="25995" xr:uid="{CB9ACEEC-490B-4704-B9A0-1016203FFF24}"/>
    <cellStyle name="Linked Cell 25 2 2 2 5" xfId="25996" xr:uid="{9679575D-15B8-4B63-AAE5-085D62110928}"/>
    <cellStyle name="Linked Cell 25 2 2 2 5 2" xfId="25997" xr:uid="{5D212295-A6D4-4763-90D5-E3C3FAE999E0}"/>
    <cellStyle name="Linked Cell 25 2 2 2 5 2 2" xfId="25998" xr:uid="{D4C5BE55-BAC7-43FA-AE85-16F56D677199}"/>
    <cellStyle name="Linked Cell 25 2 2 2 5 3" xfId="25999" xr:uid="{C550259B-AEF8-4697-A7E4-052DFB9F199D}"/>
    <cellStyle name="Linked Cell 25 2 2 2 6" xfId="26000" xr:uid="{35014CEA-9681-436C-9AC2-CCA862F54BB9}"/>
    <cellStyle name="Linked Cell 25 2 2 2 6 2" xfId="26001" xr:uid="{ADA63007-BF55-41BC-966B-42043A0CC611}"/>
    <cellStyle name="Linked Cell 25 2 2 2 6 2 2" xfId="26002" xr:uid="{4DBA723B-E443-42ED-B6C6-2A96FF135749}"/>
    <cellStyle name="Linked Cell 25 2 2 2 6 3" xfId="26003" xr:uid="{BC90F125-8404-4130-935F-18D1CC2D740D}"/>
    <cellStyle name="Linked Cell 25 2 2 2 7" xfId="26004" xr:uid="{7F79F367-C4B2-49E0-AA24-4C089FF324F5}"/>
    <cellStyle name="Linked Cell 25 2 2 2 7 2" xfId="26005" xr:uid="{202FF832-D9C6-4218-A1B3-9613E8A9CC33}"/>
    <cellStyle name="Linked Cell 25 2 2 2 7 2 2" xfId="26006" xr:uid="{9769F64C-8E63-4607-A193-0D9A30184A74}"/>
    <cellStyle name="Linked Cell 25 2 2 2 7 3" xfId="26007" xr:uid="{E4054FC7-E3DB-4A76-B810-65ADE1DE4EF5}"/>
    <cellStyle name="Linked Cell 25 2 2 2 8" xfId="26008" xr:uid="{DE63A6E7-CEC7-4D2C-8B3B-E1A8DA6323BD}"/>
    <cellStyle name="Linked Cell 25 2 2 2 8 2" xfId="26009" xr:uid="{E06A4AE9-60E3-4F57-A0B7-BA204B098562}"/>
    <cellStyle name="Linked Cell 25 2 2 2 8 2 2" xfId="26010" xr:uid="{DA3A8066-BBA1-420D-B9E1-9DE2CCAE99C1}"/>
    <cellStyle name="Linked Cell 25 2 2 2 8 3" xfId="26011" xr:uid="{A33B8052-63F5-4C89-9097-7CFCE5534E9C}"/>
    <cellStyle name="Linked Cell 25 2 2 2 9" xfId="26012" xr:uid="{97898718-51A8-42CC-B134-A5D9D3A3399A}"/>
    <cellStyle name="Linked Cell 25 2 2 2 9 2" xfId="26013" xr:uid="{E639D1CC-640D-4E8A-8D46-8EF70F4819BD}"/>
    <cellStyle name="Linked Cell 25 2 2 2 9 2 2" xfId="26014" xr:uid="{16AE04D8-B78B-471C-881B-FE9BD746563A}"/>
    <cellStyle name="Linked Cell 25 2 2 2 9 3" xfId="26015" xr:uid="{6CAB98C9-10B0-4B37-9650-D6D1DA6E3644}"/>
    <cellStyle name="Linked Cell 25 2 2 3" xfId="26016" xr:uid="{72103A84-13AC-4DC2-8A37-D2B96F329DEE}"/>
    <cellStyle name="Linked Cell 25 2 2 3 10" xfId="26017" xr:uid="{F9500F74-404A-432D-8D20-77864DC902D8}"/>
    <cellStyle name="Linked Cell 25 2 2 3 10 2" xfId="26018" xr:uid="{570C60EF-4C92-4FD0-9AC2-73DDED92F6E6}"/>
    <cellStyle name="Linked Cell 25 2 2 3 10 2 2" xfId="26019" xr:uid="{A2217256-AEAA-4CF4-85F9-9A7EC5CA5237}"/>
    <cellStyle name="Linked Cell 25 2 2 3 10 3" xfId="26020" xr:uid="{81CDA999-8309-4188-9E5B-408AADBA008B}"/>
    <cellStyle name="Linked Cell 25 2 2 3 11" xfId="26021" xr:uid="{6CE51F29-15D4-4E95-9D18-83CA9F364AB8}"/>
    <cellStyle name="Linked Cell 25 2 2 3 11 2" xfId="26022" xr:uid="{CC6692B9-118A-4E34-8E4C-3AC7CF37E6AD}"/>
    <cellStyle name="Linked Cell 25 2 2 3 12" xfId="26023" xr:uid="{78BF8ACA-8392-4D70-92F7-D6553ED71591}"/>
    <cellStyle name="Linked Cell 25 2 2 3 2" xfId="26024" xr:uid="{81F6E580-A4B5-4760-AFA0-58C81A478386}"/>
    <cellStyle name="Linked Cell 25 2 2 3 2 10" xfId="26025" xr:uid="{B4F9D723-CE35-4D39-94DB-B016BA83BA54}"/>
    <cellStyle name="Linked Cell 25 2 2 3 2 10 2" xfId="26026" xr:uid="{2DB8DE42-8CA4-4F28-A02C-BC4323E9786B}"/>
    <cellStyle name="Linked Cell 25 2 2 3 2 11" xfId="26027" xr:uid="{CA5B9DFC-73B5-4281-BADA-4FEF55F1396B}"/>
    <cellStyle name="Linked Cell 25 2 2 3 2 2" xfId="26028" xr:uid="{2A8B31BE-19C8-453B-A7A6-E979CD3C6DB1}"/>
    <cellStyle name="Linked Cell 25 2 2 3 2 2 2" xfId="26029" xr:uid="{12A15EE8-FE4D-4043-BF4D-F7F4829E82B5}"/>
    <cellStyle name="Linked Cell 25 2 2 3 2 2 2 2" xfId="26030" xr:uid="{14595496-E3BA-4567-9DE7-AD7B7D91AA80}"/>
    <cellStyle name="Linked Cell 25 2 2 3 2 2 3" xfId="26031" xr:uid="{8619ABB5-E86F-4E6A-93F7-90B3AC58516D}"/>
    <cellStyle name="Linked Cell 25 2 2 3 2 3" xfId="26032" xr:uid="{33B479AD-DEEC-4F91-AFDE-0974E8DBDEBD}"/>
    <cellStyle name="Linked Cell 25 2 2 3 2 3 2" xfId="26033" xr:uid="{F58A0055-C8B5-4C6A-95A6-44A471BF13D5}"/>
    <cellStyle name="Linked Cell 25 2 2 3 2 3 2 2" xfId="26034" xr:uid="{3094D413-B5A8-47E1-8B3C-D912A23DB168}"/>
    <cellStyle name="Linked Cell 25 2 2 3 2 3 3" xfId="26035" xr:uid="{6DCCE8E5-45AC-48B7-A56C-74FE377F25CF}"/>
    <cellStyle name="Linked Cell 25 2 2 3 2 4" xfId="26036" xr:uid="{E99E217A-CEC4-4AD0-8FF9-96B3C5AE3FC9}"/>
    <cellStyle name="Linked Cell 25 2 2 3 2 4 2" xfId="26037" xr:uid="{A9E6F7BA-5833-4673-B169-B120C790DF85}"/>
    <cellStyle name="Linked Cell 25 2 2 3 2 4 2 2" xfId="26038" xr:uid="{1CB76E42-D7E0-4750-812C-1AC2144DB98E}"/>
    <cellStyle name="Linked Cell 25 2 2 3 2 4 3" xfId="26039" xr:uid="{B49C4CEA-4D52-48B7-A2CC-0BA5D272EE1C}"/>
    <cellStyle name="Linked Cell 25 2 2 3 2 5" xfId="26040" xr:uid="{EEF3DF26-115C-489E-B5F5-441BB7CCF217}"/>
    <cellStyle name="Linked Cell 25 2 2 3 2 5 2" xfId="26041" xr:uid="{C9C52BBD-2685-4923-AE05-0EEA57D443DE}"/>
    <cellStyle name="Linked Cell 25 2 2 3 2 5 2 2" xfId="26042" xr:uid="{396C6FB4-1594-4762-8A36-510DF8A5E2C3}"/>
    <cellStyle name="Linked Cell 25 2 2 3 2 5 3" xfId="26043" xr:uid="{B848FAA0-08B2-4345-A510-541E2460C88B}"/>
    <cellStyle name="Linked Cell 25 2 2 3 2 6" xfId="26044" xr:uid="{B0F36597-ED73-4370-874C-F62F842EB685}"/>
    <cellStyle name="Linked Cell 25 2 2 3 2 6 2" xfId="26045" xr:uid="{23BEBC88-759E-4F20-9139-7CE8FE3FF102}"/>
    <cellStyle name="Linked Cell 25 2 2 3 2 6 2 2" xfId="26046" xr:uid="{54917B09-AA12-4D2C-80CF-2A19EF620469}"/>
    <cellStyle name="Linked Cell 25 2 2 3 2 6 3" xfId="26047" xr:uid="{6880BE42-2635-4EF3-8FB3-DB430AD8062E}"/>
    <cellStyle name="Linked Cell 25 2 2 3 2 7" xfId="26048" xr:uid="{0CE3DEA9-62DC-4E3A-BC04-A9A458351462}"/>
    <cellStyle name="Linked Cell 25 2 2 3 2 7 2" xfId="26049" xr:uid="{48DCF3D5-B862-49DC-B99B-11CAEF150469}"/>
    <cellStyle name="Linked Cell 25 2 2 3 2 7 2 2" xfId="26050" xr:uid="{BD2CA7DF-2906-4C7F-A75A-0CBE4E0F2FBA}"/>
    <cellStyle name="Linked Cell 25 2 2 3 2 7 3" xfId="26051" xr:uid="{262A6291-3EB4-4B8C-A182-120DED350350}"/>
    <cellStyle name="Linked Cell 25 2 2 3 2 8" xfId="26052" xr:uid="{B334C2A0-867A-4E65-84E5-8BCAA8BCBD1D}"/>
    <cellStyle name="Linked Cell 25 2 2 3 2 8 2" xfId="26053" xr:uid="{3E83A6A3-C83D-4829-ABD2-D124A4363090}"/>
    <cellStyle name="Linked Cell 25 2 2 3 2 8 2 2" xfId="26054" xr:uid="{B52DBB8A-FEA9-4BFC-A303-9EBAA50E4E61}"/>
    <cellStyle name="Linked Cell 25 2 2 3 2 8 3" xfId="26055" xr:uid="{102283EC-74C1-474F-A0B6-C9C2DBE20650}"/>
    <cellStyle name="Linked Cell 25 2 2 3 2 9" xfId="26056" xr:uid="{89FF0DE5-C5E0-4013-A677-D809CA8694A0}"/>
    <cellStyle name="Linked Cell 25 2 2 3 2 9 2" xfId="26057" xr:uid="{039D530E-D690-4F0E-A128-C0AED57C9B92}"/>
    <cellStyle name="Linked Cell 25 2 2 3 2 9 2 2" xfId="26058" xr:uid="{BEA231B4-3045-4EF4-8A7A-48F628DD7F8F}"/>
    <cellStyle name="Linked Cell 25 2 2 3 2 9 3" xfId="26059" xr:uid="{C83280F9-F228-47F6-B119-9CA3C8517915}"/>
    <cellStyle name="Linked Cell 25 2 2 3 3" xfId="26060" xr:uid="{E6BECB35-EC58-4F26-B869-2CB94AE4D25F}"/>
    <cellStyle name="Linked Cell 25 2 2 3 3 2" xfId="26061" xr:uid="{2AA24420-E068-4620-93A0-C193F27BFE95}"/>
    <cellStyle name="Linked Cell 25 2 2 3 3 2 2" xfId="26062" xr:uid="{B1444AD9-EBB0-4279-B6C2-8BC7780CC890}"/>
    <cellStyle name="Linked Cell 25 2 2 3 3 3" xfId="26063" xr:uid="{1550DB31-1E15-4C5A-B8EA-AB6CAA400E17}"/>
    <cellStyle name="Linked Cell 25 2 2 3 4" xfId="26064" xr:uid="{A5CEC88D-9547-4470-8A47-7485E618A6DF}"/>
    <cellStyle name="Linked Cell 25 2 2 3 4 2" xfId="26065" xr:uid="{A5C93A7F-5726-402F-B978-16D1541BEF84}"/>
    <cellStyle name="Linked Cell 25 2 2 3 4 2 2" xfId="26066" xr:uid="{C09610EA-ACB6-4620-A73B-5B83282D63AB}"/>
    <cellStyle name="Linked Cell 25 2 2 3 4 3" xfId="26067" xr:uid="{7BFA27AE-CF3C-4DF9-92DD-4ECF30DD74FD}"/>
    <cellStyle name="Linked Cell 25 2 2 3 5" xfId="26068" xr:uid="{282DB0D5-95BF-486F-96F6-5BCB425B6FEA}"/>
    <cellStyle name="Linked Cell 25 2 2 3 5 2" xfId="26069" xr:uid="{A2109F7F-0C8E-469F-9091-8BC02020AB40}"/>
    <cellStyle name="Linked Cell 25 2 2 3 5 2 2" xfId="26070" xr:uid="{BA32D0AF-0D51-41F5-9B36-2FDA87F9F583}"/>
    <cellStyle name="Linked Cell 25 2 2 3 5 3" xfId="26071" xr:uid="{CB4C1989-5FA7-49FF-A5C9-B2000769DDB0}"/>
    <cellStyle name="Linked Cell 25 2 2 3 6" xfId="26072" xr:uid="{5039E749-0F03-431A-B1FA-35E1ADFF57CA}"/>
    <cellStyle name="Linked Cell 25 2 2 3 6 2" xfId="26073" xr:uid="{84E94D38-DADF-4CA5-BEAB-A10A1C8AD64D}"/>
    <cellStyle name="Linked Cell 25 2 2 3 6 2 2" xfId="26074" xr:uid="{F633F8B0-5617-4BAD-8D3F-DB52D7D964A8}"/>
    <cellStyle name="Linked Cell 25 2 2 3 6 3" xfId="26075" xr:uid="{694ABFAC-D567-4609-A812-93EA9A9CA5CA}"/>
    <cellStyle name="Linked Cell 25 2 2 3 7" xfId="26076" xr:uid="{E9D0E0AC-B192-4221-8E53-C6EE8D36F0B1}"/>
    <cellStyle name="Linked Cell 25 2 2 3 7 2" xfId="26077" xr:uid="{FC5691A7-8455-4271-94A1-38069418A3E2}"/>
    <cellStyle name="Linked Cell 25 2 2 3 7 2 2" xfId="26078" xr:uid="{2B45AF3B-7A3C-4425-A15C-36AA3AC7BDA6}"/>
    <cellStyle name="Linked Cell 25 2 2 3 7 3" xfId="26079" xr:uid="{FD5897CD-A244-4495-A2F6-D955E2D23924}"/>
    <cellStyle name="Linked Cell 25 2 2 3 8" xfId="26080" xr:uid="{06F10FA7-CDEB-4C5A-A6C5-BBC9C289DE49}"/>
    <cellStyle name="Linked Cell 25 2 2 3 8 2" xfId="26081" xr:uid="{BCAFDC09-7B8F-4A28-8F40-CBCD0935F5E3}"/>
    <cellStyle name="Linked Cell 25 2 2 3 8 2 2" xfId="26082" xr:uid="{E25BA51F-95F0-4A4B-AEED-FEA06523FD85}"/>
    <cellStyle name="Linked Cell 25 2 2 3 8 3" xfId="26083" xr:uid="{2624418C-CBEC-4D20-BA40-B1213B8E9E33}"/>
    <cellStyle name="Linked Cell 25 2 2 3 9" xfId="26084" xr:uid="{995506A5-FD71-4BB0-9263-05BB3CB80911}"/>
    <cellStyle name="Linked Cell 25 2 2 3 9 2" xfId="26085" xr:uid="{4C75A225-E38F-4BCE-B6AF-A282AB461094}"/>
    <cellStyle name="Linked Cell 25 2 2 3 9 2 2" xfId="26086" xr:uid="{F68CB34E-9A96-48F5-BB67-392630D314DB}"/>
    <cellStyle name="Linked Cell 25 2 2 3 9 3" xfId="26087" xr:uid="{A03F1A56-CCF1-4FBE-8A1D-2DCF3B516DA4}"/>
    <cellStyle name="Linked Cell 25 2 2 4" xfId="26088" xr:uid="{98BF32E4-1F0D-4147-A42D-33F42CE200A9}"/>
    <cellStyle name="Linked Cell 25 2 2 4 10" xfId="26089" xr:uid="{8C368E5B-F25B-4E44-B4AF-2A6B68BFFE50}"/>
    <cellStyle name="Linked Cell 25 2 2 4 10 2" xfId="26090" xr:uid="{E05240F9-CEB4-4ADF-90B1-D7EB9A025FA1}"/>
    <cellStyle name="Linked Cell 25 2 2 4 11" xfId="26091" xr:uid="{53E0026A-5D36-4FC7-A931-D3BCF8BD9FF9}"/>
    <cellStyle name="Linked Cell 25 2 2 4 2" xfId="26092" xr:uid="{EBB8B99A-5979-4E61-9F94-8A8345628C81}"/>
    <cellStyle name="Linked Cell 25 2 2 4 2 2" xfId="26093" xr:uid="{53D476BC-EC70-47F4-8D9D-956658C9C937}"/>
    <cellStyle name="Linked Cell 25 2 2 4 2 2 2" xfId="26094" xr:uid="{3911F6AD-F6BD-4937-9DA1-04E74CA07E37}"/>
    <cellStyle name="Linked Cell 25 2 2 4 2 3" xfId="26095" xr:uid="{B706E5CD-99E4-45CB-9455-F459B8B364D9}"/>
    <cellStyle name="Linked Cell 25 2 2 4 3" xfId="26096" xr:uid="{AAC11971-1926-4544-9370-938BC11FE2DF}"/>
    <cellStyle name="Linked Cell 25 2 2 4 3 2" xfId="26097" xr:uid="{A500A1BA-50F1-4BF2-B128-5D01D7D6B333}"/>
    <cellStyle name="Linked Cell 25 2 2 4 3 2 2" xfId="26098" xr:uid="{97E30271-4781-4A92-9D33-0D58D16E7E8F}"/>
    <cellStyle name="Linked Cell 25 2 2 4 3 3" xfId="26099" xr:uid="{7EE239E9-3BBA-4C4A-B269-A4D185147AD6}"/>
    <cellStyle name="Linked Cell 25 2 2 4 4" xfId="26100" xr:uid="{9E7705D9-08D3-4068-9006-031E7BEE5EC0}"/>
    <cellStyle name="Linked Cell 25 2 2 4 4 2" xfId="26101" xr:uid="{C0211A93-7DF7-4B75-BE60-5AE7EFD7593F}"/>
    <cellStyle name="Linked Cell 25 2 2 4 4 2 2" xfId="26102" xr:uid="{C5D41ED6-D70B-4600-8BD3-B9829271E0A5}"/>
    <cellStyle name="Linked Cell 25 2 2 4 4 3" xfId="26103" xr:uid="{D1011F80-19DD-4FFA-A1D7-81132FABAD26}"/>
    <cellStyle name="Linked Cell 25 2 2 4 5" xfId="26104" xr:uid="{EAF968F5-20F2-4288-9179-083CC04344BD}"/>
    <cellStyle name="Linked Cell 25 2 2 4 5 2" xfId="26105" xr:uid="{7CD4D71A-A919-4959-8C43-AB925B08CE02}"/>
    <cellStyle name="Linked Cell 25 2 2 4 5 2 2" xfId="26106" xr:uid="{7D0B7CA0-4C02-4867-B801-6722F682D9BC}"/>
    <cellStyle name="Linked Cell 25 2 2 4 5 3" xfId="26107" xr:uid="{D181AA82-310D-490D-8914-71C27623B5F7}"/>
    <cellStyle name="Linked Cell 25 2 2 4 6" xfId="26108" xr:uid="{DBC00935-8623-4DCB-9D6E-DB97171D2FFC}"/>
    <cellStyle name="Linked Cell 25 2 2 4 6 2" xfId="26109" xr:uid="{E1E453D3-D653-4192-8773-96E2C48946CB}"/>
    <cellStyle name="Linked Cell 25 2 2 4 6 2 2" xfId="26110" xr:uid="{B7448BDF-6300-4E3D-BFB3-DC732F7F6494}"/>
    <cellStyle name="Linked Cell 25 2 2 4 6 3" xfId="26111" xr:uid="{23D2F6D1-1C29-4D2A-801D-2858435B3206}"/>
    <cellStyle name="Linked Cell 25 2 2 4 7" xfId="26112" xr:uid="{26CAB31F-1B91-4852-992B-12FDC3C390D7}"/>
    <cellStyle name="Linked Cell 25 2 2 4 7 2" xfId="26113" xr:uid="{CCEE9C4A-18AA-49C3-8954-48B06EF581C0}"/>
    <cellStyle name="Linked Cell 25 2 2 4 7 2 2" xfId="26114" xr:uid="{40FF95C6-45A2-45DE-9CB8-DF067EE63B84}"/>
    <cellStyle name="Linked Cell 25 2 2 4 7 3" xfId="26115" xr:uid="{26416FE6-1FDA-42DE-B312-42367DBB1E6A}"/>
    <cellStyle name="Linked Cell 25 2 2 4 8" xfId="26116" xr:uid="{6BD1D366-F8DB-463B-9C44-C719B29B75FA}"/>
    <cellStyle name="Linked Cell 25 2 2 4 8 2" xfId="26117" xr:uid="{A888072B-0F5D-4925-A414-EBD6BFA0842A}"/>
    <cellStyle name="Linked Cell 25 2 2 4 8 2 2" xfId="26118" xr:uid="{CDBA7AF4-E728-4E9D-BCFE-7CDD8A73ED79}"/>
    <cellStyle name="Linked Cell 25 2 2 4 8 3" xfId="26119" xr:uid="{4F96BDE1-90A5-46D1-805F-46CF229D57D4}"/>
    <cellStyle name="Linked Cell 25 2 2 4 9" xfId="26120" xr:uid="{D967FF48-1801-44A8-9550-4A35CE28B3DB}"/>
    <cellStyle name="Linked Cell 25 2 2 4 9 2" xfId="26121" xr:uid="{081739EB-6797-4FB4-ACEB-218F8819C5F6}"/>
    <cellStyle name="Linked Cell 25 2 2 4 9 2 2" xfId="26122" xr:uid="{5EC31AB0-BC82-4F06-AE68-676FF151DC30}"/>
    <cellStyle name="Linked Cell 25 2 2 4 9 3" xfId="26123" xr:uid="{6C75728B-228F-4C6F-B754-B2F10BD50A5C}"/>
    <cellStyle name="Linked Cell 25 2 2 5" xfId="26124" xr:uid="{1F1E2D52-7E2F-459C-AA3B-7A99E7719202}"/>
    <cellStyle name="Linked Cell 25 2 2 5 2" xfId="26125" xr:uid="{598B4E49-757D-4C00-8C60-6B56EE2C3AB5}"/>
    <cellStyle name="Linked Cell 25 2 2 5 2 2" xfId="26126" xr:uid="{2DC22492-7048-4F3F-80D8-D98FA8901270}"/>
    <cellStyle name="Linked Cell 25 2 2 5 3" xfId="26127" xr:uid="{AFBBA3B5-DBD6-47E1-814F-5281A535EE05}"/>
    <cellStyle name="Linked Cell 25 2 2 6" xfId="26128" xr:uid="{D7052877-2D3F-4F06-81FF-9454B1119CBB}"/>
    <cellStyle name="Linked Cell 25 2 2 6 2" xfId="26129" xr:uid="{466D7C25-66F0-432B-835C-901ABAA48415}"/>
    <cellStyle name="Linked Cell 25 2 2 6 2 2" xfId="26130" xr:uid="{0D5BBD1F-55D8-4DA5-B111-95EC576011EC}"/>
    <cellStyle name="Linked Cell 25 2 2 6 3" xfId="26131" xr:uid="{D6E7BD59-59F2-4FD4-A4A0-D3AD72E11E5C}"/>
    <cellStyle name="Linked Cell 25 2 2 7" xfId="26132" xr:uid="{8C19E1E3-45B1-47C1-A979-781B71803125}"/>
    <cellStyle name="Linked Cell 25 2 2 7 2" xfId="26133" xr:uid="{3583257D-AB6B-4F82-865D-0EAFE6102AF9}"/>
    <cellStyle name="Linked Cell 25 2 2 7 2 2" xfId="26134" xr:uid="{A85F139F-5BBE-407A-BC37-9E9A840ACF5F}"/>
    <cellStyle name="Linked Cell 25 2 2 7 3" xfId="26135" xr:uid="{9803597F-A267-40BB-8296-556C1C944AF0}"/>
    <cellStyle name="Linked Cell 25 2 2 8" xfId="26136" xr:uid="{1AAD7C41-5CF8-4AD7-B6CF-E4FD5FA3A241}"/>
    <cellStyle name="Linked Cell 25 2 2 8 2" xfId="26137" xr:uid="{3BCCDDB3-F8B2-4EDA-BE21-794ABB68EE89}"/>
    <cellStyle name="Linked Cell 25 2 2 8 2 2" xfId="26138" xr:uid="{2B64296F-7EDD-4A26-9AF5-5FF98135ACCF}"/>
    <cellStyle name="Linked Cell 25 2 2 8 3" xfId="26139" xr:uid="{58B022D4-7AC0-4E0C-B960-468AA94C7A72}"/>
    <cellStyle name="Linked Cell 25 2 2 9" xfId="26140" xr:uid="{B303BAE9-19B8-4BBA-A884-6A84494443F8}"/>
    <cellStyle name="Linked Cell 25 2 2 9 2" xfId="26141" xr:uid="{B2713184-00EB-4115-9685-0ADC404415E5}"/>
    <cellStyle name="Linked Cell 25 2 2 9 2 2" xfId="26142" xr:uid="{4FA08240-CBE3-40D6-B431-7B44C590A38E}"/>
    <cellStyle name="Linked Cell 25 2 2 9 3" xfId="26143" xr:uid="{C104D90B-FA9C-4079-B5A9-A31B7D72BC0C}"/>
    <cellStyle name="Linked Cell 25 2 3" xfId="26144" xr:uid="{AE7961C5-8DF7-4584-A2A1-C8D6089ADA42}"/>
    <cellStyle name="Linked Cell 25 2 3 10" xfId="26145" xr:uid="{9778D364-D04E-43D8-9FA8-6D1E790830B1}"/>
    <cellStyle name="Linked Cell 25 2 3 10 2" xfId="26146" xr:uid="{DDC84B4E-EAB8-485E-B30F-6A81B3CE55E4}"/>
    <cellStyle name="Linked Cell 25 2 3 10 2 2" xfId="26147" xr:uid="{2F78913F-7E1A-4CC5-B52C-0ADB781D1D71}"/>
    <cellStyle name="Linked Cell 25 2 3 10 3" xfId="26148" xr:uid="{EBBD564A-BAF3-4C84-9F2B-8AE35C7CCAE3}"/>
    <cellStyle name="Linked Cell 25 2 3 11" xfId="26149" xr:uid="{19231D2E-67FA-4966-94C5-F943086E6823}"/>
    <cellStyle name="Linked Cell 25 2 3 11 2" xfId="26150" xr:uid="{1B5BEA6B-230A-4582-BD91-CF6DCB4B0757}"/>
    <cellStyle name="Linked Cell 25 2 3 11 2 2" xfId="26151" xr:uid="{DED99413-6FEB-4EEC-A8DF-590155DBF591}"/>
    <cellStyle name="Linked Cell 25 2 3 11 3" xfId="26152" xr:uid="{B8D6FC29-21CD-49BC-A94F-3E5AA4681039}"/>
    <cellStyle name="Linked Cell 25 2 3 12" xfId="26153" xr:uid="{D94909D4-1FCF-47B8-BC65-0E6CC3236E74}"/>
    <cellStyle name="Linked Cell 25 2 3 12 2" xfId="26154" xr:uid="{F03C3787-F628-4676-B744-B5685EFD180B}"/>
    <cellStyle name="Linked Cell 25 2 3 13" xfId="26155" xr:uid="{B56FD60A-16DA-430B-9AC5-D2DAC11F6BFA}"/>
    <cellStyle name="Linked Cell 25 2 3 2" xfId="26156" xr:uid="{B7762038-A22D-44E0-826E-7E7C45369D1F}"/>
    <cellStyle name="Linked Cell 25 2 3 2 10" xfId="26157" xr:uid="{8A0295BC-C5A1-4F40-B11B-2F03C51985E7}"/>
    <cellStyle name="Linked Cell 25 2 3 2 10 2" xfId="26158" xr:uid="{7ECA73B1-6303-4035-90BA-5C0B529BAD2C}"/>
    <cellStyle name="Linked Cell 25 2 3 2 10 2 2" xfId="26159" xr:uid="{EA875FC0-8511-4758-B66D-DD12207877A4}"/>
    <cellStyle name="Linked Cell 25 2 3 2 10 3" xfId="26160" xr:uid="{8F51619B-389E-4EC3-92F5-2397C7E2D757}"/>
    <cellStyle name="Linked Cell 25 2 3 2 11" xfId="26161" xr:uid="{C3AD26A3-F01B-4509-A3B6-D263AFACE9C0}"/>
    <cellStyle name="Linked Cell 25 2 3 2 11 2" xfId="26162" xr:uid="{CED6A848-3C11-433D-9938-7A3BE022C868}"/>
    <cellStyle name="Linked Cell 25 2 3 2 12" xfId="26163" xr:uid="{21B57AF8-F8A7-4D5B-9CA4-855F02AB2FCC}"/>
    <cellStyle name="Linked Cell 25 2 3 2 2" xfId="26164" xr:uid="{3A9772D4-A19F-4337-94C5-BFCF914F04B3}"/>
    <cellStyle name="Linked Cell 25 2 3 2 2 2" xfId="26165" xr:uid="{C46DD3F6-EB0B-4A65-B2D1-0ECAE8798EDF}"/>
    <cellStyle name="Linked Cell 25 2 3 2 2 2 2" xfId="26166" xr:uid="{BD25E049-5D01-47D2-9034-DEBBE881B48B}"/>
    <cellStyle name="Linked Cell 25 2 3 2 2 3" xfId="26167" xr:uid="{96583A7B-E258-4657-AF1F-C1CAE32FDB8D}"/>
    <cellStyle name="Linked Cell 25 2 3 2 3" xfId="26168" xr:uid="{BF365CD9-EC41-4FB2-BE0A-221D81CC513E}"/>
    <cellStyle name="Linked Cell 25 2 3 2 3 2" xfId="26169" xr:uid="{ED601E11-C34E-470B-AE77-5FAAB6FABE2A}"/>
    <cellStyle name="Linked Cell 25 2 3 2 3 2 2" xfId="26170" xr:uid="{18DC7E4A-578F-44CC-901A-17A1DCA721B7}"/>
    <cellStyle name="Linked Cell 25 2 3 2 3 3" xfId="26171" xr:uid="{D3C847CA-0043-4D8C-A1D5-C1B857EB5568}"/>
    <cellStyle name="Linked Cell 25 2 3 2 4" xfId="26172" xr:uid="{57E85044-34AA-4CEC-86E3-B0D550A1EE42}"/>
    <cellStyle name="Linked Cell 25 2 3 2 4 2" xfId="26173" xr:uid="{7C4B38E1-299B-43AC-A087-898C159FFC91}"/>
    <cellStyle name="Linked Cell 25 2 3 2 4 2 2" xfId="26174" xr:uid="{BD19B1BA-1C79-4758-BF3B-D8BF0F62A2A0}"/>
    <cellStyle name="Linked Cell 25 2 3 2 4 3" xfId="26175" xr:uid="{7212B3DD-55B4-4B47-A765-92224B302310}"/>
    <cellStyle name="Linked Cell 25 2 3 2 5" xfId="26176" xr:uid="{FD6DCF47-D33B-4890-AE84-3FE594CD769F}"/>
    <cellStyle name="Linked Cell 25 2 3 2 5 2" xfId="26177" xr:uid="{2DC63003-D956-4E1B-AAEE-AFF6D58A0D40}"/>
    <cellStyle name="Linked Cell 25 2 3 2 5 2 2" xfId="26178" xr:uid="{BFF1DBB8-DB44-4004-B26D-35CE3D6026D8}"/>
    <cellStyle name="Linked Cell 25 2 3 2 5 3" xfId="26179" xr:uid="{D4A047A6-3C22-44DB-95CF-0728567078DD}"/>
    <cellStyle name="Linked Cell 25 2 3 2 6" xfId="26180" xr:uid="{073ABDAD-CAF8-4387-979D-9A975196478A}"/>
    <cellStyle name="Linked Cell 25 2 3 2 6 2" xfId="26181" xr:uid="{B7CF1909-2282-4B00-A04A-F3AD6C316D07}"/>
    <cellStyle name="Linked Cell 25 2 3 2 6 2 2" xfId="26182" xr:uid="{291CA696-ACB5-4D4E-B6F0-902FA99FFFDB}"/>
    <cellStyle name="Linked Cell 25 2 3 2 6 3" xfId="26183" xr:uid="{35DAE20B-4331-4810-A700-63F8E47D253B}"/>
    <cellStyle name="Linked Cell 25 2 3 2 7" xfId="26184" xr:uid="{9DF01910-B86E-43E3-B9B2-53BF687BCBDD}"/>
    <cellStyle name="Linked Cell 25 2 3 2 7 2" xfId="26185" xr:uid="{CA6E4200-5659-4F94-8CC1-083A08E24423}"/>
    <cellStyle name="Linked Cell 25 2 3 2 7 2 2" xfId="26186" xr:uid="{CBC5ACB4-B89F-40BD-90E8-4520F8F0EA73}"/>
    <cellStyle name="Linked Cell 25 2 3 2 7 3" xfId="26187" xr:uid="{BDDADB86-7CA6-4181-886E-5BE9FDE4738C}"/>
    <cellStyle name="Linked Cell 25 2 3 2 8" xfId="26188" xr:uid="{43C55C7D-0A12-452B-B2F3-A18FC7EC45D2}"/>
    <cellStyle name="Linked Cell 25 2 3 2 8 2" xfId="26189" xr:uid="{BA669700-77FC-40CE-8493-810FE13E46EF}"/>
    <cellStyle name="Linked Cell 25 2 3 2 8 2 2" xfId="26190" xr:uid="{12471973-DD3E-46BE-85AF-B223CF4CF5CC}"/>
    <cellStyle name="Linked Cell 25 2 3 2 8 3" xfId="26191" xr:uid="{8DDB11B7-A55E-423F-91D6-2494F2AD758C}"/>
    <cellStyle name="Linked Cell 25 2 3 2 9" xfId="26192" xr:uid="{24537B2C-1F4E-476D-A9DE-A8D67D9502BB}"/>
    <cellStyle name="Linked Cell 25 2 3 2 9 2" xfId="26193" xr:uid="{7F06A7D9-95E3-400A-9434-4D04C1092DDC}"/>
    <cellStyle name="Linked Cell 25 2 3 2 9 2 2" xfId="26194" xr:uid="{AD152B7E-3890-4487-BF46-DFC5AA4884BA}"/>
    <cellStyle name="Linked Cell 25 2 3 2 9 3" xfId="26195" xr:uid="{BC3F9D44-1DCF-41FE-B71A-ACFA0C303828}"/>
    <cellStyle name="Linked Cell 25 2 3 3" xfId="26196" xr:uid="{2E62C246-C70B-4EB7-A53C-AA9DE2549C56}"/>
    <cellStyle name="Linked Cell 25 2 3 3 10" xfId="26197" xr:uid="{08E4D12B-5BE8-4C75-B6B7-62C3D040D8C0}"/>
    <cellStyle name="Linked Cell 25 2 3 3 10 2" xfId="26198" xr:uid="{ED67AA62-4BA8-4510-8959-2781F520CC17}"/>
    <cellStyle name="Linked Cell 25 2 3 3 11" xfId="26199" xr:uid="{10B9DFCF-AD4A-4D91-BF67-5502E7D72D8F}"/>
    <cellStyle name="Linked Cell 25 2 3 3 2" xfId="26200" xr:uid="{82B8E2CE-9357-4FB9-A377-5EE418E410AF}"/>
    <cellStyle name="Linked Cell 25 2 3 3 2 2" xfId="26201" xr:uid="{F517AFB1-C4C8-4561-88C7-76E244CF3E48}"/>
    <cellStyle name="Linked Cell 25 2 3 3 2 2 2" xfId="26202" xr:uid="{72820BEF-6E74-4673-833A-10482D768652}"/>
    <cellStyle name="Linked Cell 25 2 3 3 2 3" xfId="26203" xr:uid="{C4D0F490-B690-4E77-9CC3-952F4EB33251}"/>
    <cellStyle name="Linked Cell 25 2 3 3 3" xfId="26204" xr:uid="{4C4B7D3B-16B4-40E7-BD95-B5BA95DA5933}"/>
    <cellStyle name="Linked Cell 25 2 3 3 3 2" xfId="26205" xr:uid="{43A5C417-8D3F-463A-A32D-B60C0EFC8A9A}"/>
    <cellStyle name="Linked Cell 25 2 3 3 3 2 2" xfId="26206" xr:uid="{3D4AD3B4-D71D-42ED-8B65-99EC08F8EAB7}"/>
    <cellStyle name="Linked Cell 25 2 3 3 3 3" xfId="26207" xr:uid="{295E5B28-A08E-4455-95C4-F529D6327B11}"/>
    <cellStyle name="Linked Cell 25 2 3 3 4" xfId="26208" xr:uid="{69525AE1-FBDA-4B9F-B35D-0EF364D3B735}"/>
    <cellStyle name="Linked Cell 25 2 3 3 4 2" xfId="26209" xr:uid="{C48A9205-9BDA-402C-AB3C-41E80E5A8100}"/>
    <cellStyle name="Linked Cell 25 2 3 3 4 2 2" xfId="26210" xr:uid="{2FBBA971-041F-4EAE-86DA-A9F877E41949}"/>
    <cellStyle name="Linked Cell 25 2 3 3 4 3" xfId="26211" xr:uid="{AA9B85CE-6D16-4814-8BD7-15E8904E3D44}"/>
    <cellStyle name="Linked Cell 25 2 3 3 5" xfId="26212" xr:uid="{AA21FF89-966F-4952-A58D-153731B5235F}"/>
    <cellStyle name="Linked Cell 25 2 3 3 5 2" xfId="26213" xr:uid="{C9C2A61F-2A6A-4710-8BBF-5A7C07C8D533}"/>
    <cellStyle name="Linked Cell 25 2 3 3 5 2 2" xfId="26214" xr:uid="{35E5EE2E-EF6A-4AE9-8AE6-68F188CAF2B6}"/>
    <cellStyle name="Linked Cell 25 2 3 3 5 3" xfId="26215" xr:uid="{EED82233-17CB-43EF-A1B3-D4B307E91E21}"/>
    <cellStyle name="Linked Cell 25 2 3 3 6" xfId="26216" xr:uid="{5FF4E7DF-B4CF-4514-906E-5AE2410103B1}"/>
    <cellStyle name="Linked Cell 25 2 3 3 6 2" xfId="26217" xr:uid="{BDDF7201-E540-42AC-91FF-F4A684B9D05F}"/>
    <cellStyle name="Linked Cell 25 2 3 3 6 2 2" xfId="26218" xr:uid="{6E313EE2-3CE6-4619-BF11-440531E25FE1}"/>
    <cellStyle name="Linked Cell 25 2 3 3 6 3" xfId="26219" xr:uid="{42CF9B15-924B-400A-BE52-C35AD74BAD07}"/>
    <cellStyle name="Linked Cell 25 2 3 3 7" xfId="26220" xr:uid="{65FB6807-DD2F-4781-9856-647E83E0227F}"/>
    <cellStyle name="Linked Cell 25 2 3 3 7 2" xfId="26221" xr:uid="{84423F29-3044-45BF-8F8F-A78F14929413}"/>
    <cellStyle name="Linked Cell 25 2 3 3 7 2 2" xfId="26222" xr:uid="{FCDC5366-B4AA-4770-9637-F734C98B362E}"/>
    <cellStyle name="Linked Cell 25 2 3 3 7 3" xfId="26223" xr:uid="{DCA369E8-81E5-4174-A9A9-47F22285EBB0}"/>
    <cellStyle name="Linked Cell 25 2 3 3 8" xfId="26224" xr:uid="{7150AB90-3B4B-419B-9C99-FC160E7B958C}"/>
    <cellStyle name="Linked Cell 25 2 3 3 8 2" xfId="26225" xr:uid="{738D1356-1861-43E3-9639-683788D4959F}"/>
    <cellStyle name="Linked Cell 25 2 3 3 8 2 2" xfId="26226" xr:uid="{00195152-D42E-4969-B781-011C6C2DEAAF}"/>
    <cellStyle name="Linked Cell 25 2 3 3 8 3" xfId="26227" xr:uid="{A69F7C35-F5AE-4D31-8651-2197AD9568C8}"/>
    <cellStyle name="Linked Cell 25 2 3 3 9" xfId="26228" xr:uid="{5866B3F5-F447-470D-B9DF-0E2FBD3B8A1A}"/>
    <cellStyle name="Linked Cell 25 2 3 3 9 2" xfId="26229" xr:uid="{C022F206-770E-4089-9DCE-8473D167E1E1}"/>
    <cellStyle name="Linked Cell 25 2 3 3 9 2 2" xfId="26230" xr:uid="{EC28587E-8502-4846-AD68-7A2124E9DBAD}"/>
    <cellStyle name="Linked Cell 25 2 3 3 9 3" xfId="26231" xr:uid="{AE547F7A-E29D-4B94-BE9A-66905A035BEB}"/>
    <cellStyle name="Linked Cell 25 2 3 4" xfId="26232" xr:uid="{A83A21C2-360C-4965-A9E2-CD1EEE33AC80}"/>
    <cellStyle name="Linked Cell 25 2 3 4 2" xfId="26233" xr:uid="{CDDB64BE-7171-47DE-836E-5656A1348855}"/>
    <cellStyle name="Linked Cell 25 2 3 4 2 2" xfId="26234" xr:uid="{1E96DB15-95A9-45C9-9C2F-CE5DBC34B59F}"/>
    <cellStyle name="Linked Cell 25 2 3 4 3" xfId="26235" xr:uid="{E1E20161-C563-4F09-9456-3422C17443F4}"/>
    <cellStyle name="Linked Cell 25 2 3 5" xfId="26236" xr:uid="{16E8D4FE-BC36-4952-A44E-23324A588BFA}"/>
    <cellStyle name="Linked Cell 25 2 3 5 2" xfId="26237" xr:uid="{94682D1D-7A36-4E16-8090-41F563354C8E}"/>
    <cellStyle name="Linked Cell 25 2 3 5 2 2" xfId="26238" xr:uid="{1BE6369D-734D-4B49-BF81-8A189F89E198}"/>
    <cellStyle name="Linked Cell 25 2 3 5 3" xfId="26239" xr:uid="{C0225F7C-3C4B-414B-959D-BF0299D04BB1}"/>
    <cellStyle name="Linked Cell 25 2 3 6" xfId="26240" xr:uid="{86E780C9-8A35-4CA8-A95A-702DD279468A}"/>
    <cellStyle name="Linked Cell 25 2 3 6 2" xfId="26241" xr:uid="{BF88DBF1-9931-46C3-8EEC-95F1F263B2A8}"/>
    <cellStyle name="Linked Cell 25 2 3 6 2 2" xfId="26242" xr:uid="{56B9361B-7BC0-4E01-8C76-9F435AA9A265}"/>
    <cellStyle name="Linked Cell 25 2 3 6 3" xfId="26243" xr:uid="{AA14D095-2E07-4C0B-AD53-5A17D78A9933}"/>
    <cellStyle name="Linked Cell 25 2 3 7" xfId="26244" xr:uid="{08A97FCB-E9D0-46DD-A561-84F5144F0356}"/>
    <cellStyle name="Linked Cell 25 2 3 7 2" xfId="26245" xr:uid="{8114B6B7-0071-4350-A0F8-40E6C252BA19}"/>
    <cellStyle name="Linked Cell 25 2 3 7 2 2" xfId="26246" xr:uid="{28569269-D60A-46F9-BF10-3A8A876DAFB3}"/>
    <cellStyle name="Linked Cell 25 2 3 7 3" xfId="26247" xr:uid="{953B5E1A-3D34-4F71-9B0D-4EF78F3ACCBF}"/>
    <cellStyle name="Linked Cell 25 2 3 8" xfId="26248" xr:uid="{06BC9321-443E-47DD-A80D-53DF77AB9C78}"/>
    <cellStyle name="Linked Cell 25 2 3 8 2" xfId="26249" xr:uid="{86E5C464-8697-4E73-9B3A-7A8291F79321}"/>
    <cellStyle name="Linked Cell 25 2 3 8 2 2" xfId="26250" xr:uid="{56705336-712D-445B-A92E-2F769AECBE9E}"/>
    <cellStyle name="Linked Cell 25 2 3 8 3" xfId="26251" xr:uid="{08CD1E3D-0667-43A4-8CE2-AA0CF80EF168}"/>
    <cellStyle name="Linked Cell 25 2 3 9" xfId="26252" xr:uid="{FE056E3C-7C60-4CE3-9A6A-47D8503674CE}"/>
    <cellStyle name="Linked Cell 25 2 3 9 2" xfId="26253" xr:uid="{E48E888C-EB7A-4B09-A855-0D80D44BEE62}"/>
    <cellStyle name="Linked Cell 25 2 3 9 2 2" xfId="26254" xr:uid="{1FC8EE19-B6F1-4312-9B78-E8693876F5E9}"/>
    <cellStyle name="Linked Cell 25 2 3 9 3" xfId="26255" xr:uid="{985B0926-6AB4-4EAD-A99F-E3BC8705DE09}"/>
    <cellStyle name="Linked Cell 25 2 4" xfId="26256" xr:uid="{4FBE2A8A-F0D4-43E5-A1DF-6F713ED2B6E1}"/>
    <cellStyle name="Linked Cell 25 2 4 10" xfId="26257" xr:uid="{592D0E4E-18E3-48C1-B78A-4F68A14A5678}"/>
    <cellStyle name="Linked Cell 25 2 4 10 2" xfId="26258" xr:uid="{CC14DD22-B38E-439E-BB4D-3A5267943B60}"/>
    <cellStyle name="Linked Cell 25 2 4 10 2 2" xfId="26259" xr:uid="{FFAB33DC-E9F4-4F49-9F53-82C5A7F79F44}"/>
    <cellStyle name="Linked Cell 25 2 4 10 3" xfId="26260" xr:uid="{9519419E-DB86-4438-90AF-E25DA111E839}"/>
    <cellStyle name="Linked Cell 25 2 4 11" xfId="26261" xr:uid="{7AFB7EED-4A16-4CE2-9B69-F92B349A62D4}"/>
    <cellStyle name="Linked Cell 25 2 4 11 2" xfId="26262" xr:uid="{93909812-161E-4AE5-94F7-3C9F6F195A55}"/>
    <cellStyle name="Linked Cell 25 2 4 12" xfId="26263" xr:uid="{ECBD91A4-C735-4D80-BA45-658522A6AC80}"/>
    <cellStyle name="Linked Cell 25 2 4 2" xfId="26264" xr:uid="{6A58F500-11C1-499C-B123-52CD0AC8E498}"/>
    <cellStyle name="Linked Cell 25 2 4 2 10" xfId="26265" xr:uid="{24761043-FF4E-4506-AEF8-78C616ABB5E6}"/>
    <cellStyle name="Linked Cell 25 2 4 2 10 2" xfId="26266" xr:uid="{80174C64-EA8E-4E67-B91A-532A5C62B66F}"/>
    <cellStyle name="Linked Cell 25 2 4 2 11" xfId="26267" xr:uid="{465E5BA9-A65D-4960-8601-5767CCAB66F7}"/>
    <cellStyle name="Linked Cell 25 2 4 2 2" xfId="26268" xr:uid="{F301D841-A123-4118-82A5-D8D69DE7BD83}"/>
    <cellStyle name="Linked Cell 25 2 4 2 2 2" xfId="26269" xr:uid="{0D6F7ECF-072A-48F5-A48E-2DAAA779DCE5}"/>
    <cellStyle name="Linked Cell 25 2 4 2 2 2 2" xfId="26270" xr:uid="{C0C8E1F5-E37A-4BA3-AE12-2E4C44D8D04F}"/>
    <cellStyle name="Linked Cell 25 2 4 2 2 3" xfId="26271" xr:uid="{EA667D3C-1FAD-4900-89CE-4930E746DAE2}"/>
    <cellStyle name="Linked Cell 25 2 4 2 3" xfId="26272" xr:uid="{8115C871-EA5A-469F-BFC9-3E5D150A7A87}"/>
    <cellStyle name="Linked Cell 25 2 4 2 3 2" xfId="26273" xr:uid="{824BE8B0-0741-4F55-BEE9-6E64AF4EDE67}"/>
    <cellStyle name="Linked Cell 25 2 4 2 3 2 2" xfId="26274" xr:uid="{FB60C009-1E2C-45E7-9134-FDDA54CD478D}"/>
    <cellStyle name="Linked Cell 25 2 4 2 3 3" xfId="26275" xr:uid="{6765DF7D-7291-4889-A64B-DD4A47380ECA}"/>
    <cellStyle name="Linked Cell 25 2 4 2 4" xfId="26276" xr:uid="{69AF7F96-DD74-423B-801A-C4A0F3827CCB}"/>
    <cellStyle name="Linked Cell 25 2 4 2 4 2" xfId="26277" xr:uid="{3FB215C2-2D41-4E38-888A-6EB8A02D73B5}"/>
    <cellStyle name="Linked Cell 25 2 4 2 4 2 2" xfId="26278" xr:uid="{49F4A53A-E515-4ED9-B14B-43FD8AA7A69B}"/>
    <cellStyle name="Linked Cell 25 2 4 2 4 3" xfId="26279" xr:uid="{469806D5-8F9D-4A7B-970C-0EAC991C0729}"/>
    <cellStyle name="Linked Cell 25 2 4 2 5" xfId="26280" xr:uid="{34244DFF-AA2D-4624-8CE2-6E1702B5BB15}"/>
    <cellStyle name="Linked Cell 25 2 4 2 5 2" xfId="26281" xr:uid="{0C1631DE-16B5-4DB7-8C20-41B70A78FFB2}"/>
    <cellStyle name="Linked Cell 25 2 4 2 5 2 2" xfId="26282" xr:uid="{B71FFB52-58FD-4887-BA5B-233BBEFA8C0C}"/>
    <cellStyle name="Linked Cell 25 2 4 2 5 3" xfId="26283" xr:uid="{64C41C6F-1B85-4FA0-96A7-7ECFE8013CB9}"/>
    <cellStyle name="Linked Cell 25 2 4 2 6" xfId="26284" xr:uid="{4EB8B2A4-805A-417E-B957-7F09AD4C6D95}"/>
    <cellStyle name="Linked Cell 25 2 4 2 6 2" xfId="26285" xr:uid="{420A91D5-8532-42D9-8AE6-5A564F3B0773}"/>
    <cellStyle name="Linked Cell 25 2 4 2 6 2 2" xfId="26286" xr:uid="{AE995AB0-28D9-4B6E-B74E-64389C2131F9}"/>
    <cellStyle name="Linked Cell 25 2 4 2 6 3" xfId="26287" xr:uid="{7106604E-7C12-45AC-A195-39C72FFF7C0E}"/>
    <cellStyle name="Linked Cell 25 2 4 2 7" xfId="26288" xr:uid="{1175CF09-281E-48EE-AFAA-B1774E59AD76}"/>
    <cellStyle name="Linked Cell 25 2 4 2 7 2" xfId="26289" xr:uid="{B144850B-93A5-4F15-8996-E9173EEF0568}"/>
    <cellStyle name="Linked Cell 25 2 4 2 7 2 2" xfId="26290" xr:uid="{A3790636-E8D7-40DF-B0DB-2457CD0AF6ED}"/>
    <cellStyle name="Linked Cell 25 2 4 2 7 3" xfId="26291" xr:uid="{98B4D0F9-895C-4113-A641-99ABA5F43B87}"/>
    <cellStyle name="Linked Cell 25 2 4 2 8" xfId="26292" xr:uid="{F1BF84AE-9281-44E6-85F6-8C053D132E5E}"/>
    <cellStyle name="Linked Cell 25 2 4 2 8 2" xfId="26293" xr:uid="{6D72ACA0-BFD9-4775-BA23-23DD0A1979A1}"/>
    <cellStyle name="Linked Cell 25 2 4 2 8 2 2" xfId="26294" xr:uid="{ABCFCEE9-1231-45D8-BD8C-5EA89D5600C1}"/>
    <cellStyle name="Linked Cell 25 2 4 2 8 3" xfId="26295" xr:uid="{A769028E-ADF5-4569-8DB9-8F6858AB85F1}"/>
    <cellStyle name="Linked Cell 25 2 4 2 9" xfId="26296" xr:uid="{630D03C1-AA3A-430B-84A3-430FB56C977A}"/>
    <cellStyle name="Linked Cell 25 2 4 2 9 2" xfId="26297" xr:uid="{4A1B9B23-A54B-4044-A755-624DC18D9E42}"/>
    <cellStyle name="Linked Cell 25 2 4 2 9 2 2" xfId="26298" xr:uid="{47F16097-9C64-46AC-B536-A3EBF2966ABA}"/>
    <cellStyle name="Linked Cell 25 2 4 2 9 3" xfId="26299" xr:uid="{3D6B8AFD-FC89-43F8-8E23-0C3924C4DC69}"/>
    <cellStyle name="Linked Cell 25 2 4 3" xfId="26300" xr:uid="{3894016A-B5A1-47D1-BE83-233602D6A19F}"/>
    <cellStyle name="Linked Cell 25 2 4 3 2" xfId="26301" xr:uid="{5BA9CC1A-6078-44CC-ADC9-6F712C01B58A}"/>
    <cellStyle name="Linked Cell 25 2 4 3 2 2" xfId="26302" xr:uid="{F9D28B1B-7839-486B-A266-F4DBED21E319}"/>
    <cellStyle name="Linked Cell 25 2 4 3 3" xfId="26303" xr:uid="{0080E72D-3884-4A5C-81B3-F3065A70E1B7}"/>
    <cellStyle name="Linked Cell 25 2 4 4" xfId="26304" xr:uid="{70B29A42-D9C7-4FB1-B6C3-776416605B0E}"/>
    <cellStyle name="Linked Cell 25 2 4 4 2" xfId="26305" xr:uid="{F7B04522-DE12-44DC-AFEB-2A4F517FFB1C}"/>
    <cellStyle name="Linked Cell 25 2 4 4 2 2" xfId="26306" xr:uid="{C7184F4A-FED4-44D1-810A-0B4307EFDE99}"/>
    <cellStyle name="Linked Cell 25 2 4 4 3" xfId="26307" xr:uid="{339428E6-9F97-45F7-A8C8-97E59877D04B}"/>
    <cellStyle name="Linked Cell 25 2 4 5" xfId="26308" xr:uid="{A6D4FD0A-0760-4C0E-A09A-C605362043EC}"/>
    <cellStyle name="Linked Cell 25 2 4 5 2" xfId="26309" xr:uid="{96A3B0AA-9ABC-4EE8-BC7F-40B67E6749E9}"/>
    <cellStyle name="Linked Cell 25 2 4 5 2 2" xfId="26310" xr:uid="{9C999E61-5A53-4EBD-9EAE-2283029A70DE}"/>
    <cellStyle name="Linked Cell 25 2 4 5 3" xfId="26311" xr:uid="{3661506A-E55F-48C5-9E1E-2D3CD0A58C65}"/>
    <cellStyle name="Linked Cell 25 2 4 6" xfId="26312" xr:uid="{4A6574F8-AAF9-4665-B580-772AADC3F856}"/>
    <cellStyle name="Linked Cell 25 2 4 6 2" xfId="26313" xr:uid="{BE45B39F-3B9F-414B-A262-D754A538B9B1}"/>
    <cellStyle name="Linked Cell 25 2 4 6 2 2" xfId="26314" xr:uid="{B40A38E9-E4D0-43F5-99E1-F455C07F5A59}"/>
    <cellStyle name="Linked Cell 25 2 4 6 3" xfId="26315" xr:uid="{0E8C492C-1233-47C7-9B7B-E0F82BD86B7C}"/>
    <cellStyle name="Linked Cell 25 2 4 7" xfId="26316" xr:uid="{7DC45ECB-CD4D-4EE3-BBB9-5DBB665EF23F}"/>
    <cellStyle name="Linked Cell 25 2 4 7 2" xfId="26317" xr:uid="{800CCA7D-CEF6-4493-9B80-840FA4996D88}"/>
    <cellStyle name="Linked Cell 25 2 4 7 2 2" xfId="26318" xr:uid="{C855AC91-F9B8-43F0-B3AF-868827EBED81}"/>
    <cellStyle name="Linked Cell 25 2 4 7 3" xfId="26319" xr:uid="{382FBF6B-3B2D-4A02-9394-3E581D6FF218}"/>
    <cellStyle name="Linked Cell 25 2 4 8" xfId="26320" xr:uid="{1D640A67-041B-4148-B07D-CD19B4C40B64}"/>
    <cellStyle name="Linked Cell 25 2 4 8 2" xfId="26321" xr:uid="{E04113F5-4957-478B-80EF-D3EB8B5B0494}"/>
    <cellStyle name="Linked Cell 25 2 4 8 2 2" xfId="26322" xr:uid="{52D4F711-53E9-41C2-9025-6F66C23BC2E8}"/>
    <cellStyle name="Linked Cell 25 2 4 8 3" xfId="26323" xr:uid="{013E03E8-1888-4B93-A19C-BC4EE93B0648}"/>
    <cellStyle name="Linked Cell 25 2 4 9" xfId="26324" xr:uid="{6B37DDC9-9308-4526-85A5-BCA73488C648}"/>
    <cellStyle name="Linked Cell 25 2 4 9 2" xfId="26325" xr:uid="{3929F1A9-FAD9-40A8-883B-7D956D4C94CA}"/>
    <cellStyle name="Linked Cell 25 2 4 9 2 2" xfId="26326" xr:uid="{AE739E93-ABFB-449C-BF3E-B4E970968D9D}"/>
    <cellStyle name="Linked Cell 25 2 4 9 3" xfId="26327" xr:uid="{65D8A070-76D9-4A3F-BF13-8EFC15DCB67E}"/>
    <cellStyle name="Linked Cell 25 2 5" xfId="26328" xr:uid="{A1282292-1EDC-44A0-9D0F-7687B07898AB}"/>
    <cellStyle name="Linked Cell 25 2 5 10" xfId="26329" xr:uid="{97218A5B-0D11-420F-A79E-0BD2B864C041}"/>
    <cellStyle name="Linked Cell 25 2 5 10 2" xfId="26330" xr:uid="{F61C9B4B-1244-438F-8B86-52050CCCFA82}"/>
    <cellStyle name="Linked Cell 25 2 5 11" xfId="26331" xr:uid="{F785B88F-988C-43E9-BC8A-6D74AC3F97C6}"/>
    <cellStyle name="Linked Cell 25 2 5 2" xfId="26332" xr:uid="{7CFBDBCF-64CE-4506-AED8-6790F2F70496}"/>
    <cellStyle name="Linked Cell 25 2 5 2 2" xfId="26333" xr:uid="{4AEEA164-BBD4-4221-8181-ABBA9433798B}"/>
    <cellStyle name="Linked Cell 25 2 5 2 2 2" xfId="26334" xr:uid="{68662275-D709-48B1-8225-DD574936BD9F}"/>
    <cellStyle name="Linked Cell 25 2 5 2 3" xfId="26335" xr:uid="{546F2CBF-2257-4FF1-B787-6A2818166D10}"/>
    <cellStyle name="Linked Cell 25 2 5 3" xfId="26336" xr:uid="{B2978A4B-1DD9-46D6-9482-CDA4C575F9DA}"/>
    <cellStyle name="Linked Cell 25 2 5 3 2" xfId="26337" xr:uid="{AF58374B-13A4-4F2E-ADC8-E2161DBEBD5F}"/>
    <cellStyle name="Linked Cell 25 2 5 3 2 2" xfId="26338" xr:uid="{26382D01-B73B-490D-B1C0-857791B7AE1E}"/>
    <cellStyle name="Linked Cell 25 2 5 3 3" xfId="26339" xr:uid="{5792B6A4-0D46-470F-86A0-7E434F10265B}"/>
    <cellStyle name="Linked Cell 25 2 5 4" xfId="26340" xr:uid="{7537130C-4DB7-4A54-8755-14A963ABF66B}"/>
    <cellStyle name="Linked Cell 25 2 5 4 2" xfId="26341" xr:uid="{2D940A3E-4110-4943-AF6C-191D59236FA6}"/>
    <cellStyle name="Linked Cell 25 2 5 4 2 2" xfId="26342" xr:uid="{3707305D-7B67-40A6-978B-4B51C1A42E3E}"/>
    <cellStyle name="Linked Cell 25 2 5 4 3" xfId="26343" xr:uid="{15CF6881-FE56-4BE1-B5F3-5848CF26E893}"/>
    <cellStyle name="Linked Cell 25 2 5 5" xfId="26344" xr:uid="{84CE2C3E-7091-4FA6-8C33-9B5FF8FF2736}"/>
    <cellStyle name="Linked Cell 25 2 5 5 2" xfId="26345" xr:uid="{8A085F6C-EB5C-4153-B890-69098E46E164}"/>
    <cellStyle name="Linked Cell 25 2 5 5 2 2" xfId="26346" xr:uid="{1B0B4436-6DC6-40C4-976E-79F61A8B9575}"/>
    <cellStyle name="Linked Cell 25 2 5 5 3" xfId="26347" xr:uid="{F63AECD2-6303-4062-82C4-17ED618C77E9}"/>
    <cellStyle name="Linked Cell 25 2 5 6" xfId="26348" xr:uid="{8857855A-D770-434E-B26D-1F78EACB09D0}"/>
    <cellStyle name="Linked Cell 25 2 5 6 2" xfId="26349" xr:uid="{82E9829A-5B58-4383-A455-613A00E85715}"/>
    <cellStyle name="Linked Cell 25 2 5 6 2 2" xfId="26350" xr:uid="{E9BE291C-76B8-40A9-99AA-2920815F4FF0}"/>
    <cellStyle name="Linked Cell 25 2 5 6 3" xfId="26351" xr:uid="{1B7AE26C-0F5B-4DB4-81D7-746593A0F1D3}"/>
    <cellStyle name="Linked Cell 25 2 5 7" xfId="26352" xr:uid="{06AA72A8-058F-47BB-962E-6F4AFA61559C}"/>
    <cellStyle name="Linked Cell 25 2 5 7 2" xfId="26353" xr:uid="{FF12D56F-C5F6-484A-9451-8BC0635F6773}"/>
    <cellStyle name="Linked Cell 25 2 5 7 2 2" xfId="26354" xr:uid="{73630369-8670-418D-964E-EE58829721BF}"/>
    <cellStyle name="Linked Cell 25 2 5 7 3" xfId="26355" xr:uid="{D453E703-F560-46A0-AD91-EDA7831430AB}"/>
    <cellStyle name="Linked Cell 25 2 5 8" xfId="26356" xr:uid="{841C0307-14E4-46F8-9C03-9F91247D19D3}"/>
    <cellStyle name="Linked Cell 25 2 5 8 2" xfId="26357" xr:uid="{28583485-1636-47DD-8A6A-DC08CE9A08B5}"/>
    <cellStyle name="Linked Cell 25 2 5 8 2 2" xfId="26358" xr:uid="{37D240BF-EDF5-40F6-B980-FFA58CDC65C0}"/>
    <cellStyle name="Linked Cell 25 2 5 8 3" xfId="26359" xr:uid="{8695CAF4-FF6A-4948-88B8-8310BFAA2CDC}"/>
    <cellStyle name="Linked Cell 25 2 5 9" xfId="26360" xr:uid="{BBE812BD-DFBE-401A-A911-411A1338E9CF}"/>
    <cellStyle name="Linked Cell 25 2 5 9 2" xfId="26361" xr:uid="{DD7B5857-510E-4568-A6DC-D155E28EF9F2}"/>
    <cellStyle name="Linked Cell 25 2 5 9 2 2" xfId="26362" xr:uid="{415D9670-A1EE-4323-9B18-61C7800C87F8}"/>
    <cellStyle name="Linked Cell 25 2 5 9 3" xfId="26363" xr:uid="{0B2F4FB2-1F1F-473C-BC48-EF24880CB1C9}"/>
    <cellStyle name="Linked Cell 25 2 6" xfId="26364" xr:uid="{983F84B5-7B65-4F0F-A889-D0683D4EDDE4}"/>
    <cellStyle name="Linked Cell 25 2 6 2" xfId="26365" xr:uid="{FC5E485A-E882-450E-A44F-189833AD3F77}"/>
    <cellStyle name="Linked Cell 25 2 6 2 2" xfId="26366" xr:uid="{A4F2C137-59D1-417A-9B1C-6ACA837587E9}"/>
    <cellStyle name="Linked Cell 25 2 6 3" xfId="26367" xr:uid="{DAAB853E-D68E-486E-B8BB-C51C08A8D61F}"/>
    <cellStyle name="Linked Cell 25 2 7" xfId="26368" xr:uid="{10EFC2AD-4924-41EC-B26B-CAC36E0E2AB6}"/>
    <cellStyle name="Linked Cell 25 2 7 2" xfId="26369" xr:uid="{2FB136B3-C4A6-4E8F-91A3-013ABE3F8370}"/>
    <cellStyle name="Linked Cell 25 2 7 2 2" xfId="26370" xr:uid="{FB8E20B5-62B4-4CB6-B04E-5CC6724D4E3B}"/>
    <cellStyle name="Linked Cell 25 2 7 3" xfId="26371" xr:uid="{CD589C7C-0362-483D-B0F3-DDEF547F6DE7}"/>
    <cellStyle name="Linked Cell 25 2 8" xfId="26372" xr:uid="{FB195653-DD6C-4F0C-9D7B-649D0A2DB1E8}"/>
    <cellStyle name="Linked Cell 25 2 8 2" xfId="26373" xr:uid="{88690BA1-1F36-4750-9514-A4DC5FFCC2FF}"/>
    <cellStyle name="Linked Cell 25 2 8 2 2" xfId="26374" xr:uid="{498A213E-7A3E-4B94-A323-EF2CA2F1816D}"/>
    <cellStyle name="Linked Cell 25 2 8 3" xfId="26375" xr:uid="{0A470D1B-2292-4828-9D71-A34670FA67D3}"/>
    <cellStyle name="Linked Cell 25 2 9" xfId="26376" xr:uid="{E42B3F8B-8F27-4DAF-BC22-67CC2FCCCB11}"/>
    <cellStyle name="Linked Cell 25 2 9 2" xfId="26377" xr:uid="{9D0AAE3C-B1CA-45CD-828D-702384CAE553}"/>
    <cellStyle name="Linked Cell 25 2 9 2 2" xfId="26378" xr:uid="{62B5125D-4FE7-4997-AF54-EF50019FEA78}"/>
    <cellStyle name="Linked Cell 25 2 9 3" xfId="26379" xr:uid="{FC531D7E-254D-400D-8758-D6BD012533A6}"/>
    <cellStyle name="Linked Cell 25 3" xfId="26380" xr:uid="{2A35340C-167B-4303-9086-007623E23717}"/>
    <cellStyle name="Linked Cell 25 3 10" xfId="26381" xr:uid="{6C6EB566-919D-4B7C-90C4-5F2C64AE93B9}"/>
    <cellStyle name="Linked Cell 25 3 10 2" xfId="26382" xr:uid="{87E6B7CC-5E28-44A3-8AC9-7001F0DBFEDA}"/>
    <cellStyle name="Linked Cell 25 3 10 2 2" xfId="26383" xr:uid="{AA3B8F0C-6D7E-4B51-B0A1-DECDC8EB219A}"/>
    <cellStyle name="Linked Cell 25 3 10 3" xfId="26384" xr:uid="{09C2A6AD-6199-45AE-A86C-C659B4CF6AB0}"/>
    <cellStyle name="Linked Cell 25 3 11" xfId="26385" xr:uid="{A90E9D5B-C080-410D-97A0-DA1379641EEC}"/>
    <cellStyle name="Linked Cell 25 3 11 2" xfId="26386" xr:uid="{69A6CA46-5E84-4CA0-A214-3F8BFA3E1951}"/>
    <cellStyle name="Linked Cell 25 3 11 2 2" xfId="26387" xr:uid="{632AF925-092C-45B7-A37C-D38E527DFA14}"/>
    <cellStyle name="Linked Cell 25 3 11 3" xfId="26388" xr:uid="{7A8719E4-D505-4D8B-84B1-7235DC30EF94}"/>
    <cellStyle name="Linked Cell 25 3 12" xfId="26389" xr:uid="{5125612B-A883-48F4-A7C6-63C4A9667357}"/>
    <cellStyle name="Linked Cell 25 3 12 2" xfId="26390" xr:uid="{18703A27-8CC4-49F2-80FD-CCC74CEFD003}"/>
    <cellStyle name="Linked Cell 25 3 12 2 2" xfId="26391" xr:uid="{99F1BCC1-9987-42BD-BB49-D38A7A1A24B6}"/>
    <cellStyle name="Linked Cell 25 3 12 3" xfId="26392" xr:uid="{B9027D8C-40A2-41F1-A326-B4B72DC3600C}"/>
    <cellStyle name="Linked Cell 25 3 13" xfId="26393" xr:uid="{1413E2AB-5444-4A67-8210-B3E0CCED0DC2}"/>
    <cellStyle name="Linked Cell 25 3 13 2" xfId="26394" xr:uid="{AFBB3E79-C669-42E1-A348-2AF8940ED6B9}"/>
    <cellStyle name="Linked Cell 25 3 14" xfId="26395" xr:uid="{D422EC18-A70A-4EEF-8330-15768AA7746F}"/>
    <cellStyle name="Linked Cell 25 3 2" xfId="26396" xr:uid="{16590595-69F8-40B7-A0CE-2D6160EAF974}"/>
    <cellStyle name="Linked Cell 25 3 2 10" xfId="26397" xr:uid="{7E0C043D-0C7B-428F-A3E5-4EA27332FE77}"/>
    <cellStyle name="Linked Cell 25 3 2 10 2" xfId="26398" xr:uid="{6C1FF65F-13BA-40FB-80D1-945ADE039412}"/>
    <cellStyle name="Linked Cell 25 3 2 10 2 2" xfId="26399" xr:uid="{65F36CE6-7894-4CA8-99A0-ED6253783F9F}"/>
    <cellStyle name="Linked Cell 25 3 2 10 3" xfId="26400" xr:uid="{477D54BC-8D91-49FA-BD49-276F92B8D87C}"/>
    <cellStyle name="Linked Cell 25 3 2 11" xfId="26401" xr:uid="{EC22D1DC-46F9-49D6-A8E1-D686C41C8855}"/>
    <cellStyle name="Linked Cell 25 3 2 11 2" xfId="26402" xr:uid="{8651FDBF-A124-42F6-BEBA-D6347D70FB87}"/>
    <cellStyle name="Linked Cell 25 3 2 11 2 2" xfId="26403" xr:uid="{1C7FEC33-6B8E-404E-83F0-ADB32A385665}"/>
    <cellStyle name="Linked Cell 25 3 2 11 3" xfId="26404" xr:uid="{95FB3AE5-01EB-487A-8869-C8D32DFA4293}"/>
    <cellStyle name="Linked Cell 25 3 2 12" xfId="26405" xr:uid="{E061BBDE-0B7B-490A-9AE4-025CE38BA816}"/>
    <cellStyle name="Linked Cell 25 3 2 12 2" xfId="26406" xr:uid="{3AC7A27F-2496-4141-9FFF-9BC5BA167AD4}"/>
    <cellStyle name="Linked Cell 25 3 2 13" xfId="26407" xr:uid="{0EAA10F9-F671-4FD7-8F45-F4CB93AF55CB}"/>
    <cellStyle name="Linked Cell 25 3 2 2" xfId="26408" xr:uid="{497C015A-6EFE-425D-A15A-74E2BA7F9FA1}"/>
    <cellStyle name="Linked Cell 25 3 2 2 10" xfId="26409" xr:uid="{1AF8DE71-FB1C-4F5D-AB04-1F9F67959A4C}"/>
    <cellStyle name="Linked Cell 25 3 2 2 10 2" xfId="26410" xr:uid="{7D7CBB19-18BD-4EF2-80B3-68AF48AE5045}"/>
    <cellStyle name="Linked Cell 25 3 2 2 10 2 2" xfId="26411" xr:uid="{D5CA4ED1-C826-4739-B277-7FFAB246499F}"/>
    <cellStyle name="Linked Cell 25 3 2 2 10 3" xfId="26412" xr:uid="{EB7666F8-AF66-4389-8427-2723902298D1}"/>
    <cellStyle name="Linked Cell 25 3 2 2 11" xfId="26413" xr:uid="{25D3D467-4255-4FD1-88D9-18A9E6D8F95E}"/>
    <cellStyle name="Linked Cell 25 3 2 2 11 2" xfId="26414" xr:uid="{DFC66DE9-1404-4743-AC2F-9D4CCE02B061}"/>
    <cellStyle name="Linked Cell 25 3 2 2 12" xfId="26415" xr:uid="{FAB5B528-14E4-4B9E-AEF6-D71AD220385E}"/>
    <cellStyle name="Linked Cell 25 3 2 2 2" xfId="26416" xr:uid="{DA65B452-6C6D-4ABA-A6BF-48EE4F0BD002}"/>
    <cellStyle name="Linked Cell 25 3 2 2 2 2" xfId="26417" xr:uid="{4BB24336-0A9D-4F99-BBB6-0FF67D5BDC77}"/>
    <cellStyle name="Linked Cell 25 3 2 2 2 2 2" xfId="26418" xr:uid="{0BD418C9-2831-4317-A6EA-B496DACA41A6}"/>
    <cellStyle name="Linked Cell 25 3 2 2 2 3" xfId="26419" xr:uid="{A40E797E-88D3-451D-9B73-68089678E10E}"/>
    <cellStyle name="Linked Cell 25 3 2 2 3" xfId="26420" xr:uid="{D8EE164E-236D-402E-9C25-2F1F15C090CC}"/>
    <cellStyle name="Linked Cell 25 3 2 2 3 2" xfId="26421" xr:uid="{2B647CCA-AC69-4D8C-8947-E2C097835DCB}"/>
    <cellStyle name="Linked Cell 25 3 2 2 3 2 2" xfId="26422" xr:uid="{88397207-181B-4049-9B11-62FB826AFC2A}"/>
    <cellStyle name="Linked Cell 25 3 2 2 3 3" xfId="26423" xr:uid="{620425F7-2526-4D38-BAE6-0B817DAFDB9E}"/>
    <cellStyle name="Linked Cell 25 3 2 2 4" xfId="26424" xr:uid="{3C53B9E7-61A9-45C2-89DE-9BBFD595ACA6}"/>
    <cellStyle name="Linked Cell 25 3 2 2 4 2" xfId="26425" xr:uid="{888D9A0E-235A-454F-8B08-F7C4509492EF}"/>
    <cellStyle name="Linked Cell 25 3 2 2 4 2 2" xfId="26426" xr:uid="{20D13DB1-E99E-45CD-A3DF-346904513A41}"/>
    <cellStyle name="Linked Cell 25 3 2 2 4 3" xfId="26427" xr:uid="{BFFE39EE-C224-4E91-AB37-584A3D440779}"/>
    <cellStyle name="Linked Cell 25 3 2 2 5" xfId="26428" xr:uid="{3B8A874F-131E-4999-844A-2F563BC997EC}"/>
    <cellStyle name="Linked Cell 25 3 2 2 5 2" xfId="26429" xr:uid="{13EBCD8F-100C-4C80-8056-60F9FFE1351A}"/>
    <cellStyle name="Linked Cell 25 3 2 2 5 2 2" xfId="26430" xr:uid="{DCFE8620-A1B0-4571-AC55-5E528FD7F653}"/>
    <cellStyle name="Linked Cell 25 3 2 2 5 3" xfId="26431" xr:uid="{FEC41F5C-9EEE-4FBD-B8D4-6405E323A829}"/>
    <cellStyle name="Linked Cell 25 3 2 2 6" xfId="26432" xr:uid="{74D92816-7F18-4656-9A39-11C98D575544}"/>
    <cellStyle name="Linked Cell 25 3 2 2 6 2" xfId="26433" xr:uid="{92BB60E8-E133-4136-BAFB-B945A2D67A3A}"/>
    <cellStyle name="Linked Cell 25 3 2 2 6 2 2" xfId="26434" xr:uid="{E671B3B5-12BC-40C6-A972-BE9073BE3433}"/>
    <cellStyle name="Linked Cell 25 3 2 2 6 3" xfId="26435" xr:uid="{6897A0F3-74A7-4362-B034-D421D280A99B}"/>
    <cellStyle name="Linked Cell 25 3 2 2 7" xfId="26436" xr:uid="{8943B7EE-F4B3-4572-9C12-883E40610C8F}"/>
    <cellStyle name="Linked Cell 25 3 2 2 7 2" xfId="26437" xr:uid="{3BEBA7DE-E59A-4D95-9FC2-42BAADAB43EE}"/>
    <cellStyle name="Linked Cell 25 3 2 2 7 2 2" xfId="26438" xr:uid="{33BC02A6-A094-497D-987B-25D167286A05}"/>
    <cellStyle name="Linked Cell 25 3 2 2 7 3" xfId="26439" xr:uid="{A2DCEBBA-D325-448C-9289-BC4D8C644DCD}"/>
    <cellStyle name="Linked Cell 25 3 2 2 8" xfId="26440" xr:uid="{2F7E2B27-7F9E-49CE-BFCE-BBB7A8250A3E}"/>
    <cellStyle name="Linked Cell 25 3 2 2 8 2" xfId="26441" xr:uid="{831D2437-8822-49EB-9BFA-AD8A0A6626B5}"/>
    <cellStyle name="Linked Cell 25 3 2 2 8 2 2" xfId="26442" xr:uid="{FF9A0F5C-E342-489C-A129-4DCCCFE31A31}"/>
    <cellStyle name="Linked Cell 25 3 2 2 8 3" xfId="26443" xr:uid="{FB482BEA-DAC0-497B-BFFC-4CE5F47B611B}"/>
    <cellStyle name="Linked Cell 25 3 2 2 9" xfId="26444" xr:uid="{D07221EB-0DAB-4228-80BC-271E0BF2659F}"/>
    <cellStyle name="Linked Cell 25 3 2 2 9 2" xfId="26445" xr:uid="{3EBCDD3A-7399-4965-B8DF-A13D43AAD9D9}"/>
    <cellStyle name="Linked Cell 25 3 2 2 9 2 2" xfId="26446" xr:uid="{1C85D60C-4F8D-4E21-AF82-BEEF2AC4C352}"/>
    <cellStyle name="Linked Cell 25 3 2 2 9 3" xfId="26447" xr:uid="{7E76DAC8-8676-440C-B2F7-04C222D5FD6A}"/>
    <cellStyle name="Linked Cell 25 3 2 3" xfId="26448" xr:uid="{4924C7C6-68FA-4145-AD96-48FE09D1F541}"/>
    <cellStyle name="Linked Cell 25 3 2 3 10" xfId="26449" xr:uid="{7EE039EA-55FC-4320-BE78-4152487DD803}"/>
    <cellStyle name="Linked Cell 25 3 2 3 10 2" xfId="26450" xr:uid="{7CE626CF-6BD6-4A48-8DD9-671CE67554EF}"/>
    <cellStyle name="Linked Cell 25 3 2 3 11" xfId="26451" xr:uid="{E80DB785-DC98-4F55-B91C-39845D6DB992}"/>
    <cellStyle name="Linked Cell 25 3 2 3 2" xfId="26452" xr:uid="{AAC94051-7CC3-4B93-9956-230B621604BE}"/>
    <cellStyle name="Linked Cell 25 3 2 3 2 2" xfId="26453" xr:uid="{AC63D451-3806-4552-8833-42742ACEA0BC}"/>
    <cellStyle name="Linked Cell 25 3 2 3 2 2 2" xfId="26454" xr:uid="{D92C9C57-2BC9-4F92-B115-8CD65E8D646A}"/>
    <cellStyle name="Linked Cell 25 3 2 3 2 3" xfId="26455" xr:uid="{F96960D0-5F17-43D5-A511-7670C11906D5}"/>
    <cellStyle name="Linked Cell 25 3 2 3 3" xfId="26456" xr:uid="{E8E277BB-0907-4C34-888B-A6B559F7BFDC}"/>
    <cellStyle name="Linked Cell 25 3 2 3 3 2" xfId="26457" xr:uid="{E82E8F60-0FF4-44CE-B9C3-97628BC384C3}"/>
    <cellStyle name="Linked Cell 25 3 2 3 3 2 2" xfId="26458" xr:uid="{7EAA7387-19A6-4624-8246-9638B6BD4903}"/>
    <cellStyle name="Linked Cell 25 3 2 3 3 3" xfId="26459" xr:uid="{E692BF04-22C7-4843-8892-5AB89D1019ED}"/>
    <cellStyle name="Linked Cell 25 3 2 3 4" xfId="26460" xr:uid="{8A68195C-921F-4169-900E-D28C4B9A2CA8}"/>
    <cellStyle name="Linked Cell 25 3 2 3 4 2" xfId="26461" xr:uid="{92B8C8B1-9B5C-4AB1-953F-B0FE0D965118}"/>
    <cellStyle name="Linked Cell 25 3 2 3 4 2 2" xfId="26462" xr:uid="{7820119D-D328-41F4-BB16-8181F48F3012}"/>
    <cellStyle name="Linked Cell 25 3 2 3 4 3" xfId="26463" xr:uid="{B69D5133-A5D6-4BEC-BAB6-0ED941FC19D9}"/>
    <cellStyle name="Linked Cell 25 3 2 3 5" xfId="26464" xr:uid="{0417A9AA-7F49-4B0D-88C9-EB61E360B092}"/>
    <cellStyle name="Linked Cell 25 3 2 3 5 2" xfId="26465" xr:uid="{C0EBD2C4-A9FB-4150-9B67-6809AF126FC8}"/>
    <cellStyle name="Linked Cell 25 3 2 3 5 2 2" xfId="26466" xr:uid="{CD2C7160-7B65-4B83-9088-2F1580D0EE06}"/>
    <cellStyle name="Linked Cell 25 3 2 3 5 3" xfId="26467" xr:uid="{D08D9A75-EEEE-4EE2-A26A-E3B919B4ADBF}"/>
    <cellStyle name="Linked Cell 25 3 2 3 6" xfId="26468" xr:uid="{46509360-F07B-43D8-8D63-F704C696636B}"/>
    <cellStyle name="Linked Cell 25 3 2 3 6 2" xfId="26469" xr:uid="{7024574A-624F-45FE-80EA-4DB35C3C6F73}"/>
    <cellStyle name="Linked Cell 25 3 2 3 6 2 2" xfId="26470" xr:uid="{743F8645-36B8-409B-9F12-BAF821B9EF7D}"/>
    <cellStyle name="Linked Cell 25 3 2 3 6 3" xfId="26471" xr:uid="{A8E2A178-F1D4-4272-BA77-BC7E8ECB0EB2}"/>
    <cellStyle name="Linked Cell 25 3 2 3 7" xfId="26472" xr:uid="{D0FC018F-0EE1-47D9-B739-A77BAD838083}"/>
    <cellStyle name="Linked Cell 25 3 2 3 7 2" xfId="26473" xr:uid="{3842F4CD-6859-4889-A204-AC261059725E}"/>
    <cellStyle name="Linked Cell 25 3 2 3 7 2 2" xfId="26474" xr:uid="{68775A60-118E-40E1-A068-E5E676C17E4F}"/>
    <cellStyle name="Linked Cell 25 3 2 3 7 3" xfId="26475" xr:uid="{AAAC0B90-4966-4B9F-B652-07ED9E39FE35}"/>
    <cellStyle name="Linked Cell 25 3 2 3 8" xfId="26476" xr:uid="{A518BE28-4CEC-421A-B9DC-76B762C1833E}"/>
    <cellStyle name="Linked Cell 25 3 2 3 8 2" xfId="26477" xr:uid="{1BA84B50-0092-4483-BC46-6A209A01BC0F}"/>
    <cellStyle name="Linked Cell 25 3 2 3 8 2 2" xfId="26478" xr:uid="{98F1897E-2C16-4180-8658-B39EBF8EF85B}"/>
    <cellStyle name="Linked Cell 25 3 2 3 8 3" xfId="26479" xr:uid="{EDEED658-EE3C-4FF1-BA80-1874AA15FCB2}"/>
    <cellStyle name="Linked Cell 25 3 2 3 9" xfId="26480" xr:uid="{DB35BB35-4834-47EF-B219-AD83ED91E9B9}"/>
    <cellStyle name="Linked Cell 25 3 2 3 9 2" xfId="26481" xr:uid="{8A202CDE-9AC4-495A-96A8-C9323210D333}"/>
    <cellStyle name="Linked Cell 25 3 2 3 9 2 2" xfId="26482" xr:uid="{67AA897E-C344-400A-91EB-240BCFC2E6ED}"/>
    <cellStyle name="Linked Cell 25 3 2 3 9 3" xfId="26483" xr:uid="{8FAE74CF-7D88-452D-AB5C-4DF39FE02DEC}"/>
    <cellStyle name="Linked Cell 25 3 2 4" xfId="26484" xr:uid="{077576F7-4ADD-49C3-B9F9-43EA9A00650F}"/>
    <cellStyle name="Linked Cell 25 3 2 4 2" xfId="26485" xr:uid="{2D2E2D6F-7AB4-4B39-8FEE-DA1118B28CB0}"/>
    <cellStyle name="Linked Cell 25 3 2 4 2 2" xfId="26486" xr:uid="{370BE6A7-D152-48D4-9140-5D4AC0CC4BC9}"/>
    <cellStyle name="Linked Cell 25 3 2 4 3" xfId="26487" xr:uid="{A3FCDA0B-881A-48FD-9F88-22B921BC5502}"/>
    <cellStyle name="Linked Cell 25 3 2 5" xfId="26488" xr:uid="{F21AA089-FA99-40FB-B90C-A0DB7E7F98A3}"/>
    <cellStyle name="Linked Cell 25 3 2 5 2" xfId="26489" xr:uid="{42FD5128-B08E-42E6-9AE5-2B6399885EE4}"/>
    <cellStyle name="Linked Cell 25 3 2 5 2 2" xfId="26490" xr:uid="{8F3D6FD4-3DF2-45F8-B9BC-745BE3FA38CF}"/>
    <cellStyle name="Linked Cell 25 3 2 5 3" xfId="26491" xr:uid="{CE7471AB-0BEE-4FC7-BF9B-858FE71BE6E1}"/>
    <cellStyle name="Linked Cell 25 3 2 6" xfId="26492" xr:uid="{B9C4EEF1-1EB4-4950-AE86-8F6E3A9C3FB5}"/>
    <cellStyle name="Linked Cell 25 3 2 6 2" xfId="26493" xr:uid="{90359956-5221-4655-B3F1-F8CC4A1DA061}"/>
    <cellStyle name="Linked Cell 25 3 2 6 2 2" xfId="26494" xr:uid="{1B6F50E2-E7BA-486C-A5C4-E7052FDA451D}"/>
    <cellStyle name="Linked Cell 25 3 2 6 3" xfId="26495" xr:uid="{DA69C185-BDF2-4282-A863-FCE25466A0B3}"/>
    <cellStyle name="Linked Cell 25 3 2 7" xfId="26496" xr:uid="{D4A6642D-BADF-4162-AA61-EEC6CA17FD7F}"/>
    <cellStyle name="Linked Cell 25 3 2 7 2" xfId="26497" xr:uid="{6A256BCD-B31A-4FC5-87FC-DEC49849D620}"/>
    <cellStyle name="Linked Cell 25 3 2 7 2 2" xfId="26498" xr:uid="{9EA039BA-460A-46FC-B1F7-F4C1DAFFC044}"/>
    <cellStyle name="Linked Cell 25 3 2 7 3" xfId="26499" xr:uid="{C50C0641-EA36-49AA-AA44-0ECDCE20FDA7}"/>
    <cellStyle name="Linked Cell 25 3 2 8" xfId="26500" xr:uid="{25F65039-62DA-445F-AC3C-A7824DF7FF29}"/>
    <cellStyle name="Linked Cell 25 3 2 8 2" xfId="26501" xr:uid="{551CCD6C-6CAE-4830-A6B0-8511DA900FC8}"/>
    <cellStyle name="Linked Cell 25 3 2 8 2 2" xfId="26502" xr:uid="{0DB2E3E7-C4D2-4C7F-BDFB-B87B73FAD965}"/>
    <cellStyle name="Linked Cell 25 3 2 8 3" xfId="26503" xr:uid="{57BE72E8-0D6E-4824-8082-06CEF648D3E7}"/>
    <cellStyle name="Linked Cell 25 3 2 9" xfId="26504" xr:uid="{BB2CD430-5A5C-423C-BFA2-A6B9354DCED2}"/>
    <cellStyle name="Linked Cell 25 3 2 9 2" xfId="26505" xr:uid="{D653E846-E5D8-4A84-9548-49024DB92F04}"/>
    <cellStyle name="Linked Cell 25 3 2 9 2 2" xfId="26506" xr:uid="{60386A61-AFE2-40C3-9702-7115CF57CE07}"/>
    <cellStyle name="Linked Cell 25 3 2 9 3" xfId="26507" xr:uid="{1BAA31AE-CABF-4F48-8115-DCC9C1D54235}"/>
    <cellStyle name="Linked Cell 25 3 3" xfId="26508" xr:uid="{F0A7CDB5-874B-4E87-B151-AE1912761D2C}"/>
    <cellStyle name="Linked Cell 25 3 3 10" xfId="26509" xr:uid="{8B2EF0AE-01A8-49C0-AD70-3495DE268EC0}"/>
    <cellStyle name="Linked Cell 25 3 3 10 2" xfId="26510" xr:uid="{7738EDB8-1C19-4F34-8B77-C79D55D27844}"/>
    <cellStyle name="Linked Cell 25 3 3 10 2 2" xfId="26511" xr:uid="{C72A7869-DC95-46A9-ADFD-E8B46E5EAAB8}"/>
    <cellStyle name="Linked Cell 25 3 3 10 3" xfId="26512" xr:uid="{63034D43-E57B-4C79-B672-FEC3F360E65A}"/>
    <cellStyle name="Linked Cell 25 3 3 11" xfId="26513" xr:uid="{9A5697CB-1DE8-411C-974C-372B9C3359AB}"/>
    <cellStyle name="Linked Cell 25 3 3 11 2" xfId="26514" xr:uid="{07AAED2D-E1F6-4B17-8205-CF08E3FD9F62}"/>
    <cellStyle name="Linked Cell 25 3 3 12" xfId="26515" xr:uid="{A9242984-EAC8-476B-B15E-F59A35C91486}"/>
    <cellStyle name="Linked Cell 25 3 3 2" xfId="26516" xr:uid="{2BCA1E72-AC8E-4993-9A3D-48D1C2B3F3A6}"/>
    <cellStyle name="Linked Cell 25 3 3 2 10" xfId="26517" xr:uid="{9F98A8D2-6E70-4781-9B1D-3E3FFD3D9A4B}"/>
    <cellStyle name="Linked Cell 25 3 3 2 10 2" xfId="26518" xr:uid="{A11EDCAD-A784-4C48-9AE9-5207886E8DA2}"/>
    <cellStyle name="Linked Cell 25 3 3 2 11" xfId="26519" xr:uid="{34D07B1D-4AEA-4FCA-8909-7ECEE7115BDC}"/>
    <cellStyle name="Linked Cell 25 3 3 2 2" xfId="26520" xr:uid="{3A6005D2-175D-4CC8-9D10-D084E6C0EFF7}"/>
    <cellStyle name="Linked Cell 25 3 3 2 2 2" xfId="26521" xr:uid="{8A9C281C-8753-43CA-8022-E8E4A3134C47}"/>
    <cellStyle name="Linked Cell 25 3 3 2 2 2 2" xfId="26522" xr:uid="{19B52A3E-F231-4B0C-BAD8-B6828528DC05}"/>
    <cellStyle name="Linked Cell 25 3 3 2 2 3" xfId="26523" xr:uid="{9519E9E0-993D-4BE3-9B04-C31076191C35}"/>
    <cellStyle name="Linked Cell 25 3 3 2 3" xfId="26524" xr:uid="{487A70AC-AF56-4C97-A448-1EF5D0390323}"/>
    <cellStyle name="Linked Cell 25 3 3 2 3 2" xfId="26525" xr:uid="{552FF709-0B3F-4FAE-9CF0-98CB5C4D4BA3}"/>
    <cellStyle name="Linked Cell 25 3 3 2 3 2 2" xfId="26526" xr:uid="{5BEE060F-76DC-4706-B971-555F30379E33}"/>
    <cellStyle name="Linked Cell 25 3 3 2 3 3" xfId="26527" xr:uid="{574B0A52-4922-4DAC-AFFC-E47021B9C1C3}"/>
    <cellStyle name="Linked Cell 25 3 3 2 4" xfId="26528" xr:uid="{6B5870BB-B3C5-487B-962B-59861DBEFF3D}"/>
    <cellStyle name="Linked Cell 25 3 3 2 4 2" xfId="26529" xr:uid="{7B8C4B04-0341-4F15-81E8-CC547F35A03F}"/>
    <cellStyle name="Linked Cell 25 3 3 2 4 2 2" xfId="26530" xr:uid="{D0FD9755-AB6E-4F8F-B63B-056E346F1BD1}"/>
    <cellStyle name="Linked Cell 25 3 3 2 4 3" xfId="26531" xr:uid="{DD8F7C64-56AC-44EA-B4E4-11768720B58C}"/>
    <cellStyle name="Linked Cell 25 3 3 2 5" xfId="26532" xr:uid="{85397A3F-7240-4A97-B2B9-EE57C3C71ECB}"/>
    <cellStyle name="Linked Cell 25 3 3 2 5 2" xfId="26533" xr:uid="{96474584-451D-4AA2-8CDD-29DF7DD22396}"/>
    <cellStyle name="Linked Cell 25 3 3 2 5 2 2" xfId="26534" xr:uid="{26FCE851-45D0-42AF-9908-B8A9946E7E67}"/>
    <cellStyle name="Linked Cell 25 3 3 2 5 3" xfId="26535" xr:uid="{7E91AA26-4CDC-4E50-9020-52490617EB50}"/>
    <cellStyle name="Linked Cell 25 3 3 2 6" xfId="26536" xr:uid="{B2CA282E-2961-48C4-892E-24C92DE6D21A}"/>
    <cellStyle name="Linked Cell 25 3 3 2 6 2" xfId="26537" xr:uid="{8A1C3271-0A97-45DE-9C70-21DED79C6E3A}"/>
    <cellStyle name="Linked Cell 25 3 3 2 6 2 2" xfId="26538" xr:uid="{831AEE90-ED7B-48FE-A868-677E2C5F9E44}"/>
    <cellStyle name="Linked Cell 25 3 3 2 6 3" xfId="26539" xr:uid="{B4244BE2-3DA2-4985-972A-5806C789BBB8}"/>
    <cellStyle name="Linked Cell 25 3 3 2 7" xfId="26540" xr:uid="{BC8FF7B5-8FA6-48BB-B11F-22E0AA50AEC0}"/>
    <cellStyle name="Linked Cell 25 3 3 2 7 2" xfId="26541" xr:uid="{A42E3782-746E-498F-9E23-597120D66FC0}"/>
    <cellStyle name="Linked Cell 25 3 3 2 7 2 2" xfId="26542" xr:uid="{BEA395DF-EE9D-4F8B-A42B-AF84C6B7B69F}"/>
    <cellStyle name="Linked Cell 25 3 3 2 7 3" xfId="26543" xr:uid="{00CC56AA-7B48-458D-AB3A-60B8D65D330E}"/>
    <cellStyle name="Linked Cell 25 3 3 2 8" xfId="26544" xr:uid="{2B1A017D-0EA0-40EF-A225-6DA89B0D90B6}"/>
    <cellStyle name="Linked Cell 25 3 3 2 8 2" xfId="26545" xr:uid="{66145EB3-BD60-41A5-AF15-1F64635D5409}"/>
    <cellStyle name="Linked Cell 25 3 3 2 8 2 2" xfId="26546" xr:uid="{98423C13-01E8-4981-8CBC-535383B8408C}"/>
    <cellStyle name="Linked Cell 25 3 3 2 8 3" xfId="26547" xr:uid="{4AAEC677-9C1F-41C3-A5FC-58B56BB22B9D}"/>
    <cellStyle name="Linked Cell 25 3 3 2 9" xfId="26548" xr:uid="{7D6349CE-6618-4847-8A16-B2D000A306BC}"/>
    <cellStyle name="Linked Cell 25 3 3 2 9 2" xfId="26549" xr:uid="{6B3D759B-A9F4-48CD-AC2A-7C494BDC1CB0}"/>
    <cellStyle name="Linked Cell 25 3 3 2 9 2 2" xfId="26550" xr:uid="{E891E99C-7CEF-4446-9B3D-86D974F6D775}"/>
    <cellStyle name="Linked Cell 25 3 3 2 9 3" xfId="26551" xr:uid="{E801DE69-03C8-4304-A00E-C0C194E1E5F3}"/>
    <cellStyle name="Linked Cell 25 3 3 3" xfId="26552" xr:uid="{27C14284-52F6-40C2-BE98-F1BAF0ED9A6D}"/>
    <cellStyle name="Linked Cell 25 3 3 3 2" xfId="26553" xr:uid="{05716FB4-9D31-4E89-9601-2AFDB533BF56}"/>
    <cellStyle name="Linked Cell 25 3 3 3 2 2" xfId="26554" xr:uid="{0465C4C7-DF17-4B46-A736-B8442C03B81C}"/>
    <cellStyle name="Linked Cell 25 3 3 3 3" xfId="26555" xr:uid="{7292D2EC-901C-4702-B1DE-EE2D6689C4AE}"/>
    <cellStyle name="Linked Cell 25 3 3 4" xfId="26556" xr:uid="{9B96755D-DED9-4B12-B4A5-DBB336FC9592}"/>
    <cellStyle name="Linked Cell 25 3 3 4 2" xfId="26557" xr:uid="{58ABE0B2-3EF3-4D24-8ADD-709861C569D4}"/>
    <cellStyle name="Linked Cell 25 3 3 4 2 2" xfId="26558" xr:uid="{3790BC0A-2E77-4003-96ED-5F398A216ADB}"/>
    <cellStyle name="Linked Cell 25 3 3 4 3" xfId="26559" xr:uid="{1DACB660-1093-4481-8999-F82C30D90C2C}"/>
    <cellStyle name="Linked Cell 25 3 3 5" xfId="26560" xr:uid="{806FE481-C1F8-4180-88A9-726CD18130F5}"/>
    <cellStyle name="Linked Cell 25 3 3 5 2" xfId="26561" xr:uid="{09FF142E-C52B-4009-9E47-F18CA02C03A9}"/>
    <cellStyle name="Linked Cell 25 3 3 5 2 2" xfId="26562" xr:uid="{DCF94B11-99A8-4875-BE40-694F2EA2A376}"/>
    <cellStyle name="Linked Cell 25 3 3 5 3" xfId="26563" xr:uid="{A3A3DC4B-6575-4DCC-8B45-FF770AA98C02}"/>
    <cellStyle name="Linked Cell 25 3 3 6" xfId="26564" xr:uid="{633F9CC4-6EB2-4C6D-8DFC-162897903582}"/>
    <cellStyle name="Linked Cell 25 3 3 6 2" xfId="26565" xr:uid="{415098D4-D285-470C-8420-6204A7204A09}"/>
    <cellStyle name="Linked Cell 25 3 3 6 2 2" xfId="26566" xr:uid="{B5C834E3-8931-42B5-A26C-DB5B58970597}"/>
    <cellStyle name="Linked Cell 25 3 3 6 3" xfId="26567" xr:uid="{FBE1B21E-AA19-46A4-98E7-BAF65F53E489}"/>
    <cellStyle name="Linked Cell 25 3 3 7" xfId="26568" xr:uid="{CFE58680-AC49-472F-987D-3C1B1F621ACC}"/>
    <cellStyle name="Linked Cell 25 3 3 7 2" xfId="26569" xr:uid="{3829D072-B24A-444D-956F-55ECD8136C17}"/>
    <cellStyle name="Linked Cell 25 3 3 7 2 2" xfId="26570" xr:uid="{7D014A8C-61D5-41C9-B4B9-196E6634CAFF}"/>
    <cellStyle name="Linked Cell 25 3 3 7 3" xfId="26571" xr:uid="{01B6008D-23BF-4A49-9B8F-01D0CFF6F1DC}"/>
    <cellStyle name="Linked Cell 25 3 3 8" xfId="26572" xr:uid="{C9477A29-1B70-4ADE-A668-2B9E3D186421}"/>
    <cellStyle name="Linked Cell 25 3 3 8 2" xfId="26573" xr:uid="{C208E045-9D94-44E6-84B5-F8FE845BA403}"/>
    <cellStyle name="Linked Cell 25 3 3 8 2 2" xfId="26574" xr:uid="{EAD1202A-BA56-4BCF-830E-972B29EDA87F}"/>
    <cellStyle name="Linked Cell 25 3 3 8 3" xfId="26575" xr:uid="{58A29DCC-0C20-444A-B6F8-503BD4DD8027}"/>
    <cellStyle name="Linked Cell 25 3 3 9" xfId="26576" xr:uid="{069F4D8B-B5A7-41F2-B5D2-A05ECCE836DB}"/>
    <cellStyle name="Linked Cell 25 3 3 9 2" xfId="26577" xr:uid="{4AEE4303-66C7-4F37-AE9C-2818A3D1E1FC}"/>
    <cellStyle name="Linked Cell 25 3 3 9 2 2" xfId="26578" xr:uid="{0AD3EB49-50CD-4D43-9745-D1A1085D2B63}"/>
    <cellStyle name="Linked Cell 25 3 3 9 3" xfId="26579" xr:uid="{C1AB827E-F469-46C6-84A2-5CDFA9FFEFF0}"/>
    <cellStyle name="Linked Cell 25 3 4" xfId="26580" xr:uid="{273FAEEA-21F8-4B8E-B86B-41263F8D7E9B}"/>
    <cellStyle name="Linked Cell 25 3 4 10" xfId="26581" xr:uid="{4C60714D-F39D-4053-AD21-52ADCA384590}"/>
    <cellStyle name="Linked Cell 25 3 4 10 2" xfId="26582" xr:uid="{1B4FAC37-075E-41A3-9E15-533F72A2E87B}"/>
    <cellStyle name="Linked Cell 25 3 4 11" xfId="26583" xr:uid="{EE855FDF-DEAB-4A62-B64B-298EEBCF88BA}"/>
    <cellStyle name="Linked Cell 25 3 4 2" xfId="26584" xr:uid="{01AF442C-2929-4596-91F7-FFE42852925A}"/>
    <cellStyle name="Linked Cell 25 3 4 2 2" xfId="26585" xr:uid="{520748B4-C8B5-4F93-91F8-79DEA4DA67A0}"/>
    <cellStyle name="Linked Cell 25 3 4 2 2 2" xfId="26586" xr:uid="{C57194D0-0501-4558-8C94-1837FA7EF193}"/>
    <cellStyle name="Linked Cell 25 3 4 2 3" xfId="26587" xr:uid="{B7826DE0-6955-4898-9DDD-ECC69FC721B4}"/>
    <cellStyle name="Linked Cell 25 3 4 3" xfId="26588" xr:uid="{1AA56E14-E946-4D8C-99EA-5F9CD69781BE}"/>
    <cellStyle name="Linked Cell 25 3 4 3 2" xfId="26589" xr:uid="{715B5F14-104E-4914-8B8E-AF9BEB0E976B}"/>
    <cellStyle name="Linked Cell 25 3 4 3 2 2" xfId="26590" xr:uid="{F4B6DADD-D7ED-44F7-89A5-78E47BC9178C}"/>
    <cellStyle name="Linked Cell 25 3 4 3 3" xfId="26591" xr:uid="{1CBFE6B6-4559-4367-994B-B96CDE26B512}"/>
    <cellStyle name="Linked Cell 25 3 4 4" xfId="26592" xr:uid="{6C8E7881-6967-46E7-B4E4-635E345AE87B}"/>
    <cellStyle name="Linked Cell 25 3 4 4 2" xfId="26593" xr:uid="{A6060793-66E9-4053-8CF0-6A5D2BDBCE61}"/>
    <cellStyle name="Linked Cell 25 3 4 4 2 2" xfId="26594" xr:uid="{9D1E36D9-BB83-4C7A-9251-47665FF5EEBB}"/>
    <cellStyle name="Linked Cell 25 3 4 4 3" xfId="26595" xr:uid="{BF95758C-4E83-4BF6-8B30-8408E112CBA4}"/>
    <cellStyle name="Linked Cell 25 3 4 5" xfId="26596" xr:uid="{529B3903-4399-447B-B1C3-2BA721AF178A}"/>
    <cellStyle name="Linked Cell 25 3 4 5 2" xfId="26597" xr:uid="{C411B94F-11CA-44A9-9949-321FBB59537F}"/>
    <cellStyle name="Linked Cell 25 3 4 5 2 2" xfId="26598" xr:uid="{8F3827D9-EB7B-40AA-BEAD-C98606BFD668}"/>
    <cellStyle name="Linked Cell 25 3 4 5 3" xfId="26599" xr:uid="{DA704BF6-DADF-43BF-AA6A-D3864C3746AA}"/>
    <cellStyle name="Linked Cell 25 3 4 6" xfId="26600" xr:uid="{AA084D89-D7E8-46FE-83A7-588806934879}"/>
    <cellStyle name="Linked Cell 25 3 4 6 2" xfId="26601" xr:uid="{4659C31D-7D98-445C-BDF7-BD401F6A8DEA}"/>
    <cellStyle name="Linked Cell 25 3 4 6 2 2" xfId="26602" xr:uid="{7E90D65C-1E4A-46D7-8816-9F69A77FE620}"/>
    <cellStyle name="Linked Cell 25 3 4 6 3" xfId="26603" xr:uid="{29EF47A0-9F5E-4B88-9C16-067A5D2CAEE1}"/>
    <cellStyle name="Linked Cell 25 3 4 7" xfId="26604" xr:uid="{B58CDD04-F9DC-4C92-99EF-C0733EA5CF84}"/>
    <cellStyle name="Linked Cell 25 3 4 7 2" xfId="26605" xr:uid="{AECBC677-2F52-4F1B-A394-CC92B333715A}"/>
    <cellStyle name="Linked Cell 25 3 4 7 2 2" xfId="26606" xr:uid="{DEB2FC80-EB72-4892-A655-BD2C4F68B702}"/>
    <cellStyle name="Linked Cell 25 3 4 7 3" xfId="26607" xr:uid="{14BF8729-549A-4D68-B5CE-EA0B57CB7F18}"/>
    <cellStyle name="Linked Cell 25 3 4 8" xfId="26608" xr:uid="{7A6BB989-8A18-40AB-A138-7A82CDB710D8}"/>
    <cellStyle name="Linked Cell 25 3 4 8 2" xfId="26609" xr:uid="{26AC26B7-08FD-463A-B433-23ED089F5F80}"/>
    <cellStyle name="Linked Cell 25 3 4 8 2 2" xfId="26610" xr:uid="{04468C46-4B44-4E33-894D-0364FF05F2D3}"/>
    <cellStyle name="Linked Cell 25 3 4 8 3" xfId="26611" xr:uid="{87F431BD-DBBB-4042-AFB9-93880573C773}"/>
    <cellStyle name="Linked Cell 25 3 4 9" xfId="26612" xr:uid="{2A216530-CE02-4FBC-9A2B-CD9A7C680270}"/>
    <cellStyle name="Linked Cell 25 3 4 9 2" xfId="26613" xr:uid="{C0E451E8-B210-4ADA-8033-26A4EF7B1F1E}"/>
    <cellStyle name="Linked Cell 25 3 4 9 2 2" xfId="26614" xr:uid="{CF1646EB-356D-4359-9D6E-D0C658D98086}"/>
    <cellStyle name="Linked Cell 25 3 4 9 3" xfId="26615" xr:uid="{7F6FE08D-4094-4124-919E-6465C5E104A7}"/>
    <cellStyle name="Linked Cell 25 3 5" xfId="26616" xr:uid="{CEDF83F0-FDF1-4B2E-9D96-4031BB648196}"/>
    <cellStyle name="Linked Cell 25 3 5 2" xfId="26617" xr:uid="{172A9D9A-69A6-45BC-8F54-187E6EA23A7B}"/>
    <cellStyle name="Linked Cell 25 3 5 2 2" xfId="26618" xr:uid="{90034166-80F2-40C8-95CF-0F187B6F699A}"/>
    <cellStyle name="Linked Cell 25 3 5 3" xfId="26619" xr:uid="{8D6200A3-6466-4113-AA25-513D0B028951}"/>
    <cellStyle name="Linked Cell 25 3 6" xfId="26620" xr:uid="{3BAEF9EE-47C1-4D9B-9E04-2E36234B6DE7}"/>
    <cellStyle name="Linked Cell 25 3 6 2" xfId="26621" xr:uid="{551B7A3E-2E1E-47F4-992A-645369483366}"/>
    <cellStyle name="Linked Cell 25 3 6 2 2" xfId="26622" xr:uid="{5C2346C9-46AA-4583-88F6-766F1D22A18B}"/>
    <cellStyle name="Linked Cell 25 3 6 3" xfId="26623" xr:uid="{1A75A0A6-23C1-4709-A893-457956FC9F02}"/>
    <cellStyle name="Linked Cell 25 3 7" xfId="26624" xr:uid="{5C00B255-598E-4EB3-9524-29B4B3F11D3E}"/>
    <cellStyle name="Linked Cell 25 3 7 2" xfId="26625" xr:uid="{9D332736-3147-4FEE-8165-8B336C4D6481}"/>
    <cellStyle name="Linked Cell 25 3 7 2 2" xfId="26626" xr:uid="{E7779E3B-F9BD-437C-AE39-A1D5ECAC77ED}"/>
    <cellStyle name="Linked Cell 25 3 7 3" xfId="26627" xr:uid="{9F0A4845-E049-472C-89C4-A321BAAB562E}"/>
    <cellStyle name="Linked Cell 25 3 8" xfId="26628" xr:uid="{55467475-49F2-43B1-A4A0-756E73B4CFAB}"/>
    <cellStyle name="Linked Cell 25 3 8 2" xfId="26629" xr:uid="{89A0925A-2C92-4197-AB54-59980CA2E241}"/>
    <cellStyle name="Linked Cell 25 3 8 2 2" xfId="26630" xr:uid="{9CA4BFBD-9037-44BF-A2C6-200486A67CB0}"/>
    <cellStyle name="Linked Cell 25 3 8 3" xfId="26631" xr:uid="{9B6A8461-D218-4311-9FF4-542235BE0FF0}"/>
    <cellStyle name="Linked Cell 25 3 9" xfId="26632" xr:uid="{A2D5157C-5306-402B-98C7-EA08DAF6F9F7}"/>
    <cellStyle name="Linked Cell 25 3 9 2" xfId="26633" xr:uid="{2DBF6A98-3059-4550-A7EB-03FCAC5E374B}"/>
    <cellStyle name="Linked Cell 25 3 9 2 2" xfId="26634" xr:uid="{F4B8AD7D-8AEE-4928-B0B6-52DB5D01F864}"/>
    <cellStyle name="Linked Cell 25 3 9 3" xfId="26635" xr:uid="{5CDA4C84-5AB2-4C9E-99D8-A0A609710B38}"/>
    <cellStyle name="Linked Cell 25 4" xfId="26636" xr:uid="{D0DF51CA-FCF5-4F8F-A3E5-3502BC8D5183}"/>
    <cellStyle name="Linked Cell 25 4 10" xfId="26637" xr:uid="{6B26D50C-EF89-49F7-85BC-9F89B41B03A3}"/>
    <cellStyle name="Linked Cell 25 4 10 2" xfId="26638" xr:uid="{A10E0595-A88D-4CCE-8C89-ABDD32E6103C}"/>
    <cellStyle name="Linked Cell 25 4 10 2 2" xfId="26639" xr:uid="{784BA488-E1EC-4818-BE93-E2A5FC6B423A}"/>
    <cellStyle name="Linked Cell 25 4 10 3" xfId="26640" xr:uid="{419522EC-005C-4143-8EAD-85CF18935C3F}"/>
    <cellStyle name="Linked Cell 25 4 11" xfId="26641" xr:uid="{F59CDB0C-9B65-4675-B993-A7AD376831F5}"/>
    <cellStyle name="Linked Cell 25 4 11 2" xfId="26642" xr:uid="{1BFB6624-081A-4B2D-BE46-89F5306815F6}"/>
    <cellStyle name="Linked Cell 25 4 11 2 2" xfId="26643" xr:uid="{8D855E37-D83B-4182-AA07-9D2C0154544B}"/>
    <cellStyle name="Linked Cell 25 4 11 3" xfId="26644" xr:uid="{5754B2BF-A9B5-41A4-B161-AEA0BE264775}"/>
    <cellStyle name="Linked Cell 25 4 12" xfId="26645" xr:uid="{FDB9C210-DD81-46BE-A9E2-A5F7629F4541}"/>
    <cellStyle name="Linked Cell 25 4 12 2" xfId="26646" xr:uid="{2B3F44B0-88DB-4369-BD4F-5B3B1A664C93}"/>
    <cellStyle name="Linked Cell 25 4 13" xfId="26647" xr:uid="{82BB9C22-AD96-42F6-A9FB-71AA3F4FF52F}"/>
    <cellStyle name="Linked Cell 25 4 2" xfId="26648" xr:uid="{34D8D674-14ED-4EC8-919D-790FCF0C41E2}"/>
    <cellStyle name="Linked Cell 25 4 2 10" xfId="26649" xr:uid="{50DF3E5C-1B0A-4091-AC12-D3DFA004496D}"/>
    <cellStyle name="Linked Cell 25 4 2 10 2" xfId="26650" xr:uid="{E6B17611-2C81-4321-9BC0-92280FAB5C92}"/>
    <cellStyle name="Linked Cell 25 4 2 10 2 2" xfId="26651" xr:uid="{DF8FB3A7-2392-4417-803D-767A38B8D5AC}"/>
    <cellStyle name="Linked Cell 25 4 2 10 3" xfId="26652" xr:uid="{6A5C63C2-94AF-4EDF-8995-74495F597B25}"/>
    <cellStyle name="Linked Cell 25 4 2 11" xfId="26653" xr:uid="{AEB87420-6DB7-402D-AD25-F467A8594F48}"/>
    <cellStyle name="Linked Cell 25 4 2 11 2" xfId="26654" xr:uid="{F8672FAE-D354-4145-BBA7-9EBCC2AC391E}"/>
    <cellStyle name="Linked Cell 25 4 2 12" xfId="26655" xr:uid="{C4CE89FA-593D-4E77-AB9D-A6DA24D04596}"/>
    <cellStyle name="Linked Cell 25 4 2 2" xfId="26656" xr:uid="{CB62C995-9213-47C0-8E75-53562700B4A0}"/>
    <cellStyle name="Linked Cell 25 4 2 2 2" xfId="26657" xr:uid="{5C971483-0105-486D-B98C-13165EA75BD1}"/>
    <cellStyle name="Linked Cell 25 4 2 2 2 2" xfId="26658" xr:uid="{CC7DFC55-26F3-4C46-BE8E-1C297A2A414C}"/>
    <cellStyle name="Linked Cell 25 4 2 2 3" xfId="26659" xr:uid="{3273D5FD-D537-4A31-9252-8009AEAAF986}"/>
    <cellStyle name="Linked Cell 25 4 2 3" xfId="26660" xr:uid="{908DAC8A-99E9-4973-9D25-70EDE6337520}"/>
    <cellStyle name="Linked Cell 25 4 2 3 2" xfId="26661" xr:uid="{46047656-6FEC-45B9-BC0A-51654EF02EBB}"/>
    <cellStyle name="Linked Cell 25 4 2 3 2 2" xfId="26662" xr:uid="{6C35AFD1-B32F-4C24-9841-435F20B92782}"/>
    <cellStyle name="Linked Cell 25 4 2 3 3" xfId="26663" xr:uid="{B7124ED3-F22D-49EF-AEF8-3F078709F881}"/>
    <cellStyle name="Linked Cell 25 4 2 4" xfId="26664" xr:uid="{1C1488D6-5A1B-4772-BD35-41B85AD18181}"/>
    <cellStyle name="Linked Cell 25 4 2 4 2" xfId="26665" xr:uid="{348C911A-484D-46FC-8529-9086BCF42D32}"/>
    <cellStyle name="Linked Cell 25 4 2 4 2 2" xfId="26666" xr:uid="{68FF28CA-9155-428B-B8C6-AD74368DB02A}"/>
    <cellStyle name="Linked Cell 25 4 2 4 3" xfId="26667" xr:uid="{FDEE78D3-60E7-4EC9-9A00-9DCEF215BEF3}"/>
    <cellStyle name="Linked Cell 25 4 2 5" xfId="26668" xr:uid="{3118EC4A-FE3F-4CFD-8333-22CFBA2263AA}"/>
    <cellStyle name="Linked Cell 25 4 2 5 2" xfId="26669" xr:uid="{A1F3844A-E4BC-4299-9315-05197F599466}"/>
    <cellStyle name="Linked Cell 25 4 2 5 2 2" xfId="26670" xr:uid="{5063FF9E-ACF3-4C55-9CEF-72C11E9AB83C}"/>
    <cellStyle name="Linked Cell 25 4 2 5 3" xfId="26671" xr:uid="{92E1BDD9-25B3-463B-98A9-800F21E9B9A9}"/>
    <cellStyle name="Linked Cell 25 4 2 6" xfId="26672" xr:uid="{02BB7127-F4E1-451F-946A-455B78A0D8AE}"/>
    <cellStyle name="Linked Cell 25 4 2 6 2" xfId="26673" xr:uid="{5544FEDD-1FA4-4601-9026-7E624E67E79A}"/>
    <cellStyle name="Linked Cell 25 4 2 6 2 2" xfId="26674" xr:uid="{541FE5BC-CF03-4E0D-A4CC-5ED539F10AF1}"/>
    <cellStyle name="Linked Cell 25 4 2 6 3" xfId="26675" xr:uid="{AFE70635-26FB-4232-9F86-57C2EB26ACF0}"/>
    <cellStyle name="Linked Cell 25 4 2 7" xfId="26676" xr:uid="{7644A4F6-E381-4436-BDA8-321E2CCEC3AE}"/>
    <cellStyle name="Linked Cell 25 4 2 7 2" xfId="26677" xr:uid="{6B61891D-EBC6-4115-BFD9-B9DB7BBDEB2A}"/>
    <cellStyle name="Linked Cell 25 4 2 7 2 2" xfId="26678" xr:uid="{723806AE-8126-4B5A-83B6-D8943614DC3B}"/>
    <cellStyle name="Linked Cell 25 4 2 7 3" xfId="26679" xr:uid="{D6DB6EDB-C554-4766-832E-270F0BA9710A}"/>
    <cellStyle name="Linked Cell 25 4 2 8" xfId="26680" xr:uid="{B605527B-A8E0-40B1-B485-AD91A12EC5E8}"/>
    <cellStyle name="Linked Cell 25 4 2 8 2" xfId="26681" xr:uid="{DA69912F-158F-41B0-8341-BBF2DE99D9C5}"/>
    <cellStyle name="Linked Cell 25 4 2 8 2 2" xfId="26682" xr:uid="{BB94ED80-74FF-4BA5-82E5-C9B86690F22F}"/>
    <cellStyle name="Linked Cell 25 4 2 8 3" xfId="26683" xr:uid="{34C8DDE8-961C-4224-BD5B-246FD503D453}"/>
    <cellStyle name="Linked Cell 25 4 2 9" xfId="26684" xr:uid="{CEBDA145-8FED-4976-8051-F1F4A5DAEF6D}"/>
    <cellStyle name="Linked Cell 25 4 2 9 2" xfId="26685" xr:uid="{0402F31D-02A7-493A-9CCD-F5BFFEB47635}"/>
    <cellStyle name="Linked Cell 25 4 2 9 2 2" xfId="26686" xr:uid="{74CCE9ED-CE56-45BF-9410-B4D67CEF295B}"/>
    <cellStyle name="Linked Cell 25 4 2 9 3" xfId="26687" xr:uid="{97F8BFA6-8DB1-47FB-BDAC-94FD2FD60DCB}"/>
    <cellStyle name="Linked Cell 25 4 3" xfId="26688" xr:uid="{68C1FD0C-1D53-4198-BBD3-78095DC21FB1}"/>
    <cellStyle name="Linked Cell 25 4 3 10" xfId="26689" xr:uid="{35A37B42-2D3A-4C4E-9E37-EBE9566F7F86}"/>
    <cellStyle name="Linked Cell 25 4 3 10 2" xfId="26690" xr:uid="{505F95E5-BD6F-47DF-BC6C-8177AFD8C88D}"/>
    <cellStyle name="Linked Cell 25 4 3 11" xfId="26691" xr:uid="{7E0D02E5-AC31-4E91-8AC3-2C86153BD127}"/>
    <cellStyle name="Linked Cell 25 4 3 2" xfId="26692" xr:uid="{B699F005-EEBB-4A33-9DB8-586B7A7A85BB}"/>
    <cellStyle name="Linked Cell 25 4 3 2 2" xfId="26693" xr:uid="{98AE1631-975F-447C-9794-7C98982CA57C}"/>
    <cellStyle name="Linked Cell 25 4 3 2 2 2" xfId="26694" xr:uid="{A7DA1C96-B6FF-4FA0-BEF6-D2EF6F3F4C55}"/>
    <cellStyle name="Linked Cell 25 4 3 2 3" xfId="26695" xr:uid="{51ABF168-D37C-4409-BDC6-D89CD0F96E4C}"/>
    <cellStyle name="Linked Cell 25 4 3 3" xfId="26696" xr:uid="{4F6B621A-3B29-49C7-A38F-B3D2B2B393BB}"/>
    <cellStyle name="Linked Cell 25 4 3 3 2" xfId="26697" xr:uid="{F317D502-C062-4C17-8DE1-824E29F13526}"/>
    <cellStyle name="Linked Cell 25 4 3 3 2 2" xfId="26698" xr:uid="{DD90DAFD-DC51-4B32-83A1-566D87C76469}"/>
    <cellStyle name="Linked Cell 25 4 3 3 3" xfId="26699" xr:uid="{AD494D67-652B-4E29-9EDC-7DDE477B99E2}"/>
    <cellStyle name="Linked Cell 25 4 3 4" xfId="26700" xr:uid="{A249A35A-8B8C-49F3-9686-E6874B16D2DC}"/>
    <cellStyle name="Linked Cell 25 4 3 4 2" xfId="26701" xr:uid="{ABE723BC-C45E-4C6A-9277-CAEF3A5A38EE}"/>
    <cellStyle name="Linked Cell 25 4 3 4 2 2" xfId="26702" xr:uid="{C3D2522A-C28B-41E2-8632-A2CF001E6194}"/>
    <cellStyle name="Linked Cell 25 4 3 4 3" xfId="26703" xr:uid="{90F4D770-3782-415D-B66D-B63B87C9AA1B}"/>
    <cellStyle name="Linked Cell 25 4 3 5" xfId="26704" xr:uid="{66CA5049-C41D-444D-B3A5-40538EC73DF1}"/>
    <cellStyle name="Linked Cell 25 4 3 5 2" xfId="26705" xr:uid="{038D643F-FEAD-4F23-AC9A-40DDB2E79AE4}"/>
    <cellStyle name="Linked Cell 25 4 3 5 2 2" xfId="26706" xr:uid="{CBB7CD8B-F3DE-4EBC-B573-C24CD269AE3E}"/>
    <cellStyle name="Linked Cell 25 4 3 5 3" xfId="26707" xr:uid="{F0BC561E-9753-43DB-AE18-BF0CCFCB3BE8}"/>
    <cellStyle name="Linked Cell 25 4 3 6" xfId="26708" xr:uid="{C425B510-A0BF-42E9-B5B6-A3295EFDEA86}"/>
    <cellStyle name="Linked Cell 25 4 3 6 2" xfId="26709" xr:uid="{B396EDD3-6C76-4743-BE74-DBA3C34C59B1}"/>
    <cellStyle name="Linked Cell 25 4 3 6 2 2" xfId="26710" xr:uid="{DC1E0932-3CA5-4682-AF9D-F3163D45E423}"/>
    <cellStyle name="Linked Cell 25 4 3 6 3" xfId="26711" xr:uid="{8C90DBB8-0CDC-41B7-BBD0-42D85CF9DDE7}"/>
    <cellStyle name="Linked Cell 25 4 3 7" xfId="26712" xr:uid="{DB5CF3E4-2760-4C0D-AAB8-FB5A368DB927}"/>
    <cellStyle name="Linked Cell 25 4 3 7 2" xfId="26713" xr:uid="{68B3D44A-BBC8-4B0D-A738-D373EF80FECE}"/>
    <cellStyle name="Linked Cell 25 4 3 7 2 2" xfId="26714" xr:uid="{37C0C943-8BD8-416F-A2EB-8C4D14F7BA64}"/>
    <cellStyle name="Linked Cell 25 4 3 7 3" xfId="26715" xr:uid="{FC7FFB66-05E0-4C3B-AD50-1123E428F2FC}"/>
    <cellStyle name="Linked Cell 25 4 3 8" xfId="26716" xr:uid="{CF2151E1-530A-4AEB-B961-E149CB36DF4C}"/>
    <cellStyle name="Linked Cell 25 4 3 8 2" xfId="26717" xr:uid="{DEBD1757-DD8E-4C15-B760-492C7376ADFB}"/>
    <cellStyle name="Linked Cell 25 4 3 8 2 2" xfId="26718" xr:uid="{E11E5567-3FCA-4E08-9230-B8276079C7D2}"/>
    <cellStyle name="Linked Cell 25 4 3 8 3" xfId="26719" xr:uid="{4AB2468E-80AE-4173-8696-2D6C3FE66ACD}"/>
    <cellStyle name="Linked Cell 25 4 3 9" xfId="26720" xr:uid="{BEB7138C-37E3-4440-A068-2CEABE0DCD7A}"/>
    <cellStyle name="Linked Cell 25 4 3 9 2" xfId="26721" xr:uid="{EEB068D4-D591-44EB-BA66-1BC4606F0314}"/>
    <cellStyle name="Linked Cell 25 4 3 9 2 2" xfId="26722" xr:uid="{6438CACD-F28E-4680-A16C-DEE15F9A4A45}"/>
    <cellStyle name="Linked Cell 25 4 3 9 3" xfId="26723" xr:uid="{98281F84-4CD0-47DC-8A4C-F5C1A806526E}"/>
    <cellStyle name="Linked Cell 25 4 4" xfId="26724" xr:uid="{ADFB6B70-86D2-416C-8705-FA58E767BE7A}"/>
    <cellStyle name="Linked Cell 25 4 4 2" xfId="26725" xr:uid="{7CDBCFD1-07DD-4F35-86C5-403C4ACD5181}"/>
    <cellStyle name="Linked Cell 25 4 4 2 2" xfId="26726" xr:uid="{3680673B-762D-4F9F-A111-4708603DA239}"/>
    <cellStyle name="Linked Cell 25 4 4 3" xfId="26727" xr:uid="{BC6B999B-1B21-43AC-AF29-76BE145C4F00}"/>
    <cellStyle name="Linked Cell 25 4 5" xfId="26728" xr:uid="{4F926327-7C84-49F8-8077-4BD380D37A7D}"/>
    <cellStyle name="Linked Cell 25 4 5 2" xfId="26729" xr:uid="{3F906642-6F92-4C15-8428-F351ED30DD0E}"/>
    <cellStyle name="Linked Cell 25 4 5 2 2" xfId="26730" xr:uid="{32C2771C-63C9-4ECA-8E97-B42EC42CE838}"/>
    <cellStyle name="Linked Cell 25 4 5 3" xfId="26731" xr:uid="{203D60A7-C901-4A60-B171-87AB17F069A0}"/>
    <cellStyle name="Linked Cell 25 4 6" xfId="26732" xr:uid="{F19A3AFB-63B4-426E-A0BE-4EE056E0CF34}"/>
    <cellStyle name="Linked Cell 25 4 6 2" xfId="26733" xr:uid="{D252B695-4421-41B9-AC93-D9B94CCA7CE5}"/>
    <cellStyle name="Linked Cell 25 4 6 2 2" xfId="26734" xr:uid="{6D86C8C9-8898-4E54-9969-AE01918B189A}"/>
    <cellStyle name="Linked Cell 25 4 6 3" xfId="26735" xr:uid="{236FC401-E84D-43DD-A052-51D2ADE37849}"/>
    <cellStyle name="Linked Cell 25 4 7" xfId="26736" xr:uid="{0B4261BB-2202-4CED-BD94-8699B6AE72DA}"/>
    <cellStyle name="Linked Cell 25 4 7 2" xfId="26737" xr:uid="{4FE22D74-04B9-4BA7-A497-D4958375ED0E}"/>
    <cellStyle name="Linked Cell 25 4 7 2 2" xfId="26738" xr:uid="{58BF493A-880C-4A92-872B-2DE437141740}"/>
    <cellStyle name="Linked Cell 25 4 7 3" xfId="26739" xr:uid="{41C82F2D-5046-4C64-8C87-F0E4A5BB118F}"/>
    <cellStyle name="Linked Cell 25 4 8" xfId="26740" xr:uid="{504A1F6F-F45B-4A1D-B4DA-0F0AFE96C804}"/>
    <cellStyle name="Linked Cell 25 4 8 2" xfId="26741" xr:uid="{755309A7-8D09-4B21-A6F6-6E5AE207FD61}"/>
    <cellStyle name="Linked Cell 25 4 8 2 2" xfId="26742" xr:uid="{752CE1A7-6BD8-4434-AAF0-A45DDC69CFCF}"/>
    <cellStyle name="Linked Cell 25 4 8 3" xfId="26743" xr:uid="{CD0CE2E5-B425-49BF-8A0D-50B724D16753}"/>
    <cellStyle name="Linked Cell 25 4 9" xfId="26744" xr:uid="{EB5A7F0F-0138-44F2-8145-26291B9D78C1}"/>
    <cellStyle name="Linked Cell 25 4 9 2" xfId="26745" xr:uid="{A866FC5A-947D-4BDD-AF5C-CCE1F449E35E}"/>
    <cellStyle name="Linked Cell 25 4 9 2 2" xfId="26746" xr:uid="{0F2D3831-C595-4AC0-8128-59BF7B257B39}"/>
    <cellStyle name="Linked Cell 25 4 9 3" xfId="26747" xr:uid="{FC920C51-3944-4B77-B990-9E84BADB861A}"/>
    <cellStyle name="Linked Cell 26" xfId="26748" xr:uid="{1D0B8964-F349-4726-B972-E85C97DF70D9}"/>
    <cellStyle name="Linked Cell 26 2" xfId="26749" xr:uid="{476CA05A-64EE-45C9-8DFD-C35A6A45DEB6}"/>
    <cellStyle name="Linked Cell 26 2 10" xfId="26750" xr:uid="{33F1E0DD-3819-4124-812C-0E2A20904984}"/>
    <cellStyle name="Linked Cell 26 2 10 2" xfId="26751" xr:uid="{DF792194-8EB6-495E-BACD-BDB66F6F30A4}"/>
    <cellStyle name="Linked Cell 26 2 10 2 2" xfId="26752" xr:uid="{DDD74ECF-54B7-444F-A9E4-AC682ADC8683}"/>
    <cellStyle name="Linked Cell 26 2 10 3" xfId="26753" xr:uid="{8B786C01-B603-4651-950D-F27EB579441D}"/>
    <cellStyle name="Linked Cell 26 2 11" xfId="26754" xr:uid="{D6481A15-313A-4A08-8EA3-2F9BE371AEC4}"/>
    <cellStyle name="Linked Cell 26 2 11 2" xfId="26755" xr:uid="{369FB28A-F8BC-4D37-BF2D-621EE4FC25C9}"/>
    <cellStyle name="Linked Cell 26 2 11 2 2" xfId="26756" xr:uid="{687EF69D-6B67-4481-A05E-6FE3350742C3}"/>
    <cellStyle name="Linked Cell 26 2 11 3" xfId="26757" xr:uid="{33A3B5B8-5E71-4478-BB73-BBC644374C58}"/>
    <cellStyle name="Linked Cell 26 2 12" xfId="26758" xr:uid="{1B612F2D-C44D-446F-8460-F03F47CCAFD6}"/>
    <cellStyle name="Linked Cell 26 2 12 2" xfId="26759" xr:uid="{21DA64AA-CB5E-48FF-8027-1416CE5882BC}"/>
    <cellStyle name="Linked Cell 26 2 12 2 2" xfId="26760" xr:uid="{321305B2-AC02-46AB-8473-EDA9D07EC2F8}"/>
    <cellStyle name="Linked Cell 26 2 12 3" xfId="26761" xr:uid="{A6D63F90-0497-4A80-80A6-4BA4E5C65C48}"/>
    <cellStyle name="Linked Cell 26 2 13" xfId="26762" xr:uid="{E4577A4A-45D8-4DED-BA0B-93D26733A81B}"/>
    <cellStyle name="Linked Cell 26 2 13 2" xfId="26763" xr:uid="{AFB341E7-B090-4F8D-88CC-3F17118FF161}"/>
    <cellStyle name="Linked Cell 26 2 13 2 2" xfId="26764" xr:uid="{3D820A5C-36B4-4CED-86A5-D64DBCE91B14}"/>
    <cellStyle name="Linked Cell 26 2 13 3" xfId="26765" xr:uid="{B5CE5CB1-A499-47E0-BB9B-3396648CECAB}"/>
    <cellStyle name="Linked Cell 26 2 14" xfId="26766" xr:uid="{584C3859-CB8B-4B95-89F1-CB5346C43696}"/>
    <cellStyle name="Linked Cell 26 2 14 2" xfId="26767" xr:uid="{E44F40D5-53D5-4117-BD8E-64ECAF0D315A}"/>
    <cellStyle name="Linked Cell 26 2 15" xfId="26768" xr:uid="{2FA30EC2-2667-4D49-8F61-7CA513F72EB5}"/>
    <cellStyle name="Linked Cell 26 2 2" xfId="26769" xr:uid="{5A02B364-CB22-4C4F-90CE-0C0E2AD04B35}"/>
    <cellStyle name="Linked Cell 26 2 2 10" xfId="26770" xr:uid="{D6636C1D-ED60-41D6-83A7-CFC9EEC1687A}"/>
    <cellStyle name="Linked Cell 26 2 2 10 2" xfId="26771" xr:uid="{D6012B7E-F17B-4E5F-A5DE-B15DAEDFA9A8}"/>
    <cellStyle name="Linked Cell 26 2 2 10 2 2" xfId="26772" xr:uid="{55DB8278-08F4-4A47-9D1A-67CD43EEA6E6}"/>
    <cellStyle name="Linked Cell 26 2 2 10 3" xfId="26773" xr:uid="{B7A1D62C-19B5-4B19-A4B0-A3DFE566FCD5}"/>
    <cellStyle name="Linked Cell 26 2 2 11" xfId="26774" xr:uid="{E3F9BA1E-FB4C-4E4A-B85A-D82E36CF452B}"/>
    <cellStyle name="Linked Cell 26 2 2 11 2" xfId="26775" xr:uid="{9B84C49E-1F57-40D5-A27D-EEB310210ACE}"/>
    <cellStyle name="Linked Cell 26 2 2 11 2 2" xfId="26776" xr:uid="{0B86EF79-1874-4EAF-8912-0C05235402F6}"/>
    <cellStyle name="Linked Cell 26 2 2 11 3" xfId="26777" xr:uid="{437015E4-7851-4275-AC33-13ED1680BB87}"/>
    <cellStyle name="Linked Cell 26 2 2 12" xfId="26778" xr:uid="{5108CBE1-7B09-456B-A33F-8C77BD2FEE22}"/>
    <cellStyle name="Linked Cell 26 2 2 12 2" xfId="26779" xr:uid="{794A620E-34E3-4382-AB42-E2FE6093C1AD}"/>
    <cellStyle name="Linked Cell 26 2 2 12 2 2" xfId="26780" xr:uid="{A611B369-2818-46CB-AF32-E71978E83593}"/>
    <cellStyle name="Linked Cell 26 2 2 12 3" xfId="26781" xr:uid="{0FA65F5B-B675-41B8-AA51-89B75AD1771A}"/>
    <cellStyle name="Linked Cell 26 2 2 13" xfId="26782" xr:uid="{82E00308-3867-4421-A92F-E571FB64F482}"/>
    <cellStyle name="Linked Cell 26 2 2 13 2" xfId="26783" xr:uid="{A8A04D13-C5B6-4524-A8F6-A21426B11751}"/>
    <cellStyle name="Linked Cell 26 2 2 14" xfId="26784" xr:uid="{93441ACC-812D-4D94-98E6-BFE401FEBF20}"/>
    <cellStyle name="Linked Cell 26 2 2 2" xfId="26785" xr:uid="{F2CB5753-7192-4C7F-8518-277DE161BA6A}"/>
    <cellStyle name="Linked Cell 26 2 2 2 10" xfId="26786" xr:uid="{AD46A3BC-B80A-455E-A096-B8682D74A0E7}"/>
    <cellStyle name="Linked Cell 26 2 2 2 10 2" xfId="26787" xr:uid="{07C6AEA8-D1CD-4BD0-AC5F-7A011BCCDD27}"/>
    <cellStyle name="Linked Cell 26 2 2 2 10 2 2" xfId="26788" xr:uid="{8E367112-8830-4E56-8D3D-1464C388F6A5}"/>
    <cellStyle name="Linked Cell 26 2 2 2 10 3" xfId="26789" xr:uid="{E3A6BCB8-A1EA-4907-8C74-8FFFCB090B71}"/>
    <cellStyle name="Linked Cell 26 2 2 2 11" xfId="26790" xr:uid="{353C5912-DC62-4434-AC70-481067C1FB38}"/>
    <cellStyle name="Linked Cell 26 2 2 2 11 2" xfId="26791" xr:uid="{5A74800F-9D04-4BEE-9214-D08CD4CF0EC3}"/>
    <cellStyle name="Linked Cell 26 2 2 2 11 2 2" xfId="26792" xr:uid="{7A58A43C-E2AF-492C-94FB-3572BCAEFE5D}"/>
    <cellStyle name="Linked Cell 26 2 2 2 11 3" xfId="26793" xr:uid="{C6AB987F-C8D4-4706-A8FB-64150D6E7A46}"/>
    <cellStyle name="Linked Cell 26 2 2 2 12" xfId="26794" xr:uid="{69151181-FF58-46A1-B245-F5D42DABF41B}"/>
    <cellStyle name="Linked Cell 26 2 2 2 12 2" xfId="26795" xr:uid="{9A2E7B6A-5752-47AF-8811-429D9C8F6C3E}"/>
    <cellStyle name="Linked Cell 26 2 2 2 13" xfId="26796" xr:uid="{746B83FD-2D6D-41B3-97EF-DA29A486436B}"/>
    <cellStyle name="Linked Cell 26 2 2 2 2" xfId="26797" xr:uid="{49E30A87-9EF0-40E5-8FD9-616E5E24BF2F}"/>
    <cellStyle name="Linked Cell 26 2 2 2 2 10" xfId="26798" xr:uid="{08F91904-1581-4A42-9E15-48ED4CF5489B}"/>
    <cellStyle name="Linked Cell 26 2 2 2 2 10 2" xfId="26799" xr:uid="{1CB00B3C-30B5-43C1-89FB-B10801959CBB}"/>
    <cellStyle name="Linked Cell 26 2 2 2 2 10 2 2" xfId="26800" xr:uid="{D2739084-8567-458D-92AB-2A898BD163BF}"/>
    <cellStyle name="Linked Cell 26 2 2 2 2 10 3" xfId="26801" xr:uid="{F0FAB36F-C7F6-46FD-A65F-87676F096015}"/>
    <cellStyle name="Linked Cell 26 2 2 2 2 11" xfId="26802" xr:uid="{FB90B5E0-B5B8-4BB6-B1D2-CCE6F7F180B2}"/>
    <cellStyle name="Linked Cell 26 2 2 2 2 11 2" xfId="26803" xr:uid="{14415456-CD59-4249-8C57-5FAADCE934E0}"/>
    <cellStyle name="Linked Cell 26 2 2 2 2 12" xfId="26804" xr:uid="{B7F26D42-1CB6-45B1-B46E-E50DADB361D5}"/>
    <cellStyle name="Linked Cell 26 2 2 2 2 2" xfId="26805" xr:uid="{DA620256-25D1-45C6-818C-43E6B5C3AA4D}"/>
    <cellStyle name="Linked Cell 26 2 2 2 2 2 2" xfId="26806" xr:uid="{7E86DE02-DD7F-41D6-8A3D-64B680B898D7}"/>
    <cellStyle name="Linked Cell 26 2 2 2 2 2 2 2" xfId="26807" xr:uid="{C19A76CB-716B-49D5-8FFB-8B35E05A01DF}"/>
    <cellStyle name="Linked Cell 26 2 2 2 2 2 3" xfId="26808" xr:uid="{7FCAD731-7560-4119-8C32-772655565AD1}"/>
    <cellStyle name="Linked Cell 26 2 2 2 2 3" xfId="26809" xr:uid="{41788AF6-5618-4CAD-BCDC-49074C2066A8}"/>
    <cellStyle name="Linked Cell 26 2 2 2 2 3 2" xfId="26810" xr:uid="{74F9A42A-357E-4AE9-9D89-E6FFC3A23FAB}"/>
    <cellStyle name="Linked Cell 26 2 2 2 2 3 2 2" xfId="26811" xr:uid="{10BFDF4A-E0F2-4FA7-844E-64DAEAFBD17F}"/>
    <cellStyle name="Linked Cell 26 2 2 2 2 3 3" xfId="26812" xr:uid="{26716609-CFAE-4E26-B4BA-5E93B0D03D86}"/>
    <cellStyle name="Linked Cell 26 2 2 2 2 4" xfId="26813" xr:uid="{67C26015-1C6E-4621-A6BF-E094F49A6DBB}"/>
    <cellStyle name="Linked Cell 26 2 2 2 2 4 2" xfId="26814" xr:uid="{8FC54181-CBD9-4BEB-A122-FEED6EB44459}"/>
    <cellStyle name="Linked Cell 26 2 2 2 2 4 2 2" xfId="26815" xr:uid="{8E52A5EE-92BB-40DD-9ED7-561525B09F05}"/>
    <cellStyle name="Linked Cell 26 2 2 2 2 4 3" xfId="26816" xr:uid="{BCA09B8C-125E-44A9-8F23-59C27BBA635B}"/>
    <cellStyle name="Linked Cell 26 2 2 2 2 5" xfId="26817" xr:uid="{A4D46C2E-235F-4929-AF76-9728820C44DC}"/>
    <cellStyle name="Linked Cell 26 2 2 2 2 5 2" xfId="26818" xr:uid="{809F76CC-19B8-431C-B940-B6DB903283D5}"/>
    <cellStyle name="Linked Cell 26 2 2 2 2 5 2 2" xfId="26819" xr:uid="{A7362476-DEBF-4B23-8B77-A660BD4298DD}"/>
    <cellStyle name="Linked Cell 26 2 2 2 2 5 3" xfId="26820" xr:uid="{99C569F0-308B-4E73-9352-2CB0E56AF940}"/>
    <cellStyle name="Linked Cell 26 2 2 2 2 6" xfId="26821" xr:uid="{B2FC5A67-C391-44D1-A4D5-03256866F722}"/>
    <cellStyle name="Linked Cell 26 2 2 2 2 6 2" xfId="26822" xr:uid="{7D1C262E-D943-48E9-B5D0-03DE30461F3A}"/>
    <cellStyle name="Linked Cell 26 2 2 2 2 6 2 2" xfId="26823" xr:uid="{113A5AE8-0584-4257-AC17-E1BD6EFAA546}"/>
    <cellStyle name="Linked Cell 26 2 2 2 2 6 3" xfId="26824" xr:uid="{56AEAA55-C97D-498A-B441-348FAB48A158}"/>
    <cellStyle name="Linked Cell 26 2 2 2 2 7" xfId="26825" xr:uid="{58E89744-763A-4C1A-8A56-0CA7E6D5F2A8}"/>
    <cellStyle name="Linked Cell 26 2 2 2 2 7 2" xfId="26826" xr:uid="{13598B8C-6792-47E4-AB36-25FA6ABC98B2}"/>
    <cellStyle name="Linked Cell 26 2 2 2 2 7 2 2" xfId="26827" xr:uid="{9E16005F-AD65-4CEA-A7DD-191767FE01A2}"/>
    <cellStyle name="Linked Cell 26 2 2 2 2 7 3" xfId="26828" xr:uid="{5C09884A-C327-46B9-AFC5-FF8B360269BA}"/>
    <cellStyle name="Linked Cell 26 2 2 2 2 8" xfId="26829" xr:uid="{0DAA0367-87D8-4912-9365-D9ABF044B6B6}"/>
    <cellStyle name="Linked Cell 26 2 2 2 2 8 2" xfId="26830" xr:uid="{6101129B-0382-4413-B7A3-E3445AA74985}"/>
    <cellStyle name="Linked Cell 26 2 2 2 2 8 2 2" xfId="26831" xr:uid="{FBEDCAAA-7F87-40F0-898F-918A401849B4}"/>
    <cellStyle name="Linked Cell 26 2 2 2 2 8 3" xfId="26832" xr:uid="{866F5D17-2F75-4689-A710-49787FC8A17C}"/>
    <cellStyle name="Linked Cell 26 2 2 2 2 9" xfId="26833" xr:uid="{ADFFB8F8-F8BF-4B2C-9CBA-F110F267786B}"/>
    <cellStyle name="Linked Cell 26 2 2 2 2 9 2" xfId="26834" xr:uid="{90C04345-C75A-4BE0-AB0A-A3323C5898C4}"/>
    <cellStyle name="Linked Cell 26 2 2 2 2 9 2 2" xfId="26835" xr:uid="{140AB6B8-7660-418C-B27B-E6CABF869553}"/>
    <cellStyle name="Linked Cell 26 2 2 2 2 9 3" xfId="26836" xr:uid="{5D14F879-0214-4C59-B994-44F906458E1D}"/>
    <cellStyle name="Linked Cell 26 2 2 2 3" xfId="26837" xr:uid="{32350D5E-0911-4B3E-85E9-31C1F91377C3}"/>
    <cellStyle name="Linked Cell 26 2 2 2 3 10" xfId="26838" xr:uid="{01F54D54-E7C9-43BC-8F30-A815EECD4CE8}"/>
    <cellStyle name="Linked Cell 26 2 2 2 3 10 2" xfId="26839" xr:uid="{713AF4DF-9BA4-4068-8B02-A1DB3DC89BB3}"/>
    <cellStyle name="Linked Cell 26 2 2 2 3 11" xfId="26840" xr:uid="{508A2797-DEC6-4700-AC13-0B6F36CD7B0B}"/>
    <cellStyle name="Linked Cell 26 2 2 2 3 2" xfId="26841" xr:uid="{AB8BB134-8D66-42CA-B21B-4C626B4BCA9E}"/>
    <cellStyle name="Linked Cell 26 2 2 2 3 2 2" xfId="26842" xr:uid="{68651611-B7C8-4D76-9C38-0A726AED80FC}"/>
    <cellStyle name="Linked Cell 26 2 2 2 3 2 2 2" xfId="26843" xr:uid="{3BC23238-2290-489F-AF6D-3C16839451F0}"/>
    <cellStyle name="Linked Cell 26 2 2 2 3 2 3" xfId="26844" xr:uid="{F41FAF99-A149-41C2-808A-B9A4583C8866}"/>
    <cellStyle name="Linked Cell 26 2 2 2 3 3" xfId="26845" xr:uid="{54F688CD-EAB7-40D4-AC16-5CABAA065F1B}"/>
    <cellStyle name="Linked Cell 26 2 2 2 3 3 2" xfId="26846" xr:uid="{E9A3FCF5-4286-4BA4-924B-BE2C05DC423B}"/>
    <cellStyle name="Linked Cell 26 2 2 2 3 3 2 2" xfId="26847" xr:uid="{9121F4E6-E38B-43B6-B733-59CEAD3F67FB}"/>
    <cellStyle name="Linked Cell 26 2 2 2 3 3 3" xfId="26848" xr:uid="{4490AD23-C8D6-4481-863D-CB6557FD387F}"/>
    <cellStyle name="Linked Cell 26 2 2 2 3 4" xfId="26849" xr:uid="{F5DF96DC-B372-4B53-A491-16C8EAA46574}"/>
    <cellStyle name="Linked Cell 26 2 2 2 3 4 2" xfId="26850" xr:uid="{C469FE23-36F4-4C5D-8E4F-19957870F0BB}"/>
    <cellStyle name="Linked Cell 26 2 2 2 3 4 2 2" xfId="26851" xr:uid="{634713E8-7F37-405E-B7B3-4918BD869DE5}"/>
    <cellStyle name="Linked Cell 26 2 2 2 3 4 3" xfId="26852" xr:uid="{33CE5247-4E26-4110-B6C1-D64AE4E011DD}"/>
    <cellStyle name="Linked Cell 26 2 2 2 3 5" xfId="26853" xr:uid="{7F92249B-5113-428B-8856-B379F5BD0F0C}"/>
    <cellStyle name="Linked Cell 26 2 2 2 3 5 2" xfId="26854" xr:uid="{F9B76651-89FB-47A7-B670-841DC43BC057}"/>
    <cellStyle name="Linked Cell 26 2 2 2 3 5 2 2" xfId="26855" xr:uid="{25CBC344-5E66-4759-8543-A75628A51B16}"/>
    <cellStyle name="Linked Cell 26 2 2 2 3 5 3" xfId="26856" xr:uid="{88ECF79D-EFF7-4056-A15C-19C92FB10E94}"/>
    <cellStyle name="Linked Cell 26 2 2 2 3 6" xfId="26857" xr:uid="{F1B72928-B69F-49A5-88EC-046BB96A4E55}"/>
    <cellStyle name="Linked Cell 26 2 2 2 3 6 2" xfId="26858" xr:uid="{0CE71348-2470-4A74-AEC6-F694933276B6}"/>
    <cellStyle name="Linked Cell 26 2 2 2 3 6 2 2" xfId="26859" xr:uid="{DC4562CC-F5A6-4809-9070-0DD0E2FD1DAB}"/>
    <cellStyle name="Linked Cell 26 2 2 2 3 6 3" xfId="26860" xr:uid="{F950E907-0DA5-4C47-88AE-18330E49D609}"/>
    <cellStyle name="Linked Cell 26 2 2 2 3 7" xfId="26861" xr:uid="{83B4BB40-5F50-4B84-BBB2-84CCE15A5469}"/>
    <cellStyle name="Linked Cell 26 2 2 2 3 7 2" xfId="26862" xr:uid="{4A6CB545-EA29-4887-AD17-4CCAB5139449}"/>
    <cellStyle name="Linked Cell 26 2 2 2 3 7 2 2" xfId="26863" xr:uid="{3E1A5A4C-214E-4196-BBDD-F437D6555D24}"/>
    <cellStyle name="Linked Cell 26 2 2 2 3 7 3" xfId="26864" xr:uid="{A9651DA4-966E-4DF2-820A-174718C584E0}"/>
    <cellStyle name="Linked Cell 26 2 2 2 3 8" xfId="26865" xr:uid="{AA9FD34A-9DC5-40C0-9F56-31DF762E4F36}"/>
    <cellStyle name="Linked Cell 26 2 2 2 3 8 2" xfId="26866" xr:uid="{4FD08E17-9586-4C67-B2F8-EA0ED30A3660}"/>
    <cellStyle name="Linked Cell 26 2 2 2 3 8 2 2" xfId="26867" xr:uid="{EBC81B2D-9E53-4EFD-B6D4-BA0230EAC766}"/>
    <cellStyle name="Linked Cell 26 2 2 2 3 8 3" xfId="26868" xr:uid="{A256F288-9481-49A8-BD70-85DE7B6BDBEA}"/>
    <cellStyle name="Linked Cell 26 2 2 2 3 9" xfId="26869" xr:uid="{1C58DFA2-3ADE-4D26-969D-0B9888343848}"/>
    <cellStyle name="Linked Cell 26 2 2 2 3 9 2" xfId="26870" xr:uid="{1694AF1D-F50E-4F0F-9DFB-79A6B5F87943}"/>
    <cellStyle name="Linked Cell 26 2 2 2 3 9 2 2" xfId="26871" xr:uid="{60C660FA-BD58-42F6-94F2-5E0793C663FF}"/>
    <cellStyle name="Linked Cell 26 2 2 2 3 9 3" xfId="26872" xr:uid="{4AADF5B1-C54E-4D8C-B188-697111E9D67F}"/>
    <cellStyle name="Linked Cell 26 2 2 2 4" xfId="26873" xr:uid="{E8974A66-BCCC-497A-97F6-0E71C5A30F76}"/>
    <cellStyle name="Linked Cell 26 2 2 2 4 2" xfId="26874" xr:uid="{37EE82E5-50FC-4BA0-961A-522D75615731}"/>
    <cellStyle name="Linked Cell 26 2 2 2 4 2 2" xfId="26875" xr:uid="{2CCF47D3-FC8D-4A66-8B00-0C93DF904EC9}"/>
    <cellStyle name="Linked Cell 26 2 2 2 4 3" xfId="26876" xr:uid="{5736A4F6-B756-48C7-925F-B90BD34921CF}"/>
    <cellStyle name="Linked Cell 26 2 2 2 5" xfId="26877" xr:uid="{99BC5D64-EF80-4D5E-B39C-A6C168564C44}"/>
    <cellStyle name="Linked Cell 26 2 2 2 5 2" xfId="26878" xr:uid="{83C3418A-ADF9-4D37-BFEE-DC13DF97FDDB}"/>
    <cellStyle name="Linked Cell 26 2 2 2 5 2 2" xfId="26879" xr:uid="{1697973E-73C2-465A-BECC-DAD7DE41BE80}"/>
    <cellStyle name="Linked Cell 26 2 2 2 5 3" xfId="26880" xr:uid="{161B8987-88F8-4FAA-96FE-9043A1A49D40}"/>
    <cellStyle name="Linked Cell 26 2 2 2 6" xfId="26881" xr:uid="{9C29BA65-6DF9-4B2E-B3C6-AC57D162C643}"/>
    <cellStyle name="Linked Cell 26 2 2 2 6 2" xfId="26882" xr:uid="{91868210-AFBB-4F59-BD4C-36DBF27A7D5E}"/>
    <cellStyle name="Linked Cell 26 2 2 2 6 2 2" xfId="26883" xr:uid="{E837EC67-7DC5-4CEA-B06F-B566A588EA6A}"/>
    <cellStyle name="Linked Cell 26 2 2 2 6 3" xfId="26884" xr:uid="{851B6A15-4547-4984-A1E2-1AAC550CADDE}"/>
    <cellStyle name="Linked Cell 26 2 2 2 7" xfId="26885" xr:uid="{55C21957-73E8-44DD-8031-AB2D67B6E6CF}"/>
    <cellStyle name="Linked Cell 26 2 2 2 7 2" xfId="26886" xr:uid="{CB866F19-51AA-4056-818A-F701B445F2E0}"/>
    <cellStyle name="Linked Cell 26 2 2 2 7 2 2" xfId="26887" xr:uid="{84ED9693-00D3-4F61-80F6-2E0326293A8F}"/>
    <cellStyle name="Linked Cell 26 2 2 2 7 3" xfId="26888" xr:uid="{FC1D37A6-526C-4E93-A3EA-4F42689DCEC5}"/>
    <cellStyle name="Linked Cell 26 2 2 2 8" xfId="26889" xr:uid="{B7B448C6-86F7-47F1-9C2D-1B76A2A59A37}"/>
    <cellStyle name="Linked Cell 26 2 2 2 8 2" xfId="26890" xr:uid="{6918FFA3-89CD-495B-ADE9-D262A3BBCB18}"/>
    <cellStyle name="Linked Cell 26 2 2 2 8 2 2" xfId="26891" xr:uid="{F98F1621-2FE7-4C44-BC5C-22DB9D6AFDE9}"/>
    <cellStyle name="Linked Cell 26 2 2 2 8 3" xfId="26892" xr:uid="{02EBF421-38B0-46B7-AB84-EA6A33D04630}"/>
    <cellStyle name="Linked Cell 26 2 2 2 9" xfId="26893" xr:uid="{E886529B-FED4-44CF-A16B-6003E284F83F}"/>
    <cellStyle name="Linked Cell 26 2 2 2 9 2" xfId="26894" xr:uid="{FFF17A7C-A015-498A-9086-B723051859C3}"/>
    <cellStyle name="Linked Cell 26 2 2 2 9 2 2" xfId="26895" xr:uid="{EF2CB66F-9AB4-4375-933D-2295985880AD}"/>
    <cellStyle name="Linked Cell 26 2 2 2 9 3" xfId="26896" xr:uid="{CCDB5489-3666-4D52-ABDA-1CD396DAF32B}"/>
    <cellStyle name="Linked Cell 26 2 2 3" xfId="26897" xr:uid="{5A6B0286-78E9-482C-9A09-7EE0C353994C}"/>
    <cellStyle name="Linked Cell 26 2 2 3 10" xfId="26898" xr:uid="{358144BE-2CEC-4968-B5E2-ECC5538777B6}"/>
    <cellStyle name="Linked Cell 26 2 2 3 10 2" xfId="26899" xr:uid="{DD843CFE-0FA0-4C77-A9D0-DA8D1144DF16}"/>
    <cellStyle name="Linked Cell 26 2 2 3 10 2 2" xfId="26900" xr:uid="{1EE6A542-CE20-467B-B00D-B92C7A9A88BD}"/>
    <cellStyle name="Linked Cell 26 2 2 3 10 3" xfId="26901" xr:uid="{552DAC04-0EE7-4860-B1B6-E53D493920E2}"/>
    <cellStyle name="Linked Cell 26 2 2 3 11" xfId="26902" xr:uid="{611392B3-725E-487D-A324-931E91E3C57C}"/>
    <cellStyle name="Linked Cell 26 2 2 3 11 2" xfId="26903" xr:uid="{4BDF7A05-81DF-45CF-8698-E1DE710AE1F6}"/>
    <cellStyle name="Linked Cell 26 2 2 3 12" xfId="26904" xr:uid="{32156DE5-21F1-486A-A4CB-43D76CF255B2}"/>
    <cellStyle name="Linked Cell 26 2 2 3 2" xfId="26905" xr:uid="{70135B35-7828-4FE9-A40E-033552E548C7}"/>
    <cellStyle name="Linked Cell 26 2 2 3 2 10" xfId="26906" xr:uid="{B246E85F-310E-4ACC-B042-94F43F61588F}"/>
    <cellStyle name="Linked Cell 26 2 2 3 2 10 2" xfId="26907" xr:uid="{5FD9A299-1B1F-40B2-BBC8-BF873F520467}"/>
    <cellStyle name="Linked Cell 26 2 2 3 2 11" xfId="26908" xr:uid="{7638D057-FA52-4ACF-A5A9-3BB7995C8DCD}"/>
    <cellStyle name="Linked Cell 26 2 2 3 2 2" xfId="26909" xr:uid="{74E3FF65-2D20-43C4-9FCC-CE372A01A5D2}"/>
    <cellStyle name="Linked Cell 26 2 2 3 2 2 2" xfId="26910" xr:uid="{1E72DE94-6A9B-4031-A398-557D1D9DE408}"/>
    <cellStyle name="Linked Cell 26 2 2 3 2 2 2 2" xfId="26911" xr:uid="{99FDE029-0819-4D61-9F19-AEFEC3E7B017}"/>
    <cellStyle name="Linked Cell 26 2 2 3 2 2 3" xfId="26912" xr:uid="{A6B7F6E6-6628-496D-9ABB-CAA464A2FE2A}"/>
    <cellStyle name="Linked Cell 26 2 2 3 2 3" xfId="26913" xr:uid="{253EB474-57FF-4377-81D7-9427D012206D}"/>
    <cellStyle name="Linked Cell 26 2 2 3 2 3 2" xfId="26914" xr:uid="{26BDFEE2-FEA4-484F-A5E9-4DDCD404A889}"/>
    <cellStyle name="Linked Cell 26 2 2 3 2 3 2 2" xfId="26915" xr:uid="{28861B69-8D95-4C15-9AF3-41CF03F256AE}"/>
    <cellStyle name="Linked Cell 26 2 2 3 2 3 3" xfId="26916" xr:uid="{C82BAF2C-95D7-4C61-B0D1-6153CA4EACDE}"/>
    <cellStyle name="Linked Cell 26 2 2 3 2 4" xfId="26917" xr:uid="{004D3683-F859-43D3-82CB-67F2B615031B}"/>
    <cellStyle name="Linked Cell 26 2 2 3 2 4 2" xfId="26918" xr:uid="{96BF6B08-D93D-478E-AC3B-977F78C7B005}"/>
    <cellStyle name="Linked Cell 26 2 2 3 2 4 2 2" xfId="26919" xr:uid="{09AD50A2-80F3-4917-A0E4-E43D333D432B}"/>
    <cellStyle name="Linked Cell 26 2 2 3 2 4 3" xfId="26920" xr:uid="{272D873D-3ECA-40D7-9AB8-57DE12DB67D8}"/>
    <cellStyle name="Linked Cell 26 2 2 3 2 5" xfId="26921" xr:uid="{6BBAF635-0DC2-4006-AE1D-1B414E35649C}"/>
    <cellStyle name="Linked Cell 26 2 2 3 2 5 2" xfId="26922" xr:uid="{DDD3DDAF-CEC9-42DE-AF3D-A757281BB5B0}"/>
    <cellStyle name="Linked Cell 26 2 2 3 2 5 2 2" xfId="26923" xr:uid="{E90532E4-281B-4DC6-9436-0E2F98533B09}"/>
    <cellStyle name="Linked Cell 26 2 2 3 2 5 3" xfId="26924" xr:uid="{DF9CD0F3-984E-4176-B26D-6F94A567D9FB}"/>
    <cellStyle name="Linked Cell 26 2 2 3 2 6" xfId="26925" xr:uid="{42E6E693-AB83-43CC-BB23-1052C327FC7B}"/>
    <cellStyle name="Linked Cell 26 2 2 3 2 6 2" xfId="26926" xr:uid="{8751B328-30F5-45F9-8D1B-06E4E8768674}"/>
    <cellStyle name="Linked Cell 26 2 2 3 2 6 2 2" xfId="26927" xr:uid="{85C8403B-2595-4FC8-8971-4BBBAB3FF82B}"/>
    <cellStyle name="Linked Cell 26 2 2 3 2 6 3" xfId="26928" xr:uid="{F59AAC96-590E-4E34-9F44-6E0753FFE73C}"/>
    <cellStyle name="Linked Cell 26 2 2 3 2 7" xfId="26929" xr:uid="{CF9D51A2-00BB-4192-84C9-1DF15AA16DDD}"/>
    <cellStyle name="Linked Cell 26 2 2 3 2 7 2" xfId="26930" xr:uid="{89529340-D003-4601-871B-6942AB20BFBC}"/>
    <cellStyle name="Linked Cell 26 2 2 3 2 7 2 2" xfId="26931" xr:uid="{988E0201-2559-4AA9-97A8-EFD731E57F2C}"/>
    <cellStyle name="Linked Cell 26 2 2 3 2 7 3" xfId="26932" xr:uid="{F4793739-BBF2-4DC0-B686-C84DD73DB5C6}"/>
    <cellStyle name="Linked Cell 26 2 2 3 2 8" xfId="26933" xr:uid="{F3EEDDC1-7F73-43E7-A942-26D7774ED00A}"/>
    <cellStyle name="Linked Cell 26 2 2 3 2 8 2" xfId="26934" xr:uid="{85B2ABA0-F5C7-484B-81D7-283D24702E5E}"/>
    <cellStyle name="Linked Cell 26 2 2 3 2 8 2 2" xfId="26935" xr:uid="{135CDD39-B3D4-432B-AFD9-80B58B140684}"/>
    <cellStyle name="Linked Cell 26 2 2 3 2 8 3" xfId="26936" xr:uid="{5163FA1B-8CB3-4FC4-9A7D-6D28C53CEB16}"/>
    <cellStyle name="Linked Cell 26 2 2 3 2 9" xfId="26937" xr:uid="{E378B282-B605-49AB-BC24-31839B1C7658}"/>
    <cellStyle name="Linked Cell 26 2 2 3 2 9 2" xfId="26938" xr:uid="{5A6D4AEC-8876-486B-A9AF-7890081BE15E}"/>
    <cellStyle name="Linked Cell 26 2 2 3 2 9 2 2" xfId="26939" xr:uid="{CD573518-0476-44D4-8FB0-9E086794DC77}"/>
    <cellStyle name="Linked Cell 26 2 2 3 2 9 3" xfId="26940" xr:uid="{5EE6F40A-6A6A-4E27-BCDC-30B1B264F753}"/>
    <cellStyle name="Linked Cell 26 2 2 3 3" xfId="26941" xr:uid="{BF048DD0-8F84-4158-8F91-DC75C6FB4894}"/>
    <cellStyle name="Linked Cell 26 2 2 3 3 2" xfId="26942" xr:uid="{FF9D60CC-6899-4FF4-AE29-50359F71A888}"/>
    <cellStyle name="Linked Cell 26 2 2 3 3 2 2" xfId="26943" xr:uid="{4538E182-1C5D-46C0-9392-82CD1E8BB400}"/>
    <cellStyle name="Linked Cell 26 2 2 3 3 3" xfId="26944" xr:uid="{A87883B4-E87C-4219-BE25-9FC36F03784C}"/>
    <cellStyle name="Linked Cell 26 2 2 3 4" xfId="26945" xr:uid="{40D484F7-B352-4DFA-B540-04CB11091906}"/>
    <cellStyle name="Linked Cell 26 2 2 3 4 2" xfId="26946" xr:uid="{2727F8C5-6BAD-4C5D-8B0A-61EB54964C91}"/>
    <cellStyle name="Linked Cell 26 2 2 3 4 2 2" xfId="26947" xr:uid="{4E6FC8A9-6121-43FF-BD56-71963CB45342}"/>
    <cellStyle name="Linked Cell 26 2 2 3 4 3" xfId="26948" xr:uid="{9D831B1F-4123-4B93-97E0-31B9B1D7636A}"/>
    <cellStyle name="Linked Cell 26 2 2 3 5" xfId="26949" xr:uid="{F148FB74-218B-4AE2-8A95-87D01BFE0763}"/>
    <cellStyle name="Linked Cell 26 2 2 3 5 2" xfId="26950" xr:uid="{BB35959A-7947-46AF-BC51-35EF25F251D0}"/>
    <cellStyle name="Linked Cell 26 2 2 3 5 2 2" xfId="26951" xr:uid="{AB1B2800-D940-45F3-802F-ABB956205C5C}"/>
    <cellStyle name="Linked Cell 26 2 2 3 5 3" xfId="26952" xr:uid="{ACF866EE-A479-4495-A594-A3468341B63E}"/>
    <cellStyle name="Linked Cell 26 2 2 3 6" xfId="26953" xr:uid="{3FEBDE9B-0577-40D8-A697-59CA67CAE3A7}"/>
    <cellStyle name="Linked Cell 26 2 2 3 6 2" xfId="26954" xr:uid="{CC245EBA-75C3-4126-ADFD-F3053ABCEEFF}"/>
    <cellStyle name="Linked Cell 26 2 2 3 6 2 2" xfId="26955" xr:uid="{DB98452D-3DB5-48D0-8B69-9DE5B699DD8D}"/>
    <cellStyle name="Linked Cell 26 2 2 3 6 3" xfId="26956" xr:uid="{4FC669B0-40F4-4141-9084-C8D0C61F25A6}"/>
    <cellStyle name="Linked Cell 26 2 2 3 7" xfId="26957" xr:uid="{DB093B67-755B-4472-B7B6-33457A38FC9A}"/>
    <cellStyle name="Linked Cell 26 2 2 3 7 2" xfId="26958" xr:uid="{BB71CC17-9E5E-4E1E-BBCA-B61DB67C071C}"/>
    <cellStyle name="Linked Cell 26 2 2 3 7 2 2" xfId="26959" xr:uid="{AAB0F22D-6105-402C-AEA5-4A41D6072944}"/>
    <cellStyle name="Linked Cell 26 2 2 3 7 3" xfId="26960" xr:uid="{A361B544-119A-4143-B00D-C6FED0254A76}"/>
    <cellStyle name="Linked Cell 26 2 2 3 8" xfId="26961" xr:uid="{B30B5DC5-15A5-4707-AA8C-594A061FBD9C}"/>
    <cellStyle name="Linked Cell 26 2 2 3 8 2" xfId="26962" xr:uid="{D62D66B4-5118-4DBA-B438-0592D0476D4E}"/>
    <cellStyle name="Linked Cell 26 2 2 3 8 2 2" xfId="26963" xr:uid="{CE6633F3-4F22-4BCE-B3B3-B2EF8DCD6418}"/>
    <cellStyle name="Linked Cell 26 2 2 3 8 3" xfId="26964" xr:uid="{55F9F0FD-81EB-4836-B75A-AA60559E824A}"/>
    <cellStyle name="Linked Cell 26 2 2 3 9" xfId="26965" xr:uid="{903A7EF2-12C8-45E7-A405-3E825C3DE1B7}"/>
    <cellStyle name="Linked Cell 26 2 2 3 9 2" xfId="26966" xr:uid="{BDC4F321-4F90-4568-8E4E-0B1E32F70599}"/>
    <cellStyle name="Linked Cell 26 2 2 3 9 2 2" xfId="26967" xr:uid="{D01DE087-9D6E-49F2-87CE-9F02D58ED270}"/>
    <cellStyle name="Linked Cell 26 2 2 3 9 3" xfId="26968" xr:uid="{310F2E61-E7C0-443E-9D4B-B66E28AD2B70}"/>
    <cellStyle name="Linked Cell 26 2 2 4" xfId="26969" xr:uid="{0D7857C5-CAE6-45C5-BFE8-34CCF932F637}"/>
    <cellStyle name="Linked Cell 26 2 2 4 10" xfId="26970" xr:uid="{B2328620-F67D-4730-A042-7ECF7ACBDD3B}"/>
    <cellStyle name="Linked Cell 26 2 2 4 10 2" xfId="26971" xr:uid="{90731E95-15C5-4077-A3DB-7C5676B1263E}"/>
    <cellStyle name="Linked Cell 26 2 2 4 11" xfId="26972" xr:uid="{93423EB0-9767-493F-949C-37CD901D8067}"/>
    <cellStyle name="Linked Cell 26 2 2 4 2" xfId="26973" xr:uid="{954AF7CF-AA8F-46F5-98FF-4D7BB7C217BF}"/>
    <cellStyle name="Linked Cell 26 2 2 4 2 2" xfId="26974" xr:uid="{698906EF-F8BB-44D8-A759-91CAC0765324}"/>
    <cellStyle name="Linked Cell 26 2 2 4 2 2 2" xfId="26975" xr:uid="{0E140C9C-7690-425D-A872-E315FBF0255E}"/>
    <cellStyle name="Linked Cell 26 2 2 4 2 3" xfId="26976" xr:uid="{7EFB343C-F097-4F74-BAAE-848013B3D701}"/>
    <cellStyle name="Linked Cell 26 2 2 4 3" xfId="26977" xr:uid="{703FA849-E448-4044-A508-989C7DFEFDDF}"/>
    <cellStyle name="Linked Cell 26 2 2 4 3 2" xfId="26978" xr:uid="{761D6389-C042-4C2E-894C-BAA94467F471}"/>
    <cellStyle name="Linked Cell 26 2 2 4 3 2 2" xfId="26979" xr:uid="{5C8FE867-8CE9-415C-967C-869A2A37768B}"/>
    <cellStyle name="Linked Cell 26 2 2 4 3 3" xfId="26980" xr:uid="{32FD7795-5F36-4E94-8AE1-EE036999456F}"/>
    <cellStyle name="Linked Cell 26 2 2 4 4" xfId="26981" xr:uid="{B8D04A71-77CF-4D77-80E1-05485E16433D}"/>
    <cellStyle name="Linked Cell 26 2 2 4 4 2" xfId="26982" xr:uid="{97A56A30-343B-4906-9480-6CCE8A12F02B}"/>
    <cellStyle name="Linked Cell 26 2 2 4 4 2 2" xfId="26983" xr:uid="{A6FC35C4-A33A-4F2D-96D5-A3E03DB79B0C}"/>
    <cellStyle name="Linked Cell 26 2 2 4 4 3" xfId="26984" xr:uid="{45E6CB18-4B18-4EF8-B983-7B38E60C78F8}"/>
    <cellStyle name="Linked Cell 26 2 2 4 5" xfId="26985" xr:uid="{34888C5D-C624-445A-9B5D-19C0973E2632}"/>
    <cellStyle name="Linked Cell 26 2 2 4 5 2" xfId="26986" xr:uid="{420253B1-7E53-470D-8D18-0C25FED7FA1E}"/>
    <cellStyle name="Linked Cell 26 2 2 4 5 2 2" xfId="26987" xr:uid="{9ED5BB53-D2DD-49BA-9A19-D17AF2539819}"/>
    <cellStyle name="Linked Cell 26 2 2 4 5 3" xfId="26988" xr:uid="{06D0214F-9F6A-4611-A7EB-6365B64DB26B}"/>
    <cellStyle name="Linked Cell 26 2 2 4 6" xfId="26989" xr:uid="{E2BD5164-0DD0-4667-ACD8-F58644070240}"/>
    <cellStyle name="Linked Cell 26 2 2 4 6 2" xfId="26990" xr:uid="{89F8E785-D163-460E-9899-A418766602F6}"/>
    <cellStyle name="Linked Cell 26 2 2 4 6 2 2" xfId="26991" xr:uid="{C762BE74-3327-4A8F-8520-A956D740016E}"/>
    <cellStyle name="Linked Cell 26 2 2 4 6 3" xfId="26992" xr:uid="{943C75E9-664B-4E45-8336-E44EB89E7313}"/>
    <cellStyle name="Linked Cell 26 2 2 4 7" xfId="26993" xr:uid="{B239463C-7A2C-4617-8054-E3EA69A10999}"/>
    <cellStyle name="Linked Cell 26 2 2 4 7 2" xfId="26994" xr:uid="{876567CB-9018-4C67-8A51-99B7D04E1475}"/>
    <cellStyle name="Linked Cell 26 2 2 4 7 2 2" xfId="26995" xr:uid="{C79A73B9-2D73-46F3-9A1F-5E4F3A969812}"/>
    <cellStyle name="Linked Cell 26 2 2 4 7 3" xfId="26996" xr:uid="{74A9E530-8C0B-4F5C-8B4C-BA88B33C4082}"/>
    <cellStyle name="Linked Cell 26 2 2 4 8" xfId="26997" xr:uid="{6425454C-4BFF-4764-B5A3-E4C4A1B97BCF}"/>
    <cellStyle name="Linked Cell 26 2 2 4 8 2" xfId="26998" xr:uid="{DA53AC7D-4ABD-48BF-B9EA-3CF57BE5C75E}"/>
    <cellStyle name="Linked Cell 26 2 2 4 8 2 2" xfId="26999" xr:uid="{515C53B6-F6D6-4065-8401-7569A0C34A87}"/>
    <cellStyle name="Linked Cell 26 2 2 4 8 3" xfId="27000" xr:uid="{13800CEC-A774-4F92-9569-D8F0221BF1C5}"/>
    <cellStyle name="Linked Cell 26 2 2 4 9" xfId="27001" xr:uid="{A09B65BB-E598-4371-9C20-1C826693D170}"/>
    <cellStyle name="Linked Cell 26 2 2 4 9 2" xfId="27002" xr:uid="{40E5007F-4C43-47E5-92CE-5C40EE8EE241}"/>
    <cellStyle name="Linked Cell 26 2 2 4 9 2 2" xfId="27003" xr:uid="{4A246A85-AD28-4074-B3E0-38049D9F25F2}"/>
    <cellStyle name="Linked Cell 26 2 2 4 9 3" xfId="27004" xr:uid="{DE59209C-B0B9-44BD-B5B8-A221D6B7BCC2}"/>
    <cellStyle name="Linked Cell 26 2 2 5" xfId="27005" xr:uid="{1B4BC301-BB75-410F-BEF4-A99011AE1D7E}"/>
    <cellStyle name="Linked Cell 26 2 2 5 2" xfId="27006" xr:uid="{FC578192-35E6-49A5-80C1-1E0DEC874E7C}"/>
    <cellStyle name="Linked Cell 26 2 2 5 2 2" xfId="27007" xr:uid="{05510E23-3843-484E-9F12-34D0E974B54E}"/>
    <cellStyle name="Linked Cell 26 2 2 5 3" xfId="27008" xr:uid="{63B07AB5-4623-4017-87B1-CA332F5578A3}"/>
    <cellStyle name="Linked Cell 26 2 2 6" xfId="27009" xr:uid="{FDBEF833-7A70-4BD6-91CF-19B083FBF384}"/>
    <cellStyle name="Linked Cell 26 2 2 6 2" xfId="27010" xr:uid="{38AF03C1-7082-492C-A11F-82F589B4E014}"/>
    <cellStyle name="Linked Cell 26 2 2 6 2 2" xfId="27011" xr:uid="{A860C625-87D2-4F17-AEFE-4ACE1185CD21}"/>
    <cellStyle name="Linked Cell 26 2 2 6 3" xfId="27012" xr:uid="{16D6AEF3-F5CF-4FE6-9202-24022D331DA7}"/>
    <cellStyle name="Linked Cell 26 2 2 7" xfId="27013" xr:uid="{2CACCA25-6D91-468A-B86E-02AD52011B4E}"/>
    <cellStyle name="Linked Cell 26 2 2 7 2" xfId="27014" xr:uid="{3B56A3A7-A13A-45B1-B6D9-4FF3DF82D826}"/>
    <cellStyle name="Linked Cell 26 2 2 7 2 2" xfId="27015" xr:uid="{FB557ADC-4C05-4102-B082-01F98E6243EB}"/>
    <cellStyle name="Linked Cell 26 2 2 7 3" xfId="27016" xr:uid="{48CEE9D2-56D1-458C-BA4B-3082E8CC3F36}"/>
    <cellStyle name="Linked Cell 26 2 2 8" xfId="27017" xr:uid="{6592DF3B-A330-4B59-91DA-1051B27EF654}"/>
    <cellStyle name="Linked Cell 26 2 2 8 2" xfId="27018" xr:uid="{E840AC93-5C51-47DB-A8A0-AA93182BB923}"/>
    <cellStyle name="Linked Cell 26 2 2 8 2 2" xfId="27019" xr:uid="{25B2D462-31C7-4D8E-9CE4-3A08EF8137D8}"/>
    <cellStyle name="Linked Cell 26 2 2 8 3" xfId="27020" xr:uid="{1C3485A7-11FE-485B-B59B-31A3FC3906B5}"/>
    <cellStyle name="Linked Cell 26 2 2 9" xfId="27021" xr:uid="{ADFFA151-F322-4949-AFCE-A766FE2F0766}"/>
    <cellStyle name="Linked Cell 26 2 2 9 2" xfId="27022" xr:uid="{9FAD7D43-E2A7-475A-94FC-27532D020E02}"/>
    <cellStyle name="Linked Cell 26 2 2 9 2 2" xfId="27023" xr:uid="{FD2F3801-A30F-4988-A477-62DB2C6A5998}"/>
    <cellStyle name="Linked Cell 26 2 2 9 3" xfId="27024" xr:uid="{E8E9E6C2-FCFD-4DE3-8671-F6F61A8D820D}"/>
    <cellStyle name="Linked Cell 26 2 3" xfId="27025" xr:uid="{AC5E4674-38E1-487D-A4B6-A0E517B1A8E2}"/>
    <cellStyle name="Linked Cell 26 2 3 10" xfId="27026" xr:uid="{4A54A8FF-3FFA-4DF4-B12A-C61F7207EF4B}"/>
    <cellStyle name="Linked Cell 26 2 3 10 2" xfId="27027" xr:uid="{B2B664B4-87C9-4EA2-AE19-0F239AC890DF}"/>
    <cellStyle name="Linked Cell 26 2 3 10 2 2" xfId="27028" xr:uid="{89421836-1A8E-4523-8B79-CEC251C5390D}"/>
    <cellStyle name="Linked Cell 26 2 3 10 3" xfId="27029" xr:uid="{37B2CE18-6C97-4F5A-BF03-6FAAE1B266D1}"/>
    <cellStyle name="Linked Cell 26 2 3 11" xfId="27030" xr:uid="{64EE8276-66F8-4010-9B36-0BE21FE04A32}"/>
    <cellStyle name="Linked Cell 26 2 3 11 2" xfId="27031" xr:uid="{AEF01D73-84B7-4C56-9891-7CCBB31C8050}"/>
    <cellStyle name="Linked Cell 26 2 3 11 2 2" xfId="27032" xr:uid="{E923A3C7-28F5-48C5-8C30-0FC67F289A99}"/>
    <cellStyle name="Linked Cell 26 2 3 11 3" xfId="27033" xr:uid="{0A11F156-74FC-4EA3-A7ED-3BF311699B46}"/>
    <cellStyle name="Linked Cell 26 2 3 12" xfId="27034" xr:uid="{3ED5F791-2240-43C1-B478-FCE052700575}"/>
    <cellStyle name="Linked Cell 26 2 3 12 2" xfId="27035" xr:uid="{EAF50B47-BFD7-4547-B77C-737581155ADE}"/>
    <cellStyle name="Linked Cell 26 2 3 13" xfId="27036" xr:uid="{EA5E2CBB-E531-4D05-9FF7-3205C1DBA921}"/>
    <cellStyle name="Linked Cell 26 2 3 2" xfId="27037" xr:uid="{81DA6211-1CB4-4EC2-B8D5-7FC914EE829F}"/>
    <cellStyle name="Linked Cell 26 2 3 2 10" xfId="27038" xr:uid="{480259CC-42CE-4264-B718-C5CF7869E63F}"/>
    <cellStyle name="Linked Cell 26 2 3 2 10 2" xfId="27039" xr:uid="{722C8D6C-108C-4781-B625-F6804E7E9F65}"/>
    <cellStyle name="Linked Cell 26 2 3 2 10 2 2" xfId="27040" xr:uid="{EC7C93AA-D41A-4998-8E8B-0306F3CBF633}"/>
    <cellStyle name="Linked Cell 26 2 3 2 10 3" xfId="27041" xr:uid="{19629DD3-D0EF-4B7C-816A-98C0DD6B7A23}"/>
    <cellStyle name="Linked Cell 26 2 3 2 11" xfId="27042" xr:uid="{6D3EEDB7-C491-40F8-AF69-449EFA59ECA5}"/>
    <cellStyle name="Linked Cell 26 2 3 2 11 2" xfId="27043" xr:uid="{F4103E78-50ED-437B-B0E5-BD98B4D01D22}"/>
    <cellStyle name="Linked Cell 26 2 3 2 12" xfId="27044" xr:uid="{09105DC5-9652-4570-8CF9-4C522A471755}"/>
    <cellStyle name="Linked Cell 26 2 3 2 2" xfId="27045" xr:uid="{EC7EC26D-0BF2-4580-A976-820955780E2D}"/>
    <cellStyle name="Linked Cell 26 2 3 2 2 2" xfId="27046" xr:uid="{90278179-27FF-4645-B765-F51249A60BBE}"/>
    <cellStyle name="Linked Cell 26 2 3 2 2 2 2" xfId="27047" xr:uid="{ABECAB13-EAD2-4130-B678-DCD5C9618FDF}"/>
    <cellStyle name="Linked Cell 26 2 3 2 2 3" xfId="27048" xr:uid="{58D60D90-17E4-401C-B523-E6384294CD00}"/>
    <cellStyle name="Linked Cell 26 2 3 2 3" xfId="27049" xr:uid="{11AE1BA1-A5BC-426B-988A-BE2C73926996}"/>
    <cellStyle name="Linked Cell 26 2 3 2 3 2" xfId="27050" xr:uid="{7BE6947B-9BFD-49AE-BDAB-9EC621430FDD}"/>
    <cellStyle name="Linked Cell 26 2 3 2 3 2 2" xfId="27051" xr:uid="{B7E6D97E-C5F6-4747-A747-751DC1FD423C}"/>
    <cellStyle name="Linked Cell 26 2 3 2 3 3" xfId="27052" xr:uid="{93EEF613-C8EF-4778-8F7E-318FB69D85BE}"/>
    <cellStyle name="Linked Cell 26 2 3 2 4" xfId="27053" xr:uid="{8CAAD99E-FB71-4F4A-940B-EE37C3FF6642}"/>
    <cellStyle name="Linked Cell 26 2 3 2 4 2" xfId="27054" xr:uid="{12D723BB-0133-48BC-ADF8-32F9346BD276}"/>
    <cellStyle name="Linked Cell 26 2 3 2 4 2 2" xfId="27055" xr:uid="{E71F0323-8A75-45B4-BA98-7C93EB0979C0}"/>
    <cellStyle name="Linked Cell 26 2 3 2 4 3" xfId="27056" xr:uid="{A57D7F9C-6F2D-4260-BDDC-11B333D78E63}"/>
    <cellStyle name="Linked Cell 26 2 3 2 5" xfId="27057" xr:uid="{257F4E19-1549-4962-9A4B-666E01CA1EA9}"/>
    <cellStyle name="Linked Cell 26 2 3 2 5 2" xfId="27058" xr:uid="{094FF55C-985D-44FC-A354-E83D4CD0FEFC}"/>
    <cellStyle name="Linked Cell 26 2 3 2 5 2 2" xfId="27059" xr:uid="{8790BC59-FE29-4381-8A89-9BA67210658B}"/>
    <cellStyle name="Linked Cell 26 2 3 2 5 3" xfId="27060" xr:uid="{90D8B638-0B25-4E73-9CF0-4F3CFB421489}"/>
    <cellStyle name="Linked Cell 26 2 3 2 6" xfId="27061" xr:uid="{B90F9BE3-6B37-4993-97A8-CF0C1B3616D1}"/>
    <cellStyle name="Linked Cell 26 2 3 2 6 2" xfId="27062" xr:uid="{85266024-E42D-45BD-BFAD-8F5A028F0A0B}"/>
    <cellStyle name="Linked Cell 26 2 3 2 6 2 2" xfId="27063" xr:uid="{392296F6-E60D-4F68-9C6F-68F762EDA156}"/>
    <cellStyle name="Linked Cell 26 2 3 2 6 3" xfId="27064" xr:uid="{FDFE8F98-CEC7-484E-BD07-ABDD1F259A2B}"/>
    <cellStyle name="Linked Cell 26 2 3 2 7" xfId="27065" xr:uid="{679CB238-3E39-4AC6-ABA2-051857EF4818}"/>
    <cellStyle name="Linked Cell 26 2 3 2 7 2" xfId="27066" xr:uid="{F3E32604-87F9-4906-98A6-17E3F03E8D1C}"/>
    <cellStyle name="Linked Cell 26 2 3 2 7 2 2" xfId="27067" xr:uid="{090F0121-22FF-4F53-BB6C-E0ED0B805DB0}"/>
    <cellStyle name="Linked Cell 26 2 3 2 7 3" xfId="27068" xr:uid="{B5B88AF2-BE3B-4D97-9BB5-2028D9970AFD}"/>
    <cellStyle name="Linked Cell 26 2 3 2 8" xfId="27069" xr:uid="{AF31830C-2CD1-42FE-866C-1E20674F8B1D}"/>
    <cellStyle name="Linked Cell 26 2 3 2 8 2" xfId="27070" xr:uid="{AD71ACCA-9401-4BF3-A53F-A7AE46D1087D}"/>
    <cellStyle name="Linked Cell 26 2 3 2 8 2 2" xfId="27071" xr:uid="{98946314-7386-4A87-98D6-D5112E0944CA}"/>
    <cellStyle name="Linked Cell 26 2 3 2 8 3" xfId="27072" xr:uid="{1F1CD9B3-0039-4319-A2A5-2E252C8A3422}"/>
    <cellStyle name="Linked Cell 26 2 3 2 9" xfId="27073" xr:uid="{70735F59-43F0-4345-AD7B-7BD5A99A80D6}"/>
    <cellStyle name="Linked Cell 26 2 3 2 9 2" xfId="27074" xr:uid="{0DAD6E59-C154-4DDD-AA89-1A14B1A3560D}"/>
    <cellStyle name="Linked Cell 26 2 3 2 9 2 2" xfId="27075" xr:uid="{A75F075C-E247-4E87-956F-AA88FC9BB103}"/>
    <cellStyle name="Linked Cell 26 2 3 2 9 3" xfId="27076" xr:uid="{C5B8E4F2-ECD3-40B8-936D-EBA01D4C5290}"/>
    <cellStyle name="Linked Cell 26 2 3 3" xfId="27077" xr:uid="{B89CBD5C-29C1-4A86-B3CD-65BB13F79BDB}"/>
    <cellStyle name="Linked Cell 26 2 3 3 10" xfId="27078" xr:uid="{19AFB2E2-DE6D-4442-8C1C-C0A770A12BD7}"/>
    <cellStyle name="Linked Cell 26 2 3 3 10 2" xfId="27079" xr:uid="{39D9698E-2C11-4863-BCF5-12A8C04732D2}"/>
    <cellStyle name="Linked Cell 26 2 3 3 11" xfId="27080" xr:uid="{6052643B-0C83-4073-96ED-6B1AF8C4C1F6}"/>
    <cellStyle name="Linked Cell 26 2 3 3 2" xfId="27081" xr:uid="{3208399B-7AFB-49B1-B1BE-1D81B32AB646}"/>
    <cellStyle name="Linked Cell 26 2 3 3 2 2" xfId="27082" xr:uid="{AEE5A545-C2B0-488C-923C-5B7AFC77823F}"/>
    <cellStyle name="Linked Cell 26 2 3 3 2 2 2" xfId="27083" xr:uid="{8DAA2E95-784E-45C4-808E-A9C8C6685634}"/>
    <cellStyle name="Linked Cell 26 2 3 3 2 3" xfId="27084" xr:uid="{3D9310F5-9911-4E31-865F-E27F518EA8C2}"/>
    <cellStyle name="Linked Cell 26 2 3 3 3" xfId="27085" xr:uid="{41026A58-489A-4AB2-83A2-EA2EF50EA2F8}"/>
    <cellStyle name="Linked Cell 26 2 3 3 3 2" xfId="27086" xr:uid="{B21AD7CC-0187-4675-8155-26D198B73648}"/>
    <cellStyle name="Linked Cell 26 2 3 3 3 2 2" xfId="27087" xr:uid="{7F23CE21-19BA-4C42-9846-A6584D9BD683}"/>
    <cellStyle name="Linked Cell 26 2 3 3 3 3" xfId="27088" xr:uid="{09B41AFB-C314-4CB2-8D0C-3026F35D3A9D}"/>
    <cellStyle name="Linked Cell 26 2 3 3 4" xfId="27089" xr:uid="{961C86A4-3DE2-4894-9200-9FBDF85256F6}"/>
    <cellStyle name="Linked Cell 26 2 3 3 4 2" xfId="27090" xr:uid="{A03D2E47-29DB-428E-A93D-9B82AF09DC74}"/>
    <cellStyle name="Linked Cell 26 2 3 3 4 2 2" xfId="27091" xr:uid="{5AA3ADAC-9C29-4C4D-A438-B9BA76ED16F2}"/>
    <cellStyle name="Linked Cell 26 2 3 3 4 3" xfId="27092" xr:uid="{4671CC81-85C9-4DF6-9B79-2382BAE2DEFF}"/>
    <cellStyle name="Linked Cell 26 2 3 3 5" xfId="27093" xr:uid="{DFAB8751-C3F7-4A34-B0FF-6AAB5714262A}"/>
    <cellStyle name="Linked Cell 26 2 3 3 5 2" xfId="27094" xr:uid="{401ED3D0-6468-4703-B893-4B2084BCE146}"/>
    <cellStyle name="Linked Cell 26 2 3 3 5 2 2" xfId="27095" xr:uid="{633202FA-115B-4E7D-9236-1BAF24803814}"/>
    <cellStyle name="Linked Cell 26 2 3 3 5 3" xfId="27096" xr:uid="{30031931-5248-40B6-9239-A406BD7EE958}"/>
    <cellStyle name="Linked Cell 26 2 3 3 6" xfId="27097" xr:uid="{FAAEACCF-5CA3-4593-B7E3-2D9602653494}"/>
    <cellStyle name="Linked Cell 26 2 3 3 6 2" xfId="27098" xr:uid="{79B2ED8A-1549-4EED-A477-196520E0C891}"/>
    <cellStyle name="Linked Cell 26 2 3 3 6 2 2" xfId="27099" xr:uid="{A8D161EF-C686-4DEE-BB06-38E14C88C61A}"/>
    <cellStyle name="Linked Cell 26 2 3 3 6 3" xfId="27100" xr:uid="{81EEA332-F20D-4008-81F0-E9C9A9CFC512}"/>
    <cellStyle name="Linked Cell 26 2 3 3 7" xfId="27101" xr:uid="{EAC5D359-A3BF-47F3-876B-E8DF32065F97}"/>
    <cellStyle name="Linked Cell 26 2 3 3 7 2" xfId="27102" xr:uid="{DA43B82F-2426-4DB3-A14E-DC7F437A83DE}"/>
    <cellStyle name="Linked Cell 26 2 3 3 7 2 2" xfId="27103" xr:uid="{69173B6F-0CF5-490C-80FD-7068160F03C3}"/>
    <cellStyle name="Linked Cell 26 2 3 3 7 3" xfId="27104" xr:uid="{D32745F6-ECDC-45E0-86C3-A80CAAE00B14}"/>
    <cellStyle name="Linked Cell 26 2 3 3 8" xfId="27105" xr:uid="{D189F74C-005A-4D3F-BB1D-92CEF173A58F}"/>
    <cellStyle name="Linked Cell 26 2 3 3 8 2" xfId="27106" xr:uid="{54C40E59-0C7F-4F71-B83E-4C5EFD119FE9}"/>
    <cellStyle name="Linked Cell 26 2 3 3 8 2 2" xfId="27107" xr:uid="{33D68E1F-A40D-4432-B87E-055A5667D326}"/>
    <cellStyle name="Linked Cell 26 2 3 3 8 3" xfId="27108" xr:uid="{9DD9BD71-DD69-4734-806D-F02352C822EA}"/>
    <cellStyle name="Linked Cell 26 2 3 3 9" xfId="27109" xr:uid="{AE73D5E7-DE78-4895-A249-62DE1F40D339}"/>
    <cellStyle name="Linked Cell 26 2 3 3 9 2" xfId="27110" xr:uid="{42DD429C-6041-4380-918D-D90808398CFB}"/>
    <cellStyle name="Linked Cell 26 2 3 3 9 2 2" xfId="27111" xr:uid="{86B3F43B-0151-4BD7-929C-C3E41F42AD56}"/>
    <cellStyle name="Linked Cell 26 2 3 3 9 3" xfId="27112" xr:uid="{FFF8813A-D5C2-4ECE-B8FC-4787E39D2009}"/>
    <cellStyle name="Linked Cell 26 2 3 4" xfId="27113" xr:uid="{C222D9F5-CF93-4B75-B82E-E228C5FC223F}"/>
    <cellStyle name="Linked Cell 26 2 3 4 2" xfId="27114" xr:uid="{80182589-583B-43DB-83DF-7C6E523DF21D}"/>
    <cellStyle name="Linked Cell 26 2 3 4 2 2" xfId="27115" xr:uid="{71CBC4E6-997E-465E-9421-CEA51FF36420}"/>
    <cellStyle name="Linked Cell 26 2 3 4 3" xfId="27116" xr:uid="{BD681ABB-7F6B-4E37-97CF-9C3CCAB6A12A}"/>
    <cellStyle name="Linked Cell 26 2 3 5" xfId="27117" xr:uid="{ED9803A9-E153-498A-8AB3-1292E021C8D2}"/>
    <cellStyle name="Linked Cell 26 2 3 5 2" xfId="27118" xr:uid="{5B99BE91-D18F-4D1E-AB45-BB8A8A407E6A}"/>
    <cellStyle name="Linked Cell 26 2 3 5 2 2" xfId="27119" xr:uid="{0C8353A2-6002-468E-A8CA-462049C86471}"/>
    <cellStyle name="Linked Cell 26 2 3 5 3" xfId="27120" xr:uid="{1560E531-E169-4FEF-BC9E-FC7F14D0BC8A}"/>
    <cellStyle name="Linked Cell 26 2 3 6" xfId="27121" xr:uid="{0789E531-DA4D-43DD-BA26-429B07C1DE51}"/>
    <cellStyle name="Linked Cell 26 2 3 6 2" xfId="27122" xr:uid="{A47E0AFA-E960-4243-846D-1BAAB26C79BD}"/>
    <cellStyle name="Linked Cell 26 2 3 6 2 2" xfId="27123" xr:uid="{8B82861A-E4B3-46E4-BEAF-51DDA22927C6}"/>
    <cellStyle name="Linked Cell 26 2 3 6 3" xfId="27124" xr:uid="{A29DCCE7-43AF-419B-9759-A0509A23956C}"/>
    <cellStyle name="Linked Cell 26 2 3 7" xfId="27125" xr:uid="{23F4053E-E13C-42C0-B7E5-C09F5B814F36}"/>
    <cellStyle name="Linked Cell 26 2 3 7 2" xfId="27126" xr:uid="{EAA69FF5-5216-499A-8C42-E96C31C00C78}"/>
    <cellStyle name="Linked Cell 26 2 3 7 2 2" xfId="27127" xr:uid="{36A8B402-0937-4C34-BD7C-0EF0914517EE}"/>
    <cellStyle name="Linked Cell 26 2 3 7 3" xfId="27128" xr:uid="{D2B3B618-D9D5-488B-87CB-AB10AB2A48B2}"/>
    <cellStyle name="Linked Cell 26 2 3 8" xfId="27129" xr:uid="{1DB21221-18EE-438D-9BA4-036A7D5B2FC4}"/>
    <cellStyle name="Linked Cell 26 2 3 8 2" xfId="27130" xr:uid="{6E17C6AA-46FA-4D04-A03B-D2A0A46403CB}"/>
    <cellStyle name="Linked Cell 26 2 3 8 2 2" xfId="27131" xr:uid="{7E49F244-782B-4EAF-B56A-C0B83E632852}"/>
    <cellStyle name="Linked Cell 26 2 3 8 3" xfId="27132" xr:uid="{74CAE0B2-D564-4696-B060-1B1C2D18B7EA}"/>
    <cellStyle name="Linked Cell 26 2 3 9" xfId="27133" xr:uid="{29E004EB-7251-45BB-8637-CBA508AB68A1}"/>
    <cellStyle name="Linked Cell 26 2 3 9 2" xfId="27134" xr:uid="{B11FE2A2-CA2D-42FF-BC3E-EFAED0CB04AE}"/>
    <cellStyle name="Linked Cell 26 2 3 9 2 2" xfId="27135" xr:uid="{73245A60-69E1-47C1-A900-9FF3F9B33C22}"/>
    <cellStyle name="Linked Cell 26 2 3 9 3" xfId="27136" xr:uid="{4A6D6684-16C9-4E7A-B223-85B86C4FA612}"/>
    <cellStyle name="Linked Cell 26 2 4" xfId="27137" xr:uid="{A38F664D-5ED5-4798-BCC2-7C0342744EFC}"/>
    <cellStyle name="Linked Cell 26 2 4 10" xfId="27138" xr:uid="{828AF9DC-9392-4D68-9E55-86EE8193E5EE}"/>
    <cellStyle name="Linked Cell 26 2 4 10 2" xfId="27139" xr:uid="{7BDC9F04-D147-47A6-979F-7519F4C1ED4A}"/>
    <cellStyle name="Linked Cell 26 2 4 10 2 2" xfId="27140" xr:uid="{C1D53F0D-B668-486A-8240-93D591132822}"/>
    <cellStyle name="Linked Cell 26 2 4 10 3" xfId="27141" xr:uid="{0088444B-13D0-4A30-8946-39B14C83C5C9}"/>
    <cellStyle name="Linked Cell 26 2 4 11" xfId="27142" xr:uid="{803E0B41-9804-48A5-967A-40243BBB54EF}"/>
    <cellStyle name="Linked Cell 26 2 4 11 2" xfId="27143" xr:uid="{525655AB-1DF2-4692-A872-2C0872536B5F}"/>
    <cellStyle name="Linked Cell 26 2 4 12" xfId="27144" xr:uid="{D017AC13-2825-4C3A-B396-00E9338A5131}"/>
    <cellStyle name="Linked Cell 26 2 4 2" xfId="27145" xr:uid="{76222EED-D57E-4CE0-9084-94A8748109DD}"/>
    <cellStyle name="Linked Cell 26 2 4 2 10" xfId="27146" xr:uid="{A6665BEA-5C3F-4B81-B9D5-B3E2D7CE6407}"/>
    <cellStyle name="Linked Cell 26 2 4 2 10 2" xfId="27147" xr:uid="{D375B7C5-138A-40E2-8FD3-3B7ED4A790C3}"/>
    <cellStyle name="Linked Cell 26 2 4 2 11" xfId="27148" xr:uid="{878B0323-9268-4F63-AFCA-CECDA3E83CAB}"/>
    <cellStyle name="Linked Cell 26 2 4 2 2" xfId="27149" xr:uid="{EE7CFE52-CF0E-4F1E-8CF1-999D2F115254}"/>
    <cellStyle name="Linked Cell 26 2 4 2 2 2" xfId="27150" xr:uid="{4596C1B7-93EF-4A8F-B88A-1ED917812234}"/>
    <cellStyle name="Linked Cell 26 2 4 2 2 2 2" xfId="27151" xr:uid="{F25FBF15-A450-4DDA-A586-5DE294E4948F}"/>
    <cellStyle name="Linked Cell 26 2 4 2 2 3" xfId="27152" xr:uid="{FF3D1111-C07C-4580-B920-C32CA7A267DA}"/>
    <cellStyle name="Linked Cell 26 2 4 2 3" xfId="27153" xr:uid="{AE72B5FC-ADA0-4020-B7A5-B88DD23FDB96}"/>
    <cellStyle name="Linked Cell 26 2 4 2 3 2" xfId="27154" xr:uid="{9DB119AD-68E3-410F-A6DF-629089BF75D9}"/>
    <cellStyle name="Linked Cell 26 2 4 2 3 2 2" xfId="27155" xr:uid="{C4FCE405-36F9-4C29-8D26-BB18BFDDA54C}"/>
    <cellStyle name="Linked Cell 26 2 4 2 3 3" xfId="27156" xr:uid="{38F5585D-57FA-4AA7-BC8C-BBB65D4BA479}"/>
    <cellStyle name="Linked Cell 26 2 4 2 4" xfId="27157" xr:uid="{3C5BD5C7-75F8-4CEA-B0F3-576050542868}"/>
    <cellStyle name="Linked Cell 26 2 4 2 4 2" xfId="27158" xr:uid="{E8E69BC7-FC00-4227-971B-526163FCB9BA}"/>
    <cellStyle name="Linked Cell 26 2 4 2 4 2 2" xfId="27159" xr:uid="{9F5B848F-2E29-49DC-946C-C0246F2250D2}"/>
    <cellStyle name="Linked Cell 26 2 4 2 4 3" xfId="27160" xr:uid="{7DA262FB-3528-4120-9FFE-35C2FEF2A96A}"/>
    <cellStyle name="Linked Cell 26 2 4 2 5" xfId="27161" xr:uid="{111BBA25-1773-412C-98F8-7EDBF3CAF1CE}"/>
    <cellStyle name="Linked Cell 26 2 4 2 5 2" xfId="27162" xr:uid="{6FE205C3-9926-4D6A-B331-C9B126173E3F}"/>
    <cellStyle name="Linked Cell 26 2 4 2 5 2 2" xfId="27163" xr:uid="{D586F304-690C-4A22-8A2A-A4179C571A88}"/>
    <cellStyle name="Linked Cell 26 2 4 2 5 3" xfId="27164" xr:uid="{7D192CB8-8864-426E-BDBF-6911C8F92955}"/>
    <cellStyle name="Linked Cell 26 2 4 2 6" xfId="27165" xr:uid="{D9F43D24-713E-44D6-B7F7-6611D8295301}"/>
    <cellStyle name="Linked Cell 26 2 4 2 6 2" xfId="27166" xr:uid="{425D25A3-5C70-4BF2-B4A9-AEB298B5DDBA}"/>
    <cellStyle name="Linked Cell 26 2 4 2 6 2 2" xfId="27167" xr:uid="{F267908A-78FD-4B8F-B3D4-8E4FAE5DEE7D}"/>
    <cellStyle name="Linked Cell 26 2 4 2 6 3" xfId="27168" xr:uid="{9A7627A1-13C8-439B-972B-86184679EBDB}"/>
    <cellStyle name="Linked Cell 26 2 4 2 7" xfId="27169" xr:uid="{2B87B9FA-1F4E-4CF7-97F0-CB13D8F1C1C4}"/>
    <cellStyle name="Linked Cell 26 2 4 2 7 2" xfId="27170" xr:uid="{6B0A9D43-C613-4A27-AAED-A9247ED24B7F}"/>
    <cellStyle name="Linked Cell 26 2 4 2 7 2 2" xfId="27171" xr:uid="{49A3675C-48A8-49BF-A6C2-0BD56421D74E}"/>
    <cellStyle name="Linked Cell 26 2 4 2 7 3" xfId="27172" xr:uid="{343EBA88-D9B8-4FFA-964F-F140B8F2CE72}"/>
    <cellStyle name="Linked Cell 26 2 4 2 8" xfId="27173" xr:uid="{8F0E936B-E670-4B07-B91D-47826165B286}"/>
    <cellStyle name="Linked Cell 26 2 4 2 8 2" xfId="27174" xr:uid="{73074473-B352-46BB-B34F-77018C592D98}"/>
    <cellStyle name="Linked Cell 26 2 4 2 8 2 2" xfId="27175" xr:uid="{ACF9BC71-835A-4A03-84FA-57E3FC3462A2}"/>
    <cellStyle name="Linked Cell 26 2 4 2 8 3" xfId="27176" xr:uid="{2870B24C-FDA6-4B5F-8B86-F062C9ACC14E}"/>
    <cellStyle name="Linked Cell 26 2 4 2 9" xfId="27177" xr:uid="{AFCB2CFC-C9DE-4E73-88CC-93A5DBE7A8A9}"/>
    <cellStyle name="Linked Cell 26 2 4 2 9 2" xfId="27178" xr:uid="{DC6184E1-C1D0-43DF-9870-646CFDBDF775}"/>
    <cellStyle name="Linked Cell 26 2 4 2 9 2 2" xfId="27179" xr:uid="{79DECF39-1AF2-476F-9FD3-FC74F0175079}"/>
    <cellStyle name="Linked Cell 26 2 4 2 9 3" xfId="27180" xr:uid="{E8387026-92A5-48D8-9349-D40F84601594}"/>
    <cellStyle name="Linked Cell 26 2 4 3" xfId="27181" xr:uid="{FC5F3D7C-4D92-48A3-80B7-59DC8E733B65}"/>
    <cellStyle name="Linked Cell 26 2 4 3 2" xfId="27182" xr:uid="{2D9ADA73-B285-4744-8C14-C26B60B0DD21}"/>
    <cellStyle name="Linked Cell 26 2 4 3 2 2" xfId="27183" xr:uid="{136F7B1B-58D0-4918-90D7-8FAB64051DC2}"/>
    <cellStyle name="Linked Cell 26 2 4 3 3" xfId="27184" xr:uid="{B08D6235-DB7D-4A8D-83EB-51857706CB24}"/>
    <cellStyle name="Linked Cell 26 2 4 4" xfId="27185" xr:uid="{EF9D5A2E-2198-47AF-ABD4-B623750CC168}"/>
    <cellStyle name="Linked Cell 26 2 4 4 2" xfId="27186" xr:uid="{33DD5446-F546-4A52-A8C5-1ABA705328FB}"/>
    <cellStyle name="Linked Cell 26 2 4 4 2 2" xfId="27187" xr:uid="{C7BD7A9E-942D-4A7F-A9FE-B5DFF3E770C0}"/>
    <cellStyle name="Linked Cell 26 2 4 4 3" xfId="27188" xr:uid="{3A344C65-C30A-4914-8763-CBB5BB7BF391}"/>
    <cellStyle name="Linked Cell 26 2 4 5" xfId="27189" xr:uid="{56DD1C60-AC91-4C5C-9C95-D990FC82AA30}"/>
    <cellStyle name="Linked Cell 26 2 4 5 2" xfId="27190" xr:uid="{429078C7-F6A3-4DD7-9BBF-EC53BF61EDCB}"/>
    <cellStyle name="Linked Cell 26 2 4 5 2 2" xfId="27191" xr:uid="{6BEEC538-AE5A-4E49-9FEC-23A802421E5F}"/>
    <cellStyle name="Linked Cell 26 2 4 5 3" xfId="27192" xr:uid="{2CCE1B80-B3D7-4DCA-B4B4-CB00C53AAA04}"/>
    <cellStyle name="Linked Cell 26 2 4 6" xfId="27193" xr:uid="{846CFA64-AFE3-411A-BF3C-488D756B8D8D}"/>
    <cellStyle name="Linked Cell 26 2 4 6 2" xfId="27194" xr:uid="{39E456D2-0147-4774-9417-9C5710275726}"/>
    <cellStyle name="Linked Cell 26 2 4 6 2 2" xfId="27195" xr:uid="{DD3662F6-DDEA-40E9-8113-7729578C2F9E}"/>
    <cellStyle name="Linked Cell 26 2 4 6 3" xfId="27196" xr:uid="{513A35B3-3304-470D-948A-986BDD31158C}"/>
    <cellStyle name="Linked Cell 26 2 4 7" xfId="27197" xr:uid="{CE19E8B0-2457-45CE-91A5-6CBF116995A7}"/>
    <cellStyle name="Linked Cell 26 2 4 7 2" xfId="27198" xr:uid="{69797ED0-1A43-4FAE-9E82-4272F8974DF7}"/>
    <cellStyle name="Linked Cell 26 2 4 7 2 2" xfId="27199" xr:uid="{6B3FE220-5733-49BD-8191-573CB2414E40}"/>
    <cellStyle name="Linked Cell 26 2 4 7 3" xfId="27200" xr:uid="{A3733A7A-5813-4F72-BA7B-BF6C24BB2198}"/>
    <cellStyle name="Linked Cell 26 2 4 8" xfId="27201" xr:uid="{C20253B8-EDCD-4936-A5C5-594C86769070}"/>
    <cellStyle name="Linked Cell 26 2 4 8 2" xfId="27202" xr:uid="{0A5094DA-4FAF-4E2E-8556-2BFAFED0570F}"/>
    <cellStyle name="Linked Cell 26 2 4 8 2 2" xfId="27203" xr:uid="{0B3D1834-A22D-4C44-98DB-D81799922310}"/>
    <cellStyle name="Linked Cell 26 2 4 8 3" xfId="27204" xr:uid="{BB9B15F6-65C3-4209-BBDC-A4F29D5D2F9E}"/>
    <cellStyle name="Linked Cell 26 2 4 9" xfId="27205" xr:uid="{F5716CEE-4A5E-49C5-ADD5-189FA1F9CF6E}"/>
    <cellStyle name="Linked Cell 26 2 4 9 2" xfId="27206" xr:uid="{6D0477D0-38E5-42AB-B8F2-9BAB22DEE0A5}"/>
    <cellStyle name="Linked Cell 26 2 4 9 2 2" xfId="27207" xr:uid="{0958445C-8C9E-4812-ABE6-0BB2345F9B6E}"/>
    <cellStyle name="Linked Cell 26 2 4 9 3" xfId="27208" xr:uid="{CD6D9040-C0E0-490A-B356-46A83B675294}"/>
    <cellStyle name="Linked Cell 26 2 5" xfId="27209" xr:uid="{87BD4158-8370-4352-900F-6377417AC497}"/>
    <cellStyle name="Linked Cell 26 2 5 10" xfId="27210" xr:uid="{062782E7-5C7B-453F-AA44-43A85A68C630}"/>
    <cellStyle name="Linked Cell 26 2 5 10 2" xfId="27211" xr:uid="{F19A33E5-2E43-4B14-B533-EA7BD0CA276C}"/>
    <cellStyle name="Linked Cell 26 2 5 11" xfId="27212" xr:uid="{E5C0DA40-BA35-4D8D-8F14-AED94441FAFE}"/>
    <cellStyle name="Linked Cell 26 2 5 2" xfId="27213" xr:uid="{A6F027ED-7B00-4A99-B3F3-2BBED8BCB558}"/>
    <cellStyle name="Linked Cell 26 2 5 2 2" xfId="27214" xr:uid="{DA496117-F87B-431F-8645-4036C719A44A}"/>
    <cellStyle name="Linked Cell 26 2 5 2 2 2" xfId="27215" xr:uid="{6EA84E62-335F-47FE-839A-49E047BF7BB8}"/>
    <cellStyle name="Linked Cell 26 2 5 2 3" xfId="27216" xr:uid="{A5EF669D-3508-4149-8FA5-028C702418CA}"/>
    <cellStyle name="Linked Cell 26 2 5 3" xfId="27217" xr:uid="{59B31EC4-FE23-42A5-B488-566B94DDD479}"/>
    <cellStyle name="Linked Cell 26 2 5 3 2" xfId="27218" xr:uid="{C706A90E-1353-4C52-B780-BA39E36C836C}"/>
    <cellStyle name="Linked Cell 26 2 5 3 2 2" xfId="27219" xr:uid="{6998C344-F341-48B1-9AAC-C3CFFFFEDEC7}"/>
    <cellStyle name="Linked Cell 26 2 5 3 3" xfId="27220" xr:uid="{311E62B7-6BD0-4778-9F10-661F2C972625}"/>
    <cellStyle name="Linked Cell 26 2 5 4" xfId="27221" xr:uid="{0A29E6ED-2B6E-425B-B63A-5AF83EE9E0F0}"/>
    <cellStyle name="Linked Cell 26 2 5 4 2" xfId="27222" xr:uid="{1A374635-9CE5-4011-A719-51DD05C91B00}"/>
    <cellStyle name="Linked Cell 26 2 5 4 2 2" xfId="27223" xr:uid="{43134F83-0E98-45A2-BE91-206790FB0E5C}"/>
    <cellStyle name="Linked Cell 26 2 5 4 3" xfId="27224" xr:uid="{6B947951-DD53-4327-874E-CCA0BFE7F7F1}"/>
    <cellStyle name="Linked Cell 26 2 5 5" xfId="27225" xr:uid="{9C3F9478-89D4-4225-AEED-88A855DBE10E}"/>
    <cellStyle name="Linked Cell 26 2 5 5 2" xfId="27226" xr:uid="{6096F3B4-DA30-4A1D-B6C5-3745B8F1CF27}"/>
    <cellStyle name="Linked Cell 26 2 5 5 2 2" xfId="27227" xr:uid="{FE7A992F-9470-4485-A547-D3446F149D7C}"/>
    <cellStyle name="Linked Cell 26 2 5 5 3" xfId="27228" xr:uid="{ACB00591-A028-40A3-9B37-FF60560B62AB}"/>
    <cellStyle name="Linked Cell 26 2 5 6" xfId="27229" xr:uid="{A8A5A497-6ED6-4752-B6BB-4E450EC0D4F9}"/>
    <cellStyle name="Linked Cell 26 2 5 6 2" xfId="27230" xr:uid="{7D3D8DE8-2AF8-48CE-9569-F570F4B85A72}"/>
    <cellStyle name="Linked Cell 26 2 5 6 2 2" xfId="27231" xr:uid="{DFE5212C-271B-4A35-946E-8EAD0E9EFF70}"/>
    <cellStyle name="Linked Cell 26 2 5 6 3" xfId="27232" xr:uid="{14702545-35DD-441C-9AED-044067050584}"/>
    <cellStyle name="Linked Cell 26 2 5 7" xfId="27233" xr:uid="{1D0DEA84-5129-4A1D-9B25-CBCFC605BA2A}"/>
    <cellStyle name="Linked Cell 26 2 5 7 2" xfId="27234" xr:uid="{2E866F9C-B260-476C-B0E8-30497C69A851}"/>
    <cellStyle name="Linked Cell 26 2 5 7 2 2" xfId="27235" xr:uid="{F4819802-714A-40F3-AC2E-42FB8B57AFD0}"/>
    <cellStyle name="Linked Cell 26 2 5 7 3" xfId="27236" xr:uid="{02877770-F0D2-4234-8E85-972560C5773C}"/>
    <cellStyle name="Linked Cell 26 2 5 8" xfId="27237" xr:uid="{687A6177-2738-482F-8F02-5BFB28C0A766}"/>
    <cellStyle name="Linked Cell 26 2 5 8 2" xfId="27238" xr:uid="{ADC9E3AD-64E7-4997-96AB-49365858AC77}"/>
    <cellStyle name="Linked Cell 26 2 5 8 2 2" xfId="27239" xr:uid="{805665BD-A508-41DC-8081-0D433C079061}"/>
    <cellStyle name="Linked Cell 26 2 5 8 3" xfId="27240" xr:uid="{7A4418CC-B17E-4F8C-8D24-6EA0563CA0CE}"/>
    <cellStyle name="Linked Cell 26 2 5 9" xfId="27241" xr:uid="{507C3A35-9450-461E-9179-D0A9861C4674}"/>
    <cellStyle name="Linked Cell 26 2 5 9 2" xfId="27242" xr:uid="{9BED9804-F237-4899-BBD6-6C71EB355E71}"/>
    <cellStyle name="Linked Cell 26 2 5 9 2 2" xfId="27243" xr:uid="{E695C06E-A4C0-4108-ACFD-0A141DB20E1A}"/>
    <cellStyle name="Linked Cell 26 2 5 9 3" xfId="27244" xr:uid="{312EEAF2-C525-4357-B185-2CDD4BBD2AA3}"/>
    <cellStyle name="Linked Cell 26 2 6" xfId="27245" xr:uid="{8F7AA6BA-CB54-4B9F-BFE4-2D1F23E3A9A6}"/>
    <cellStyle name="Linked Cell 26 2 6 2" xfId="27246" xr:uid="{5B4C154A-1048-40DC-859C-EFB179F52F88}"/>
    <cellStyle name="Linked Cell 26 2 6 2 2" xfId="27247" xr:uid="{2E6783B3-7388-46B4-9E33-D7A6A30E8972}"/>
    <cellStyle name="Linked Cell 26 2 6 3" xfId="27248" xr:uid="{EFDBA8B8-5D7E-4F30-9154-971433DF6AC1}"/>
    <cellStyle name="Linked Cell 26 2 7" xfId="27249" xr:uid="{73BD5299-352F-4423-A0DE-321A70B00284}"/>
    <cellStyle name="Linked Cell 26 2 7 2" xfId="27250" xr:uid="{8FA3A843-0568-4953-BBAA-E80786CC73C9}"/>
    <cellStyle name="Linked Cell 26 2 7 2 2" xfId="27251" xr:uid="{1D8F2A65-F189-494A-88A0-60065CA00DAD}"/>
    <cellStyle name="Linked Cell 26 2 7 3" xfId="27252" xr:uid="{CEE5295D-9FA1-42F4-98B4-969372DAB317}"/>
    <cellStyle name="Linked Cell 26 2 8" xfId="27253" xr:uid="{E998256B-C4BB-40B4-B798-ED3EF22D156A}"/>
    <cellStyle name="Linked Cell 26 2 8 2" xfId="27254" xr:uid="{827CFA79-12AA-46B8-B929-5EDD7DC5A04C}"/>
    <cellStyle name="Linked Cell 26 2 8 2 2" xfId="27255" xr:uid="{CA922A9D-89CC-49D2-9383-6A41A1849BF0}"/>
    <cellStyle name="Linked Cell 26 2 8 3" xfId="27256" xr:uid="{544A2BD4-A915-47F8-A519-52D4CDC37878}"/>
    <cellStyle name="Linked Cell 26 2 9" xfId="27257" xr:uid="{656F276D-6958-4285-BE40-45FEC0FC8A86}"/>
    <cellStyle name="Linked Cell 26 2 9 2" xfId="27258" xr:uid="{2A05A4DB-A649-4EFE-A59D-DDC39D0BAEBF}"/>
    <cellStyle name="Linked Cell 26 2 9 2 2" xfId="27259" xr:uid="{4C15A034-30DC-468B-BA0B-212C87063550}"/>
    <cellStyle name="Linked Cell 26 2 9 3" xfId="27260" xr:uid="{A176162B-96D1-4101-B66F-54E00204E16C}"/>
    <cellStyle name="Linked Cell 26 3" xfId="27261" xr:uid="{D8F9C099-6174-4CE4-A0CE-F386D1DAD75B}"/>
    <cellStyle name="Linked Cell 26 3 10" xfId="27262" xr:uid="{5748F883-CB65-44A0-B84C-3AA697614A0E}"/>
    <cellStyle name="Linked Cell 26 3 10 2" xfId="27263" xr:uid="{A67D84B1-1011-4286-99CB-0FCCB5D3030E}"/>
    <cellStyle name="Linked Cell 26 3 10 2 2" xfId="27264" xr:uid="{C1B74AB4-3DD7-41E2-8555-1906AC0AD4E7}"/>
    <cellStyle name="Linked Cell 26 3 10 3" xfId="27265" xr:uid="{8F6AC9DF-B61A-4C33-B569-CD7BEF1DCD6B}"/>
    <cellStyle name="Linked Cell 26 3 11" xfId="27266" xr:uid="{A2A9EAB3-DFB1-4825-AE9B-4137C22C002E}"/>
    <cellStyle name="Linked Cell 26 3 11 2" xfId="27267" xr:uid="{74CDDEBC-CD6F-411A-9980-0D42E7A7130F}"/>
    <cellStyle name="Linked Cell 26 3 11 2 2" xfId="27268" xr:uid="{42504EB1-FA04-42C9-827E-55FAA2A40013}"/>
    <cellStyle name="Linked Cell 26 3 11 3" xfId="27269" xr:uid="{99A9FA8F-EF42-4FA8-B7E3-B869C969ED25}"/>
    <cellStyle name="Linked Cell 26 3 12" xfId="27270" xr:uid="{D91498AE-4A5B-4FAB-A393-5BE65F787E4B}"/>
    <cellStyle name="Linked Cell 26 3 12 2" xfId="27271" xr:uid="{81967EE5-4A8C-48DF-B99A-5DB23803649C}"/>
    <cellStyle name="Linked Cell 26 3 12 2 2" xfId="27272" xr:uid="{B2819BBE-7747-45A5-9CEA-053AB7DB8297}"/>
    <cellStyle name="Linked Cell 26 3 12 3" xfId="27273" xr:uid="{0A5FBD7A-D731-4749-AD66-015B775D88EA}"/>
    <cellStyle name="Linked Cell 26 3 13" xfId="27274" xr:uid="{DA891B90-03B3-4E53-B103-52CF47492230}"/>
    <cellStyle name="Linked Cell 26 3 13 2" xfId="27275" xr:uid="{B99896EC-CE52-4C79-B6CD-B646EAFC1F7F}"/>
    <cellStyle name="Linked Cell 26 3 14" xfId="27276" xr:uid="{A45BD30F-4885-4258-81BD-9C8E9384E0E8}"/>
    <cellStyle name="Linked Cell 26 3 2" xfId="27277" xr:uid="{47ED094F-09C5-4B66-A559-93BE2F612F6E}"/>
    <cellStyle name="Linked Cell 26 3 2 10" xfId="27278" xr:uid="{327AEF13-EF3D-4991-81D4-6300686C4429}"/>
    <cellStyle name="Linked Cell 26 3 2 10 2" xfId="27279" xr:uid="{677B6039-F9E9-4873-B595-EF04C72E696E}"/>
    <cellStyle name="Linked Cell 26 3 2 10 2 2" xfId="27280" xr:uid="{DE209AC9-877A-4D95-8279-B3BE21238D8D}"/>
    <cellStyle name="Linked Cell 26 3 2 10 3" xfId="27281" xr:uid="{982A7445-0C3E-4EE2-96FA-213ECB7D2D06}"/>
    <cellStyle name="Linked Cell 26 3 2 11" xfId="27282" xr:uid="{86A7315F-36DF-4E03-8331-D8C0326920CF}"/>
    <cellStyle name="Linked Cell 26 3 2 11 2" xfId="27283" xr:uid="{8FF1E6F3-904A-44C5-988E-D0419ED71609}"/>
    <cellStyle name="Linked Cell 26 3 2 11 2 2" xfId="27284" xr:uid="{AB29362C-729E-4868-ACD6-B5BD046B4C5B}"/>
    <cellStyle name="Linked Cell 26 3 2 11 3" xfId="27285" xr:uid="{BE5145D6-5C12-4943-B36A-27806E62E931}"/>
    <cellStyle name="Linked Cell 26 3 2 12" xfId="27286" xr:uid="{8F8B81A0-0EF6-4A9D-953F-4E376C502258}"/>
    <cellStyle name="Linked Cell 26 3 2 12 2" xfId="27287" xr:uid="{CA448E80-B941-49B1-AB50-DB3672106960}"/>
    <cellStyle name="Linked Cell 26 3 2 13" xfId="27288" xr:uid="{BD82AE04-1289-4F35-9A34-6B3720F063F7}"/>
    <cellStyle name="Linked Cell 26 3 2 2" xfId="27289" xr:uid="{999565A5-ADD2-46F9-9CB6-59379DA0655E}"/>
    <cellStyle name="Linked Cell 26 3 2 2 10" xfId="27290" xr:uid="{17AC39C8-2BA9-4871-BC07-B506F922EF70}"/>
    <cellStyle name="Linked Cell 26 3 2 2 10 2" xfId="27291" xr:uid="{FCD3EEFA-AD66-4708-BAB1-E9446B761F08}"/>
    <cellStyle name="Linked Cell 26 3 2 2 10 2 2" xfId="27292" xr:uid="{47A76B3B-32D2-4CBD-A3DD-3EF0A7B533D1}"/>
    <cellStyle name="Linked Cell 26 3 2 2 10 3" xfId="27293" xr:uid="{E045C674-7259-4694-920A-81C83983F225}"/>
    <cellStyle name="Linked Cell 26 3 2 2 11" xfId="27294" xr:uid="{CFBCEF2E-F7CC-451B-BF7A-1FC8D3109BFF}"/>
    <cellStyle name="Linked Cell 26 3 2 2 11 2" xfId="27295" xr:uid="{99E69155-BAFA-496C-8CAC-82BDF5140593}"/>
    <cellStyle name="Linked Cell 26 3 2 2 12" xfId="27296" xr:uid="{23AA3443-9F77-4AFE-8D15-C4E636F3FCAA}"/>
    <cellStyle name="Linked Cell 26 3 2 2 2" xfId="27297" xr:uid="{04653C18-AEF8-431C-9FA8-9C2D90319EA2}"/>
    <cellStyle name="Linked Cell 26 3 2 2 2 2" xfId="27298" xr:uid="{47AD04A8-FAF4-4138-95BC-19F64B8215DF}"/>
    <cellStyle name="Linked Cell 26 3 2 2 2 2 2" xfId="27299" xr:uid="{292F97BD-248E-4018-B8FD-894524D84E96}"/>
    <cellStyle name="Linked Cell 26 3 2 2 2 3" xfId="27300" xr:uid="{D19E7F01-1DB9-451E-8849-098D1A8292C5}"/>
    <cellStyle name="Linked Cell 26 3 2 2 3" xfId="27301" xr:uid="{FC75EEE1-31DC-48AB-B578-BE6DD7FEBD17}"/>
    <cellStyle name="Linked Cell 26 3 2 2 3 2" xfId="27302" xr:uid="{62D196DB-5808-4221-BAB9-E353FCD81E81}"/>
    <cellStyle name="Linked Cell 26 3 2 2 3 2 2" xfId="27303" xr:uid="{2875A609-DA9E-4DF8-BC14-0C84CFC726F1}"/>
    <cellStyle name="Linked Cell 26 3 2 2 3 3" xfId="27304" xr:uid="{F47734F2-4C36-4086-9E14-4B9B0A837247}"/>
    <cellStyle name="Linked Cell 26 3 2 2 4" xfId="27305" xr:uid="{958C7AB2-65E1-4FA7-871B-BF09F0A2F438}"/>
    <cellStyle name="Linked Cell 26 3 2 2 4 2" xfId="27306" xr:uid="{0F6E37A0-EE35-4D41-9911-5E98FF31714A}"/>
    <cellStyle name="Linked Cell 26 3 2 2 4 2 2" xfId="27307" xr:uid="{411045C5-A714-4422-A8AD-5ECC78E619C2}"/>
    <cellStyle name="Linked Cell 26 3 2 2 4 3" xfId="27308" xr:uid="{21C6A08C-4EB8-4AAD-A4DB-76706563A729}"/>
    <cellStyle name="Linked Cell 26 3 2 2 5" xfId="27309" xr:uid="{86C5318F-5E6C-4326-9E35-394D30986401}"/>
    <cellStyle name="Linked Cell 26 3 2 2 5 2" xfId="27310" xr:uid="{B01C2444-C654-4746-BEF2-16776B0B9B7B}"/>
    <cellStyle name="Linked Cell 26 3 2 2 5 2 2" xfId="27311" xr:uid="{F83F9C36-044B-4CE4-AF4B-CACA2FAABF41}"/>
    <cellStyle name="Linked Cell 26 3 2 2 5 3" xfId="27312" xr:uid="{ED05E5DB-A0F2-4195-8063-94FC6FA8D32C}"/>
    <cellStyle name="Linked Cell 26 3 2 2 6" xfId="27313" xr:uid="{BC11135E-AA59-4337-81BC-640CC71B5A01}"/>
    <cellStyle name="Linked Cell 26 3 2 2 6 2" xfId="27314" xr:uid="{AE3B4F55-9266-4FA9-A4E9-7F232DE0E89B}"/>
    <cellStyle name="Linked Cell 26 3 2 2 6 2 2" xfId="27315" xr:uid="{73D6C7CF-AACF-44C5-8135-07712DD55385}"/>
    <cellStyle name="Linked Cell 26 3 2 2 6 3" xfId="27316" xr:uid="{2B9805C6-8848-4D72-9682-D8D459327659}"/>
    <cellStyle name="Linked Cell 26 3 2 2 7" xfId="27317" xr:uid="{86A16EE3-E8AB-43EF-A8B2-C3B7C9DB57D4}"/>
    <cellStyle name="Linked Cell 26 3 2 2 7 2" xfId="27318" xr:uid="{50951488-033D-4663-8E14-32C3C76B6974}"/>
    <cellStyle name="Linked Cell 26 3 2 2 7 2 2" xfId="27319" xr:uid="{E16DFF7D-4E40-454A-BF82-2371A97F9962}"/>
    <cellStyle name="Linked Cell 26 3 2 2 7 3" xfId="27320" xr:uid="{B09E387E-7531-452E-AEA9-4E9D778C6A3B}"/>
    <cellStyle name="Linked Cell 26 3 2 2 8" xfId="27321" xr:uid="{36D866B5-9A4F-42EC-869A-464B6CFCA954}"/>
    <cellStyle name="Linked Cell 26 3 2 2 8 2" xfId="27322" xr:uid="{9065D7D4-A08F-4BE7-BE13-A970A360C873}"/>
    <cellStyle name="Linked Cell 26 3 2 2 8 2 2" xfId="27323" xr:uid="{00EA39FE-96D1-4D98-ADDC-42C5D3506D1F}"/>
    <cellStyle name="Linked Cell 26 3 2 2 8 3" xfId="27324" xr:uid="{3A619372-A216-46BD-A1E5-3E649D7F7E28}"/>
    <cellStyle name="Linked Cell 26 3 2 2 9" xfId="27325" xr:uid="{5C543524-A4B9-4DCF-A41E-E625227F224E}"/>
    <cellStyle name="Linked Cell 26 3 2 2 9 2" xfId="27326" xr:uid="{BE97705E-41FD-4B46-80DF-30D20D513607}"/>
    <cellStyle name="Linked Cell 26 3 2 2 9 2 2" xfId="27327" xr:uid="{6EE80A84-F0E9-4520-92B5-C646BD2C5358}"/>
    <cellStyle name="Linked Cell 26 3 2 2 9 3" xfId="27328" xr:uid="{C62136DC-7E4E-4334-85CB-E097C7137817}"/>
    <cellStyle name="Linked Cell 26 3 2 3" xfId="27329" xr:uid="{582E4268-51F6-47AE-822D-61F041C78D1F}"/>
    <cellStyle name="Linked Cell 26 3 2 3 10" xfId="27330" xr:uid="{98D3C871-59B4-41A4-BFFD-D2ECA6487366}"/>
    <cellStyle name="Linked Cell 26 3 2 3 10 2" xfId="27331" xr:uid="{CB7B6E45-D71E-43D1-AE5C-AB91A4BDDA77}"/>
    <cellStyle name="Linked Cell 26 3 2 3 11" xfId="27332" xr:uid="{6B34CF36-272F-4846-97B8-81E265A77344}"/>
    <cellStyle name="Linked Cell 26 3 2 3 2" xfId="27333" xr:uid="{B1909FF4-C13B-4068-9E55-F622C28147F0}"/>
    <cellStyle name="Linked Cell 26 3 2 3 2 2" xfId="27334" xr:uid="{FB9E6D89-16E1-4ABA-BEC8-F05EF711FD25}"/>
    <cellStyle name="Linked Cell 26 3 2 3 2 2 2" xfId="27335" xr:uid="{7B0A009F-F175-4FC8-A6DF-8903A0E8688D}"/>
    <cellStyle name="Linked Cell 26 3 2 3 2 3" xfId="27336" xr:uid="{D26C832E-6B8A-4BAB-8CCD-8D57D648B74D}"/>
    <cellStyle name="Linked Cell 26 3 2 3 3" xfId="27337" xr:uid="{053B218E-92B5-45E2-8958-83414EFCA2B6}"/>
    <cellStyle name="Linked Cell 26 3 2 3 3 2" xfId="27338" xr:uid="{3D68C715-C49B-4534-85A0-6AF12535721B}"/>
    <cellStyle name="Linked Cell 26 3 2 3 3 2 2" xfId="27339" xr:uid="{FD6B4897-C052-4563-97B6-8F1E038C33F5}"/>
    <cellStyle name="Linked Cell 26 3 2 3 3 3" xfId="27340" xr:uid="{9DEC6072-1334-4685-88ED-B39C8B1A283E}"/>
    <cellStyle name="Linked Cell 26 3 2 3 4" xfId="27341" xr:uid="{BB392736-2F19-41BD-8D5B-DC42D214DF87}"/>
    <cellStyle name="Linked Cell 26 3 2 3 4 2" xfId="27342" xr:uid="{AA502FE3-C258-462B-BAC7-5FA5B63A01B0}"/>
    <cellStyle name="Linked Cell 26 3 2 3 4 2 2" xfId="27343" xr:uid="{10B158C6-76D3-4BB2-A5A2-3D16DDBE99BE}"/>
    <cellStyle name="Linked Cell 26 3 2 3 4 3" xfId="27344" xr:uid="{181C43BE-AE4C-423E-8CE8-BF57E79A32E7}"/>
    <cellStyle name="Linked Cell 26 3 2 3 5" xfId="27345" xr:uid="{CEDD5EFE-2830-4137-AEF5-315C9049DADA}"/>
    <cellStyle name="Linked Cell 26 3 2 3 5 2" xfId="27346" xr:uid="{D2B89758-AA1E-40BE-869E-FEEDF106FE05}"/>
    <cellStyle name="Linked Cell 26 3 2 3 5 2 2" xfId="27347" xr:uid="{F9FE00C0-A5C7-43CF-B8FF-05AD7F97DD69}"/>
    <cellStyle name="Linked Cell 26 3 2 3 5 3" xfId="27348" xr:uid="{11235B07-7119-4A9F-A6A8-FA74FFF35601}"/>
    <cellStyle name="Linked Cell 26 3 2 3 6" xfId="27349" xr:uid="{2C6F7640-E6FE-45C7-AB15-90D1B5986EE9}"/>
    <cellStyle name="Linked Cell 26 3 2 3 6 2" xfId="27350" xr:uid="{C96E31E8-E174-4382-8DD2-18EDCA869CC1}"/>
    <cellStyle name="Linked Cell 26 3 2 3 6 2 2" xfId="27351" xr:uid="{3B91C01E-2723-46F5-966A-D60A71746B5F}"/>
    <cellStyle name="Linked Cell 26 3 2 3 6 3" xfId="27352" xr:uid="{47991965-3E0C-4D47-825C-3BBA51810B98}"/>
    <cellStyle name="Linked Cell 26 3 2 3 7" xfId="27353" xr:uid="{7AD708DB-110D-418E-8FA5-5C97364639F5}"/>
    <cellStyle name="Linked Cell 26 3 2 3 7 2" xfId="27354" xr:uid="{912DBA8A-FBB4-4B5A-9343-BED8E39A4B00}"/>
    <cellStyle name="Linked Cell 26 3 2 3 7 2 2" xfId="27355" xr:uid="{5DA87CFA-34D7-4FFD-B26C-874BE0FC0F47}"/>
    <cellStyle name="Linked Cell 26 3 2 3 7 3" xfId="27356" xr:uid="{3E65C6BE-EAAA-44E0-811A-6522B9E49A42}"/>
    <cellStyle name="Linked Cell 26 3 2 3 8" xfId="27357" xr:uid="{759824EA-E07F-493C-9726-50C350871B4A}"/>
    <cellStyle name="Linked Cell 26 3 2 3 8 2" xfId="27358" xr:uid="{5F9BC12C-86D8-4887-B262-A05669603127}"/>
    <cellStyle name="Linked Cell 26 3 2 3 8 2 2" xfId="27359" xr:uid="{BF02313F-8896-479E-89B3-0A3EF0CA0F44}"/>
    <cellStyle name="Linked Cell 26 3 2 3 8 3" xfId="27360" xr:uid="{42F566AB-24F0-4128-A4BA-9C440BBF7339}"/>
    <cellStyle name="Linked Cell 26 3 2 3 9" xfId="27361" xr:uid="{ECF4EF83-A4F4-497E-96CC-C0C0F63EFBE7}"/>
    <cellStyle name="Linked Cell 26 3 2 3 9 2" xfId="27362" xr:uid="{D12DEF2B-79C8-4E80-AA29-17A8356DD97E}"/>
    <cellStyle name="Linked Cell 26 3 2 3 9 2 2" xfId="27363" xr:uid="{E3BC4C58-CB20-49AE-BCD1-CF823E41D04C}"/>
    <cellStyle name="Linked Cell 26 3 2 3 9 3" xfId="27364" xr:uid="{6C1E2FB9-1532-4BFC-B199-D9762328E578}"/>
    <cellStyle name="Linked Cell 26 3 2 4" xfId="27365" xr:uid="{1A4EBDD9-4D75-46CA-BF7D-02EE03BA6E5A}"/>
    <cellStyle name="Linked Cell 26 3 2 4 2" xfId="27366" xr:uid="{F1E79CD5-7F6E-485B-B57C-135BCA898564}"/>
    <cellStyle name="Linked Cell 26 3 2 4 2 2" xfId="27367" xr:uid="{501C896E-9E45-4FFD-AD46-5AEEDAA11F4F}"/>
    <cellStyle name="Linked Cell 26 3 2 4 3" xfId="27368" xr:uid="{3485D320-C33B-4C0E-B88B-DA5347FB0F89}"/>
    <cellStyle name="Linked Cell 26 3 2 5" xfId="27369" xr:uid="{F1632C37-57A1-4E15-89E5-A1BAEB913B39}"/>
    <cellStyle name="Linked Cell 26 3 2 5 2" xfId="27370" xr:uid="{04D8750D-30D5-45A2-8E60-D5FB9E6FE865}"/>
    <cellStyle name="Linked Cell 26 3 2 5 2 2" xfId="27371" xr:uid="{A4A5801D-0492-4969-9F17-B3C1369E0C97}"/>
    <cellStyle name="Linked Cell 26 3 2 5 3" xfId="27372" xr:uid="{0A36057F-03B1-4148-A588-8A6167C9FA28}"/>
    <cellStyle name="Linked Cell 26 3 2 6" xfId="27373" xr:uid="{79B25F24-796D-45DC-A2A2-60D03FC7E518}"/>
    <cellStyle name="Linked Cell 26 3 2 6 2" xfId="27374" xr:uid="{36AD78A3-783E-4DC8-B7F8-BC83EB5A3186}"/>
    <cellStyle name="Linked Cell 26 3 2 6 2 2" xfId="27375" xr:uid="{DD609D3A-4BA5-4947-87FB-9F4CF31EACC0}"/>
    <cellStyle name="Linked Cell 26 3 2 6 3" xfId="27376" xr:uid="{49968BD8-EFBD-4CF3-95DB-13CD28AB7D60}"/>
    <cellStyle name="Linked Cell 26 3 2 7" xfId="27377" xr:uid="{4CDF00AE-E89C-4CCC-B442-5E1FFC01381C}"/>
    <cellStyle name="Linked Cell 26 3 2 7 2" xfId="27378" xr:uid="{7864741A-61E4-4BCE-BFCF-154F9D599B88}"/>
    <cellStyle name="Linked Cell 26 3 2 7 2 2" xfId="27379" xr:uid="{5735D643-EA37-4C92-8C67-DBA72EE57C56}"/>
    <cellStyle name="Linked Cell 26 3 2 7 3" xfId="27380" xr:uid="{45BE69EC-6084-4B12-85B4-5B1DCD49569F}"/>
    <cellStyle name="Linked Cell 26 3 2 8" xfId="27381" xr:uid="{119EA755-3381-4396-B89C-B2ABB789AE4A}"/>
    <cellStyle name="Linked Cell 26 3 2 8 2" xfId="27382" xr:uid="{69DF9E39-32E9-40D7-98B8-0717B96CAAC3}"/>
    <cellStyle name="Linked Cell 26 3 2 8 2 2" xfId="27383" xr:uid="{30F73A5A-E085-492D-AB39-C17180AE4D07}"/>
    <cellStyle name="Linked Cell 26 3 2 8 3" xfId="27384" xr:uid="{6308BAC5-38DA-4C26-A988-CC408804DD1E}"/>
    <cellStyle name="Linked Cell 26 3 2 9" xfId="27385" xr:uid="{0CCAAA73-38A7-4D7A-8E5A-54DE50AAF165}"/>
    <cellStyle name="Linked Cell 26 3 2 9 2" xfId="27386" xr:uid="{9DEDA783-40EB-4C0B-99EE-544CB007F45F}"/>
    <cellStyle name="Linked Cell 26 3 2 9 2 2" xfId="27387" xr:uid="{B65A8773-9B2B-4731-9BC7-5F42096139E9}"/>
    <cellStyle name="Linked Cell 26 3 2 9 3" xfId="27388" xr:uid="{E9A316EE-5FA5-4499-A7E6-9A5051533BFA}"/>
    <cellStyle name="Linked Cell 26 3 3" xfId="27389" xr:uid="{26594446-24E3-48E2-8142-6F1846B92C2A}"/>
    <cellStyle name="Linked Cell 26 3 3 10" xfId="27390" xr:uid="{1666674D-9BB3-478F-8A65-09224CBC9E76}"/>
    <cellStyle name="Linked Cell 26 3 3 10 2" xfId="27391" xr:uid="{6A7768A8-2802-4EC8-B8D9-45556D13A55F}"/>
    <cellStyle name="Linked Cell 26 3 3 10 2 2" xfId="27392" xr:uid="{39096847-7A28-4566-B502-52BD5F0FB5E0}"/>
    <cellStyle name="Linked Cell 26 3 3 10 3" xfId="27393" xr:uid="{E5F1723D-F0F6-4AF4-8EA9-800A55BC4019}"/>
    <cellStyle name="Linked Cell 26 3 3 11" xfId="27394" xr:uid="{85F3B228-AC7A-44A9-A5B0-8CD478018389}"/>
    <cellStyle name="Linked Cell 26 3 3 11 2" xfId="27395" xr:uid="{7B3EE226-F245-4E7E-8DAB-18BE27CFCFE4}"/>
    <cellStyle name="Linked Cell 26 3 3 12" xfId="27396" xr:uid="{168D23E9-9C10-4288-9D8A-A2A12F03151D}"/>
    <cellStyle name="Linked Cell 26 3 3 2" xfId="27397" xr:uid="{F16A2766-FDDB-474E-B81A-1B1F49857FB2}"/>
    <cellStyle name="Linked Cell 26 3 3 2 10" xfId="27398" xr:uid="{49497F29-1FA2-4669-9940-B84782A0A502}"/>
    <cellStyle name="Linked Cell 26 3 3 2 10 2" xfId="27399" xr:uid="{763BE5B6-F4B1-4C22-90FA-37DD19CF46D5}"/>
    <cellStyle name="Linked Cell 26 3 3 2 11" xfId="27400" xr:uid="{0EF1B4B0-174C-482B-8439-D4F9019D7154}"/>
    <cellStyle name="Linked Cell 26 3 3 2 2" xfId="27401" xr:uid="{12B5E726-4757-480D-A014-1B321BBB93D9}"/>
    <cellStyle name="Linked Cell 26 3 3 2 2 2" xfId="27402" xr:uid="{44F8A0EF-4C02-475F-AB81-ABF7D15D0EB4}"/>
    <cellStyle name="Linked Cell 26 3 3 2 2 2 2" xfId="27403" xr:uid="{91EC2EA3-F858-4DD4-BA57-98E786D89294}"/>
    <cellStyle name="Linked Cell 26 3 3 2 2 3" xfId="27404" xr:uid="{381B335E-901A-4008-89C3-C4A8BF3AB0BD}"/>
    <cellStyle name="Linked Cell 26 3 3 2 3" xfId="27405" xr:uid="{F50EE148-D99D-43E5-B391-264BF341280A}"/>
    <cellStyle name="Linked Cell 26 3 3 2 3 2" xfId="27406" xr:uid="{48C51C7B-ABD3-4D2C-8508-B8DC80A64BDA}"/>
    <cellStyle name="Linked Cell 26 3 3 2 3 2 2" xfId="27407" xr:uid="{51413C32-6D23-4E08-B7BB-4909976A1714}"/>
    <cellStyle name="Linked Cell 26 3 3 2 3 3" xfId="27408" xr:uid="{56219B9A-B806-48CB-A3F9-F29B7BB5B94B}"/>
    <cellStyle name="Linked Cell 26 3 3 2 4" xfId="27409" xr:uid="{15DDB06E-5F5E-41E5-BD70-73BB928B7DC6}"/>
    <cellStyle name="Linked Cell 26 3 3 2 4 2" xfId="27410" xr:uid="{C132A146-3728-40E3-9BC2-6CBB12D2FC6C}"/>
    <cellStyle name="Linked Cell 26 3 3 2 4 2 2" xfId="27411" xr:uid="{1C0553E9-276D-46BC-B654-C027DB0DEDF5}"/>
    <cellStyle name="Linked Cell 26 3 3 2 4 3" xfId="27412" xr:uid="{7F2FE0C7-82A7-4571-B45C-462A511631D9}"/>
    <cellStyle name="Linked Cell 26 3 3 2 5" xfId="27413" xr:uid="{4FD1569F-9D00-476F-B0EE-C500A614F70D}"/>
    <cellStyle name="Linked Cell 26 3 3 2 5 2" xfId="27414" xr:uid="{735C5296-5AD1-444D-890F-B782E05C800A}"/>
    <cellStyle name="Linked Cell 26 3 3 2 5 2 2" xfId="27415" xr:uid="{A145DBA8-FD3A-4D41-867C-C184C1965721}"/>
    <cellStyle name="Linked Cell 26 3 3 2 5 3" xfId="27416" xr:uid="{B3088633-8E91-47E7-BE87-2439FC81A718}"/>
    <cellStyle name="Linked Cell 26 3 3 2 6" xfId="27417" xr:uid="{DA679333-16B4-4514-BD67-D90F435DC514}"/>
    <cellStyle name="Linked Cell 26 3 3 2 6 2" xfId="27418" xr:uid="{A136D72F-83F4-478F-ACFE-2ACC94551B39}"/>
    <cellStyle name="Linked Cell 26 3 3 2 6 2 2" xfId="27419" xr:uid="{69D02A97-3E10-4FA5-BEC3-FF5A2EC105FA}"/>
    <cellStyle name="Linked Cell 26 3 3 2 6 3" xfId="27420" xr:uid="{F28AA40C-CEA8-4CD0-94C8-F2BFFF306A1A}"/>
    <cellStyle name="Linked Cell 26 3 3 2 7" xfId="27421" xr:uid="{0C2FE361-2D12-4ACA-ADD4-FFB2D6041CF2}"/>
    <cellStyle name="Linked Cell 26 3 3 2 7 2" xfId="27422" xr:uid="{E7B097CC-2F57-47A9-96EA-44237DE14F81}"/>
    <cellStyle name="Linked Cell 26 3 3 2 7 2 2" xfId="27423" xr:uid="{1AE2E86D-3D37-4B27-9614-5561E54F4A59}"/>
    <cellStyle name="Linked Cell 26 3 3 2 7 3" xfId="27424" xr:uid="{2EE2CC7A-7564-4655-A9C1-80F255F80629}"/>
    <cellStyle name="Linked Cell 26 3 3 2 8" xfId="27425" xr:uid="{0A6E75E6-0105-44F1-95C5-6A633AC5C0A1}"/>
    <cellStyle name="Linked Cell 26 3 3 2 8 2" xfId="27426" xr:uid="{6C6D4B3D-9EF1-497C-84E2-854356736B21}"/>
    <cellStyle name="Linked Cell 26 3 3 2 8 2 2" xfId="27427" xr:uid="{45AE64CE-3321-4493-A043-A0C4C199B767}"/>
    <cellStyle name="Linked Cell 26 3 3 2 8 3" xfId="27428" xr:uid="{5F665779-A988-4938-A062-41C03C83CCD5}"/>
    <cellStyle name="Linked Cell 26 3 3 2 9" xfId="27429" xr:uid="{FD6F6F28-C780-495B-B518-AAC08B35A3AA}"/>
    <cellStyle name="Linked Cell 26 3 3 2 9 2" xfId="27430" xr:uid="{86845FBB-B967-4BD0-BBF3-80E8B4551D11}"/>
    <cellStyle name="Linked Cell 26 3 3 2 9 2 2" xfId="27431" xr:uid="{EE6928B9-4681-4E97-A568-CDB8A63E30C2}"/>
    <cellStyle name="Linked Cell 26 3 3 2 9 3" xfId="27432" xr:uid="{9FCC08E7-238B-43DE-A93D-0CBB798034B4}"/>
    <cellStyle name="Linked Cell 26 3 3 3" xfId="27433" xr:uid="{0D13F30C-279A-417E-91E0-C74294378F70}"/>
    <cellStyle name="Linked Cell 26 3 3 3 2" xfId="27434" xr:uid="{322F34DC-3F14-4E67-9663-4A4008E23825}"/>
    <cellStyle name="Linked Cell 26 3 3 3 2 2" xfId="27435" xr:uid="{A9009E52-FD93-4D1B-9CA2-E531879C1F57}"/>
    <cellStyle name="Linked Cell 26 3 3 3 3" xfId="27436" xr:uid="{E606EB3A-3C3F-44E2-8D73-B2326E6ACCDA}"/>
    <cellStyle name="Linked Cell 26 3 3 4" xfId="27437" xr:uid="{4E6D2D70-CF8D-4877-B1E4-9F5DCCDC5D4B}"/>
    <cellStyle name="Linked Cell 26 3 3 4 2" xfId="27438" xr:uid="{B3CD2CD0-9094-4D16-B777-F86148BA5A18}"/>
    <cellStyle name="Linked Cell 26 3 3 4 2 2" xfId="27439" xr:uid="{921BCEEA-967D-42C3-8548-7C455A1721EC}"/>
    <cellStyle name="Linked Cell 26 3 3 4 3" xfId="27440" xr:uid="{327D3DB6-73A5-4F32-83AF-EF8A7B414A72}"/>
    <cellStyle name="Linked Cell 26 3 3 5" xfId="27441" xr:uid="{629628D8-DB92-4FB0-819A-7E3CF5FE450D}"/>
    <cellStyle name="Linked Cell 26 3 3 5 2" xfId="27442" xr:uid="{9E73B409-61ED-4BCA-81EF-24E365832C6F}"/>
    <cellStyle name="Linked Cell 26 3 3 5 2 2" xfId="27443" xr:uid="{0ADE1F72-2078-419E-8EBE-25E36C85AEC7}"/>
    <cellStyle name="Linked Cell 26 3 3 5 3" xfId="27444" xr:uid="{F635D0D7-9A6B-4626-B636-062A68896BD3}"/>
    <cellStyle name="Linked Cell 26 3 3 6" xfId="27445" xr:uid="{EE30DFF4-8084-4788-B342-6BDB79F2694A}"/>
    <cellStyle name="Linked Cell 26 3 3 6 2" xfId="27446" xr:uid="{3BB081BB-7891-4A9D-B0B0-7391AA5DFDF7}"/>
    <cellStyle name="Linked Cell 26 3 3 6 2 2" xfId="27447" xr:uid="{FC3A3102-DC90-4C58-8898-881A4D1188BF}"/>
    <cellStyle name="Linked Cell 26 3 3 6 3" xfId="27448" xr:uid="{2DA6FC33-542A-4E69-8E16-94DB6EEBA991}"/>
    <cellStyle name="Linked Cell 26 3 3 7" xfId="27449" xr:uid="{6FEC2E4D-B7B5-4A49-A6DC-631AC4C4BA14}"/>
    <cellStyle name="Linked Cell 26 3 3 7 2" xfId="27450" xr:uid="{154197D9-D2AE-4E85-8AC1-F0ABDE5C5F71}"/>
    <cellStyle name="Linked Cell 26 3 3 7 2 2" xfId="27451" xr:uid="{DB80A953-3A0E-43E5-94F8-2E8121D880CD}"/>
    <cellStyle name="Linked Cell 26 3 3 7 3" xfId="27452" xr:uid="{DC209034-90A9-443D-9533-01D3527E6B56}"/>
    <cellStyle name="Linked Cell 26 3 3 8" xfId="27453" xr:uid="{EBBC7E8A-8251-43BD-A824-C456577DD81B}"/>
    <cellStyle name="Linked Cell 26 3 3 8 2" xfId="27454" xr:uid="{53AD8DD0-807E-4546-81D7-4AD0FD5144F4}"/>
    <cellStyle name="Linked Cell 26 3 3 8 2 2" xfId="27455" xr:uid="{A3A82B39-5344-4140-BAA4-B2F6230C9F83}"/>
    <cellStyle name="Linked Cell 26 3 3 8 3" xfId="27456" xr:uid="{0F368776-E9EC-4BD3-8297-68F4975966BF}"/>
    <cellStyle name="Linked Cell 26 3 3 9" xfId="27457" xr:uid="{28727091-FD00-43D3-B53F-84B3D3103203}"/>
    <cellStyle name="Linked Cell 26 3 3 9 2" xfId="27458" xr:uid="{49605266-C5C6-4B33-A9F8-E83D755A396B}"/>
    <cellStyle name="Linked Cell 26 3 3 9 2 2" xfId="27459" xr:uid="{38586BF3-1F3D-4182-9D97-965BE839FB5B}"/>
    <cellStyle name="Linked Cell 26 3 3 9 3" xfId="27460" xr:uid="{65166286-382B-4E99-BDE9-4AD0603EDCE3}"/>
    <cellStyle name="Linked Cell 26 3 4" xfId="27461" xr:uid="{A866FD0C-EE85-44DE-9FB8-701D79A2EA36}"/>
    <cellStyle name="Linked Cell 26 3 4 10" xfId="27462" xr:uid="{15BE3EB7-7317-4CDE-AA6A-2ECB41133F7E}"/>
    <cellStyle name="Linked Cell 26 3 4 10 2" xfId="27463" xr:uid="{B9960546-BA16-4124-B96E-C76EFF2E99D2}"/>
    <cellStyle name="Linked Cell 26 3 4 11" xfId="27464" xr:uid="{F7109A2E-C009-4852-B04F-3E977C13B428}"/>
    <cellStyle name="Linked Cell 26 3 4 2" xfId="27465" xr:uid="{73A41B97-CA8A-4E1F-A564-52CBE9B61145}"/>
    <cellStyle name="Linked Cell 26 3 4 2 2" xfId="27466" xr:uid="{2DDCF1E1-9ED7-4BDF-9BFE-DA64A4A12CBD}"/>
    <cellStyle name="Linked Cell 26 3 4 2 2 2" xfId="27467" xr:uid="{9842092A-0FF2-4FD5-B29D-4FBAD3B8015D}"/>
    <cellStyle name="Linked Cell 26 3 4 2 3" xfId="27468" xr:uid="{85E9D5C9-9638-40CD-89E2-7DC2E2730BB8}"/>
    <cellStyle name="Linked Cell 26 3 4 3" xfId="27469" xr:uid="{EC1BF73F-490C-4BCF-B097-3BEDFFDC2B5F}"/>
    <cellStyle name="Linked Cell 26 3 4 3 2" xfId="27470" xr:uid="{EA29C7C9-7B04-4FAE-9893-FF3E88CC4353}"/>
    <cellStyle name="Linked Cell 26 3 4 3 2 2" xfId="27471" xr:uid="{181CD7E4-2C2D-44C0-9231-8DBF0320EA5D}"/>
    <cellStyle name="Linked Cell 26 3 4 3 3" xfId="27472" xr:uid="{C246CCA9-8B6F-4D17-9C95-EA98D829AB6F}"/>
    <cellStyle name="Linked Cell 26 3 4 4" xfId="27473" xr:uid="{BBAB4FDE-1CDF-4399-BBB8-EE66435DAFC7}"/>
    <cellStyle name="Linked Cell 26 3 4 4 2" xfId="27474" xr:uid="{981E470F-973C-48E8-9738-A8AC2E149858}"/>
    <cellStyle name="Linked Cell 26 3 4 4 2 2" xfId="27475" xr:uid="{386DF03D-632B-43BA-9BF3-5B86E011E969}"/>
    <cellStyle name="Linked Cell 26 3 4 4 3" xfId="27476" xr:uid="{006A4FD9-6467-4E10-8BF7-3A0BC591C057}"/>
    <cellStyle name="Linked Cell 26 3 4 5" xfId="27477" xr:uid="{4B06A663-0988-4D97-86B6-1F85BB01A3FF}"/>
    <cellStyle name="Linked Cell 26 3 4 5 2" xfId="27478" xr:uid="{7657547A-AD3B-448B-8C63-D99820207341}"/>
    <cellStyle name="Linked Cell 26 3 4 5 2 2" xfId="27479" xr:uid="{B41004E4-3163-4AFC-867F-C1CE6C9F4CFA}"/>
    <cellStyle name="Linked Cell 26 3 4 5 3" xfId="27480" xr:uid="{20A675BF-FEFB-4BFC-BD50-F7F1960E5BE9}"/>
    <cellStyle name="Linked Cell 26 3 4 6" xfId="27481" xr:uid="{8E200B46-5C4D-4FCB-B47C-E9B469D9D3EC}"/>
    <cellStyle name="Linked Cell 26 3 4 6 2" xfId="27482" xr:uid="{D886FC00-54D9-47D8-A9BA-3B5492B80196}"/>
    <cellStyle name="Linked Cell 26 3 4 6 2 2" xfId="27483" xr:uid="{6D547396-45A6-4029-BD92-36A2D873EFE7}"/>
    <cellStyle name="Linked Cell 26 3 4 6 3" xfId="27484" xr:uid="{ED64F6F0-8E33-47A7-BD38-7692D2D0F6CC}"/>
    <cellStyle name="Linked Cell 26 3 4 7" xfId="27485" xr:uid="{B3CB4E19-1DC4-4F49-BE36-BCDE9E32A204}"/>
    <cellStyle name="Linked Cell 26 3 4 7 2" xfId="27486" xr:uid="{25AA393B-BB97-46B8-9047-97C93163D97B}"/>
    <cellStyle name="Linked Cell 26 3 4 7 2 2" xfId="27487" xr:uid="{F37AA01C-6FC5-42B9-86A7-91D1AF7D4E53}"/>
    <cellStyle name="Linked Cell 26 3 4 7 3" xfId="27488" xr:uid="{98C1B2FE-3F5F-4879-A710-718BFDC2F14D}"/>
    <cellStyle name="Linked Cell 26 3 4 8" xfId="27489" xr:uid="{AE09615B-ACAA-4977-AE27-0414C2948384}"/>
    <cellStyle name="Linked Cell 26 3 4 8 2" xfId="27490" xr:uid="{A70D6386-33F1-449A-90C5-F53DCA0432DE}"/>
    <cellStyle name="Linked Cell 26 3 4 8 2 2" xfId="27491" xr:uid="{A485C8F3-370B-4C43-8250-6E97166DB83A}"/>
    <cellStyle name="Linked Cell 26 3 4 8 3" xfId="27492" xr:uid="{4A51ABF6-84FB-463C-87F9-B3562F471855}"/>
    <cellStyle name="Linked Cell 26 3 4 9" xfId="27493" xr:uid="{7AD66C1E-4BDA-46C6-9857-676DD0B36E85}"/>
    <cellStyle name="Linked Cell 26 3 4 9 2" xfId="27494" xr:uid="{2948A656-0DED-4403-B26A-E11FBDA9619E}"/>
    <cellStyle name="Linked Cell 26 3 4 9 2 2" xfId="27495" xr:uid="{A4A61AA6-0805-47AC-BD98-2EF88FF65455}"/>
    <cellStyle name="Linked Cell 26 3 4 9 3" xfId="27496" xr:uid="{A6FFE7CF-8C66-4967-99A4-E8E28733A275}"/>
    <cellStyle name="Linked Cell 26 3 5" xfId="27497" xr:uid="{6BC6200D-4FB3-4847-BA86-252668C11CE6}"/>
    <cellStyle name="Linked Cell 26 3 5 2" xfId="27498" xr:uid="{C7F2B79F-5BAC-4853-A461-91038D2430F7}"/>
    <cellStyle name="Linked Cell 26 3 5 2 2" xfId="27499" xr:uid="{D746199B-B2AA-4EB2-8874-091B28A94955}"/>
    <cellStyle name="Linked Cell 26 3 5 3" xfId="27500" xr:uid="{1712EA0E-4B68-4D8D-A7DB-F4F841571D7B}"/>
    <cellStyle name="Linked Cell 26 3 6" xfId="27501" xr:uid="{EA1E2E16-56C4-4382-A7F9-15FE25988816}"/>
    <cellStyle name="Linked Cell 26 3 6 2" xfId="27502" xr:uid="{802650DF-E892-48B6-8EB2-91CB4DADECE7}"/>
    <cellStyle name="Linked Cell 26 3 6 2 2" xfId="27503" xr:uid="{5DB3B859-070E-420D-ACDC-A3BEDA1D2973}"/>
    <cellStyle name="Linked Cell 26 3 6 3" xfId="27504" xr:uid="{F0DB9471-5296-408E-8864-82A11903B83E}"/>
    <cellStyle name="Linked Cell 26 3 7" xfId="27505" xr:uid="{8DBD2779-6EAE-435C-B296-04A0A966EA27}"/>
    <cellStyle name="Linked Cell 26 3 7 2" xfId="27506" xr:uid="{2DDEF396-6FE8-4025-B430-19245CA403F7}"/>
    <cellStyle name="Linked Cell 26 3 7 2 2" xfId="27507" xr:uid="{F0D92917-54E1-445B-B752-4F6E3EA3153A}"/>
    <cellStyle name="Linked Cell 26 3 7 3" xfId="27508" xr:uid="{9B63D801-DBB9-4E54-90CB-92CDF3B757C8}"/>
    <cellStyle name="Linked Cell 26 3 8" xfId="27509" xr:uid="{87B5E78C-619E-49FB-BB2B-799ADA8489DC}"/>
    <cellStyle name="Linked Cell 26 3 8 2" xfId="27510" xr:uid="{F6DF81B4-2A45-4E3F-9139-6C600C088119}"/>
    <cellStyle name="Linked Cell 26 3 8 2 2" xfId="27511" xr:uid="{3A91BCA1-D4FA-40FE-9263-9C5AEFED9BB1}"/>
    <cellStyle name="Linked Cell 26 3 8 3" xfId="27512" xr:uid="{9B8CC6D7-C535-42C8-B679-3CEB82AB62F8}"/>
    <cellStyle name="Linked Cell 26 3 9" xfId="27513" xr:uid="{6578D390-FDEA-45F1-92F0-4A2AAB0C30CE}"/>
    <cellStyle name="Linked Cell 26 3 9 2" xfId="27514" xr:uid="{A6580635-78BF-4FAB-B37B-89178AF30830}"/>
    <cellStyle name="Linked Cell 26 3 9 2 2" xfId="27515" xr:uid="{BF611485-E9D2-485D-B97E-1DBE219278F2}"/>
    <cellStyle name="Linked Cell 26 3 9 3" xfId="27516" xr:uid="{8D0544A6-345D-4FD8-8021-7909B0B669F3}"/>
    <cellStyle name="Linked Cell 26 4" xfId="27517" xr:uid="{D8EAF9F7-48FB-4BF7-A2EB-073455C4B2E7}"/>
    <cellStyle name="Linked Cell 26 4 10" xfId="27518" xr:uid="{81B753F4-AD5F-477E-9EE9-605C52C90029}"/>
    <cellStyle name="Linked Cell 26 4 10 2" xfId="27519" xr:uid="{EB03ED50-3A7F-4D45-9678-8E2BFC05F1D4}"/>
    <cellStyle name="Linked Cell 26 4 10 2 2" xfId="27520" xr:uid="{BF882EFC-5686-4DD8-B238-3599FFEF161C}"/>
    <cellStyle name="Linked Cell 26 4 10 3" xfId="27521" xr:uid="{01BC0540-27D8-4E2A-94CE-A46280E0C7B4}"/>
    <cellStyle name="Linked Cell 26 4 11" xfId="27522" xr:uid="{6BFE8F6D-F8C4-486B-ADB6-945EF48A131F}"/>
    <cellStyle name="Linked Cell 26 4 11 2" xfId="27523" xr:uid="{5CDF4E61-9369-4446-A34B-C26D676BCC0D}"/>
    <cellStyle name="Linked Cell 26 4 11 2 2" xfId="27524" xr:uid="{89CD7069-6B97-4A2E-B39F-7C715E4B89AC}"/>
    <cellStyle name="Linked Cell 26 4 11 3" xfId="27525" xr:uid="{63E4A598-58E3-4292-BC4E-F87C35131E18}"/>
    <cellStyle name="Linked Cell 26 4 12" xfId="27526" xr:uid="{2D7480E3-2FB7-4ADB-8392-A9CE7F6B9054}"/>
    <cellStyle name="Linked Cell 26 4 12 2" xfId="27527" xr:uid="{667F294F-1E15-4385-8855-1634519635E8}"/>
    <cellStyle name="Linked Cell 26 4 13" xfId="27528" xr:uid="{521BA509-9255-42E3-B9E7-E42D042A0C7E}"/>
    <cellStyle name="Linked Cell 26 4 2" xfId="27529" xr:uid="{8BBD8074-C96A-47E2-8B65-F3CA5DEEE6C6}"/>
    <cellStyle name="Linked Cell 26 4 2 10" xfId="27530" xr:uid="{85DFF7E6-ED4A-4A74-8071-364B623C03A5}"/>
    <cellStyle name="Linked Cell 26 4 2 10 2" xfId="27531" xr:uid="{3E8165E8-3E2D-4DDE-96AA-B58107D0BABB}"/>
    <cellStyle name="Linked Cell 26 4 2 10 2 2" xfId="27532" xr:uid="{27938095-879C-4463-9436-33D3849FF259}"/>
    <cellStyle name="Linked Cell 26 4 2 10 3" xfId="27533" xr:uid="{097E8173-091E-4E42-85B9-EB69CAF9B331}"/>
    <cellStyle name="Linked Cell 26 4 2 11" xfId="27534" xr:uid="{46DE18DC-2D80-453F-9722-A7AF41DA5027}"/>
    <cellStyle name="Linked Cell 26 4 2 11 2" xfId="27535" xr:uid="{40CCE734-AFA1-41F7-9427-4401C6520B04}"/>
    <cellStyle name="Linked Cell 26 4 2 12" xfId="27536" xr:uid="{A14FB1F8-0735-4785-B923-61FACD1C5A8F}"/>
    <cellStyle name="Linked Cell 26 4 2 2" xfId="27537" xr:uid="{2B43C71A-45D1-419B-8A14-68FBB34C7CEF}"/>
    <cellStyle name="Linked Cell 26 4 2 2 2" xfId="27538" xr:uid="{F5B1F5DB-471E-427B-8C03-BA17B373E17C}"/>
    <cellStyle name="Linked Cell 26 4 2 2 2 2" xfId="27539" xr:uid="{BA7E9821-B488-42BE-815A-D87DD64F6782}"/>
    <cellStyle name="Linked Cell 26 4 2 2 3" xfId="27540" xr:uid="{AAB471B4-16BB-4CBE-9558-0EC34F0E31FD}"/>
    <cellStyle name="Linked Cell 26 4 2 3" xfId="27541" xr:uid="{32B96A15-08CE-48BB-A169-7CDF0F142DD5}"/>
    <cellStyle name="Linked Cell 26 4 2 3 2" xfId="27542" xr:uid="{7EE9D39B-40FE-48D7-959E-BCAF52C1EE57}"/>
    <cellStyle name="Linked Cell 26 4 2 3 2 2" xfId="27543" xr:uid="{CDF96E83-490F-434B-AE8C-F7139963BC94}"/>
    <cellStyle name="Linked Cell 26 4 2 3 3" xfId="27544" xr:uid="{B5C1D5B7-71A0-4DAC-B1DF-05B42A0D0037}"/>
    <cellStyle name="Linked Cell 26 4 2 4" xfId="27545" xr:uid="{B32CBB93-7707-4C54-803F-94FD3130C2D7}"/>
    <cellStyle name="Linked Cell 26 4 2 4 2" xfId="27546" xr:uid="{3645CD9A-5629-49CD-9FA4-B2336DDEE519}"/>
    <cellStyle name="Linked Cell 26 4 2 4 2 2" xfId="27547" xr:uid="{34AFB6A2-C113-4FCC-B251-3B0019FF7DD4}"/>
    <cellStyle name="Linked Cell 26 4 2 4 3" xfId="27548" xr:uid="{ACF8E69A-64DD-4C54-AB70-93E1A8216465}"/>
    <cellStyle name="Linked Cell 26 4 2 5" xfId="27549" xr:uid="{D369BFEE-4C52-42A4-8090-F85B9D499C78}"/>
    <cellStyle name="Linked Cell 26 4 2 5 2" xfId="27550" xr:uid="{0ACFC2E8-8AFA-45B9-A24A-8814460BA965}"/>
    <cellStyle name="Linked Cell 26 4 2 5 2 2" xfId="27551" xr:uid="{959DB50E-4BAC-4642-AA7D-8DD5F1EB4FED}"/>
    <cellStyle name="Linked Cell 26 4 2 5 3" xfId="27552" xr:uid="{F3E80EF3-C14D-4F02-8AEC-D56F07E7D8A8}"/>
    <cellStyle name="Linked Cell 26 4 2 6" xfId="27553" xr:uid="{8CC1B6A6-4218-45EE-B5B9-C70CED543B32}"/>
    <cellStyle name="Linked Cell 26 4 2 6 2" xfId="27554" xr:uid="{68DB99FF-5B55-41A8-8406-3DD10BFB5FFD}"/>
    <cellStyle name="Linked Cell 26 4 2 6 2 2" xfId="27555" xr:uid="{346BDA15-E34F-4524-9869-41CE6BC09E10}"/>
    <cellStyle name="Linked Cell 26 4 2 6 3" xfId="27556" xr:uid="{02F34C47-1AF3-4DA2-9C36-89E602C4BD42}"/>
    <cellStyle name="Linked Cell 26 4 2 7" xfId="27557" xr:uid="{DA24A1B9-C729-4439-B34F-8BD9AA132ACC}"/>
    <cellStyle name="Linked Cell 26 4 2 7 2" xfId="27558" xr:uid="{5943A45B-ECC1-4E2F-BBB7-9F55693C16CB}"/>
    <cellStyle name="Linked Cell 26 4 2 7 2 2" xfId="27559" xr:uid="{93E1DCBE-B5C3-4C44-9897-B341173C7F70}"/>
    <cellStyle name="Linked Cell 26 4 2 7 3" xfId="27560" xr:uid="{E90E96F9-7177-4583-8EDF-F31AE1592BD1}"/>
    <cellStyle name="Linked Cell 26 4 2 8" xfId="27561" xr:uid="{28DAB249-69A3-45CA-A746-19E4301158E7}"/>
    <cellStyle name="Linked Cell 26 4 2 8 2" xfId="27562" xr:uid="{7DC7FB1B-2294-4004-BF61-07A47EAC9DC7}"/>
    <cellStyle name="Linked Cell 26 4 2 8 2 2" xfId="27563" xr:uid="{A2ED82D2-0D49-4BDC-A593-43A7C499397A}"/>
    <cellStyle name="Linked Cell 26 4 2 8 3" xfId="27564" xr:uid="{D006BDF7-2ED8-4D4A-BC98-633175554139}"/>
    <cellStyle name="Linked Cell 26 4 2 9" xfId="27565" xr:uid="{EC3459CF-5A0E-4100-B7BF-891D4F95BD90}"/>
    <cellStyle name="Linked Cell 26 4 2 9 2" xfId="27566" xr:uid="{24BB11B9-0525-4F2D-9C4B-F61C3BA8F8F0}"/>
    <cellStyle name="Linked Cell 26 4 2 9 2 2" xfId="27567" xr:uid="{96097BBD-AB34-484A-8474-0D74548CFC8B}"/>
    <cellStyle name="Linked Cell 26 4 2 9 3" xfId="27568" xr:uid="{8CA7444B-A102-463A-B7C6-D7A5ABC616F2}"/>
    <cellStyle name="Linked Cell 26 4 3" xfId="27569" xr:uid="{6210DCEA-C79E-499D-A6EF-8D0E2FF5922F}"/>
    <cellStyle name="Linked Cell 26 4 3 10" xfId="27570" xr:uid="{6DB923CF-8530-4D0B-B1FA-D3C25A2688A2}"/>
    <cellStyle name="Linked Cell 26 4 3 10 2" xfId="27571" xr:uid="{C6DF5616-B9E7-4284-AFAC-1F2F57B98A3B}"/>
    <cellStyle name="Linked Cell 26 4 3 11" xfId="27572" xr:uid="{3CCF08DD-180A-4EC8-9B19-D89B886AC42D}"/>
    <cellStyle name="Linked Cell 26 4 3 2" xfId="27573" xr:uid="{A002FD6A-578E-4405-90F3-52753FAC1775}"/>
    <cellStyle name="Linked Cell 26 4 3 2 2" xfId="27574" xr:uid="{8D8D6609-A07E-4B72-B474-816E389BFBCB}"/>
    <cellStyle name="Linked Cell 26 4 3 2 2 2" xfId="27575" xr:uid="{26C83944-B442-4326-9FC7-644B37D7931E}"/>
    <cellStyle name="Linked Cell 26 4 3 2 3" xfId="27576" xr:uid="{68FC5716-CD53-420F-8CBF-502CAEA0C178}"/>
    <cellStyle name="Linked Cell 26 4 3 3" xfId="27577" xr:uid="{BBC17F70-92C3-4903-8E9F-3CA52091B05A}"/>
    <cellStyle name="Linked Cell 26 4 3 3 2" xfId="27578" xr:uid="{5EBC51DD-6513-44E4-921B-C76471A7C917}"/>
    <cellStyle name="Linked Cell 26 4 3 3 2 2" xfId="27579" xr:uid="{67C9A8CD-AE68-4555-A2B1-407BBA523BD1}"/>
    <cellStyle name="Linked Cell 26 4 3 3 3" xfId="27580" xr:uid="{DDC2211E-54FB-42E1-8A31-3F29C2FDC341}"/>
    <cellStyle name="Linked Cell 26 4 3 4" xfId="27581" xr:uid="{DCA58141-1C01-467A-8285-8F358814BF66}"/>
    <cellStyle name="Linked Cell 26 4 3 4 2" xfId="27582" xr:uid="{E5B74C4E-1604-4EFE-95CC-AA2D26225F07}"/>
    <cellStyle name="Linked Cell 26 4 3 4 2 2" xfId="27583" xr:uid="{B04EF4B3-FD1B-49CA-B7AF-640ECE4F6CAD}"/>
    <cellStyle name="Linked Cell 26 4 3 4 3" xfId="27584" xr:uid="{F1BA33D2-723F-4EFC-BF9E-BAE58F0BEB7B}"/>
    <cellStyle name="Linked Cell 26 4 3 5" xfId="27585" xr:uid="{699E324F-F1D1-44D0-BC95-3D1C503D8E72}"/>
    <cellStyle name="Linked Cell 26 4 3 5 2" xfId="27586" xr:uid="{A9680621-9047-4B14-9806-35A2A9350E5E}"/>
    <cellStyle name="Linked Cell 26 4 3 5 2 2" xfId="27587" xr:uid="{9CB0DA2B-B6D5-4309-B45B-6CC22927DCF2}"/>
    <cellStyle name="Linked Cell 26 4 3 5 3" xfId="27588" xr:uid="{919CAC0E-09B3-4F33-BEF9-04A1625050CF}"/>
    <cellStyle name="Linked Cell 26 4 3 6" xfId="27589" xr:uid="{8957B3BF-6B0E-4B2A-BE6A-5B1AFA571DB7}"/>
    <cellStyle name="Linked Cell 26 4 3 6 2" xfId="27590" xr:uid="{ED367047-F59C-4F5D-AD8C-306FDD14A804}"/>
    <cellStyle name="Linked Cell 26 4 3 6 2 2" xfId="27591" xr:uid="{49CE2502-F761-49A2-9A2D-0F68F92ADDFD}"/>
    <cellStyle name="Linked Cell 26 4 3 6 3" xfId="27592" xr:uid="{A0327073-6124-4128-BDF8-EC7FDE0D8C67}"/>
    <cellStyle name="Linked Cell 26 4 3 7" xfId="27593" xr:uid="{2AFFA09B-C3CD-45DE-A109-E4FC4B7CB25B}"/>
    <cellStyle name="Linked Cell 26 4 3 7 2" xfId="27594" xr:uid="{DC7D241E-7D64-4FF1-8D38-02B2E6EBD18F}"/>
    <cellStyle name="Linked Cell 26 4 3 7 2 2" xfId="27595" xr:uid="{3568FCA0-8D3D-40D6-A17F-93BDD6809DFD}"/>
    <cellStyle name="Linked Cell 26 4 3 7 3" xfId="27596" xr:uid="{500728AA-C046-4339-8D72-DECFC63CA242}"/>
    <cellStyle name="Linked Cell 26 4 3 8" xfId="27597" xr:uid="{F73B466B-E9DF-484A-A035-9688B21BEA66}"/>
    <cellStyle name="Linked Cell 26 4 3 8 2" xfId="27598" xr:uid="{8A2A7A35-6D66-4EF9-BFDA-F48E7E6BA6CC}"/>
    <cellStyle name="Linked Cell 26 4 3 8 2 2" xfId="27599" xr:uid="{E1A1A0E1-7B0B-454A-A8F6-5160C432827C}"/>
    <cellStyle name="Linked Cell 26 4 3 8 3" xfId="27600" xr:uid="{D76D0D8E-887D-4C63-BD2B-C5E307ABC5E3}"/>
    <cellStyle name="Linked Cell 26 4 3 9" xfId="27601" xr:uid="{86E308D5-73AD-40CB-A132-E16CC6ADD5D7}"/>
    <cellStyle name="Linked Cell 26 4 3 9 2" xfId="27602" xr:uid="{F06B6AEA-FD2E-4702-A00C-6E1924E0DC71}"/>
    <cellStyle name="Linked Cell 26 4 3 9 2 2" xfId="27603" xr:uid="{1355B07A-498C-4439-A4DD-6DD70F942238}"/>
    <cellStyle name="Linked Cell 26 4 3 9 3" xfId="27604" xr:uid="{B84B11F6-655F-4115-947A-3A1CB43C45D3}"/>
    <cellStyle name="Linked Cell 26 4 4" xfId="27605" xr:uid="{8B65B934-3E2C-4513-9520-58DA3DE0FF2D}"/>
    <cellStyle name="Linked Cell 26 4 4 2" xfId="27606" xr:uid="{0DA2F1CE-3DA6-4A62-83AA-59E53758C20B}"/>
    <cellStyle name="Linked Cell 26 4 4 2 2" xfId="27607" xr:uid="{0083FA83-1030-4B31-BC54-98F8173A507B}"/>
    <cellStyle name="Linked Cell 26 4 4 3" xfId="27608" xr:uid="{498C76AF-38D8-40DD-8CD1-E2E3C2D5A89A}"/>
    <cellStyle name="Linked Cell 26 4 5" xfId="27609" xr:uid="{652B4546-F4B2-4697-BECD-4887B6777AC1}"/>
    <cellStyle name="Linked Cell 26 4 5 2" xfId="27610" xr:uid="{EC0D3021-C273-4720-AF71-DDBAD632A5B6}"/>
    <cellStyle name="Linked Cell 26 4 5 2 2" xfId="27611" xr:uid="{58A497DF-5154-45B5-A129-AFAFCB14F357}"/>
    <cellStyle name="Linked Cell 26 4 5 3" xfId="27612" xr:uid="{0CBC6129-6768-4781-9A46-5EBB1ABD743B}"/>
    <cellStyle name="Linked Cell 26 4 6" xfId="27613" xr:uid="{C49BAD96-3EF8-45E3-9B47-8D6CCE5712FA}"/>
    <cellStyle name="Linked Cell 26 4 6 2" xfId="27614" xr:uid="{83743D9F-12AE-452C-B3B1-58A760DE2B68}"/>
    <cellStyle name="Linked Cell 26 4 6 2 2" xfId="27615" xr:uid="{B97C812E-7783-4D55-94B7-99E965FBA17B}"/>
    <cellStyle name="Linked Cell 26 4 6 3" xfId="27616" xr:uid="{DC8C9377-345B-40F6-8F37-7C09823CFE4A}"/>
    <cellStyle name="Linked Cell 26 4 7" xfId="27617" xr:uid="{B7E7AE82-2E5C-4D74-9409-81AE5F14749E}"/>
    <cellStyle name="Linked Cell 26 4 7 2" xfId="27618" xr:uid="{546B3786-B7E4-4C64-A0BB-9D125F70FFCF}"/>
    <cellStyle name="Linked Cell 26 4 7 2 2" xfId="27619" xr:uid="{2E9A964A-4155-4132-B915-2476B0AD42DB}"/>
    <cellStyle name="Linked Cell 26 4 7 3" xfId="27620" xr:uid="{184A0BBD-9C90-4F7A-BD0F-5938E93D25DB}"/>
    <cellStyle name="Linked Cell 26 4 8" xfId="27621" xr:uid="{44C68E55-FBA9-4FDA-BDA0-FC0439FD6D7D}"/>
    <cellStyle name="Linked Cell 26 4 8 2" xfId="27622" xr:uid="{54527299-39D0-4E26-A75A-A54F28B84FA3}"/>
    <cellStyle name="Linked Cell 26 4 8 2 2" xfId="27623" xr:uid="{7D7662D7-8151-4A57-8F95-326A6FC1DD31}"/>
    <cellStyle name="Linked Cell 26 4 8 3" xfId="27624" xr:uid="{2230776A-3BC3-4B38-B676-A1EA2ADE8BEA}"/>
    <cellStyle name="Linked Cell 26 4 9" xfId="27625" xr:uid="{72E43A1A-0E42-4C56-87E7-80398E77A573}"/>
    <cellStyle name="Linked Cell 26 4 9 2" xfId="27626" xr:uid="{A028853C-14A4-4EF4-970C-5C5C2B2DDD41}"/>
    <cellStyle name="Linked Cell 26 4 9 2 2" xfId="27627" xr:uid="{B174FD03-E8AD-429F-999C-E44AEF81E7D8}"/>
    <cellStyle name="Linked Cell 26 4 9 3" xfId="27628" xr:uid="{91CE71CB-4267-44DF-A96A-8917F0702233}"/>
    <cellStyle name="Linked Cell 27" xfId="27629" xr:uid="{A387AE4D-34B3-430A-AEE0-3AD5E883B4AF}"/>
    <cellStyle name="Linked Cell 27 2" xfId="27630" xr:uid="{93733D86-8581-4581-BBA9-97C4951B292E}"/>
    <cellStyle name="Linked Cell 27 2 10" xfId="27631" xr:uid="{C9DF8C99-4CBC-43F3-AD62-553B270F9427}"/>
    <cellStyle name="Linked Cell 27 2 10 2" xfId="27632" xr:uid="{41586F68-F5ED-4B4C-8847-EA4F6B1D3157}"/>
    <cellStyle name="Linked Cell 27 2 10 2 2" xfId="27633" xr:uid="{5185F83A-7ADD-4220-B136-D574C0DE7FD4}"/>
    <cellStyle name="Linked Cell 27 2 10 3" xfId="27634" xr:uid="{96CB1F91-4AD3-4B84-A8B4-7D910CB6DC3E}"/>
    <cellStyle name="Linked Cell 27 2 11" xfId="27635" xr:uid="{B9AF5BED-AAD8-4ACE-926F-E3B0910F6518}"/>
    <cellStyle name="Linked Cell 27 2 11 2" xfId="27636" xr:uid="{12E59FB9-2882-4AEB-BA04-2D1545AD8425}"/>
    <cellStyle name="Linked Cell 27 2 11 2 2" xfId="27637" xr:uid="{4B31C4C3-2396-472B-A009-F2AD29CD513D}"/>
    <cellStyle name="Linked Cell 27 2 11 3" xfId="27638" xr:uid="{357644F1-61C2-48C3-87BC-1E8B63227C9B}"/>
    <cellStyle name="Linked Cell 27 2 12" xfId="27639" xr:uid="{3233B777-D26F-465C-A572-E6F846CB796A}"/>
    <cellStyle name="Linked Cell 27 2 12 2" xfId="27640" xr:uid="{1264087B-C449-4A93-A789-0D1E895092EE}"/>
    <cellStyle name="Linked Cell 27 2 12 2 2" xfId="27641" xr:uid="{81812D3E-0516-47E5-8329-07554D375C0A}"/>
    <cellStyle name="Linked Cell 27 2 12 3" xfId="27642" xr:uid="{3513119D-B783-45B9-A400-05DA4E4B2099}"/>
    <cellStyle name="Linked Cell 27 2 13" xfId="27643" xr:uid="{C05F3907-7229-469C-9E1E-71F4C25F5427}"/>
    <cellStyle name="Linked Cell 27 2 13 2" xfId="27644" xr:uid="{B5D20746-5DE1-47BB-8345-E68CB9BA5367}"/>
    <cellStyle name="Linked Cell 27 2 13 2 2" xfId="27645" xr:uid="{66294F96-7560-4615-A8DB-321A434D7E95}"/>
    <cellStyle name="Linked Cell 27 2 13 3" xfId="27646" xr:uid="{AA91C12A-EFC6-4FD2-A94E-F465BD8F10B5}"/>
    <cellStyle name="Linked Cell 27 2 14" xfId="27647" xr:uid="{D27FA0D4-E853-4F4B-AB64-C2523B952032}"/>
    <cellStyle name="Linked Cell 27 2 14 2" xfId="27648" xr:uid="{2A5000E7-BB42-446D-80AE-0B3E8C9A59E1}"/>
    <cellStyle name="Linked Cell 27 2 15" xfId="27649" xr:uid="{20D65D70-04BA-475B-BC65-737BFCA59FA6}"/>
    <cellStyle name="Linked Cell 27 2 2" xfId="27650" xr:uid="{79F3E18C-BACA-48C0-965D-65561BA68327}"/>
    <cellStyle name="Linked Cell 27 2 2 10" xfId="27651" xr:uid="{CB428787-4333-4506-AC66-7A952D47BAD4}"/>
    <cellStyle name="Linked Cell 27 2 2 10 2" xfId="27652" xr:uid="{A8880CA8-E070-47D3-852E-A4A159ED9234}"/>
    <cellStyle name="Linked Cell 27 2 2 10 2 2" xfId="27653" xr:uid="{E2C434FA-6F5A-496E-8603-8269BCB6D2ED}"/>
    <cellStyle name="Linked Cell 27 2 2 10 3" xfId="27654" xr:uid="{CF61E550-3D37-4680-BF33-248E14DFCB75}"/>
    <cellStyle name="Linked Cell 27 2 2 11" xfId="27655" xr:uid="{0163AB1D-42CA-48D7-A0B5-78BFB12ECFE4}"/>
    <cellStyle name="Linked Cell 27 2 2 11 2" xfId="27656" xr:uid="{4C1CEEE0-8BAD-4E8B-BF77-56A5AF0FA1F7}"/>
    <cellStyle name="Linked Cell 27 2 2 11 2 2" xfId="27657" xr:uid="{6CB12747-904A-4240-AC59-41F2C0DCA76A}"/>
    <cellStyle name="Linked Cell 27 2 2 11 3" xfId="27658" xr:uid="{232E12AD-7A2B-472F-8B8A-009D2DFE75B5}"/>
    <cellStyle name="Linked Cell 27 2 2 12" xfId="27659" xr:uid="{F7AA34BC-4D08-4EC5-893E-8EA494B5B9B2}"/>
    <cellStyle name="Linked Cell 27 2 2 12 2" xfId="27660" xr:uid="{4C9BB7F5-5018-4002-82DF-C1976C6BC892}"/>
    <cellStyle name="Linked Cell 27 2 2 12 2 2" xfId="27661" xr:uid="{03E03839-C416-47F2-96C8-7939794491C4}"/>
    <cellStyle name="Linked Cell 27 2 2 12 3" xfId="27662" xr:uid="{EE26566A-8554-4316-8F33-87B507EA76FD}"/>
    <cellStyle name="Linked Cell 27 2 2 13" xfId="27663" xr:uid="{9DFB1250-BB08-4C35-8F5E-B56B5B6369AD}"/>
    <cellStyle name="Linked Cell 27 2 2 13 2" xfId="27664" xr:uid="{878D8E59-5D9E-4055-A4AD-F4B724778239}"/>
    <cellStyle name="Linked Cell 27 2 2 14" xfId="27665" xr:uid="{8C4FABB1-BCA0-456F-9FA3-625F66CBAB60}"/>
    <cellStyle name="Linked Cell 27 2 2 2" xfId="27666" xr:uid="{23F44C70-9708-4B89-8EF8-5ACB3EFBA569}"/>
    <cellStyle name="Linked Cell 27 2 2 2 10" xfId="27667" xr:uid="{D3679F95-11A9-433C-A31C-4AA99D3A1EA0}"/>
    <cellStyle name="Linked Cell 27 2 2 2 10 2" xfId="27668" xr:uid="{6AB75A1B-35EC-4D6E-B2AA-F2796FAA0EFE}"/>
    <cellStyle name="Linked Cell 27 2 2 2 10 2 2" xfId="27669" xr:uid="{90967240-4E09-4ABE-879A-2DA738D76590}"/>
    <cellStyle name="Linked Cell 27 2 2 2 10 3" xfId="27670" xr:uid="{81E236CF-BC73-433C-B809-40BA131751A7}"/>
    <cellStyle name="Linked Cell 27 2 2 2 11" xfId="27671" xr:uid="{799CB06A-3BC0-4BCE-8E7E-B4751D32E200}"/>
    <cellStyle name="Linked Cell 27 2 2 2 11 2" xfId="27672" xr:uid="{FEB83D58-0689-4391-BDA7-9689971F2314}"/>
    <cellStyle name="Linked Cell 27 2 2 2 11 2 2" xfId="27673" xr:uid="{1B630007-377A-4D9E-B1D1-9F09AA2D75EC}"/>
    <cellStyle name="Linked Cell 27 2 2 2 11 3" xfId="27674" xr:uid="{E5965072-2899-459D-96B4-D0A7FA1BF2EC}"/>
    <cellStyle name="Linked Cell 27 2 2 2 12" xfId="27675" xr:uid="{2EE8BF5E-D443-4CD5-9063-9359D6CE27CF}"/>
    <cellStyle name="Linked Cell 27 2 2 2 12 2" xfId="27676" xr:uid="{E25474FB-2013-4AA8-93B7-371E976A6CBF}"/>
    <cellStyle name="Linked Cell 27 2 2 2 13" xfId="27677" xr:uid="{DBB61167-3B68-4114-9F70-868AFAE2E163}"/>
    <cellStyle name="Linked Cell 27 2 2 2 2" xfId="27678" xr:uid="{354256E1-9DDB-4ED2-9424-9AE6DFAF5621}"/>
    <cellStyle name="Linked Cell 27 2 2 2 2 10" xfId="27679" xr:uid="{3369DD7F-3C8A-480A-85CB-36E4B5CBE6EA}"/>
    <cellStyle name="Linked Cell 27 2 2 2 2 10 2" xfId="27680" xr:uid="{DBF055F2-3E8E-4C77-B2BA-E7B60A3CF2A7}"/>
    <cellStyle name="Linked Cell 27 2 2 2 2 10 2 2" xfId="27681" xr:uid="{71DA0D40-241A-4923-B225-64AA448C60EB}"/>
    <cellStyle name="Linked Cell 27 2 2 2 2 10 3" xfId="27682" xr:uid="{1119A085-B4AF-427D-ABE4-77B4CF4B1049}"/>
    <cellStyle name="Linked Cell 27 2 2 2 2 11" xfId="27683" xr:uid="{C72EC283-7957-4683-890B-03F8E179984C}"/>
    <cellStyle name="Linked Cell 27 2 2 2 2 11 2" xfId="27684" xr:uid="{B1BB5FA4-B0D0-4522-A458-750D054B14E2}"/>
    <cellStyle name="Linked Cell 27 2 2 2 2 12" xfId="27685" xr:uid="{558A3BE2-4C1B-4A4E-9EEB-C2A7B00EF93B}"/>
    <cellStyle name="Linked Cell 27 2 2 2 2 2" xfId="27686" xr:uid="{B818B93C-3A65-40A7-80E1-54D5E22514AC}"/>
    <cellStyle name="Linked Cell 27 2 2 2 2 2 2" xfId="27687" xr:uid="{07CBE9DE-0879-4684-8638-8C34966A3FE1}"/>
    <cellStyle name="Linked Cell 27 2 2 2 2 2 2 2" xfId="27688" xr:uid="{811650E9-51BC-4A11-975C-CAC3CEEEE15F}"/>
    <cellStyle name="Linked Cell 27 2 2 2 2 2 3" xfId="27689" xr:uid="{CC19BF2A-F01B-4E7A-BC10-3E90AADB6C6C}"/>
    <cellStyle name="Linked Cell 27 2 2 2 2 3" xfId="27690" xr:uid="{EDC020BF-D496-457B-ABD4-794AF4C7999C}"/>
    <cellStyle name="Linked Cell 27 2 2 2 2 3 2" xfId="27691" xr:uid="{4EDCF6A0-2FA9-4F08-BE9D-099F8163DCEF}"/>
    <cellStyle name="Linked Cell 27 2 2 2 2 3 2 2" xfId="27692" xr:uid="{4C480ABD-38A2-4420-9CEC-7C0DEF527C55}"/>
    <cellStyle name="Linked Cell 27 2 2 2 2 3 3" xfId="27693" xr:uid="{EB7751B2-F3EF-4C33-9516-095918AF0D1E}"/>
    <cellStyle name="Linked Cell 27 2 2 2 2 4" xfId="27694" xr:uid="{BF9C7CB9-A75B-49ED-93FB-7F6F5561FCF2}"/>
    <cellStyle name="Linked Cell 27 2 2 2 2 4 2" xfId="27695" xr:uid="{81A3E48A-DE52-4780-8701-61137C7FA3C2}"/>
    <cellStyle name="Linked Cell 27 2 2 2 2 4 2 2" xfId="27696" xr:uid="{4C4DDCDA-437F-4969-A8E5-9917BDBCFBA4}"/>
    <cellStyle name="Linked Cell 27 2 2 2 2 4 3" xfId="27697" xr:uid="{E27CF351-18DB-48C1-9285-52AAE65A61D5}"/>
    <cellStyle name="Linked Cell 27 2 2 2 2 5" xfId="27698" xr:uid="{678D9647-1F94-4992-A77C-4A789457E5A2}"/>
    <cellStyle name="Linked Cell 27 2 2 2 2 5 2" xfId="27699" xr:uid="{7E941535-7692-46D5-85A1-03DF3A7EC10C}"/>
    <cellStyle name="Linked Cell 27 2 2 2 2 5 2 2" xfId="27700" xr:uid="{594077B2-7C24-491A-9448-B18CA48E1711}"/>
    <cellStyle name="Linked Cell 27 2 2 2 2 5 3" xfId="27701" xr:uid="{8C9CDC78-7CA5-4507-B8F9-6D981D2A91FB}"/>
    <cellStyle name="Linked Cell 27 2 2 2 2 6" xfId="27702" xr:uid="{03464ABE-A429-4595-84DB-93A217E5FEB6}"/>
    <cellStyle name="Linked Cell 27 2 2 2 2 6 2" xfId="27703" xr:uid="{D6270A45-B6E3-40F6-9275-A3A52014EDD7}"/>
    <cellStyle name="Linked Cell 27 2 2 2 2 6 2 2" xfId="27704" xr:uid="{E1CDE5D3-B41F-424F-AB24-C374D770917C}"/>
    <cellStyle name="Linked Cell 27 2 2 2 2 6 3" xfId="27705" xr:uid="{B4703CFA-26E1-479A-B123-642B0FA081D0}"/>
    <cellStyle name="Linked Cell 27 2 2 2 2 7" xfId="27706" xr:uid="{B3C93C5F-2AF1-42E7-A61F-1347EA170F4D}"/>
    <cellStyle name="Linked Cell 27 2 2 2 2 7 2" xfId="27707" xr:uid="{95B8FF54-A893-4E65-90B8-5DC91D8C4B8A}"/>
    <cellStyle name="Linked Cell 27 2 2 2 2 7 2 2" xfId="27708" xr:uid="{44685AD3-58DB-4F6D-9709-BE2E1AAADEB7}"/>
    <cellStyle name="Linked Cell 27 2 2 2 2 7 3" xfId="27709" xr:uid="{94CA7DC2-C669-46DD-8FC7-0239A841BED8}"/>
    <cellStyle name="Linked Cell 27 2 2 2 2 8" xfId="27710" xr:uid="{4D3AEE2A-9DCB-48A1-A9B4-D07496BB0585}"/>
    <cellStyle name="Linked Cell 27 2 2 2 2 8 2" xfId="27711" xr:uid="{F223428F-E07C-4E73-B9E0-C5CB56C10964}"/>
    <cellStyle name="Linked Cell 27 2 2 2 2 8 2 2" xfId="27712" xr:uid="{9D11934C-378F-4D1D-900A-1CB58CE0F12B}"/>
    <cellStyle name="Linked Cell 27 2 2 2 2 8 3" xfId="27713" xr:uid="{52B66B34-EFA4-4486-ACC1-07EBFB03F54F}"/>
    <cellStyle name="Linked Cell 27 2 2 2 2 9" xfId="27714" xr:uid="{AA53464A-64B4-4B4F-864D-14A6F6D87B30}"/>
    <cellStyle name="Linked Cell 27 2 2 2 2 9 2" xfId="27715" xr:uid="{80813E18-6FF0-441C-9B66-366DF2D2BFAD}"/>
    <cellStyle name="Linked Cell 27 2 2 2 2 9 2 2" xfId="27716" xr:uid="{A1C6CED4-7983-45AB-A095-5669FA75BF16}"/>
    <cellStyle name="Linked Cell 27 2 2 2 2 9 3" xfId="27717" xr:uid="{B4FF58C8-B2DE-412A-8FF0-94ACB32F0D25}"/>
    <cellStyle name="Linked Cell 27 2 2 2 3" xfId="27718" xr:uid="{0BC0C21E-EB7C-4A47-AC2F-119802B5DD78}"/>
    <cellStyle name="Linked Cell 27 2 2 2 3 10" xfId="27719" xr:uid="{67AA009B-22DF-4229-8B12-8C7A7B19EE0E}"/>
    <cellStyle name="Linked Cell 27 2 2 2 3 10 2" xfId="27720" xr:uid="{90AE0BB5-8E8A-450B-B327-0559F7B406A4}"/>
    <cellStyle name="Linked Cell 27 2 2 2 3 11" xfId="27721" xr:uid="{C6E84C9D-50BC-48D8-9A34-5FCB0C00B0E7}"/>
    <cellStyle name="Linked Cell 27 2 2 2 3 2" xfId="27722" xr:uid="{2F9750B1-CF4F-4BA2-B3C6-457A5598150E}"/>
    <cellStyle name="Linked Cell 27 2 2 2 3 2 2" xfId="27723" xr:uid="{F8040C6B-FA71-46D9-86F7-610B654F26B8}"/>
    <cellStyle name="Linked Cell 27 2 2 2 3 2 2 2" xfId="27724" xr:uid="{88B192AB-6880-4BFF-BD89-245545D2BC9D}"/>
    <cellStyle name="Linked Cell 27 2 2 2 3 2 3" xfId="27725" xr:uid="{A9802D4D-E3A8-4FA6-86F3-0C64F7D4293E}"/>
    <cellStyle name="Linked Cell 27 2 2 2 3 3" xfId="27726" xr:uid="{B6C0D96D-E42C-4FAC-BFC0-1035E981C596}"/>
    <cellStyle name="Linked Cell 27 2 2 2 3 3 2" xfId="27727" xr:uid="{B070EB81-4F6B-4D88-B203-A79CD55EFADB}"/>
    <cellStyle name="Linked Cell 27 2 2 2 3 3 2 2" xfId="27728" xr:uid="{B9C1B540-5FDA-4ED6-AD2B-6C5AC3853B5E}"/>
    <cellStyle name="Linked Cell 27 2 2 2 3 3 3" xfId="27729" xr:uid="{D7E39DC1-0448-4B6C-B413-CC7D80E7E899}"/>
    <cellStyle name="Linked Cell 27 2 2 2 3 4" xfId="27730" xr:uid="{20F3844D-FF55-4817-ADB9-89F395B76D8C}"/>
    <cellStyle name="Linked Cell 27 2 2 2 3 4 2" xfId="27731" xr:uid="{573A8DAF-6388-44F1-AE3D-AECB55087901}"/>
    <cellStyle name="Linked Cell 27 2 2 2 3 4 2 2" xfId="27732" xr:uid="{4AD3615B-89B6-44DA-BA34-348BAFCD2B42}"/>
    <cellStyle name="Linked Cell 27 2 2 2 3 4 3" xfId="27733" xr:uid="{04841DC3-6928-4809-A24C-CEAE0C5B55A6}"/>
    <cellStyle name="Linked Cell 27 2 2 2 3 5" xfId="27734" xr:uid="{1AA8790F-972E-4F4A-AA36-87909DDAA2A6}"/>
    <cellStyle name="Linked Cell 27 2 2 2 3 5 2" xfId="27735" xr:uid="{24A9FBA0-7FD8-4E85-A22A-D3436EAD224B}"/>
    <cellStyle name="Linked Cell 27 2 2 2 3 5 2 2" xfId="27736" xr:uid="{00EFDBB0-551D-4235-B436-54A9CEB3184A}"/>
    <cellStyle name="Linked Cell 27 2 2 2 3 5 3" xfId="27737" xr:uid="{3C991B4D-353B-4F17-8774-362A0B6AD901}"/>
    <cellStyle name="Linked Cell 27 2 2 2 3 6" xfId="27738" xr:uid="{4B79602E-6C03-4026-A3EB-B3A718B52998}"/>
    <cellStyle name="Linked Cell 27 2 2 2 3 6 2" xfId="27739" xr:uid="{A6EA8AD9-C26C-4396-9F0B-6D2F015CC463}"/>
    <cellStyle name="Linked Cell 27 2 2 2 3 6 2 2" xfId="27740" xr:uid="{C8E1084E-0B99-484C-BA30-43448AE958D9}"/>
    <cellStyle name="Linked Cell 27 2 2 2 3 6 3" xfId="27741" xr:uid="{26150459-4EE5-44C7-9207-9E861F244C89}"/>
    <cellStyle name="Linked Cell 27 2 2 2 3 7" xfId="27742" xr:uid="{649A90DE-61CE-40CD-B783-E66A8948D3EF}"/>
    <cellStyle name="Linked Cell 27 2 2 2 3 7 2" xfId="27743" xr:uid="{8A87A64D-06D6-4D18-A38E-A8EF1CD8E8D7}"/>
    <cellStyle name="Linked Cell 27 2 2 2 3 7 2 2" xfId="27744" xr:uid="{179734AB-B635-4D29-B8A4-FB20D7593157}"/>
    <cellStyle name="Linked Cell 27 2 2 2 3 7 3" xfId="27745" xr:uid="{8DE22B64-1AA7-46F4-9C38-81D8172C37D4}"/>
    <cellStyle name="Linked Cell 27 2 2 2 3 8" xfId="27746" xr:uid="{845E7649-3CF9-4310-ABAB-1AEF50FF6529}"/>
    <cellStyle name="Linked Cell 27 2 2 2 3 8 2" xfId="27747" xr:uid="{9B807C1E-A09D-4A5E-B924-E2F4C8DE450D}"/>
    <cellStyle name="Linked Cell 27 2 2 2 3 8 2 2" xfId="27748" xr:uid="{C04F0AD7-A12E-4A00-8C00-D876C8DC55AD}"/>
    <cellStyle name="Linked Cell 27 2 2 2 3 8 3" xfId="27749" xr:uid="{6523986F-8955-4D3D-8453-89CE2993B802}"/>
    <cellStyle name="Linked Cell 27 2 2 2 3 9" xfId="27750" xr:uid="{C0C2C72E-F939-4622-956C-43C79280D4CA}"/>
    <cellStyle name="Linked Cell 27 2 2 2 3 9 2" xfId="27751" xr:uid="{8D59D0D1-1E5D-4778-B305-38D76EF87436}"/>
    <cellStyle name="Linked Cell 27 2 2 2 3 9 2 2" xfId="27752" xr:uid="{D57B2F69-85E2-44AD-B2AD-87EC0BC16289}"/>
    <cellStyle name="Linked Cell 27 2 2 2 3 9 3" xfId="27753" xr:uid="{C1E85635-76CF-4009-B826-A64E63D6DE49}"/>
    <cellStyle name="Linked Cell 27 2 2 2 4" xfId="27754" xr:uid="{E9314B69-E444-45DF-AA09-BF046F963A25}"/>
    <cellStyle name="Linked Cell 27 2 2 2 4 2" xfId="27755" xr:uid="{27DACDE8-F029-4950-A2D6-B842032204BC}"/>
    <cellStyle name="Linked Cell 27 2 2 2 4 2 2" xfId="27756" xr:uid="{567769E8-D062-463C-914A-9AF618860CF0}"/>
    <cellStyle name="Linked Cell 27 2 2 2 4 3" xfId="27757" xr:uid="{90C85078-EABA-4B79-AA9D-4EC342916B42}"/>
    <cellStyle name="Linked Cell 27 2 2 2 5" xfId="27758" xr:uid="{E20FDC92-4B20-495C-B4BC-5587968DFF31}"/>
    <cellStyle name="Linked Cell 27 2 2 2 5 2" xfId="27759" xr:uid="{3CAFBF8E-270D-42CA-9322-2B319346917F}"/>
    <cellStyle name="Linked Cell 27 2 2 2 5 2 2" xfId="27760" xr:uid="{4EB099A0-8869-469D-9FF7-0E80F5B1673D}"/>
    <cellStyle name="Linked Cell 27 2 2 2 5 3" xfId="27761" xr:uid="{A10F4A65-0C0F-4169-A67C-2BBEF5A51AF1}"/>
    <cellStyle name="Linked Cell 27 2 2 2 6" xfId="27762" xr:uid="{DC0D7ECF-522A-406E-8466-5574F12977C8}"/>
    <cellStyle name="Linked Cell 27 2 2 2 6 2" xfId="27763" xr:uid="{68BBB588-3C98-408A-B60F-478CEF1B8BC7}"/>
    <cellStyle name="Linked Cell 27 2 2 2 6 2 2" xfId="27764" xr:uid="{B827D5C6-1569-4524-93B8-6541ED1235E5}"/>
    <cellStyle name="Linked Cell 27 2 2 2 6 3" xfId="27765" xr:uid="{79FBFF12-2D85-442C-B825-AB113CAA952F}"/>
    <cellStyle name="Linked Cell 27 2 2 2 7" xfId="27766" xr:uid="{FC4E4361-B5D2-48C8-9676-975B667DCC5F}"/>
    <cellStyle name="Linked Cell 27 2 2 2 7 2" xfId="27767" xr:uid="{4413431C-FE91-4149-88F5-635B11126B75}"/>
    <cellStyle name="Linked Cell 27 2 2 2 7 2 2" xfId="27768" xr:uid="{9E98D9C9-6D66-40A4-9AA1-2BF2E13428EE}"/>
    <cellStyle name="Linked Cell 27 2 2 2 7 3" xfId="27769" xr:uid="{015086BD-8D85-44A1-B745-3402025E91C6}"/>
    <cellStyle name="Linked Cell 27 2 2 2 8" xfId="27770" xr:uid="{0ACE45FF-1799-4E15-8D03-B03E1A79B24D}"/>
    <cellStyle name="Linked Cell 27 2 2 2 8 2" xfId="27771" xr:uid="{C8C9B7C1-09F0-40C8-8075-9D44815554CD}"/>
    <cellStyle name="Linked Cell 27 2 2 2 8 2 2" xfId="27772" xr:uid="{ADD24FDC-2564-4FA2-A32F-733E1AC4A08B}"/>
    <cellStyle name="Linked Cell 27 2 2 2 8 3" xfId="27773" xr:uid="{47A55DF6-CB00-4E24-95E4-848AE6C05010}"/>
    <cellStyle name="Linked Cell 27 2 2 2 9" xfId="27774" xr:uid="{7B0985E7-0D1A-43F3-912C-8963C03F4F7A}"/>
    <cellStyle name="Linked Cell 27 2 2 2 9 2" xfId="27775" xr:uid="{67B525BD-3D7C-4782-8ABA-6BBAA792E39C}"/>
    <cellStyle name="Linked Cell 27 2 2 2 9 2 2" xfId="27776" xr:uid="{1AB3829B-B26C-4D77-AE97-84D33CCB34BF}"/>
    <cellStyle name="Linked Cell 27 2 2 2 9 3" xfId="27777" xr:uid="{0752A818-665B-48EE-9FEE-1332585F862C}"/>
    <cellStyle name="Linked Cell 27 2 2 3" xfId="27778" xr:uid="{283A6F08-27F5-44C6-A791-C20F910263E7}"/>
    <cellStyle name="Linked Cell 27 2 2 3 10" xfId="27779" xr:uid="{72D599AA-AD96-4F64-AE1A-095B0E6FB280}"/>
    <cellStyle name="Linked Cell 27 2 2 3 10 2" xfId="27780" xr:uid="{0830A182-8445-48B1-86E7-EDB549F08ED9}"/>
    <cellStyle name="Linked Cell 27 2 2 3 10 2 2" xfId="27781" xr:uid="{6BE65D5F-5EA4-4EA0-BCCF-B05237CA192A}"/>
    <cellStyle name="Linked Cell 27 2 2 3 10 3" xfId="27782" xr:uid="{86034295-EA32-441C-8248-02C183F1E8EA}"/>
    <cellStyle name="Linked Cell 27 2 2 3 11" xfId="27783" xr:uid="{0298F484-86AC-4179-9ABB-A892FF291336}"/>
    <cellStyle name="Linked Cell 27 2 2 3 11 2" xfId="27784" xr:uid="{B8FF40D5-ABF5-4CCE-B5E2-C71E98936D1A}"/>
    <cellStyle name="Linked Cell 27 2 2 3 12" xfId="27785" xr:uid="{F892A1BB-7DE0-4B44-B820-F7308E29906B}"/>
    <cellStyle name="Linked Cell 27 2 2 3 2" xfId="27786" xr:uid="{B9F9D8CD-51F8-40EA-90D5-1E21A9ABA516}"/>
    <cellStyle name="Linked Cell 27 2 2 3 2 10" xfId="27787" xr:uid="{4C150417-201C-4850-A836-C2475CB46CA9}"/>
    <cellStyle name="Linked Cell 27 2 2 3 2 10 2" xfId="27788" xr:uid="{BCD613FB-7E27-400E-A163-1A55D3CE537D}"/>
    <cellStyle name="Linked Cell 27 2 2 3 2 11" xfId="27789" xr:uid="{A7AE2B4C-C15A-4BC2-A0CE-2BEB4696DCDD}"/>
    <cellStyle name="Linked Cell 27 2 2 3 2 2" xfId="27790" xr:uid="{9272DA9E-490B-4C52-BF34-82332DE50498}"/>
    <cellStyle name="Linked Cell 27 2 2 3 2 2 2" xfId="27791" xr:uid="{A3F212CB-E16F-4D24-9DD3-D2FC248D7FC1}"/>
    <cellStyle name="Linked Cell 27 2 2 3 2 2 2 2" xfId="27792" xr:uid="{411B9F70-6962-4AD2-A758-74935EA6A8B4}"/>
    <cellStyle name="Linked Cell 27 2 2 3 2 2 3" xfId="27793" xr:uid="{E7D99CBF-14FD-4891-85B5-537C1430CDC6}"/>
    <cellStyle name="Linked Cell 27 2 2 3 2 3" xfId="27794" xr:uid="{A9CD2BCC-7958-447B-B1E9-D6EBFCA74238}"/>
    <cellStyle name="Linked Cell 27 2 2 3 2 3 2" xfId="27795" xr:uid="{7E79BE86-5070-41B9-8AA7-F7B6386BCEDC}"/>
    <cellStyle name="Linked Cell 27 2 2 3 2 3 2 2" xfId="27796" xr:uid="{65A93B57-E03D-4396-9C60-D09A2CCD47C5}"/>
    <cellStyle name="Linked Cell 27 2 2 3 2 3 3" xfId="27797" xr:uid="{803511C8-DD25-476A-A3B5-5F03EAEF30D6}"/>
    <cellStyle name="Linked Cell 27 2 2 3 2 4" xfId="27798" xr:uid="{8166251F-82E5-4BF6-B66A-FA86F4B837B2}"/>
    <cellStyle name="Linked Cell 27 2 2 3 2 4 2" xfId="27799" xr:uid="{94851AA4-7197-432F-8CE0-BDBE1B1211C1}"/>
    <cellStyle name="Linked Cell 27 2 2 3 2 4 2 2" xfId="27800" xr:uid="{EFCDCB75-7771-4B64-8635-5C3D2908A6E5}"/>
    <cellStyle name="Linked Cell 27 2 2 3 2 4 3" xfId="27801" xr:uid="{6022853C-F574-430F-9A60-EAA9206CC9D6}"/>
    <cellStyle name="Linked Cell 27 2 2 3 2 5" xfId="27802" xr:uid="{E384760C-DF3F-4C58-9A67-DA0927D8514C}"/>
    <cellStyle name="Linked Cell 27 2 2 3 2 5 2" xfId="27803" xr:uid="{41D140BB-B289-4383-A6D7-FDD2E603CC04}"/>
    <cellStyle name="Linked Cell 27 2 2 3 2 5 2 2" xfId="27804" xr:uid="{A99DA3F9-F849-45B7-BE68-B80AF252C845}"/>
    <cellStyle name="Linked Cell 27 2 2 3 2 5 3" xfId="27805" xr:uid="{C73F9F3F-1749-4776-84DC-BC041A4A77C7}"/>
    <cellStyle name="Linked Cell 27 2 2 3 2 6" xfId="27806" xr:uid="{8EEFF9EC-E4AA-4DBA-8ED6-A6EE32AB8B27}"/>
    <cellStyle name="Linked Cell 27 2 2 3 2 6 2" xfId="27807" xr:uid="{3AEA97D0-58D8-4C91-8F1A-B8354D638778}"/>
    <cellStyle name="Linked Cell 27 2 2 3 2 6 2 2" xfId="27808" xr:uid="{98055DC3-2FEC-4192-8DA6-50E0FF101686}"/>
    <cellStyle name="Linked Cell 27 2 2 3 2 6 3" xfId="27809" xr:uid="{E295AFFE-9786-4616-AF2A-EDCEEBE6D33D}"/>
    <cellStyle name="Linked Cell 27 2 2 3 2 7" xfId="27810" xr:uid="{90AFC452-16C6-4A23-BFAE-A1704BAA86B9}"/>
    <cellStyle name="Linked Cell 27 2 2 3 2 7 2" xfId="27811" xr:uid="{4E721B65-9A4D-43B0-8FCC-F119D72C3912}"/>
    <cellStyle name="Linked Cell 27 2 2 3 2 7 2 2" xfId="27812" xr:uid="{F7B5FCAA-8325-40C8-97C9-935A83D05A16}"/>
    <cellStyle name="Linked Cell 27 2 2 3 2 7 3" xfId="27813" xr:uid="{380306D5-0D18-47E5-AB20-9B9676B1D0F4}"/>
    <cellStyle name="Linked Cell 27 2 2 3 2 8" xfId="27814" xr:uid="{9D4DA08C-A4B1-4E57-9393-89F3293D1FCB}"/>
    <cellStyle name="Linked Cell 27 2 2 3 2 8 2" xfId="27815" xr:uid="{0071B312-7281-4781-9FF9-1AC4E28839E5}"/>
    <cellStyle name="Linked Cell 27 2 2 3 2 8 2 2" xfId="27816" xr:uid="{D1A1A92C-C949-4CF4-AEC7-E72188369227}"/>
    <cellStyle name="Linked Cell 27 2 2 3 2 8 3" xfId="27817" xr:uid="{7F9FD98D-AFD7-425F-9E21-46999D296C7A}"/>
    <cellStyle name="Linked Cell 27 2 2 3 2 9" xfId="27818" xr:uid="{699B64BE-4A5C-4731-B01B-FE1EF0E96425}"/>
    <cellStyle name="Linked Cell 27 2 2 3 2 9 2" xfId="27819" xr:uid="{1B1992E0-C5AC-4C00-B753-A4C56D28598A}"/>
    <cellStyle name="Linked Cell 27 2 2 3 2 9 2 2" xfId="27820" xr:uid="{1CFBF886-1F7E-430A-83F9-D2622A300B45}"/>
    <cellStyle name="Linked Cell 27 2 2 3 2 9 3" xfId="27821" xr:uid="{3D507157-E1B8-4F23-B85B-A7ACE7BBF827}"/>
    <cellStyle name="Linked Cell 27 2 2 3 3" xfId="27822" xr:uid="{17CCE471-D865-49DB-94CD-DF072DA893ED}"/>
    <cellStyle name="Linked Cell 27 2 2 3 3 2" xfId="27823" xr:uid="{4481F220-3995-4CDE-8241-1A8D06461CC6}"/>
    <cellStyle name="Linked Cell 27 2 2 3 3 2 2" xfId="27824" xr:uid="{1796D30E-79E1-4CD3-8A4A-8910786D9E07}"/>
    <cellStyle name="Linked Cell 27 2 2 3 3 3" xfId="27825" xr:uid="{D19A0D07-78EB-4F8D-B573-B593325E8759}"/>
    <cellStyle name="Linked Cell 27 2 2 3 4" xfId="27826" xr:uid="{3104FC3B-1FBB-49BE-AF91-F75C2E5F6122}"/>
    <cellStyle name="Linked Cell 27 2 2 3 4 2" xfId="27827" xr:uid="{8625287E-6C20-4F75-8BA8-5EDA266D7844}"/>
    <cellStyle name="Linked Cell 27 2 2 3 4 2 2" xfId="27828" xr:uid="{7C49A1C3-BF21-4EE3-812E-62713C75F7D4}"/>
    <cellStyle name="Linked Cell 27 2 2 3 4 3" xfId="27829" xr:uid="{B170D3F0-EF56-454F-8325-2574909D46FC}"/>
    <cellStyle name="Linked Cell 27 2 2 3 5" xfId="27830" xr:uid="{A2A6D322-FF2E-43F7-B2A3-54477BE22368}"/>
    <cellStyle name="Linked Cell 27 2 2 3 5 2" xfId="27831" xr:uid="{DEE9AA64-F395-47E1-BF2C-35F9C56B3A43}"/>
    <cellStyle name="Linked Cell 27 2 2 3 5 2 2" xfId="27832" xr:uid="{9782E278-E469-4915-B907-581A2F88CD90}"/>
    <cellStyle name="Linked Cell 27 2 2 3 5 3" xfId="27833" xr:uid="{37D103EB-7FA4-4B21-A58B-404B09530305}"/>
    <cellStyle name="Linked Cell 27 2 2 3 6" xfId="27834" xr:uid="{067C3BC0-4871-4F81-AF4E-B386A158BFFE}"/>
    <cellStyle name="Linked Cell 27 2 2 3 6 2" xfId="27835" xr:uid="{CF100755-BD94-438F-9A18-A8042DC20814}"/>
    <cellStyle name="Linked Cell 27 2 2 3 6 2 2" xfId="27836" xr:uid="{0CEC0067-DD1B-4512-949F-8AB0FB6F1288}"/>
    <cellStyle name="Linked Cell 27 2 2 3 6 3" xfId="27837" xr:uid="{27C8DEA6-988A-4D11-A1E3-7468E30486C4}"/>
    <cellStyle name="Linked Cell 27 2 2 3 7" xfId="27838" xr:uid="{025239B5-5FCB-4B9B-AB2F-1980F82109B9}"/>
    <cellStyle name="Linked Cell 27 2 2 3 7 2" xfId="27839" xr:uid="{82435A38-1964-4D6A-AA85-6A61425EFCF5}"/>
    <cellStyle name="Linked Cell 27 2 2 3 7 2 2" xfId="27840" xr:uid="{71E8231D-75B1-4BF8-95C2-4CD56AD1B1B5}"/>
    <cellStyle name="Linked Cell 27 2 2 3 7 3" xfId="27841" xr:uid="{EC090D23-C207-4B93-A921-CF8F11C0F203}"/>
    <cellStyle name="Linked Cell 27 2 2 3 8" xfId="27842" xr:uid="{2CE1B8BA-204B-42A3-BD38-41412D787B3B}"/>
    <cellStyle name="Linked Cell 27 2 2 3 8 2" xfId="27843" xr:uid="{71CDE449-369A-4D6F-AA54-D9C981862C62}"/>
    <cellStyle name="Linked Cell 27 2 2 3 8 2 2" xfId="27844" xr:uid="{C76DF1BC-56E3-495A-87C0-4C963D83B752}"/>
    <cellStyle name="Linked Cell 27 2 2 3 8 3" xfId="27845" xr:uid="{7E3EBD26-076C-470D-9DE7-E51819EEA69D}"/>
    <cellStyle name="Linked Cell 27 2 2 3 9" xfId="27846" xr:uid="{94CBDE75-1DC1-4A52-B160-7CC840AC6C52}"/>
    <cellStyle name="Linked Cell 27 2 2 3 9 2" xfId="27847" xr:uid="{25A8EDFE-6A17-400F-8352-EA99FE0A52D7}"/>
    <cellStyle name="Linked Cell 27 2 2 3 9 2 2" xfId="27848" xr:uid="{618EEBC5-4E82-4E09-91EB-6106318C5005}"/>
    <cellStyle name="Linked Cell 27 2 2 3 9 3" xfId="27849" xr:uid="{F0BD5192-5CAD-435A-8FE1-A494C4ABB5B6}"/>
    <cellStyle name="Linked Cell 27 2 2 4" xfId="27850" xr:uid="{EC35A7E1-5867-4439-9244-A220C50865CB}"/>
    <cellStyle name="Linked Cell 27 2 2 4 10" xfId="27851" xr:uid="{A296907F-B614-49E3-84DC-32A56FFD6FE8}"/>
    <cellStyle name="Linked Cell 27 2 2 4 10 2" xfId="27852" xr:uid="{C6D21C37-7788-49ED-BD5E-6F41FD465126}"/>
    <cellStyle name="Linked Cell 27 2 2 4 11" xfId="27853" xr:uid="{F612D795-143D-461B-A192-93566E925189}"/>
    <cellStyle name="Linked Cell 27 2 2 4 2" xfId="27854" xr:uid="{0AECE548-351B-4A66-B0B6-7643AAE38B34}"/>
    <cellStyle name="Linked Cell 27 2 2 4 2 2" xfId="27855" xr:uid="{8A451D32-E5C9-473C-9DA6-17681DF6737E}"/>
    <cellStyle name="Linked Cell 27 2 2 4 2 2 2" xfId="27856" xr:uid="{0171AC95-1CBD-471A-847B-84A4532C168C}"/>
    <cellStyle name="Linked Cell 27 2 2 4 2 3" xfId="27857" xr:uid="{EE505BAE-ED66-40BD-B6F2-A14EB3613F07}"/>
    <cellStyle name="Linked Cell 27 2 2 4 3" xfId="27858" xr:uid="{97CE57EF-6497-4F0B-9E78-4450D4BBF990}"/>
    <cellStyle name="Linked Cell 27 2 2 4 3 2" xfId="27859" xr:uid="{D0AD8247-3C39-47BE-8035-B2E5A79C1E70}"/>
    <cellStyle name="Linked Cell 27 2 2 4 3 2 2" xfId="27860" xr:uid="{FEDC5FC2-DE8E-4A9F-A4E3-8D7C49A2759C}"/>
    <cellStyle name="Linked Cell 27 2 2 4 3 3" xfId="27861" xr:uid="{DE51401B-B2C6-4E51-8C62-6E746C9E5E11}"/>
    <cellStyle name="Linked Cell 27 2 2 4 4" xfId="27862" xr:uid="{E7FD296C-FC0A-4D67-BF6D-01D0F6D982EC}"/>
    <cellStyle name="Linked Cell 27 2 2 4 4 2" xfId="27863" xr:uid="{1F30ECB0-3E10-4B79-99D1-65C3C39A75DA}"/>
    <cellStyle name="Linked Cell 27 2 2 4 4 2 2" xfId="27864" xr:uid="{40D9CAD3-4218-44C6-95D2-98D9AE19FE55}"/>
    <cellStyle name="Linked Cell 27 2 2 4 4 3" xfId="27865" xr:uid="{7CF53B87-89EA-43B5-8574-01128DDD982E}"/>
    <cellStyle name="Linked Cell 27 2 2 4 5" xfId="27866" xr:uid="{39377520-086B-4E6A-AD7D-FB79E8CA6BB8}"/>
    <cellStyle name="Linked Cell 27 2 2 4 5 2" xfId="27867" xr:uid="{37CB4A77-04BB-48BC-8AE5-99B8875E6792}"/>
    <cellStyle name="Linked Cell 27 2 2 4 5 2 2" xfId="27868" xr:uid="{8311884E-24A9-420A-858A-D8CF638686D8}"/>
    <cellStyle name="Linked Cell 27 2 2 4 5 3" xfId="27869" xr:uid="{3F2D3B89-E540-4E44-B107-333B6BCC85B7}"/>
    <cellStyle name="Linked Cell 27 2 2 4 6" xfId="27870" xr:uid="{96AA4BA4-F297-4717-A319-CDF912B3C2A0}"/>
    <cellStyle name="Linked Cell 27 2 2 4 6 2" xfId="27871" xr:uid="{A8EC2F23-B190-4CDE-A489-FFB05540D918}"/>
    <cellStyle name="Linked Cell 27 2 2 4 6 2 2" xfId="27872" xr:uid="{968B2E7C-9B76-4460-A7FE-4A2C3483072B}"/>
    <cellStyle name="Linked Cell 27 2 2 4 6 3" xfId="27873" xr:uid="{7162417F-38CA-49DC-9292-7B716015A415}"/>
    <cellStyle name="Linked Cell 27 2 2 4 7" xfId="27874" xr:uid="{78BDE628-DD6E-4A30-AE37-77AD92742809}"/>
    <cellStyle name="Linked Cell 27 2 2 4 7 2" xfId="27875" xr:uid="{67511DD8-1F22-4F59-9FBB-31A5D583D058}"/>
    <cellStyle name="Linked Cell 27 2 2 4 7 2 2" xfId="27876" xr:uid="{A116CF9E-057D-4442-9096-DB9B7470D0BC}"/>
    <cellStyle name="Linked Cell 27 2 2 4 7 3" xfId="27877" xr:uid="{DAAC61B2-AC9D-481B-B5E3-D12BC5BD453F}"/>
    <cellStyle name="Linked Cell 27 2 2 4 8" xfId="27878" xr:uid="{0295E26D-E5DB-495A-BB99-4B614E173355}"/>
    <cellStyle name="Linked Cell 27 2 2 4 8 2" xfId="27879" xr:uid="{8F3E0776-F0A9-435F-B924-5BD55D176B9B}"/>
    <cellStyle name="Linked Cell 27 2 2 4 8 2 2" xfId="27880" xr:uid="{320EF173-7E84-4FF1-A9E4-F5D8836335EE}"/>
    <cellStyle name="Linked Cell 27 2 2 4 8 3" xfId="27881" xr:uid="{7958B2D7-8D50-4301-B40F-0BF9E3721849}"/>
    <cellStyle name="Linked Cell 27 2 2 4 9" xfId="27882" xr:uid="{5E979ECA-4AFE-4B37-BCAB-D0075FDBC78D}"/>
    <cellStyle name="Linked Cell 27 2 2 4 9 2" xfId="27883" xr:uid="{91A5444D-57F8-4434-B59A-4D017E8A4AFD}"/>
    <cellStyle name="Linked Cell 27 2 2 4 9 2 2" xfId="27884" xr:uid="{8C093128-B928-435F-A90A-39B70AD49976}"/>
    <cellStyle name="Linked Cell 27 2 2 4 9 3" xfId="27885" xr:uid="{C204AA94-FF3F-4102-AACD-C4023EC265D9}"/>
    <cellStyle name="Linked Cell 27 2 2 5" xfId="27886" xr:uid="{0633871A-07C4-409A-8AD6-7572269385C9}"/>
    <cellStyle name="Linked Cell 27 2 2 5 2" xfId="27887" xr:uid="{20F5B50F-E280-4659-BF54-C9902A906D6D}"/>
    <cellStyle name="Linked Cell 27 2 2 5 2 2" xfId="27888" xr:uid="{CE9BA900-B63E-4DF6-88DC-583FD4AB73DB}"/>
    <cellStyle name="Linked Cell 27 2 2 5 3" xfId="27889" xr:uid="{65EA15E9-A849-4F9B-81D4-2719CF9CEAB8}"/>
    <cellStyle name="Linked Cell 27 2 2 6" xfId="27890" xr:uid="{30C09C45-DE34-4C8D-91E4-49956C906B9A}"/>
    <cellStyle name="Linked Cell 27 2 2 6 2" xfId="27891" xr:uid="{E6341E13-2C8A-456B-8507-943B018ABFF2}"/>
    <cellStyle name="Linked Cell 27 2 2 6 2 2" xfId="27892" xr:uid="{974F49C8-A016-438A-81C7-709D7E5DB1AC}"/>
    <cellStyle name="Linked Cell 27 2 2 6 3" xfId="27893" xr:uid="{A50062A2-688F-4C4C-8701-3C97E0E9D2A0}"/>
    <cellStyle name="Linked Cell 27 2 2 7" xfId="27894" xr:uid="{6454E7B5-7A9C-4B17-B5B1-B8B39BDC571B}"/>
    <cellStyle name="Linked Cell 27 2 2 7 2" xfId="27895" xr:uid="{D35C02DB-A7E2-4920-9BDC-CEC44B68A90C}"/>
    <cellStyle name="Linked Cell 27 2 2 7 2 2" xfId="27896" xr:uid="{E9C52D43-DFDB-48D6-BEB3-3F2B44F1EB3A}"/>
    <cellStyle name="Linked Cell 27 2 2 7 3" xfId="27897" xr:uid="{E2D672BB-F8EB-455C-9922-6F9B0DA1F724}"/>
    <cellStyle name="Linked Cell 27 2 2 8" xfId="27898" xr:uid="{D51E0BF7-8761-475E-B8DC-77259DFE1DB5}"/>
    <cellStyle name="Linked Cell 27 2 2 8 2" xfId="27899" xr:uid="{E99AA4B4-9E9F-4231-8585-942BE7D2714D}"/>
    <cellStyle name="Linked Cell 27 2 2 8 2 2" xfId="27900" xr:uid="{D561A1AD-500A-41F6-B2F7-A796ACAB59F6}"/>
    <cellStyle name="Linked Cell 27 2 2 8 3" xfId="27901" xr:uid="{690DF8B2-FFD1-4647-8864-26A78B955DE9}"/>
    <cellStyle name="Linked Cell 27 2 2 9" xfId="27902" xr:uid="{47DEBCEE-6565-4CFB-A904-7C428508FE4E}"/>
    <cellStyle name="Linked Cell 27 2 2 9 2" xfId="27903" xr:uid="{873F5544-7C27-41B3-98F7-A7D5607AFB58}"/>
    <cellStyle name="Linked Cell 27 2 2 9 2 2" xfId="27904" xr:uid="{F890CD22-9BB9-4213-9321-66E3752C7E46}"/>
    <cellStyle name="Linked Cell 27 2 2 9 3" xfId="27905" xr:uid="{FA8F14CD-C006-488F-911D-2EC2A40E6736}"/>
    <cellStyle name="Linked Cell 27 2 3" xfId="27906" xr:uid="{E8C61E6A-636A-440A-9C0F-B5DE11EA7DD9}"/>
    <cellStyle name="Linked Cell 27 2 3 10" xfId="27907" xr:uid="{1BEE29BB-39D3-4D56-98DC-6C63FCC05D78}"/>
    <cellStyle name="Linked Cell 27 2 3 10 2" xfId="27908" xr:uid="{57F05493-CF88-462B-8632-1BBFAFAB8D53}"/>
    <cellStyle name="Linked Cell 27 2 3 10 2 2" xfId="27909" xr:uid="{99A5AE38-4F0A-4587-AF38-532D47A9BAE9}"/>
    <cellStyle name="Linked Cell 27 2 3 10 3" xfId="27910" xr:uid="{23E894B3-09E6-48B6-8654-F599E898E5C2}"/>
    <cellStyle name="Linked Cell 27 2 3 11" xfId="27911" xr:uid="{B60325F3-D0B7-440B-8BA5-F9D6FDEE0A66}"/>
    <cellStyle name="Linked Cell 27 2 3 11 2" xfId="27912" xr:uid="{237D61DA-E62C-4C5A-8BDD-142DDA5E0994}"/>
    <cellStyle name="Linked Cell 27 2 3 11 2 2" xfId="27913" xr:uid="{25B7330C-A6BF-459D-8491-CA8D2181B01B}"/>
    <cellStyle name="Linked Cell 27 2 3 11 3" xfId="27914" xr:uid="{6CDBC363-FB06-4096-BD87-B01A2004C013}"/>
    <cellStyle name="Linked Cell 27 2 3 12" xfId="27915" xr:uid="{5A3D12BA-F87C-4B0A-99EA-37348AC19E85}"/>
    <cellStyle name="Linked Cell 27 2 3 12 2" xfId="27916" xr:uid="{6040A901-064B-4E8E-BCC9-8BCE969F3510}"/>
    <cellStyle name="Linked Cell 27 2 3 13" xfId="27917" xr:uid="{A3C4B7EF-5602-4EEC-8DDB-64CAED7CB06B}"/>
    <cellStyle name="Linked Cell 27 2 3 2" xfId="27918" xr:uid="{756ECB82-70C9-4BD7-B2F0-1DFC446F88A5}"/>
    <cellStyle name="Linked Cell 27 2 3 2 10" xfId="27919" xr:uid="{22744B31-0A4C-4695-B44C-C8B395FC5B86}"/>
    <cellStyle name="Linked Cell 27 2 3 2 10 2" xfId="27920" xr:uid="{F496241D-0016-4FA3-9BCF-4AC934CFFAFF}"/>
    <cellStyle name="Linked Cell 27 2 3 2 10 2 2" xfId="27921" xr:uid="{9A3A0F7F-621D-4591-9E0B-59B00D1D3382}"/>
    <cellStyle name="Linked Cell 27 2 3 2 10 3" xfId="27922" xr:uid="{5C4E880E-505B-402A-B05B-91770BB2064B}"/>
    <cellStyle name="Linked Cell 27 2 3 2 11" xfId="27923" xr:uid="{137B3632-387A-4C84-9E23-009837B7AE51}"/>
    <cellStyle name="Linked Cell 27 2 3 2 11 2" xfId="27924" xr:uid="{1974E97E-D9AB-4498-ADED-CB05AFE9546F}"/>
    <cellStyle name="Linked Cell 27 2 3 2 12" xfId="27925" xr:uid="{FBA9CB47-5AFF-404F-85A9-A8C555C747CD}"/>
    <cellStyle name="Linked Cell 27 2 3 2 2" xfId="27926" xr:uid="{55571849-9D30-4886-BF03-57AC6C2111EF}"/>
    <cellStyle name="Linked Cell 27 2 3 2 2 2" xfId="27927" xr:uid="{E3732F65-2679-4569-AE61-DDBBE3D1F304}"/>
    <cellStyle name="Linked Cell 27 2 3 2 2 2 2" xfId="27928" xr:uid="{C696ED0F-5DFD-4711-8E75-E4A7CF34DE38}"/>
    <cellStyle name="Linked Cell 27 2 3 2 2 3" xfId="27929" xr:uid="{12F6640A-2159-4487-AC3E-921C8F60A3ED}"/>
    <cellStyle name="Linked Cell 27 2 3 2 3" xfId="27930" xr:uid="{CB1BB4CF-098C-422E-B180-69D9DD06755F}"/>
    <cellStyle name="Linked Cell 27 2 3 2 3 2" xfId="27931" xr:uid="{1550E3FB-BA23-415A-ADD6-F74A85AC1A24}"/>
    <cellStyle name="Linked Cell 27 2 3 2 3 2 2" xfId="27932" xr:uid="{CAB9E20E-067E-4B50-97C4-61AB5803F46A}"/>
    <cellStyle name="Linked Cell 27 2 3 2 3 3" xfId="27933" xr:uid="{B06CB164-45FB-4C67-B130-D6227C5202D7}"/>
    <cellStyle name="Linked Cell 27 2 3 2 4" xfId="27934" xr:uid="{E9CAB2B8-1980-4C98-9236-7C7437A1B93B}"/>
    <cellStyle name="Linked Cell 27 2 3 2 4 2" xfId="27935" xr:uid="{5C64DF34-49E2-4436-915B-7BE2048E236A}"/>
    <cellStyle name="Linked Cell 27 2 3 2 4 2 2" xfId="27936" xr:uid="{562B93FE-80B1-417A-876E-B0900DAAA514}"/>
    <cellStyle name="Linked Cell 27 2 3 2 4 3" xfId="27937" xr:uid="{E004088B-2489-42E9-8B64-91E756FF1B4A}"/>
    <cellStyle name="Linked Cell 27 2 3 2 5" xfId="27938" xr:uid="{0E874996-5F7D-485C-B477-B33DCF392161}"/>
    <cellStyle name="Linked Cell 27 2 3 2 5 2" xfId="27939" xr:uid="{1BFC3274-0335-45B5-BFC7-F93AE572FCCF}"/>
    <cellStyle name="Linked Cell 27 2 3 2 5 2 2" xfId="27940" xr:uid="{3CF0EBA1-7545-4048-8632-9BDDBDBC4839}"/>
    <cellStyle name="Linked Cell 27 2 3 2 5 3" xfId="27941" xr:uid="{5E7809F0-C07F-4AFE-87FE-B8464F46A37F}"/>
    <cellStyle name="Linked Cell 27 2 3 2 6" xfId="27942" xr:uid="{A785F3ED-6D01-4ECF-9B09-A58F632574EC}"/>
    <cellStyle name="Linked Cell 27 2 3 2 6 2" xfId="27943" xr:uid="{03F6012E-6F8A-4EE2-A7B7-0A647D099DA1}"/>
    <cellStyle name="Linked Cell 27 2 3 2 6 2 2" xfId="27944" xr:uid="{2F6CD6D6-426A-442C-9B92-7CAB54E01256}"/>
    <cellStyle name="Linked Cell 27 2 3 2 6 3" xfId="27945" xr:uid="{62F7D2FA-E159-4237-802D-51A28E09C726}"/>
    <cellStyle name="Linked Cell 27 2 3 2 7" xfId="27946" xr:uid="{6AD4A436-32FF-40D1-986A-E026EC7A87DF}"/>
    <cellStyle name="Linked Cell 27 2 3 2 7 2" xfId="27947" xr:uid="{342BF50D-9A78-445B-BB22-508B1D61BD67}"/>
    <cellStyle name="Linked Cell 27 2 3 2 7 2 2" xfId="27948" xr:uid="{AE4930A2-BAB1-485F-8B19-ECE5276EBDD2}"/>
    <cellStyle name="Linked Cell 27 2 3 2 7 3" xfId="27949" xr:uid="{D9CF8E1D-42FD-4223-AE5B-E738F6594EAA}"/>
    <cellStyle name="Linked Cell 27 2 3 2 8" xfId="27950" xr:uid="{53E4956D-91F8-433C-84C2-8CE0698206E4}"/>
    <cellStyle name="Linked Cell 27 2 3 2 8 2" xfId="27951" xr:uid="{ECE669F1-D1D7-4801-94DC-A9B772A0E763}"/>
    <cellStyle name="Linked Cell 27 2 3 2 8 2 2" xfId="27952" xr:uid="{26CFCBB0-93AD-4797-8F60-095F4F7318BB}"/>
    <cellStyle name="Linked Cell 27 2 3 2 8 3" xfId="27953" xr:uid="{AD27447C-0891-4A48-8224-388728A683E7}"/>
    <cellStyle name="Linked Cell 27 2 3 2 9" xfId="27954" xr:uid="{B246B641-C3DB-41DA-A413-173A98035963}"/>
    <cellStyle name="Linked Cell 27 2 3 2 9 2" xfId="27955" xr:uid="{4CCA177D-DA48-4EC9-AA14-2C05BCC628EC}"/>
    <cellStyle name="Linked Cell 27 2 3 2 9 2 2" xfId="27956" xr:uid="{BA7139C4-2C68-4147-BD05-74CE36D3CFD2}"/>
    <cellStyle name="Linked Cell 27 2 3 2 9 3" xfId="27957" xr:uid="{41B5E5AE-8858-4E0E-B23C-C310B1F466CA}"/>
    <cellStyle name="Linked Cell 27 2 3 3" xfId="27958" xr:uid="{1A783D7D-82BD-44B8-85FA-7939DD5421FA}"/>
    <cellStyle name="Linked Cell 27 2 3 3 10" xfId="27959" xr:uid="{B0078D9B-FDB9-44C3-BCB8-46FEB309B2B4}"/>
    <cellStyle name="Linked Cell 27 2 3 3 10 2" xfId="27960" xr:uid="{CB9B8DA6-FCE1-4164-B9C6-8C51BA05EAA2}"/>
    <cellStyle name="Linked Cell 27 2 3 3 11" xfId="27961" xr:uid="{964BC0CC-5754-4D5A-89B1-857B0893E23B}"/>
    <cellStyle name="Linked Cell 27 2 3 3 2" xfId="27962" xr:uid="{2CEDC5E5-C484-44A5-8BF5-C3B308387ADE}"/>
    <cellStyle name="Linked Cell 27 2 3 3 2 2" xfId="27963" xr:uid="{2CFB34CD-0720-4FBD-8CD8-32FB29A65E17}"/>
    <cellStyle name="Linked Cell 27 2 3 3 2 2 2" xfId="27964" xr:uid="{19447060-D898-492A-879A-056804161679}"/>
    <cellStyle name="Linked Cell 27 2 3 3 2 3" xfId="27965" xr:uid="{2A3168D3-4584-42D4-9927-B2E75107823F}"/>
    <cellStyle name="Linked Cell 27 2 3 3 3" xfId="27966" xr:uid="{9B2D9A46-6C60-49C7-8D28-50302543B2BD}"/>
    <cellStyle name="Linked Cell 27 2 3 3 3 2" xfId="27967" xr:uid="{B5B77259-DE07-4AFB-A00E-24D0003002D3}"/>
    <cellStyle name="Linked Cell 27 2 3 3 3 2 2" xfId="27968" xr:uid="{E264752F-6CD6-476C-AD0A-4D6390394A22}"/>
    <cellStyle name="Linked Cell 27 2 3 3 3 3" xfId="27969" xr:uid="{AA06267A-5AFA-487E-99B6-F6E804E4B5E1}"/>
    <cellStyle name="Linked Cell 27 2 3 3 4" xfId="27970" xr:uid="{D5C6C5C0-8C90-4EF8-8A91-6787141572CD}"/>
    <cellStyle name="Linked Cell 27 2 3 3 4 2" xfId="27971" xr:uid="{FA238E91-24DE-4AAA-ADF6-68E264949DA0}"/>
    <cellStyle name="Linked Cell 27 2 3 3 4 2 2" xfId="27972" xr:uid="{DA68FFC3-9598-4CED-95B0-CA11E027CE9C}"/>
    <cellStyle name="Linked Cell 27 2 3 3 4 3" xfId="27973" xr:uid="{4A75C932-5D1A-4608-9A9B-E41D2B4BF287}"/>
    <cellStyle name="Linked Cell 27 2 3 3 5" xfId="27974" xr:uid="{EB2E1C40-E7FE-4A4A-8E46-97007032AF79}"/>
    <cellStyle name="Linked Cell 27 2 3 3 5 2" xfId="27975" xr:uid="{B668FFCC-3E1D-40DA-9E88-8C3737380595}"/>
    <cellStyle name="Linked Cell 27 2 3 3 5 2 2" xfId="27976" xr:uid="{94439468-6CED-4AD0-8FC5-64FBF3BE329A}"/>
    <cellStyle name="Linked Cell 27 2 3 3 5 3" xfId="27977" xr:uid="{DBEE9602-7C71-4B8A-B393-715FF18A4001}"/>
    <cellStyle name="Linked Cell 27 2 3 3 6" xfId="27978" xr:uid="{EB5FB7D6-EDAB-427A-8B3D-53A73052BE08}"/>
    <cellStyle name="Linked Cell 27 2 3 3 6 2" xfId="27979" xr:uid="{0A93D72A-09EA-4992-A419-87A642D252F9}"/>
    <cellStyle name="Linked Cell 27 2 3 3 6 2 2" xfId="27980" xr:uid="{02DF9C55-97CE-4E4D-AEF9-D65A1060F056}"/>
    <cellStyle name="Linked Cell 27 2 3 3 6 3" xfId="27981" xr:uid="{F5467E9E-77D1-4817-854C-F64B11F6395F}"/>
    <cellStyle name="Linked Cell 27 2 3 3 7" xfId="27982" xr:uid="{A39CCB51-8AD5-4AB0-A584-7C4F447F3267}"/>
    <cellStyle name="Linked Cell 27 2 3 3 7 2" xfId="27983" xr:uid="{0D06FB5E-1423-4877-B46F-8098CDB12D85}"/>
    <cellStyle name="Linked Cell 27 2 3 3 7 2 2" xfId="27984" xr:uid="{1C219739-CBF8-4F3F-AFCA-01509C4CBEA9}"/>
    <cellStyle name="Linked Cell 27 2 3 3 7 3" xfId="27985" xr:uid="{AB4EDB69-D090-49E4-BAC6-D2EF3C7F7975}"/>
    <cellStyle name="Linked Cell 27 2 3 3 8" xfId="27986" xr:uid="{73A8CFA3-6F62-4FB5-B978-A63C6797B294}"/>
    <cellStyle name="Linked Cell 27 2 3 3 8 2" xfId="27987" xr:uid="{D1E89654-E7A1-437C-94FF-50C1C8F1535A}"/>
    <cellStyle name="Linked Cell 27 2 3 3 8 2 2" xfId="27988" xr:uid="{C769FD66-F9F7-4D24-8060-2382B49663CE}"/>
    <cellStyle name="Linked Cell 27 2 3 3 8 3" xfId="27989" xr:uid="{753E0322-05FF-4AB4-8D93-1D601180D9BA}"/>
    <cellStyle name="Linked Cell 27 2 3 3 9" xfId="27990" xr:uid="{B73406CB-52D5-430E-896E-8CC3B123E069}"/>
    <cellStyle name="Linked Cell 27 2 3 3 9 2" xfId="27991" xr:uid="{3DE3BFF4-2C75-45A8-A9DF-BD68C9FD6CC6}"/>
    <cellStyle name="Linked Cell 27 2 3 3 9 2 2" xfId="27992" xr:uid="{2CF128C6-71C8-4DFC-B3C3-2B39BF959C11}"/>
    <cellStyle name="Linked Cell 27 2 3 3 9 3" xfId="27993" xr:uid="{CE0113C2-BF06-4AEA-988F-6605ED85E2FD}"/>
    <cellStyle name="Linked Cell 27 2 3 4" xfId="27994" xr:uid="{D438BC4C-0DF6-4E28-BA61-5DA03B84F010}"/>
    <cellStyle name="Linked Cell 27 2 3 4 2" xfId="27995" xr:uid="{C715A5EE-FE91-4217-8B80-9A7CD6D4E9F3}"/>
    <cellStyle name="Linked Cell 27 2 3 4 2 2" xfId="27996" xr:uid="{D28BD62C-A815-4682-8EF3-5450F01F27F6}"/>
    <cellStyle name="Linked Cell 27 2 3 4 3" xfId="27997" xr:uid="{2C562024-7543-4D3C-BAAA-D6C7721AE0D2}"/>
    <cellStyle name="Linked Cell 27 2 3 5" xfId="27998" xr:uid="{0F861351-EE0F-4C08-9E2E-A8E0B9FEFB0C}"/>
    <cellStyle name="Linked Cell 27 2 3 5 2" xfId="27999" xr:uid="{A71448C3-A3F5-4F02-91EF-441989408544}"/>
    <cellStyle name="Linked Cell 27 2 3 5 2 2" xfId="28000" xr:uid="{6429D36E-9C4B-49D7-9272-63D2A5A97064}"/>
    <cellStyle name="Linked Cell 27 2 3 5 3" xfId="28001" xr:uid="{D3C6390F-873F-480D-B56E-BB71BEFF4718}"/>
    <cellStyle name="Linked Cell 27 2 3 6" xfId="28002" xr:uid="{66D38F89-EF96-433D-AB37-42BC8E04CBBC}"/>
    <cellStyle name="Linked Cell 27 2 3 6 2" xfId="28003" xr:uid="{1C7FC20C-2DF0-4C1D-AB73-15932AF6B65C}"/>
    <cellStyle name="Linked Cell 27 2 3 6 2 2" xfId="28004" xr:uid="{A2A92AD2-DA24-4BF6-A2D5-0626928BAB19}"/>
    <cellStyle name="Linked Cell 27 2 3 6 3" xfId="28005" xr:uid="{56DD59D5-0BB4-4872-9B8D-8A703CC58828}"/>
    <cellStyle name="Linked Cell 27 2 3 7" xfId="28006" xr:uid="{258FCEE0-7D1C-4328-B8D8-B6126780F021}"/>
    <cellStyle name="Linked Cell 27 2 3 7 2" xfId="28007" xr:uid="{BCFCD9FB-4150-44EA-9871-E3575E6BB58B}"/>
    <cellStyle name="Linked Cell 27 2 3 7 2 2" xfId="28008" xr:uid="{A06A6CF5-C177-44C6-927D-48E765EFB257}"/>
    <cellStyle name="Linked Cell 27 2 3 7 3" xfId="28009" xr:uid="{EFCFA598-1A16-4C02-AB2D-90EC9A8B0824}"/>
    <cellStyle name="Linked Cell 27 2 3 8" xfId="28010" xr:uid="{E76981F3-0EA2-4544-981A-A46B92EC879A}"/>
    <cellStyle name="Linked Cell 27 2 3 8 2" xfId="28011" xr:uid="{C18F9A67-A82A-4440-BFA8-0B41C9BF20AD}"/>
    <cellStyle name="Linked Cell 27 2 3 8 2 2" xfId="28012" xr:uid="{161E4206-D214-4B46-847D-1018A1C260D3}"/>
    <cellStyle name="Linked Cell 27 2 3 8 3" xfId="28013" xr:uid="{DE6DE107-B746-4CFF-82ED-520F952D1A42}"/>
    <cellStyle name="Linked Cell 27 2 3 9" xfId="28014" xr:uid="{8595E413-99B4-4951-9C57-9D1E450C041B}"/>
    <cellStyle name="Linked Cell 27 2 3 9 2" xfId="28015" xr:uid="{344BE5B5-6E10-4547-B30E-ECBA59F0175D}"/>
    <cellStyle name="Linked Cell 27 2 3 9 2 2" xfId="28016" xr:uid="{176BB4A6-E9C8-4B3B-96F2-3EE57484E7BE}"/>
    <cellStyle name="Linked Cell 27 2 3 9 3" xfId="28017" xr:uid="{7BB059D8-7FE6-40D1-9735-AD3A61AFB665}"/>
    <cellStyle name="Linked Cell 27 2 4" xfId="28018" xr:uid="{EFF6C829-061D-42BD-87D9-EDA253B70C20}"/>
    <cellStyle name="Linked Cell 27 2 4 10" xfId="28019" xr:uid="{A9ADEDED-E231-4AA1-B27F-26D250EAAB2C}"/>
    <cellStyle name="Linked Cell 27 2 4 10 2" xfId="28020" xr:uid="{F40FB2C5-0CA5-4A72-8628-D787E2AD075F}"/>
    <cellStyle name="Linked Cell 27 2 4 10 2 2" xfId="28021" xr:uid="{6D1CACA0-59C4-4934-B731-07D5ADC30992}"/>
    <cellStyle name="Linked Cell 27 2 4 10 3" xfId="28022" xr:uid="{CF39EF9E-857F-45BA-B225-BF162D4AF162}"/>
    <cellStyle name="Linked Cell 27 2 4 11" xfId="28023" xr:uid="{CD94ECC2-5FE8-44F7-906A-AB785E852D48}"/>
    <cellStyle name="Linked Cell 27 2 4 11 2" xfId="28024" xr:uid="{DFC7E108-2F55-4DF3-A13C-99752BCF513C}"/>
    <cellStyle name="Linked Cell 27 2 4 12" xfId="28025" xr:uid="{04D09D89-6C57-4406-9C1C-3C8D58CFB49E}"/>
    <cellStyle name="Linked Cell 27 2 4 2" xfId="28026" xr:uid="{A485B3AE-F6C7-4DAC-AC1C-D2886AD9BD41}"/>
    <cellStyle name="Linked Cell 27 2 4 2 10" xfId="28027" xr:uid="{79775B61-A539-4D20-BA6D-62384CA59066}"/>
    <cellStyle name="Linked Cell 27 2 4 2 10 2" xfId="28028" xr:uid="{F9D1FB27-6C68-46CF-8213-45A124E69681}"/>
    <cellStyle name="Linked Cell 27 2 4 2 11" xfId="28029" xr:uid="{73585A53-A4FB-4C4A-BF7B-F0BD675DD667}"/>
    <cellStyle name="Linked Cell 27 2 4 2 2" xfId="28030" xr:uid="{EAFBAFF3-98DE-42FA-B396-64DAB409FC50}"/>
    <cellStyle name="Linked Cell 27 2 4 2 2 2" xfId="28031" xr:uid="{C15386A9-1AF6-45DE-ACA2-B66508278997}"/>
    <cellStyle name="Linked Cell 27 2 4 2 2 2 2" xfId="28032" xr:uid="{A6FE2DC6-6905-47B2-9C4C-8AF7F5E13EB0}"/>
    <cellStyle name="Linked Cell 27 2 4 2 2 3" xfId="28033" xr:uid="{082A6D2D-F9B4-42E9-ACD6-4EAC0C14AEFA}"/>
    <cellStyle name="Linked Cell 27 2 4 2 3" xfId="28034" xr:uid="{2C02A4D7-B766-4294-94BE-A455B456A748}"/>
    <cellStyle name="Linked Cell 27 2 4 2 3 2" xfId="28035" xr:uid="{E80F1BDF-E60D-42BF-AB98-C5BD73792CDC}"/>
    <cellStyle name="Linked Cell 27 2 4 2 3 2 2" xfId="28036" xr:uid="{1A72F468-5D40-451B-88B7-B5022E1DA3E8}"/>
    <cellStyle name="Linked Cell 27 2 4 2 3 3" xfId="28037" xr:uid="{FF69FE28-B2B3-4BBE-9F51-08CD1144A413}"/>
    <cellStyle name="Linked Cell 27 2 4 2 4" xfId="28038" xr:uid="{8FFB0B0B-66AE-4860-B160-62ECD1E5339D}"/>
    <cellStyle name="Linked Cell 27 2 4 2 4 2" xfId="28039" xr:uid="{3C59F40B-28F7-49D2-9912-0289145095E1}"/>
    <cellStyle name="Linked Cell 27 2 4 2 4 2 2" xfId="28040" xr:uid="{EA4D1DBA-BCB9-4204-9F74-A6737C85DDD1}"/>
    <cellStyle name="Linked Cell 27 2 4 2 4 3" xfId="28041" xr:uid="{7FB7B54E-945D-4D2A-B174-05C8498CDA4D}"/>
    <cellStyle name="Linked Cell 27 2 4 2 5" xfId="28042" xr:uid="{0F93BBB9-7840-4D06-A896-12E3A05BD339}"/>
    <cellStyle name="Linked Cell 27 2 4 2 5 2" xfId="28043" xr:uid="{3C8C9FD9-901C-48B1-87FE-15E93DE22A83}"/>
    <cellStyle name="Linked Cell 27 2 4 2 5 2 2" xfId="28044" xr:uid="{26F123D3-681D-4641-8E58-EEC0C41FEE4F}"/>
    <cellStyle name="Linked Cell 27 2 4 2 5 3" xfId="28045" xr:uid="{35A78A55-0849-43EB-87FE-684B10257ACD}"/>
    <cellStyle name="Linked Cell 27 2 4 2 6" xfId="28046" xr:uid="{012E17E8-F418-48C8-8ACB-CDEC085E33E9}"/>
    <cellStyle name="Linked Cell 27 2 4 2 6 2" xfId="28047" xr:uid="{C7A0C138-7C48-4F16-9151-89B0815477DE}"/>
    <cellStyle name="Linked Cell 27 2 4 2 6 2 2" xfId="28048" xr:uid="{AAE34A32-BFD2-45F7-A385-F7406A3CBABE}"/>
    <cellStyle name="Linked Cell 27 2 4 2 6 3" xfId="28049" xr:uid="{4BCA1872-FF39-4649-8B40-CE6ECC3E20A5}"/>
    <cellStyle name="Linked Cell 27 2 4 2 7" xfId="28050" xr:uid="{05A109A8-02CF-467F-B82F-246F71FD1014}"/>
    <cellStyle name="Linked Cell 27 2 4 2 7 2" xfId="28051" xr:uid="{2F6E93A7-8704-4B7B-8E7A-5C9A386E3E06}"/>
    <cellStyle name="Linked Cell 27 2 4 2 7 2 2" xfId="28052" xr:uid="{2F603377-129C-4772-A60C-EAEDD39219FF}"/>
    <cellStyle name="Linked Cell 27 2 4 2 7 3" xfId="28053" xr:uid="{EAB7D010-08D7-4E44-9806-11424ECD125C}"/>
    <cellStyle name="Linked Cell 27 2 4 2 8" xfId="28054" xr:uid="{3D77D73C-7BC2-48D7-A863-03FBAD3DF46F}"/>
    <cellStyle name="Linked Cell 27 2 4 2 8 2" xfId="28055" xr:uid="{11314B12-A21F-42B9-BEE5-8CBA0B0FE6E5}"/>
    <cellStyle name="Linked Cell 27 2 4 2 8 2 2" xfId="28056" xr:uid="{3F68E2A4-C2D9-4DC4-A547-E23C3F513A2D}"/>
    <cellStyle name="Linked Cell 27 2 4 2 8 3" xfId="28057" xr:uid="{16B24C18-5107-41F2-A71D-22DB8FFD05B3}"/>
    <cellStyle name="Linked Cell 27 2 4 2 9" xfId="28058" xr:uid="{A716E484-42D1-47F0-A2A1-A4A9BB031CBD}"/>
    <cellStyle name="Linked Cell 27 2 4 2 9 2" xfId="28059" xr:uid="{E9718BA5-6E55-4FEF-BE49-795A717D0D2E}"/>
    <cellStyle name="Linked Cell 27 2 4 2 9 2 2" xfId="28060" xr:uid="{CFC262C4-7E84-4864-9325-7A6ED61C216A}"/>
    <cellStyle name="Linked Cell 27 2 4 2 9 3" xfId="28061" xr:uid="{62852A15-8BAD-423D-9056-F2C63CD7E098}"/>
    <cellStyle name="Linked Cell 27 2 4 3" xfId="28062" xr:uid="{72AC3AE8-4D1B-491B-AB52-ED70BBB84742}"/>
    <cellStyle name="Linked Cell 27 2 4 3 2" xfId="28063" xr:uid="{3BEB7FB4-8A46-4301-95E4-9900DB9CF91E}"/>
    <cellStyle name="Linked Cell 27 2 4 3 2 2" xfId="28064" xr:uid="{660C46B6-7741-45B4-BA85-53EBAFE75E9C}"/>
    <cellStyle name="Linked Cell 27 2 4 3 3" xfId="28065" xr:uid="{9CFB7855-07A7-4E28-9F25-FBC9202A3813}"/>
    <cellStyle name="Linked Cell 27 2 4 4" xfId="28066" xr:uid="{82172CAA-27C6-4F3E-B16E-DA1056D9FA4D}"/>
    <cellStyle name="Linked Cell 27 2 4 4 2" xfId="28067" xr:uid="{D974DD96-72A7-4FFC-89A9-B4B788DEFF35}"/>
    <cellStyle name="Linked Cell 27 2 4 4 2 2" xfId="28068" xr:uid="{FE960678-8B5A-4116-9976-EFF003C8DE1D}"/>
    <cellStyle name="Linked Cell 27 2 4 4 3" xfId="28069" xr:uid="{2B030C39-27DE-41BC-A629-83ABF1E7F47F}"/>
    <cellStyle name="Linked Cell 27 2 4 5" xfId="28070" xr:uid="{B74E22AC-7705-4D25-930A-994FA810336E}"/>
    <cellStyle name="Linked Cell 27 2 4 5 2" xfId="28071" xr:uid="{D95F3AAE-5099-4FBA-AB13-C114870A68A4}"/>
    <cellStyle name="Linked Cell 27 2 4 5 2 2" xfId="28072" xr:uid="{6E323190-D64D-4CDA-89D6-403A2FFFDC5B}"/>
    <cellStyle name="Linked Cell 27 2 4 5 3" xfId="28073" xr:uid="{3DC585DC-A6A2-4CAB-9511-518D7BE9CD65}"/>
    <cellStyle name="Linked Cell 27 2 4 6" xfId="28074" xr:uid="{BEBE57D0-FB23-46B9-B74A-5FCF28E40E90}"/>
    <cellStyle name="Linked Cell 27 2 4 6 2" xfId="28075" xr:uid="{C53208AC-F9C8-4959-A80F-A45F2153C20D}"/>
    <cellStyle name="Linked Cell 27 2 4 6 2 2" xfId="28076" xr:uid="{74A40E53-C49D-42AE-94C6-3BC553AF2BFE}"/>
    <cellStyle name="Linked Cell 27 2 4 6 3" xfId="28077" xr:uid="{861974C3-6D84-4C9B-A76A-2AEB3451DF8D}"/>
    <cellStyle name="Linked Cell 27 2 4 7" xfId="28078" xr:uid="{65A092D0-1632-40E7-A979-F58C1C70B73F}"/>
    <cellStyle name="Linked Cell 27 2 4 7 2" xfId="28079" xr:uid="{8F5B23D6-7689-4B7D-8C82-D98E7BDB42B5}"/>
    <cellStyle name="Linked Cell 27 2 4 7 2 2" xfId="28080" xr:uid="{A7F2F3B4-DC27-4E92-8573-C2D747516794}"/>
    <cellStyle name="Linked Cell 27 2 4 7 3" xfId="28081" xr:uid="{AB108CF2-C6BC-44B6-AFE0-B9B23DBB9EF9}"/>
    <cellStyle name="Linked Cell 27 2 4 8" xfId="28082" xr:uid="{214187AE-4242-423A-9394-30B737FD6897}"/>
    <cellStyle name="Linked Cell 27 2 4 8 2" xfId="28083" xr:uid="{3EED2B43-5A0D-4993-A881-E8CA2D1392BB}"/>
    <cellStyle name="Linked Cell 27 2 4 8 2 2" xfId="28084" xr:uid="{573EEC36-E4B6-4265-A05C-63F85059E426}"/>
    <cellStyle name="Linked Cell 27 2 4 8 3" xfId="28085" xr:uid="{BC33A091-2695-4025-96FD-71A5B27A3530}"/>
    <cellStyle name="Linked Cell 27 2 4 9" xfId="28086" xr:uid="{9241378C-8C87-4245-8AA2-68B01B7F064F}"/>
    <cellStyle name="Linked Cell 27 2 4 9 2" xfId="28087" xr:uid="{2ACFA05A-42F8-421C-A188-6678A117BAFB}"/>
    <cellStyle name="Linked Cell 27 2 4 9 2 2" xfId="28088" xr:uid="{3E6E271E-7D01-45F9-B9EF-ABBEA063EC7E}"/>
    <cellStyle name="Linked Cell 27 2 4 9 3" xfId="28089" xr:uid="{507EED63-A74E-48C2-B6AE-76C806D499C4}"/>
    <cellStyle name="Linked Cell 27 2 5" xfId="28090" xr:uid="{695158A5-8BB0-4E1C-B228-95029C749D82}"/>
    <cellStyle name="Linked Cell 27 2 5 10" xfId="28091" xr:uid="{7D4CB7C8-C2E7-47F5-BDBF-35F5AA7F28AB}"/>
    <cellStyle name="Linked Cell 27 2 5 10 2" xfId="28092" xr:uid="{C56FA2A8-0E96-4BAB-BBE3-2FFD614A9141}"/>
    <cellStyle name="Linked Cell 27 2 5 11" xfId="28093" xr:uid="{6DF55E57-D3E4-4F5C-9C68-4A285C865401}"/>
    <cellStyle name="Linked Cell 27 2 5 2" xfId="28094" xr:uid="{CFEB8A66-E68E-4D52-AA5D-2364BA44FE63}"/>
    <cellStyle name="Linked Cell 27 2 5 2 2" xfId="28095" xr:uid="{4D169A9F-182C-4D04-8D62-E4C0E502DBAB}"/>
    <cellStyle name="Linked Cell 27 2 5 2 2 2" xfId="28096" xr:uid="{29F8701D-8F70-4364-B3AE-127DCAABCED0}"/>
    <cellStyle name="Linked Cell 27 2 5 2 3" xfId="28097" xr:uid="{9BDF0506-DCC2-4276-AA00-7C58789AA058}"/>
    <cellStyle name="Linked Cell 27 2 5 3" xfId="28098" xr:uid="{D2F552C5-694A-4EAC-A66A-018B8A7D8444}"/>
    <cellStyle name="Linked Cell 27 2 5 3 2" xfId="28099" xr:uid="{15E68ACA-D668-49AD-955F-F04A6C82EAFA}"/>
    <cellStyle name="Linked Cell 27 2 5 3 2 2" xfId="28100" xr:uid="{C8BF9CF0-1A46-4ED7-9D41-7D57410EED02}"/>
    <cellStyle name="Linked Cell 27 2 5 3 3" xfId="28101" xr:uid="{230EEAFB-9C76-4969-ABEF-3C4702FB4983}"/>
    <cellStyle name="Linked Cell 27 2 5 4" xfId="28102" xr:uid="{79144422-E321-428F-B546-97579EBA2B51}"/>
    <cellStyle name="Linked Cell 27 2 5 4 2" xfId="28103" xr:uid="{9C39543D-1F10-4DF1-9DE3-E26F72ACE13C}"/>
    <cellStyle name="Linked Cell 27 2 5 4 2 2" xfId="28104" xr:uid="{D3E2FD22-6F4C-48FE-9067-D50568518BEB}"/>
    <cellStyle name="Linked Cell 27 2 5 4 3" xfId="28105" xr:uid="{70AA5D07-BC7A-4EE9-9368-35B7170645F9}"/>
    <cellStyle name="Linked Cell 27 2 5 5" xfId="28106" xr:uid="{EDDB40EE-5082-4C2F-8F79-516BACC8B6C4}"/>
    <cellStyle name="Linked Cell 27 2 5 5 2" xfId="28107" xr:uid="{3915C30B-6D12-4646-BB35-6FD04386E65D}"/>
    <cellStyle name="Linked Cell 27 2 5 5 2 2" xfId="28108" xr:uid="{F264BF8E-83BA-4B10-9D5E-6E086D869083}"/>
    <cellStyle name="Linked Cell 27 2 5 5 3" xfId="28109" xr:uid="{5E4CC4A9-F8D5-460D-BC70-9012096EDBCD}"/>
    <cellStyle name="Linked Cell 27 2 5 6" xfId="28110" xr:uid="{6BAB2DAF-F208-4ECA-9040-928651B5A762}"/>
    <cellStyle name="Linked Cell 27 2 5 6 2" xfId="28111" xr:uid="{BAF244CA-3E62-4BB3-A150-CC26133C7280}"/>
    <cellStyle name="Linked Cell 27 2 5 6 2 2" xfId="28112" xr:uid="{751AD719-ADB3-4F87-A536-A053BB1CEA84}"/>
    <cellStyle name="Linked Cell 27 2 5 6 3" xfId="28113" xr:uid="{030F6D8A-7ADC-4B4E-B074-B67B1B67BC85}"/>
    <cellStyle name="Linked Cell 27 2 5 7" xfId="28114" xr:uid="{7BDE6F58-C885-4428-8041-FC2A93E0FD88}"/>
    <cellStyle name="Linked Cell 27 2 5 7 2" xfId="28115" xr:uid="{CA45A918-ED2B-44C5-89C5-5D1BBAA5981A}"/>
    <cellStyle name="Linked Cell 27 2 5 7 2 2" xfId="28116" xr:uid="{708E6AC3-AF58-458E-9F8E-E01C8D03375B}"/>
    <cellStyle name="Linked Cell 27 2 5 7 3" xfId="28117" xr:uid="{FA6AB085-B6B2-4451-B9E8-310CC3F58167}"/>
    <cellStyle name="Linked Cell 27 2 5 8" xfId="28118" xr:uid="{D8E3D86D-91CF-441E-BA5A-2F978D19E17B}"/>
    <cellStyle name="Linked Cell 27 2 5 8 2" xfId="28119" xr:uid="{118BEF48-8CE0-47A1-8FEE-D2A08B213377}"/>
    <cellStyle name="Linked Cell 27 2 5 8 2 2" xfId="28120" xr:uid="{B34EDD83-1298-4D6F-A623-DCE9881226F5}"/>
    <cellStyle name="Linked Cell 27 2 5 8 3" xfId="28121" xr:uid="{23A9D390-3C34-4E96-A44F-ED811072C723}"/>
    <cellStyle name="Linked Cell 27 2 5 9" xfId="28122" xr:uid="{3F26B857-9952-4419-A725-3338CC0B9DE4}"/>
    <cellStyle name="Linked Cell 27 2 5 9 2" xfId="28123" xr:uid="{F15D3B6A-0B1C-4AC7-8226-5BDCB0F0219B}"/>
    <cellStyle name="Linked Cell 27 2 5 9 2 2" xfId="28124" xr:uid="{8F52C07A-C489-467E-BC32-AF602B33CA55}"/>
    <cellStyle name="Linked Cell 27 2 5 9 3" xfId="28125" xr:uid="{5FCBC02A-454F-4D79-836F-1F197A234275}"/>
    <cellStyle name="Linked Cell 27 2 6" xfId="28126" xr:uid="{7B658F1E-7D1A-42CD-81BB-9DB7D6C425DC}"/>
    <cellStyle name="Linked Cell 27 2 6 2" xfId="28127" xr:uid="{8201A1B5-D4AC-4D10-AAE2-DA9FFEF772E2}"/>
    <cellStyle name="Linked Cell 27 2 6 2 2" xfId="28128" xr:uid="{FDB6CA0D-E5E8-4196-835B-103B1AE14165}"/>
    <cellStyle name="Linked Cell 27 2 6 3" xfId="28129" xr:uid="{CF59B9A8-348A-4DF7-8106-43A66E1A20DC}"/>
    <cellStyle name="Linked Cell 27 2 7" xfId="28130" xr:uid="{824070FB-5C7C-4CD9-8FD3-7339B59D6E38}"/>
    <cellStyle name="Linked Cell 27 2 7 2" xfId="28131" xr:uid="{A3A4197C-96FE-4899-BB12-62579450FFCC}"/>
    <cellStyle name="Linked Cell 27 2 7 2 2" xfId="28132" xr:uid="{9F599A1D-B730-4789-BA33-0CDE19217859}"/>
    <cellStyle name="Linked Cell 27 2 7 3" xfId="28133" xr:uid="{4D3ED4B3-8145-4EAA-A9A1-4430E78B1021}"/>
    <cellStyle name="Linked Cell 27 2 8" xfId="28134" xr:uid="{2136F7C7-4CA8-4338-A0F7-4AD48452601D}"/>
    <cellStyle name="Linked Cell 27 2 8 2" xfId="28135" xr:uid="{D392E6E5-79B5-4BED-A5B8-A91AD2C696BA}"/>
    <cellStyle name="Linked Cell 27 2 8 2 2" xfId="28136" xr:uid="{F6192D1D-71EF-438E-B4D0-89CE8F1BD5FE}"/>
    <cellStyle name="Linked Cell 27 2 8 3" xfId="28137" xr:uid="{E63513E5-C393-470E-8270-CC3B8CFE6F6F}"/>
    <cellStyle name="Linked Cell 27 2 9" xfId="28138" xr:uid="{1EF0867B-C7AE-47B3-B7BA-5AC6CCE401A5}"/>
    <cellStyle name="Linked Cell 27 2 9 2" xfId="28139" xr:uid="{2C0346DF-2BFE-4E61-9B9F-89AB1CD00386}"/>
    <cellStyle name="Linked Cell 27 2 9 2 2" xfId="28140" xr:uid="{BE4048A0-09FB-48C7-A6B4-7FB9A8EE19B1}"/>
    <cellStyle name="Linked Cell 27 2 9 3" xfId="28141" xr:uid="{F9A1FCB3-E003-4EC5-B619-B41D241EB84F}"/>
    <cellStyle name="Linked Cell 27 3" xfId="28142" xr:uid="{B80EFECF-2036-48C1-B4B9-FDEC06C7F37D}"/>
    <cellStyle name="Linked Cell 27 3 10" xfId="28143" xr:uid="{278E4CFE-BE61-4910-82A5-1B1B6F3B30E3}"/>
    <cellStyle name="Linked Cell 27 3 10 2" xfId="28144" xr:uid="{492E008D-BFCC-452B-8A69-1761B9FAABAE}"/>
    <cellStyle name="Linked Cell 27 3 10 2 2" xfId="28145" xr:uid="{081AE6C4-E21D-4E82-8768-9CC010D84A4F}"/>
    <cellStyle name="Linked Cell 27 3 10 3" xfId="28146" xr:uid="{C9B7C27E-D0B0-448F-9568-963668C8560A}"/>
    <cellStyle name="Linked Cell 27 3 11" xfId="28147" xr:uid="{68B79EE7-67A0-4796-ADF1-F0D5515F6579}"/>
    <cellStyle name="Linked Cell 27 3 11 2" xfId="28148" xr:uid="{D2D3D936-E98E-4496-8FDC-52A486AD3778}"/>
    <cellStyle name="Linked Cell 27 3 11 2 2" xfId="28149" xr:uid="{B34814BB-441E-4BA8-8247-8C76ECB48118}"/>
    <cellStyle name="Linked Cell 27 3 11 3" xfId="28150" xr:uid="{B4ABEA2B-1061-48E4-8A80-BF1EA88A6AC6}"/>
    <cellStyle name="Linked Cell 27 3 12" xfId="28151" xr:uid="{B3A7728A-327F-47F6-A739-4C2EF2178913}"/>
    <cellStyle name="Linked Cell 27 3 12 2" xfId="28152" xr:uid="{114308B7-4E4F-4D78-B912-2C563962A076}"/>
    <cellStyle name="Linked Cell 27 3 12 2 2" xfId="28153" xr:uid="{3A883024-1950-4766-891F-D32D047AAD59}"/>
    <cellStyle name="Linked Cell 27 3 12 3" xfId="28154" xr:uid="{CB030C5F-7815-4281-9DBE-A02FC7A742E7}"/>
    <cellStyle name="Linked Cell 27 3 13" xfId="28155" xr:uid="{E6A10043-DA9F-4C02-B0A3-0575E108FD48}"/>
    <cellStyle name="Linked Cell 27 3 13 2" xfId="28156" xr:uid="{31C25C95-83B5-4275-8A1B-4691F49284E5}"/>
    <cellStyle name="Linked Cell 27 3 14" xfId="28157" xr:uid="{056176BF-6850-4FA2-855E-ABD13A47B496}"/>
    <cellStyle name="Linked Cell 27 3 2" xfId="28158" xr:uid="{A3AB19BF-0D91-4A55-8D1E-8068B0EDB88F}"/>
    <cellStyle name="Linked Cell 27 3 2 10" xfId="28159" xr:uid="{41BBC029-2A55-434E-A948-8E8A77AC45FD}"/>
    <cellStyle name="Linked Cell 27 3 2 10 2" xfId="28160" xr:uid="{7AD4AC93-B4FE-4038-AA49-FC1D26BE1546}"/>
    <cellStyle name="Linked Cell 27 3 2 10 2 2" xfId="28161" xr:uid="{826F13AE-82E7-4C5D-837D-EA6DDFEDCE63}"/>
    <cellStyle name="Linked Cell 27 3 2 10 3" xfId="28162" xr:uid="{483EF957-83FE-41A6-9D9F-44A0A84AEB54}"/>
    <cellStyle name="Linked Cell 27 3 2 11" xfId="28163" xr:uid="{417F9420-C2DF-4D97-960E-B1AF1C4E9AC2}"/>
    <cellStyle name="Linked Cell 27 3 2 11 2" xfId="28164" xr:uid="{A4086643-9C90-4F19-A796-55F7134E1561}"/>
    <cellStyle name="Linked Cell 27 3 2 11 2 2" xfId="28165" xr:uid="{B1E07A08-31C5-4D4E-9899-7AE70CDFD379}"/>
    <cellStyle name="Linked Cell 27 3 2 11 3" xfId="28166" xr:uid="{950D9F8A-B2C2-4DBD-A053-A4E1F71E4C2D}"/>
    <cellStyle name="Linked Cell 27 3 2 12" xfId="28167" xr:uid="{90A7077A-C589-4571-8359-0133837E02A7}"/>
    <cellStyle name="Linked Cell 27 3 2 12 2" xfId="28168" xr:uid="{A77D5CE3-0443-44DD-8E1B-7E61B7F44703}"/>
    <cellStyle name="Linked Cell 27 3 2 13" xfId="28169" xr:uid="{7D13CAA8-4FC9-4B20-A9FB-E7C3567F9ECC}"/>
    <cellStyle name="Linked Cell 27 3 2 2" xfId="28170" xr:uid="{17D56703-CFFD-4193-9E8C-7FC1BBFD9935}"/>
    <cellStyle name="Linked Cell 27 3 2 2 10" xfId="28171" xr:uid="{C5813366-F6A7-4C56-AB56-86FE695A254E}"/>
    <cellStyle name="Linked Cell 27 3 2 2 10 2" xfId="28172" xr:uid="{45B67F88-C383-4FE5-BCDB-76ECF80D2231}"/>
    <cellStyle name="Linked Cell 27 3 2 2 10 2 2" xfId="28173" xr:uid="{CFA7CA4D-C99F-4887-9CE5-9461AA6D1306}"/>
    <cellStyle name="Linked Cell 27 3 2 2 10 3" xfId="28174" xr:uid="{93C3B103-7026-41B5-B71A-76BDDA7ECED2}"/>
    <cellStyle name="Linked Cell 27 3 2 2 11" xfId="28175" xr:uid="{064EC5A8-2E42-4590-94E1-5EBB62FCCB16}"/>
    <cellStyle name="Linked Cell 27 3 2 2 11 2" xfId="28176" xr:uid="{BF0CDBF0-C6C0-478A-8CE3-4288A9D75963}"/>
    <cellStyle name="Linked Cell 27 3 2 2 12" xfId="28177" xr:uid="{37BCACE1-9875-495B-A6B0-52E31561077B}"/>
    <cellStyle name="Linked Cell 27 3 2 2 2" xfId="28178" xr:uid="{2940ED92-C0F1-4C03-A51F-0E461BEF6E24}"/>
    <cellStyle name="Linked Cell 27 3 2 2 2 2" xfId="28179" xr:uid="{EBE695A5-D861-41F7-AFBD-4A62B6739430}"/>
    <cellStyle name="Linked Cell 27 3 2 2 2 2 2" xfId="28180" xr:uid="{BC78C041-C14A-4672-A962-F2AE413DF51D}"/>
    <cellStyle name="Linked Cell 27 3 2 2 2 3" xfId="28181" xr:uid="{37B15B63-7534-48ED-A84C-D6173AF183E0}"/>
    <cellStyle name="Linked Cell 27 3 2 2 3" xfId="28182" xr:uid="{EDADD52E-F04F-4C0A-BDE2-8BBF768501B5}"/>
    <cellStyle name="Linked Cell 27 3 2 2 3 2" xfId="28183" xr:uid="{B6FC4A34-3EC6-4A35-9507-6F9AFF1C0F15}"/>
    <cellStyle name="Linked Cell 27 3 2 2 3 2 2" xfId="28184" xr:uid="{A6055FDB-C747-459D-BDC6-E78FED2A5C1A}"/>
    <cellStyle name="Linked Cell 27 3 2 2 3 3" xfId="28185" xr:uid="{92112FCB-BE51-4E27-B4AE-D7B464751022}"/>
    <cellStyle name="Linked Cell 27 3 2 2 4" xfId="28186" xr:uid="{0182B20D-67CD-4E41-AD15-129FF23C54B9}"/>
    <cellStyle name="Linked Cell 27 3 2 2 4 2" xfId="28187" xr:uid="{B50825E2-A088-4749-9952-C7C924679DED}"/>
    <cellStyle name="Linked Cell 27 3 2 2 4 2 2" xfId="28188" xr:uid="{FE035D4F-A235-40E7-963D-82F7DB670327}"/>
    <cellStyle name="Linked Cell 27 3 2 2 4 3" xfId="28189" xr:uid="{2C5AB417-4D35-4436-91D2-8D7F6DD66251}"/>
    <cellStyle name="Linked Cell 27 3 2 2 5" xfId="28190" xr:uid="{B5B7F6B8-3100-4A10-B1F7-10580E09762F}"/>
    <cellStyle name="Linked Cell 27 3 2 2 5 2" xfId="28191" xr:uid="{E5DDA609-3250-4000-AB08-2928E4F51227}"/>
    <cellStyle name="Linked Cell 27 3 2 2 5 2 2" xfId="28192" xr:uid="{61C80367-14F1-4668-9C0A-B52039D9B484}"/>
    <cellStyle name="Linked Cell 27 3 2 2 5 3" xfId="28193" xr:uid="{164D791F-B04B-4B17-BECC-79B13D9CF620}"/>
    <cellStyle name="Linked Cell 27 3 2 2 6" xfId="28194" xr:uid="{35CBCFF3-7CA5-4FF4-A15A-7B2EC06334B7}"/>
    <cellStyle name="Linked Cell 27 3 2 2 6 2" xfId="28195" xr:uid="{8AC839F9-BC0C-4A4F-8C59-7C62B9BEB1A5}"/>
    <cellStyle name="Linked Cell 27 3 2 2 6 2 2" xfId="28196" xr:uid="{BF3AA757-0105-46EC-8827-3F8991EACAD9}"/>
    <cellStyle name="Linked Cell 27 3 2 2 6 3" xfId="28197" xr:uid="{FFCBC95F-ED55-44F4-A23B-B4BA8629FB6B}"/>
    <cellStyle name="Linked Cell 27 3 2 2 7" xfId="28198" xr:uid="{6E289721-A51C-426A-9E7D-C64402731FCA}"/>
    <cellStyle name="Linked Cell 27 3 2 2 7 2" xfId="28199" xr:uid="{5663804A-78CF-4D73-9D1C-F718BD7E8301}"/>
    <cellStyle name="Linked Cell 27 3 2 2 7 2 2" xfId="28200" xr:uid="{DEB80DEA-BBFE-43BA-8A89-B50E732C66E8}"/>
    <cellStyle name="Linked Cell 27 3 2 2 7 3" xfId="28201" xr:uid="{61B5276F-4978-438F-ACC4-544EDCC6F7D3}"/>
    <cellStyle name="Linked Cell 27 3 2 2 8" xfId="28202" xr:uid="{01C5D797-6E1F-457E-88E8-1BE29D10DB3A}"/>
    <cellStyle name="Linked Cell 27 3 2 2 8 2" xfId="28203" xr:uid="{6948191D-5EEF-4492-B8FF-07971BA8E507}"/>
    <cellStyle name="Linked Cell 27 3 2 2 8 2 2" xfId="28204" xr:uid="{CCEF9C7B-8FFA-4E39-B65D-4F34685193EC}"/>
    <cellStyle name="Linked Cell 27 3 2 2 8 3" xfId="28205" xr:uid="{A3A76DE4-85F0-4370-81A8-4B02C4E7C7FC}"/>
    <cellStyle name="Linked Cell 27 3 2 2 9" xfId="28206" xr:uid="{DCB007FB-2091-43C5-824D-5DCBD2CF9E78}"/>
    <cellStyle name="Linked Cell 27 3 2 2 9 2" xfId="28207" xr:uid="{27E1EF6E-22BE-4A0B-AB71-4E99BD641673}"/>
    <cellStyle name="Linked Cell 27 3 2 2 9 2 2" xfId="28208" xr:uid="{57819F86-8F71-4581-9794-D3F1E3BA9937}"/>
    <cellStyle name="Linked Cell 27 3 2 2 9 3" xfId="28209" xr:uid="{D14FC169-D793-4DE4-BB6B-1E850F804319}"/>
    <cellStyle name="Linked Cell 27 3 2 3" xfId="28210" xr:uid="{BC85FE7E-336A-4967-BCBA-9393FC3C4D84}"/>
    <cellStyle name="Linked Cell 27 3 2 3 10" xfId="28211" xr:uid="{33C85FEB-6BBE-404A-B9BE-6813255608E6}"/>
    <cellStyle name="Linked Cell 27 3 2 3 10 2" xfId="28212" xr:uid="{79DBA05F-CBC0-4D90-92EF-CE073360E753}"/>
    <cellStyle name="Linked Cell 27 3 2 3 11" xfId="28213" xr:uid="{8267B45A-F95C-4EF2-AFF1-43C42494BCE5}"/>
    <cellStyle name="Linked Cell 27 3 2 3 2" xfId="28214" xr:uid="{2D010904-63E1-4C7A-93A5-110D906C5C64}"/>
    <cellStyle name="Linked Cell 27 3 2 3 2 2" xfId="28215" xr:uid="{EC85BD61-95DC-4ED1-BA6C-25944FC4F830}"/>
    <cellStyle name="Linked Cell 27 3 2 3 2 2 2" xfId="28216" xr:uid="{A96019D6-214A-4C66-B65D-436F7F7062D1}"/>
    <cellStyle name="Linked Cell 27 3 2 3 2 3" xfId="28217" xr:uid="{47D8945C-5209-41D5-B268-2F962C43D2A4}"/>
    <cellStyle name="Linked Cell 27 3 2 3 3" xfId="28218" xr:uid="{55FCC898-8001-432C-851E-CDC50D0BA53A}"/>
    <cellStyle name="Linked Cell 27 3 2 3 3 2" xfId="28219" xr:uid="{7713528C-362C-4104-93E7-63AF25C4279B}"/>
    <cellStyle name="Linked Cell 27 3 2 3 3 2 2" xfId="28220" xr:uid="{D06CEB95-FA8D-4332-AF25-D37C08FF9668}"/>
    <cellStyle name="Linked Cell 27 3 2 3 3 3" xfId="28221" xr:uid="{C9ED721A-A93F-4624-85F9-F8FEC94062A0}"/>
    <cellStyle name="Linked Cell 27 3 2 3 4" xfId="28222" xr:uid="{98D9A0EB-DB97-45EF-B8D6-8DAB7F8C20AC}"/>
    <cellStyle name="Linked Cell 27 3 2 3 4 2" xfId="28223" xr:uid="{41AC2BFC-D225-4677-AE40-343FFA6D8159}"/>
    <cellStyle name="Linked Cell 27 3 2 3 4 2 2" xfId="28224" xr:uid="{5016440B-5ED3-4D51-8805-061558ADD629}"/>
    <cellStyle name="Linked Cell 27 3 2 3 4 3" xfId="28225" xr:uid="{E54EB1CB-BCD0-4321-ABCC-EE6B97E29131}"/>
    <cellStyle name="Linked Cell 27 3 2 3 5" xfId="28226" xr:uid="{C24F10CE-6A93-422F-A773-1FEC719BDCD7}"/>
    <cellStyle name="Linked Cell 27 3 2 3 5 2" xfId="28227" xr:uid="{F4FCF92D-457F-45D8-A113-CD584E30F3DD}"/>
    <cellStyle name="Linked Cell 27 3 2 3 5 2 2" xfId="28228" xr:uid="{F7F51FDE-6AC5-4F1F-9D1E-1D45C1A44C30}"/>
    <cellStyle name="Linked Cell 27 3 2 3 5 3" xfId="28229" xr:uid="{5772C3AF-1AE5-4050-81FA-07643EB2356F}"/>
    <cellStyle name="Linked Cell 27 3 2 3 6" xfId="28230" xr:uid="{A6DFE8EB-899C-4BD2-A5D8-C171A05C0CEB}"/>
    <cellStyle name="Linked Cell 27 3 2 3 6 2" xfId="28231" xr:uid="{9B6DEAB3-E231-44BF-9BDD-DCCE635BCC45}"/>
    <cellStyle name="Linked Cell 27 3 2 3 6 2 2" xfId="28232" xr:uid="{75BF2187-A10E-4B28-8833-8654B6DB71F5}"/>
    <cellStyle name="Linked Cell 27 3 2 3 6 3" xfId="28233" xr:uid="{15D1E34C-A898-4593-9D79-23DAFA5F7B7C}"/>
    <cellStyle name="Linked Cell 27 3 2 3 7" xfId="28234" xr:uid="{18D370B3-5FE8-4B51-B4BF-E22D87FD9EA1}"/>
    <cellStyle name="Linked Cell 27 3 2 3 7 2" xfId="28235" xr:uid="{E8EEAB25-F241-4567-A6E3-1D0189CD45F4}"/>
    <cellStyle name="Linked Cell 27 3 2 3 7 2 2" xfId="28236" xr:uid="{226FFFC2-68C6-47D7-B882-0190ADC4D36D}"/>
    <cellStyle name="Linked Cell 27 3 2 3 7 3" xfId="28237" xr:uid="{E3D9FE5A-6155-4C86-AD25-13BC16933064}"/>
    <cellStyle name="Linked Cell 27 3 2 3 8" xfId="28238" xr:uid="{37033D42-9B35-47B5-93FC-160E4060CFFE}"/>
    <cellStyle name="Linked Cell 27 3 2 3 8 2" xfId="28239" xr:uid="{CBF849E6-C6CF-4260-9859-73A2FB5895BD}"/>
    <cellStyle name="Linked Cell 27 3 2 3 8 2 2" xfId="28240" xr:uid="{B06227B4-8E10-4B26-A68F-B04FF02C8351}"/>
    <cellStyle name="Linked Cell 27 3 2 3 8 3" xfId="28241" xr:uid="{2E393515-A0D0-40D2-92B8-FA679CA955A8}"/>
    <cellStyle name="Linked Cell 27 3 2 3 9" xfId="28242" xr:uid="{D87F68BE-CF43-4886-9F32-7D7CB051A665}"/>
    <cellStyle name="Linked Cell 27 3 2 3 9 2" xfId="28243" xr:uid="{EE29BFEA-1C2F-4EA9-8C0D-43E254D37968}"/>
    <cellStyle name="Linked Cell 27 3 2 3 9 2 2" xfId="28244" xr:uid="{9BDFA047-DCF7-41B8-9AB1-5ADC0D1E5760}"/>
    <cellStyle name="Linked Cell 27 3 2 3 9 3" xfId="28245" xr:uid="{2E1D7899-C326-491F-B140-86C1DDA0F771}"/>
    <cellStyle name="Linked Cell 27 3 2 4" xfId="28246" xr:uid="{D75AC72F-073A-4F48-9036-8D834DD81F8C}"/>
    <cellStyle name="Linked Cell 27 3 2 4 2" xfId="28247" xr:uid="{B823975A-4F26-4916-B865-4291AB63FE65}"/>
    <cellStyle name="Linked Cell 27 3 2 4 2 2" xfId="28248" xr:uid="{D84965DD-F623-4827-BA4D-F72BC89CDE75}"/>
    <cellStyle name="Linked Cell 27 3 2 4 3" xfId="28249" xr:uid="{D89FCDCB-7A93-496D-A13E-1769A0BBE750}"/>
    <cellStyle name="Linked Cell 27 3 2 5" xfId="28250" xr:uid="{87147F55-D7F3-4A90-BD62-5B16677FC39B}"/>
    <cellStyle name="Linked Cell 27 3 2 5 2" xfId="28251" xr:uid="{B25F6402-0E76-4B18-8CFE-BDEAE4B13D6A}"/>
    <cellStyle name="Linked Cell 27 3 2 5 2 2" xfId="28252" xr:uid="{1ADD7C36-1C2D-490F-B90A-03DF51B13F2A}"/>
    <cellStyle name="Linked Cell 27 3 2 5 3" xfId="28253" xr:uid="{6A13C848-CB0F-4340-8B36-DAFE3538DFC6}"/>
    <cellStyle name="Linked Cell 27 3 2 6" xfId="28254" xr:uid="{E96C7413-B858-46ED-A91A-F753C4BFE63E}"/>
    <cellStyle name="Linked Cell 27 3 2 6 2" xfId="28255" xr:uid="{30119A9E-DDFC-4DFF-822F-CAF03FF2265A}"/>
    <cellStyle name="Linked Cell 27 3 2 6 2 2" xfId="28256" xr:uid="{5CB7AAA3-9A43-49C7-8AC0-541CE7B4630E}"/>
    <cellStyle name="Linked Cell 27 3 2 6 3" xfId="28257" xr:uid="{04D7E723-4DA8-4257-B153-D1B1F4E4E1ED}"/>
    <cellStyle name="Linked Cell 27 3 2 7" xfId="28258" xr:uid="{69BF7A43-C25E-4550-A9A5-47DB26D4385D}"/>
    <cellStyle name="Linked Cell 27 3 2 7 2" xfId="28259" xr:uid="{F41B57E9-BC53-4582-A469-C02D6327994A}"/>
    <cellStyle name="Linked Cell 27 3 2 7 2 2" xfId="28260" xr:uid="{8D4EDBC7-DFA6-409F-8553-E2DCAF37BCAD}"/>
    <cellStyle name="Linked Cell 27 3 2 7 3" xfId="28261" xr:uid="{696DEB6A-6FFD-4B20-A893-39D565CE4C49}"/>
    <cellStyle name="Linked Cell 27 3 2 8" xfId="28262" xr:uid="{0D234061-D589-480C-8EE8-93065EA3720B}"/>
    <cellStyle name="Linked Cell 27 3 2 8 2" xfId="28263" xr:uid="{D95D72FC-BDC6-4D04-990E-893C4F5055B9}"/>
    <cellStyle name="Linked Cell 27 3 2 8 2 2" xfId="28264" xr:uid="{CD725057-6FB9-4A55-B5D2-4932BA612C28}"/>
    <cellStyle name="Linked Cell 27 3 2 8 3" xfId="28265" xr:uid="{64C91C45-A837-41FD-A84C-F7996AD5B8F9}"/>
    <cellStyle name="Linked Cell 27 3 2 9" xfId="28266" xr:uid="{289E90FD-0EA7-487A-9949-E65E298577C9}"/>
    <cellStyle name="Linked Cell 27 3 2 9 2" xfId="28267" xr:uid="{B291F25A-143C-4AB5-8E43-C1EEA72863CA}"/>
    <cellStyle name="Linked Cell 27 3 2 9 2 2" xfId="28268" xr:uid="{CC1F026A-C920-4854-BF59-243AEABE5DB8}"/>
    <cellStyle name="Linked Cell 27 3 2 9 3" xfId="28269" xr:uid="{107EED5E-B81A-407D-8FED-8C2666636CBC}"/>
    <cellStyle name="Linked Cell 27 3 3" xfId="28270" xr:uid="{55A20FC6-AD8B-4F3D-A0EA-162E56E56C65}"/>
    <cellStyle name="Linked Cell 27 3 3 10" xfId="28271" xr:uid="{B9B9D581-9492-44DD-9A47-CC4C68FA1CA9}"/>
    <cellStyle name="Linked Cell 27 3 3 10 2" xfId="28272" xr:uid="{1A8DD638-8DAB-40FB-9A36-48D03B7379FC}"/>
    <cellStyle name="Linked Cell 27 3 3 10 2 2" xfId="28273" xr:uid="{32A99878-9BF3-4686-8516-28CFE030D9C9}"/>
    <cellStyle name="Linked Cell 27 3 3 10 3" xfId="28274" xr:uid="{3AC99D97-B164-4E04-8C18-3B60F0519306}"/>
    <cellStyle name="Linked Cell 27 3 3 11" xfId="28275" xr:uid="{94CB9728-2654-4153-A62C-E936C3B0A8E9}"/>
    <cellStyle name="Linked Cell 27 3 3 11 2" xfId="28276" xr:uid="{DD160D3B-0DD2-416E-A2C4-D982FBE73F63}"/>
    <cellStyle name="Linked Cell 27 3 3 12" xfId="28277" xr:uid="{DDB758FC-D7E9-48DB-BE69-A31BCE72479D}"/>
    <cellStyle name="Linked Cell 27 3 3 2" xfId="28278" xr:uid="{6E17F6BB-5FFA-4358-9B79-EC17F7113C42}"/>
    <cellStyle name="Linked Cell 27 3 3 2 10" xfId="28279" xr:uid="{8A023027-4838-4723-B4BE-FDFABB46DA22}"/>
    <cellStyle name="Linked Cell 27 3 3 2 10 2" xfId="28280" xr:uid="{343B987F-82BB-4F60-801A-E38F052A71CD}"/>
    <cellStyle name="Linked Cell 27 3 3 2 11" xfId="28281" xr:uid="{2CCA4213-A90C-4245-B73F-45808DED168E}"/>
    <cellStyle name="Linked Cell 27 3 3 2 2" xfId="28282" xr:uid="{D93B21B7-D3DD-48B1-8251-7F99BEEE1566}"/>
    <cellStyle name="Linked Cell 27 3 3 2 2 2" xfId="28283" xr:uid="{8FF92DF9-FB6C-433D-A25E-9F85E714E895}"/>
    <cellStyle name="Linked Cell 27 3 3 2 2 2 2" xfId="28284" xr:uid="{D8BC26A4-C766-4D06-BCB2-253F8E69C423}"/>
    <cellStyle name="Linked Cell 27 3 3 2 2 3" xfId="28285" xr:uid="{643A61DF-2119-45BB-B80B-51AE36845044}"/>
    <cellStyle name="Linked Cell 27 3 3 2 3" xfId="28286" xr:uid="{7436722D-8DC4-41D7-84D1-EF664D26870F}"/>
    <cellStyle name="Linked Cell 27 3 3 2 3 2" xfId="28287" xr:uid="{252332F7-E329-4C82-846E-4941B81BB390}"/>
    <cellStyle name="Linked Cell 27 3 3 2 3 2 2" xfId="28288" xr:uid="{0AF99563-FA48-4ED0-9486-03F7F95FC847}"/>
    <cellStyle name="Linked Cell 27 3 3 2 3 3" xfId="28289" xr:uid="{303AD2AE-F7C9-41F5-876B-381CDC6991B1}"/>
    <cellStyle name="Linked Cell 27 3 3 2 4" xfId="28290" xr:uid="{B62B7670-7251-4ACA-A645-8142373605B5}"/>
    <cellStyle name="Linked Cell 27 3 3 2 4 2" xfId="28291" xr:uid="{55AD0D10-F6BE-41A0-AFBA-D9E771410EEA}"/>
    <cellStyle name="Linked Cell 27 3 3 2 4 2 2" xfId="28292" xr:uid="{9BAE512B-A431-4ED2-89B3-A36FBA611663}"/>
    <cellStyle name="Linked Cell 27 3 3 2 4 3" xfId="28293" xr:uid="{3708105C-E9CA-49EA-9829-FDC3DF3CDAEC}"/>
    <cellStyle name="Linked Cell 27 3 3 2 5" xfId="28294" xr:uid="{D04FC3DA-6339-4FA4-B15E-8DEE672541B7}"/>
    <cellStyle name="Linked Cell 27 3 3 2 5 2" xfId="28295" xr:uid="{E87A0803-5686-4366-831B-38B3D801321E}"/>
    <cellStyle name="Linked Cell 27 3 3 2 5 2 2" xfId="28296" xr:uid="{D40701FF-8CC2-4AEA-A6CA-3A341CCBCB8F}"/>
    <cellStyle name="Linked Cell 27 3 3 2 5 3" xfId="28297" xr:uid="{E659B37A-BD59-4267-B983-BB77A7DCCC32}"/>
    <cellStyle name="Linked Cell 27 3 3 2 6" xfId="28298" xr:uid="{2FD62568-9F89-489C-BE5B-D9A48C354964}"/>
    <cellStyle name="Linked Cell 27 3 3 2 6 2" xfId="28299" xr:uid="{70ACA80E-5E46-4BE1-9817-C1EF9C41247E}"/>
    <cellStyle name="Linked Cell 27 3 3 2 6 2 2" xfId="28300" xr:uid="{9CB172D1-4E54-4E2A-8CFA-0B41A14CD6A5}"/>
    <cellStyle name="Linked Cell 27 3 3 2 6 3" xfId="28301" xr:uid="{00993888-029E-4492-B555-AAFED00E31FE}"/>
    <cellStyle name="Linked Cell 27 3 3 2 7" xfId="28302" xr:uid="{5544BFB3-C8D0-48F5-913C-46EFADB56D36}"/>
    <cellStyle name="Linked Cell 27 3 3 2 7 2" xfId="28303" xr:uid="{A86E1AC2-E75A-4BFD-9EC3-1A38E301AE20}"/>
    <cellStyle name="Linked Cell 27 3 3 2 7 2 2" xfId="28304" xr:uid="{83553C71-A5A7-4128-9D71-FA55C4D78C20}"/>
    <cellStyle name="Linked Cell 27 3 3 2 7 3" xfId="28305" xr:uid="{26746C3B-B579-4A96-98EF-8D5E494C4519}"/>
    <cellStyle name="Linked Cell 27 3 3 2 8" xfId="28306" xr:uid="{C42E1DEA-3502-4ED0-B6C7-073BDA7E5A36}"/>
    <cellStyle name="Linked Cell 27 3 3 2 8 2" xfId="28307" xr:uid="{983D3CCA-234D-4A22-BE98-61A5D54F9CD2}"/>
    <cellStyle name="Linked Cell 27 3 3 2 8 2 2" xfId="28308" xr:uid="{3F74D524-2AB5-423D-82D8-8AE82EA4B9E4}"/>
    <cellStyle name="Linked Cell 27 3 3 2 8 3" xfId="28309" xr:uid="{75B4AEB4-EFF7-4CD7-91FD-DA2BE931A211}"/>
    <cellStyle name="Linked Cell 27 3 3 2 9" xfId="28310" xr:uid="{038DCF60-D4A7-41BD-9884-FED677D4C3F2}"/>
    <cellStyle name="Linked Cell 27 3 3 2 9 2" xfId="28311" xr:uid="{B8594DD7-1990-468E-88E3-6F4E3D381D03}"/>
    <cellStyle name="Linked Cell 27 3 3 2 9 2 2" xfId="28312" xr:uid="{586F06EA-39EC-4BF8-9958-EAE63459999A}"/>
    <cellStyle name="Linked Cell 27 3 3 2 9 3" xfId="28313" xr:uid="{260382D1-676D-4016-9A0B-E4B995A68708}"/>
    <cellStyle name="Linked Cell 27 3 3 3" xfId="28314" xr:uid="{1B51416A-FBB2-44D3-8943-549905CAC82E}"/>
    <cellStyle name="Linked Cell 27 3 3 3 2" xfId="28315" xr:uid="{1CD91C32-E3AD-490D-BDC5-24E1C8252E28}"/>
    <cellStyle name="Linked Cell 27 3 3 3 2 2" xfId="28316" xr:uid="{41FE064D-9756-4042-AD0D-5D3596440EC1}"/>
    <cellStyle name="Linked Cell 27 3 3 3 3" xfId="28317" xr:uid="{34DFED05-EE84-4861-9273-98CC60457A69}"/>
    <cellStyle name="Linked Cell 27 3 3 4" xfId="28318" xr:uid="{F1585141-CDA6-4F3F-AB01-411A33E753C3}"/>
    <cellStyle name="Linked Cell 27 3 3 4 2" xfId="28319" xr:uid="{0E18A1C9-36A9-4B5F-8A57-C28C55AA208F}"/>
    <cellStyle name="Linked Cell 27 3 3 4 2 2" xfId="28320" xr:uid="{3D011146-B865-4569-8840-CF4E0A63CBCB}"/>
    <cellStyle name="Linked Cell 27 3 3 4 3" xfId="28321" xr:uid="{526E8E95-059D-4E65-AD2A-F57C2AA1604E}"/>
    <cellStyle name="Linked Cell 27 3 3 5" xfId="28322" xr:uid="{7C797542-860E-44D6-BBD1-81862BF1F242}"/>
    <cellStyle name="Linked Cell 27 3 3 5 2" xfId="28323" xr:uid="{78F992D6-37C6-4255-8D48-CB39A2684B76}"/>
    <cellStyle name="Linked Cell 27 3 3 5 2 2" xfId="28324" xr:uid="{FCBB7EBD-9B64-498A-86B6-B474A8CD43DB}"/>
    <cellStyle name="Linked Cell 27 3 3 5 3" xfId="28325" xr:uid="{9819CA94-AFD0-454B-95C7-4F8CE097346A}"/>
    <cellStyle name="Linked Cell 27 3 3 6" xfId="28326" xr:uid="{2C6F8D2A-2BF9-483A-84C4-7A638B85EE3F}"/>
    <cellStyle name="Linked Cell 27 3 3 6 2" xfId="28327" xr:uid="{3EE6C270-ED67-4C90-9EF7-A46AC921B525}"/>
    <cellStyle name="Linked Cell 27 3 3 6 2 2" xfId="28328" xr:uid="{CA32B934-B3C6-408E-9780-CA33AB610832}"/>
    <cellStyle name="Linked Cell 27 3 3 6 3" xfId="28329" xr:uid="{CA4347F5-60D5-4755-A54E-00DFFA78AAA2}"/>
    <cellStyle name="Linked Cell 27 3 3 7" xfId="28330" xr:uid="{5758A7FF-2C22-4C21-8B77-9A51E1BFCCB2}"/>
    <cellStyle name="Linked Cell 27 3 3 7 2" xfId="28331" xr:uid="{CE628C3B-327C-4653-8B8A-0422F5DE66F8}"/>
    <cellStyle name="Linked Cell 27 3 3 7 2 2" xfId="28332" xr:uid="{F50E44F8-04C1-491E-A692-C6C59DB086D6}"/>
    <cellStyle name="Linked Cell 27 3 3 7 3" xfId="28333" xr:uid="{B5D99D63-E3E9-421D-AA52-0B482970E430}"/>
    <cellStyle name="Linked Cell 27 3 3 8" xfId="28334" xr:uid="{5B3DDCD6-C906-4F36-AEFC-31B4A7DCAB65}"/>
    <cellStyle name="Linked Cell 27 3 3 8 2" xfId="28335" xr:uid="{685DB8EB-BC22-40CA-8C31-F528868EF64F}"/>
    <cellStyle name="Linked Cell 27 3 3 8 2 2" xfId="28336" xr:uid="{F4C66CD0-A0CC-4074-A7CD-F6617CA2C430}"/>
    <cellStyle name="Linked Cell 27 3 3 8 3" xfId="28337" xr:uid="{EF1FCFCD-AA9A-42AC-8F10-866DF635CCE6}"/>
    <cellStyle name="Linked Cell 27 3 3 9" xfId="28338" xr:uid="{B4DF18E1-2CAB-452A-807C-CFE9A54B51F7}"/>
    <cellStyle name="Linked Cell 27 3 3 9 2" xfId="28339" xr:uid="{CA973BF8-1BBB-467F-9510-A4E0C693EC91}"/>
    <cellStyle name="Linked Cell 27 3 3 9 2 2" xfId="28340" xr:uid="{DDE3BA6B-A887-4404-905B-E09A7F5529E6}"/>
    <cellStyle name="Linked Cell 27 3 3 9 3" xfId="28341" xr:uid="{7E1880AF-1617-4242-A714-6751EF4EEE12}"/>
    <cellStyle name="Linked Cell 27 3 4" xfId="28342" xr:uid="{6ECCBDD1-5635-4D90-8F15-32E6FCE57A56}"/>
    <cellStyle name="Linked Cell 27 3 4 10" xfId="28343" xr:uid="{39F61BFA-A2CC-4747-A888-35B3E1405A42}"/>
    <cellStyle name="Linked Cell 27 3 4 10 2" xfId="28344" xr:uid="{251EAE5B-EE44-4339-88A8-95F7AD05E644}"/>
    <cellStyle name="Linked Cell 27 3 4 11" xfId="28345" xr:uid="{C54C68A7-C622-46B9-9405-CD6D228E899C}"/>
    <cellStyle name="Linked Cell 27 3 4 2" xfId="28346" xr:uid="{9D735308-D7A8-40A9-A061-72B31CBC1FFA}"/>
    <cellStyle name="Linked Cell 27 3 4 2 2" xfId="28347" xr:uid="{D40BD04B-BA6C-4B37-9287-56D917193280}"/>
    <cellStyle name="Linked Cell 27 3 4 2 2 2" xfId="28348" xr:uid="{33ED45E0-992F-4805-942F-0B3758604731}"/>
    <cellStyle name="Linked Cell 27 3 4 2 3" xfId="28349" xr:uid="{D3DE14F5-A946-490F-BD31-92B820BE6257}"/>
    <cellStyle name="Linked Cell 27 3 4 3" xfId="28350" xr:uid="{7D29511E-D07F-4E9B-A06B-8F9CF641F245}"/>
    <cellStyle name="Linked Cell 27 3 4 3 2" xfId="28351" xr:uid="{7D4973DE-0120-4F0A-A14C-33EF17C25F3A}"/>
    <cellStyle name="Linked Cell 27 3 4 3 2 2" xfId="28352" xr:uid="{08E9C0DA-37D1-4A46-B7A8-B093F9DE5CB0}"/>
    <cellStyle name="Linked Cell 27 3 4 3 3" xfId="28353" xr:uid="{5AE924F6-95FC-4601-B34F-31C18885EFD2}"/>
    <cellStyle name="Linked Cell 27 3 4 4" xfId="28354" xr:uid="{D1B38DCC-82D3-4D57-9CFE-63BFCB194AAC}"/>
    <cellStyle name="Linked Cell 27 3 4 4 2" xfId="28355" xr:uid="{9B1AC5F3-ED9F-4F40-9207-9A526552A6AA}"/>
    <cellStyle name="Linked Cell 27 3 4 4 2 2" xfId="28356" xr:uid="{9EE66DD1-1C45-4D92-A0F3-CC43CC36CAA3}"/>
    <cellStyle name="Linked Cell 27 3 4 4 3" xfId="28357" xr:uid="{DFB4FCC9-E0DD-41F2-B551-8E005317CF92}"/>
    <cellStyle name="Linked Cell 27 3 4 5" xfId="28358" xr:uid="{0967D889-8C9C-4D64-A417-CBDDE08DB246}"/>
    <cellStyle name="Linked Cell 27 3 4 5 2" xfId="28359" xr:uid="{A61BE748-75AB-442D-AD1F-3747E387E5FE}"/>
    <cellStyle name="Linked Cell 27 3 4 5 2 2" xfId="28360" xr:uid="{6F36E662-1902-4544-91F8-B4DF7C23F29B}"/>
    <cellStyle name="Linked Cell 27 3 4 5 3" xfId="28361" xr:uid="{BEAAFED7-D3B9-4E52-8B22-F452BD924EA1}"/>
    <cellStyle name="Linked Cell 27 3 4 6" xfId="28362" xr:uid="{F7C522D0-7C07-4027-A835-AFFA60C6BD54}"/>
    <cellStyle name="Linked Cell 27 3 4 6 2" xfId="28363" xr:uid="{497C5FCC-044F-451C-B120-42CD39D3E58E}"/>
    <cellStyle name="Linked Cell 27 3 4 6 2 2" xfId="28364" xr:uid="{6264787F-F510-4258-A2FD-F0E240E44816}"/>
    <cellStyle name="Linked Cell 27 3 4 6 3" xfId="28365" xr:uid="{4ABA3CF4-B77D-405D-A3E5-2076B2084E2E}"/>
    <cellStyle name="Linked Cell 27 3 4 7" xfId="28366" xr:uid="{F3BC799D-0C8D-4B87-B792-9730200B3742}"/>
    <cellStyle name="Linked Cell 27 3 4 7 2" xfId="28367" xr:uid="{82AB8B08-6AD8-4113-9464-F71548F56D29}"/>
    <cellStyle name="Linked Cell 27 3 4 7 2 2" xfId="28368" xr:uid="{DB4A2290-53A5-49CA-B590-DDA0A58C3F6D}"/>
    <cellStyle name="Linked Cell 27 3 4 7 3" xfId="28369" xr:uid="{052E0B9B-E5B7-47F3-83A2-16013623A79F}"/>
    <cellStyle name="Linked Cell 27 3 4 8" xfId="28370" xr:uid="{6AE3274A-F1AC-4CEC-AB47-2DA8A01555F8}"/>
    <cellStyle name="Linked Cell 27 3 4 8 2" xfId="28371" xr:uid="{37DCC0D0-1E50-411F-8D78-A7EBC82A085B}"/>
    <cellStyle name="Linked Cell 27 3 4 8 2 2" xfId="28372" xr:uid="{694B0DEA-8518-4A53-A166-2E245FDB5E51}"/>
    <cellStyle name="Linked Cell 27 3 4 8 3" xfId="28373" xr:uid="{C20A3485-A25F-44DE-A85F-4D5C2C08821F}"/>
    <cellStyle name="Linked Cell 27 3 4 9" xfId="28374" xr:uid="{208451C7-C6CF-461F-93BE-5A0DE0B0B759}"/>
    <cellStyle name="Linked Cell 27 3 4 9 2" xfId="28375" xr:uid="{A2603F66-37DB-4E5F-A7CB-F2E94CEE66D5}"/>
    <cellStyle name="Linked Cell 27 3 4 9 2 2" xfId="28376" xr:uid="{3902C6C5-13FD-44EC-9F66-97430D5199DD}"/>
    <cellStyle name="Linked Cell 27 3 4 9 3" xfId="28377" xr:uid="{11EEBA83-E1A8-405A-9E38-CB8F58150FA4}"/>
    <cellStyle name="Linked Cell 27 3 5" xfId="28378" xr:uid="{5D790478-C680-41EA-8D4A-AB81BAFD7419}"/>
    <cellStyle name="Linked Cell 27 3 5 2" xfId="28379" xr:uid="{869EA5BB-44B4-48BE-9C6B-4AFEE1B23A77}"/>
    <cellStyle name="Linked Cell 27 3 5 2 2" xfId="28380" xr:uid="{E7450E9E-3DC9-44FF-9993-D01EE911335E}"/>
    <cellStyle name="Linked Cell 27 3 5 3" xfId="28381" xr:uid="{FD195D3C-33CA-49A2-A56C-E075C2477827}"/>
    <cellStyle name="Linked Cell 27 3 6" xfId="28382" xr:uid="{B0E024F6-5FDD-44C2-BDA9-0675F3A2D037}"/>
    <cellStyle name="Linked Cell 27 3 6 2" xfId="28383" xr:uid="{A569B1D2-4327-4D85-AF22-E5066CC789B7}"/>
    <cellStyle name="Linked Cell 27 3 6 2 2" xfId="28384" xr:uid="{CC3D273B-9FF8-44EC-BA7B-C9D353564BF7}"/>
    <cellStyle name="Linked Cell 27 3 6 3" xfId="28385" xr:uid="{AF1A7DAD-2C37-4389-AAB2-E2ABD0558201}"/>
    <cellStyle name="Linked Cell 27 3 7" xfId="28386" xr:uid="{50EF873F-5362-476F-909D-F4BDCBBDD7D4}"/>
    <cellStyle name="Linked Cell 27 3 7 2" xfId="28387" xr:uid="{02F5DE82-0F6C-4D52-976C-6ED2B538AB31}"/>
    <cellStyle name="Linked Cell 27 3 7 2 2" xfId="28388" xr:uid="{A8B549B6-38B8-4117-8A40-8F3943B5F8BC}"/>
    <cellStyle name="Linked Cell 27 3 7 3" xfId="28389" xr:uid="{97C28E34-D465-426F-93A0-B71F60A23A59}"/>
    <cellStyle name="Linked Cell 27 3 8" xfId="28390" xr:uid="{D8BA9E97-45A5-416B-A6F3-D0FBC80B9701}"/>
    <cellStyle name="Linked Cell 27 3 8 2" xfId="28391" xr:uid="{179E88AE-8AF0-410B-BB6E-8784A8CB3B3F}"/>
    <cellStyle name="Linked Cell 27 3 8 2 2" xfId="28392" xr:uid="{A101A34F-A42A-42A6-B87E-AAF2B9A1D474}"/>
    <cellStyle name="Linked Cell 27 3 8 3" xfId="28393" xr:uid="{93E1D5EC-E2E5-41CC-89A8-A2522A9AEC32}"/>
    <cellStyle name="Linked Cell 27 3 9" xfId="28394" xr:uid="{828E0224-B962-4ACE-A215-7E5DCB9782B0}"/>
    <cellStyle name="Linked Cell 27 3 9 2" xfId="28395" xr:uid="{ED3DFD32-D023-43CE-A46A-0062DE35702C}"/>
    <cellStyle name="Linked Cell 27 3 9 2 2" xfId="28396" xr:uid="{FBB4B89C-B776-4BAC-8D27-3C0287FB936D}"/>
    <cellStyle name="Linked Cell 27 3 9 3" xfId="28397" xr:uid="{CC8965E1-3A68-4D4B-B04D-3CC9B1DD7D6E}"/>
    <cellStyle name="Linked Cell 27 4" xfId="28398" xr:uid="{EEF1799F-2094-4093-A38A-9FD23D485486}"/>
    <cellStyle name="Linked Cell 27 4 10" xfId="28399" xr:uid="{CD4C3D15-4E0D-4396-894A-2DC24EB6FDF9}"/>
    <cellStyle name="Linked Cell 27 4 10 2" xfId="28400" xr:uid="{63DBDE4F-A098-41D5-B95B-7309318D13EB}"/>
    <cellStyle name="Linked Cell 27 4 10 2 2" xfId="28401" xr:uid="{40029477-7C27-4064-AA77-F24DDC94E8B7}"/>
    <cellStyle name="Linked Cell 27 4 10 3" xfId="28402" xr:uid="{A2ADCF18-71BC-4166-AFF2-018B35B284C7}"/>
    <cellStyle name="Linked Cell 27 4 11" xfId="28403" xr:uid="{43664F03-777F-4570-82C0-102AA7F9ADEE}"/>
    <cellStyle name="Linked Cell 27 4 11 2" xfId="28404" xr:uid="{548F4251-8D6A-4851-A9B8-BF540151EB1B}"/>
    <cellStyle name="Linked Cell 27 4 11 2 2" xfId="28405" xr:uid="{FB4D0DE5-A2AD-40EB-8094-3CF18EF4AC64}"/>
    <cellStyle name="Linked Cell 27 4 11 3" xfId="28406" xr:uid="{02103AB7-A4CA-4F24-8538-D0385A3D6958}"/>
    <cellStyle name="Linked Cell 27 4 12" xfId="28407" xr:uid="{A470395A-B6CF-47F8-89AA-DB0D08CCB4E2}"/>
    <cellStyle name="Linked Cell 27 4 12 2" xfId="28408" xr:uid="{6E989B87-3193-4A51-9AF3-85A32B64BBED}"/>
    <cellStyle name="Linked Cell 27 4 13" xfId="28409" xr:uid="{CEC3F94C-0E35-44CF-AF4D-B2068347CD46}"/>
    <cellStyle name="Linked Cell 27 4 2" xfId="28410" xr:uid="{AC2F9082-04F6-45AE-88AF-BE98E414E5A5}"/>
    <cellStyle name="Linked Cell 27 4 2 10" xfId="28411" xr:uid="{D02905EC-DA25-47FD-81A1-26BD5574346E}"/>
    <cellStyle name="Linked Cell 27 4 2 10 2" xfId="28412" xr:uid="{2AD02404-26C3-457D-A6AF-85B3E139007C}"/>
    <cellStyle name="Linked Cell 27 4 2 10 2 2" xfId="28413" xr:uid="{B0DA605B-6269-48F1-A104-3C9FF0361FDD}"/>
    <cellStyle name="Linked Cell 27 4 2 10 3" xfId="28414" xr:uid="{F83C1ABA-8280-4BEE-8FA4-EEFFB3106E96}"/>
    <cellStyle name="Linked Cell 27 4 2 11" xfId="28415" xr:uid="{19EE4C03-B8D8-49B4-8621-D4A4E3BEFB42}"/>
    <cellStyle name="Linked Cell 27 4 2 11 2" xfId="28416" xr:uid="{D36F149C-EB62-4E12-8A16-72A63649F793}"/>
    <cellStyle name="Linked Cell 27 4 2 12" xfId="28417" xr:uid="{6364B982-FF3B-4D98-96B8-5F1A8BF5CDA5}"/>
    <cellStyle name="Linked Cell 27 4 2 2" xfId="28418" xr:uid="{AA1FDE39-DCED-4A87-98DA-7DF7446BF657}"/>
    <cellStyle name="Linked Cell 27 4 2 2 2" xfId="28419" xr:uid="{E378A3E2-8514-4599-950F-7BF95484D45D}"/>
    <cellStyle name="Linked Cell 27 4 2 2 2 2" xfId="28420" xr:uid="{AA0BD744-E4A8-4716-9815-C1C732FB243B}"/>
    <cellStyle name="Linked Cell 27 4 2 2 3" xfId="28421" xr:uid="{887F867C-C407-4CD0-B65D-A26FE54644EE}"/>
    <cellStyle name="Linked Cell 27 4 2 3" xfId="28422" xr:uid="{0C81168F-01A9-4B51-9280-5FEAAEB09D13}"/>
    <cellStyle name="Linked Cell 27 4 2 3 2" xfId="28423" xr:uid="{1401BE15-D78C-4D7A-9708-3F430B10E6DA}"/>
    <cellStyle name="Linked Cell 27 4 2 3 2 2" xfId="28424" xr:uid="{89F10354-90E0-4633-88AB-D215E32B45DF}"/>
    <cellStyle name="Linked Cell 27 4 2 3 3" xfId="28425" xr:uid="{7FCE2F7B-DC63-4703-AF0B-FBD7D0A1A9C3}"/>
    <cellStyle name="Linked Cell 27 4 2 4" xfId="28426" xr:uid="{878CD6C3-1A53-42FD-BD1E-BF87D219CCF4}"/>
    <cellStyle name="Linked Cell 27 4 2 4 2" xfId="28427" xr:uid="{7428D2B0-25E1-4298-ADC8-C3D868DF8E60}"/>
    <cellStyle name="Linked Cell 27 4 2 4 2 2" xfId="28428" xr:uid="{E07C0DE6-8CA5-4F7D-8A9B-E92A5C0C19DE}"/>
    <cellStyle name="Linked Cell 27 4 2 4 3" xfId="28429" xr:uid="{961AE234-1C1F-4E88-8D94-53C708573C60}"/>
    <cellStyle name="Linked Cell 27 4 2 5" xfId="28430" xr:uid="{65E3B4CD-1C85-4355-A2A7-5925557BE444}"/>
    <cellStyle name="Linked Cell 27 4 2 5 2" xfId="28431" xr:uid="{D37E2FAB-C38F-410D-8352-BAFA1880EFBE}"/>
    <cellStyle name="Linked Cell 27 4 2 5 2 2" xfId="28432" xr:uid="{16A9125F-0ADF-43DA-AB22-BE767C2D8542}"/>
    <cellStyle name="Linked Cell 27 4 2 5 3" xfId="28433" xr:uid="{BA81D5D3-AC18-4932-8523-59BEFD025645}"/>
    <cellStyle name="Linked Cell 27 4 2 6" xfId="28434" xr:uid="{6A2CC15A-2283-4576-B38A-C382B9FDB2A1}"/>
    <cellStyle name="Linked Cell 27 4 2 6 2" xfId="28435" xr:uid="{1BFC7038-9E31-455A-88B0-95F8242A0E50}"/>
    <cellStyle name="Linked Cell 27 4 2 6 2 2" xfId="28436" xr:uid="{9A6C826A-15A0-45FD-A3B3-7D7F66BFE9FC}"/>
    <cellStyle name="Linked Cell 27 4 2 6 3" xfId="28437" xr:uid="{912004D5-8FAC-414F-909C-5BB7F58AE79B}"/>
    <cellStyle name="Linked Cell 27 4 2 7" xfId="28438" xr:uid="{CE43B08F-30FC-45CE-892D-F76833F858F9}"/>
    <cellStyle name="Linked Cell 27 4 2 7 2" xfId="28439" xr:uid="{E65B576C-0649-499C-86BF-3133D9D75767}"/>
    <cellStyle name="Linked Cell 27 4 2 7 2 2" xfId="28440" xr:uid="{D1E4DC5C-326F-453E-A465-D41F318F9C15}"/>
    <cellStyle name="Linked Cell 27 4 2 7 3" xfId="28441" xr:uid="{18A6D247-AC84-4750-AC9A-2DCE6B0A1E18}"/>
    <cellStyle name="Linked Cell 27 4 2 8" xfId="28442" xr:uid="{B9C339FD-6327-4C30-A85E-5CBE36BC008B}"/>
    <cellStyle name="Linked Cell 27 4 2 8 2" xfId="28443" xr:uid="{F709343D-E909-4FB8-94ED-8CC66111AEFE}"/>
    <cellStyle name="Linked Cell 27 4 2 8 2 2" xfId="28444" xr:uid="{B123AC5C-535A-491A-A890-F6BF3490D83E}"/>
    <cellStyle name="Linked Cell 27 4 2 8 3" xfId="28445" xr:uid="{9EAAC1FD-0725-4145-95D4-866725D37237}"/>
    <cellStyle name="Linked Cell 27 4 2 9" xfId="28446" xr:uid="{90B7F3A9-3A76-412F-8231-A30BF73A6DDB}"/>
    <cellStyle name="Linked Cell 27 4 2 9 2" xfId="28447" xr:uid="{C8C13286-3C36-41A1-AD5A-F8E65BBF44CD}"/>
    <cellStyle name="Linked Cell 27 4 2 9 2 2" xfId="28448" xr:uid="{603BD067-0CFD-49B8-B5A7-EF0659539AE4}"/>
    <cellStyle name="Linked Cell 27 4 2 9 3" xfId="28449" xr:uid="{4C6DF77E-ACDA-4678-A0D5-CBD5794E3756}"/>
    <cellStyle name="Linked Cell 27 4 3" xfId="28450" xr:uid="{1D2842C8-36AC-4169-A89F-335733628734}"/>
    <cellStyle name="Linked Cell 27 4 3 10" xfId="28451" xr:uid="{C4D97625-B831-409A-BB8B-8D4D1EF24145}"/>
    <cellStyle name="Linked Cell 27 4 3 10 2" xfId="28452" xr:uid="{1AFCB1BB-286B-46AB-9564-56E72F826A95}"/>
    <cellStyle name="Linked Cell 27 4 3 11" xfId="28453" xr:uid="{6B0E0905-A29E-4473-BC53-33500E76E49A}"/>
    <cellStyle name="Linked Cell 27 4 3 2" xfId="28454" xr:uid="{2967DE43-5A4A-4A6B-AED3-47866470AAFC}"/>
    <cellStyle name="Linked Cell 27 4 3 2 2" xfId="28455" xr:uid="{BBB24D6D-D118-4C74-8BE7-682BE5CD8A7E}"/>
    <cellStyle name="Linked Cell 27 4 3 2 2 2" xfId="28456" xr:uid="{7FD50942-3845-4A3A-B724-35F95B78EB54}"/>
    <cellStyle name="Linked Cell 27 4 3 2 3" xfId="28457" xr:uid="{CD3928AF-E447-43FA-86E0-4A2E1A103E8A}"/>
    <cellStyle name="Linked Cell 27 4 3 3" xfId="28458" xr:uid="{70D9E468-E684-4E5C-B7F1-EBF745BB619B}"/>
    <cellStyle name="Linked Cell 27 4 3 3 2" xfId="28459" xr:uid="{AD4BE164-9346-4818-BDB5-2F01188A3409}"/>
    <cellStyle name="Linked Cell 27 4 3 3 2 2" xfId="28460" xr:uid="{C84B354B-35EA-4FEC-8F67-E5B534E2373D}"/>
    <cellStyle name="Linked Cell 27 4 3 3 3" xfId="28461" xr:uid="{2C379A6F-1095-4551-806A-620F7912DD37}"/>
    <cellStyle name="Linked Cell 27 4 3 4" xfId="28462" xr:uid="{11214F86-ADEE-4DAB-8ADC-22A97E46B641}"/>
    <cellStyle name="Linked Cell 27 4 3 4 2" xfId="28463" xr:uid="{EA7FB39B-DC2D-40C6-B49B-9A5F50950319}"/>
    <cellStyle name="Linked Cell 27 4 3 4 2 2" xfId="28464" xr:uid="{4F8CF3D7-00F8-4914-A066-F26F2F7DBB70}"/>
    <cellStyle name="Linked Cell 27 4 3 4 3" xfId="28465" xr:uid="{36297478-7633-4B11-A28B-85BB098BDB79}"/>
    <cellStyle name="Linked Cell 27 4 3 5" xfId="28466" xr:uid="{280F0864-CBED-4658-8F89-7CA97D27B175}"/>
    <cellStyle name="Linked Cell 27 4 3 5 2" xfId="28467" xr:uid="{6AD510C3-5527-478C-A255-AEC56FCB3215}"/>
    <cellStyle name="Linked Cell 27 4 3 5 2 2" xfId="28468" xr:uid="{F6F6D12D-D592-42D8-A44B-4D9515E3E1AB}"/>
    <cellStyle name="Linked Cell 27 4 3 5 3" xfId="28469" xr:uid="{32ADD5D5-88FF-45F7-9161-4582F1B765E4}"/>
    <cellStyle name="Linked Cell 27 4 3 6" xfId="28470" xr:uid="{45C1BEE1-B9D4-4B02-8870-7630A79BAC3F}"/>
    <cellStyle name="Linked Cell 27 4 3 6 2" xfId="28471" xr:uid="{798CB536-06C4-4F43-869A-64E5977CC97E}"/>
    <cellStyle name="Linked Cell 27 4 3 6 2 2" xfId="28472" xr:uid="{AF65466F-EE4C-4B05-A5DC-DD66E6100A7B}"/>
    <cellStyle name="Linked Cell 27 4 3 6 3" xfId="28473" xr:uid="{3FA15F7E-44D5-4B5C-93CE-5AB6E9E6ABC2}"/>
    <cellStyle name="Linked Cell 27 4 3 7" xfId="28474" xr:uid="{15E45AFB-FF20-49F8-A119-8B059D9174E4}"/>
    <cellStyle name="Linked Cell 27 4 3 7 2" xfId="28475" xr:uid="{3DE77CFF-1F88-4AD5-B015-0FEFD3C82187}"/>
    <cellStyle name="Linked Cell 27 4 3 7 2 2" xfId="28476" xr:uid="{161414A8-118E-405C-829A-7A8A843AF517}"/>
    <cellStyle name="Linked Cell 27 4 3 7 3" xfId="28477" xr:uid="{83E073D0-26BA-462A-B187-370282FAF877}"/>
    <cellStyle name="Linked Cell 27 4 3 8" xfId="28478" xr:uid="{D44DBFA2-379E-4776-B8A4-646FAE9C3682}"/>
    <cellStyle name="Linked Cell 27 4 3 8 2" xfId="28479" xr:uid="{05A6C199-810C-4C60-B895-16473062AC98}"/>
    <cellStyle name="Linked Cell 27 4 3 8 2 2" xfId="28480" xr:uid="{42445EE4-CC06-4598-A4BB-8F53A46C6DCA}"/>
    <cellStyle name="Linked Cell 27 4 3 8 3" xfId="28481" xr:uid="{F77ED44B-3F32-4375-AEB2-AC636A63EE18}"/>
    <cellStyle name="Linked Cell 27 4 3 9" xfId="28482" xr:uid="{5E85F2A3-7B2C-4D51-87FD-41A5CFC37E32}"/>
    <cellStyle name="Linked Cell 27 4 3 9 2" xfId="28483" xr:uid="{A3ADE2C5-A060-43BF-9688-150D3311E566}"/>
    <cellStyle name="Linked Cell 27 4 3 9 2 2" xfId="28484" xr:uid="{999D00B0-1FFA-4156-B5F7-D3B5823974F8}"/>
    <cellStyle name="Linked Cell 27 4 3 9 3" xfId="28485" xr:uid="{D54BDE81-14FC-4106-BBF3-BDF36AD61B57}"/>
    <cellStyle name="Linked Cell 27 4 4" xfId="28486" xr:uid="{3D0D1985-D0F7-4BB1-B014-B3932D673FC3}"/>
    <cellStyle name="Linked Cell 27 4 4 2" xfId="28487" xr:uid="{5E43951E-B1D2-4477-AD39-58E8AACA2114}"/>
    <cellStyle name="Linked Cell 27 4 4 2 2" xfId="28488" xr:uid="{98871887-1521-41C4-A75E-FECB16CFD659}"/>
    <cellStyle name="Linked Cell 27 4 4 3" xfId="28489" xr:uid="{DC36DCEE-DA64-4E82-A118-FA778B8CA208}"/>
    <cellStyle name="Linked Cell 27 4 5" xfId="28490" xr:uid="{4777F2D2-CACC-47E3-9890-8D9BB1659260}"/>
    <cellStyle name="Linked Cell 27 4 5 2" xfId="28491" xr:uid="{DED1DD60-824C-4941-B187-C5BBFCE1042B}"/>
    <cellStyle name="Linked Cell 27 4 5 2 2" xfId="28492" xr:uid="{8F3B06BF-2D2E-48F7-8454-C23D455ED76D}"/>
    <cellStyle name="Linked Cell 27 4 5 3" xfId="28493" xr:uid="{7F43AD05-E743-4256-ADB3-07F568207530}"/>
    <cellStyle name="Linked Cell 27 4 6" xfId="28494" xr:uid="{33A2B54D-2459-4F77-962C-821AB29F7920}"/>
    <cellStyle name="Linked Cell 27 4 6 2" xfId="28495" xr:uid="{0C2DEEBF-2216-4A60-A53B-4191114FF195}"/>
    <cellStyle name="Linked Cell 27 4 6 2 2" xfId="28496" xr:uid="{839A4BDD-ACBF-4080-959E-86D81373EB94}"/>
    <cellStyle name="Linked Cell 27 4 6 3" xfId="28497" xr:uid="{B9254A9D-41CB-4525-9F43-36280970BB6D}"/>
    <cellStyle name="Linked Cell 27 4 7" xfId="28498" xr:uid="{23237D5B-CCB9-40AA-AC49-481C3ED334C2}"/>
    <cellStyle name="Linked Cell 27 4 7 2" xfId="28499" xr:uid="{108A217A-71E3-493B-9C5A-F72232F15269}"/>
    <cellStyle name="Linked Cell 27 4 7 2 2" xfId="28500" xr:uid="{3FEE85A2-D273-476D-8DDD-519A754F1B82}"/>
    <cellStyle name="Linked Cell 27 4 7 3" xfId="28501" xr:uid="{D13CD3F5-1E52-47AD-96F4-98D78EA34C6D}"/>
    <cellStyle name="Linked Cell 27 4 8" xfId="28502" xr:uid="{9DE2ADD0-080C-4D3E-A8BB-88F692AE0BFE}"/>
    <cellStyle name="Linked Cell 27 4 8 2" xfId="28503" xr:uid="{C0648D8E-C912-4D79-A582-DF6024BD1ECA}"/>
    <cellStyle name="Linked Cell 27 4 8 2 2" xfId="28504" xr:uid="{6F7E82EC-DFD2-45F4-85DE-A628BAD064EC}"/>
    <cellStyle name="Linked Cell 27 4 8 3" xfId="28505" xr:uid="{764EB330-00E0-4187-932F-41C9068776E0}"/>
    <cellStyle name="Linked Cell 27 4 9" xfId="28506" xr:uid="{28DD5CDB-F3E1-4633-814D-410BEE69E708}"/>
    <cellStyle name="Linked Cell 27 4 9 2" xfId="28507" xr:uid="{BD976D73-65BE-48F0-808E-63EEFA73C5FF}"/>
    <cellStyle name="Linked Cell 27 4 9 2 2" xfId="28508" xr:uid="{5B425456-C4C8-4EC7-9696-08CCECD216FB}"/>
    <cellStyle name="Linked Cell 27 4 9 3" xfId="28509" xr:uid="{DB1A3918-DB8A-4AE5-9416-1564D5C03732}"/>
    <cellStyle name="Linked Cell 28" xfId="28510" xr:uid="{B45F7670-CF68-411D-B3DF-3402D2CB7909}"/>
    <cellStyle name="Linked Cell 28 2" xfId="28511" xr:uid="{767E248B-E97C-4776-A9AF-0692AA276BBB}"/>
    <cellStyle name="Linked Cell 28 2 10" xfId="28512" xr:uid="{FC5C32DD-4ADB-4E9F-BE9A-2757C49AFDCA}"/>
    <cellStyle name="Linked Cell 28 2 10 2" xfId="28513" xr:uid="{C1043349-FF58-4813-B15F-BB88913A3A40}"/>
    <cellStyle name="Linked Cell 28 2 10 2 2" xfId="28514" xr:uid="{B9F74B29-2E56-4F82-9268-9BAB7FEC9BC2}"/>
    <cellStyle name="Linked Cell 28 2 10 3" xfId="28515" xr:uid="{F7F835DD-5B29-469E-A263-10ED6E79E4E8}"/>
    <cellStyle name="Linked Cell 28 2 11" xfId="28516" xr:uid="{D5E49D2C-8075-4CBD-AA78-F4937C4780DF}"/>
    <cellStyle name="Linked Cell 28 2 11 2" xfId="28517" xr:uid="{A97DC1F0-A978-4D87-9938-70713E33FEAC}"/>
    <cellStyle name="Linked Cell 28 2 11 2 2" xfId="28518" xr:uid="{74CCF641-C313-41FB-9B0E-31058EBFB02E}"/>
    <cellStyle name="Linked Cell 28 2 11 3" xfId="28519" xr:uid="{6B3A2AE1-C84C-4D0B-B9D9-A285711FD9A4}"/>
    <cellStyle name="Linked Cell 28 2 12" xfId="28520" xr:uid="{C9FA005A-5774-4854-8C6C-C1CFF7BB4E5F}"/>
    <cellStyle name="Linked Cell 28 2 12 2" xfId="28521" xr:uid="{6E39F658-D3FF-4C1F-85C8-30B9A792294C}"/>
    <cellStyle name="Linked Cell 28 2 12 2 2" xfId="28522" xr:uid="{0909C424-475C-47E5-8706-058EDC33CABF}"/>
    <cellStyle name="Linked Cell 28 2 12 3" xfId="28523" xr:uid="{282D0B0B-6765-4BD7-ADFF-48221E1C60A0}"/>
    <cellStyle name="Linked Cell 28 2 13" xfId="28524" xr:uid="{0400935D-5C56-4409-B3F2-B985E05D9818}"/>
    <cellStyle name="Linked Cell 28 2 13 2" xfId="28525" xr:uid="{812B5C4D-3935-4AFF-88F1-042175917BB9}"/>
    <cellStyle name="Linked Cell 28 2 13 2 2" xfId="28526" xr:uid="{5C025DEB-89B5-4322-8DCF-46B5353B5886}"/>
    <cellStyle name="Linked Cell 28 2 13 3" xfId="28527" xr:uid="{C6868555-4C61-41F7-AEE8-81A47B168674}"/>
    <cellStyle name="Linked Cell 28 2 14" xfId="28528" xr:uid="{6DC5B196-F09D-4C15-9748-324345C4BBE1}"/>
    <cellStyle name="Linked Cell 28 2 14 2" xfId="28529" xr:uid="{6961ACF6-C3DC-47FA-8AEB-223574DDACAF}"/>
    <cellStyle name="Linked Cell 28 2 15" xfId="28530" xr:uid="{76CF7BBA-C959-425B-B659-9031DC03519C}"/>
    <cellStyle name="Linked Cell 28 2 2" xfId="28531" xr:uid="{DA51DF94-3ED0-4D77-B6C2-5AC80C5DF816}"/>
    <cellStyle name="Linked Cell 28 2 2 10" xfId="28532" xr:uid="{462FC899-8929-48A8-B207-A6EDD7E06339}"/>
    <cellStyle name="Linked Cell 28 2 2 10 2" xfId="28533" xr:uid="{FBF02896-EC6F-4558-A378-B7671D32EC1B}"/>
    <cellStyle name="Linked Cell 28 2 2 10 2 2" xfId="28534" xr:uid="{7637D821-9D83-4E7B-A31E-F0764B710542}"/>
    <cellStyle name="Linked Cell 28 2 2 10 3" xfId="28535" xr:uid="{630AFDA8-5707-4832-ADDF-35F136DDDFA7}"/>
    <cellStyle name="Linked Cell 28 2 2 11" xfId="28536" xr:uid="{D6A92408-82C9-40EC-B327-2D1B12CB4011}"/>
    <cellStyle name="Linked Cell 28 2 2 11 2" xfId="28537" xr:uid="{4EA4AD6C-914A-4AE3-88A2-51E073C9D8DD}"/>
    <cellStyle name="Linked Cell 28 2 2 11 2 2" xfId="28538" xr:uid="{0C1E3469-BFC5-4987-B8D3-304111D2E861}"/>
    <cellStyle name="Linked Cell 28 2 2 11 3" xfId="28539" xr:uid="{12244237-AAD3-4816-9737-3B005D060D10}"/>
    <cellStyle name="Linked Cell 28 2 2 12" xfId="28540" xr:uid="{5F645DC3-33FA-42EE-9623-D9BF549672D1}"/>
    <cellStyle name="Linked Cell 28 2 2 12 2" xfId="28541" xr:uid="{B49F759F-00A5-479A-A4E1-015B4C0D3155}"/>
    <cellStyle name="Linked Cell 28 2 2 12 2 2" xfId="28542" xr:uid="{731C4CCF-CE19-4F01-B684-88BA4FBC6B36}"/>
    <cellStyle name="Linked Cell 28 2 2 12 3" xfId="28543" xr:uid="{BEA4604B-D5A5-4D5A-9CBD-F08D31E72804}"/>
    <cellStyle name="Linked Cell 28 2 2 13" xfId="28544" xr:uid="{1E5D1D11-E90C-4E8A-BDE7-FF7DFA11D5A6}"/>
    <cellStyle name="Linked Cell 28 2 2 13 2" xfId="28545" xr:uid="{D2354DF3-2CD3-4855-9A4A-635F07998A1B}"/>
    <cellStyle name="Linked Cell 28 2 2 14" xfId="28546" xr:uid="{63731500-731D-4115-9729-EB359A8BDBD5}"/>
    <cellStyle name="Linked Cell 28 2 2 2" xfId="28547" xr:uid="{FBFCEE84-B0CD-4579-8835-9517FAB64825}"/>
    <cellStyle name="Linked Cell 28 2 2 2 10" xfId="28548" xr:uid="{5DC629E7-9F00-44B9-BDBD-7208BE9D9EDB}"/>
    <cellStyle name="Linked Cell 28 2 2 2 10 2" xfId="28549" xr:uid="{06E76EB2-73DC-4023-916E-09D455298BFB}"/>
    <cellStyle name="Linked Cell 28 2 2 2 10 2 2" xfId="28550" xr:uid="{C8B0C634-4B80-427F-BB8C-F0EBF75C3EB6}"/>
    <cellStyle name="Linked Cell 28 2 2 2 10 3" xfId="28551" xr:uid="{DC211F78-A7C2-43B6-85B1-964B75C78775}"/>
    <cellStyle name="Linked Cell 28 2 2 2 11" xfId="28552" xr:uid="{BF006D01-6F79-4AD8-8430-2476190561AA}"/>
    <cellStyle name="Linked Cell 28 2 2 2 11 2" xfId="28553" xr:uid="{FC98D66D-479C-4A20-A85F-0A7B3827D041}"/>
    <cellStyle name="Linked Cell 28 2 2 2 11 2 2" xfId="28554" xr:uid="{7767D90C-A4E4-4E8A-AFEF-4BFABE5C880A}"/>
    <cellStyle name="Linked Cell 28 2 2 2 11 3" xfId="28555" xr:uid="{0206023F-C39E-4525-847A-1669F81ED178}"/>
    <cellStyle name="Linked Cell 28 2 2 2 12" xfId="28556" xr:uid="{155C099E-F64B-4893-8C9B-B6DEA7201422}"/>
    <cellStyle name="Linked Cell 28 2 2 2 12 2" xfId="28557" xr:uid="{57AC1273-11EE-41A8-B170-910F3283BE8E}"/>
    <cellStyle name="Linked Cell 28 2 2 2 13" xfId="28558" xr:uid="{869960F1-5FE9-4B44-883D-AA360680C7AE}"/>
    <cellStyle name="Linked Cell 28 2 2 2 2" xfId="28559" xr:uid="{77CDD98A-CB63-4D29-ACE9-13C10FC9D80F}"/>
    <cellStyle name="Linked Cell 28 2 2 2 2 10" xfId="28560" xr:uid="{62E9CBB9-F40B-4831-8D33-226DB377C599}"/>
    <cellStyle name="Linked Cell 28 2 2 2 2 10 2" xfId="28561" xr:uid="{4A3D6B83-3557-4BF0-A038-CD4186004798}"/>
    <cellStyle name="Linked Cell 28 2 2 2 2 10 2 2" xfId="28562" xr:uid="{3844C057-1638-42BE-86A6-CF7B3618F76A}"/>
    <cellStyle name="Linked Cell 28 2 2 2 2 10 3" xfId="28563" xr:uid="{609F5F3B-C4A9-429E-BA10-EE63DE16DE05}"/>
    <cellStyle name="Linked Cell 28 2 2 2 2 11" xfId="28564" xr:uid="{4EC9B50A-6952-4516-93BA-4EBAEDBCAF33}"/>
    <cellStyle name="Linked Cell 28 2 2 2 2 11 2" xfId="28565" xr:uid="{676A504F-B89B-4E46-B60A-30A7F8222E34}"/>
    <cellStyle name="Linked Cell 28 2 2 2 2 12" xfId="28566" xr:uid="{E379ADA7-DA70-409B-90D4-5631EA294A95}"/>
    <cellStyle name="Linked Cell 28 2 2 2 2 2" xfId="28567" xr:uid="{33FFBAB2-FAB5-446C-98AB-FEB9A498E45E}"/>
    <cellStyle name="Linked Cell 28 2 2 2 2 2 2" xfId="28568" xr:uid="{7C00D665-74C3-4F6E-AB7B-36A737090B9C}"/>
    <cellStyle name="Linked Cell 28 2 2 2 2 2 2 2" xfId="28569" xr:uid="{2CD4A0C5-20C4-4018-BBD6-DF22BD85CB13}"/>
    <cellStyle name="Linked Cell 28 2 2 2 2 2 3" xfId="28570" xr:uid="{BC123A0B-230E-4EFF-A5BA-C1B964E25B05}"/>
    <cellStyle name="Linked Cell 28 2 2 2 2 3" xfId="28571" xr:uid="{F3BB73D7-E4E0-43B9-8653-D6FFEE0B65CF}"/>
    <cellStyle name="Linked Cell 28 2 2 2 2 3 2" xfId="28572" xr:uid="{44E651B8-B37D-4E1D-AE63-2E926C6C2F87}"/>
    <cellStyle name="Linked Cell 28 2 2 2 2 3 2 2" xfId="28573" xr:uid="{61217D07-CF7F-4CC0-8205-66B4F1CE6112}"/>
    <cellStyle name="Linked Cell 28 2 2 2 2 3 3" xfId="28574" xr:uid="{63339353-792E-407E-B4A5-07762981E21D}"/>
    <cellStyle name="Linked Cell 28 2 2 2 2 4" xfId="28575" xr:uid="{7D48B1F0-9DAD-4F9F-B866-FD545FD0982C}"/>
    <cellStyle name="Linked Cell 28 2 2 2 2 4 2" xfId="28576" xr:uid="{EB4DC446-0C3D-44AB-A17C-3444ED950B59}"/>
    <cellStyle name="Linked Cell 28 2 2 2 2 4 2 2" xfId="28577" xr:uid="{CE9C8AFB-CAF5-47F3-9992-7BE11F624345}"/>
    <cellStyle name="Linked Cell 28 2 2 2 2 4 3" xfId="28578" xr:uid="{F0F2148E-0254-438A-AFAA-5F1704FA1D1A}"/>
    <cellStyle name="Linked Cell 28 2 2 2 2 5" xfId="28579" xr:uid="{4791E344-17B5-4E56-9A5F-3E8F9F32D835}"/>
    <cellStyle name="Linked Cell 28 2 2 2 2 5 2" xfId="28580" xr:uid="{D11BC55C-F5C8-46AA-8ECF-4C153DF394B8}"/>
    <cellStyle name="Linked Cell 28 2 2 2 2 5 2 2" xfId="28581" xr:uid="{2A4D64D7-3493-479A-B8C1-A8486FBBCFA0}"/>
    <cellStyle name="Linked Cell 28 2 2 2 2 5 3" xfId="28582" xr:uid="{167E689E-ECD2-4CB9-BABE-DB5FCF49ABBB}"/>
    <cellStyle name="Linked Cell 28 2 2 2 2 6" xfId="28583" xr:uid="{15270A88-19F1-4553-A94A-A2111BACCB83}"/>
    <cellStyle name="Linked Cell 28 2 2 2 2 6 2" xfId="28584" xr:uid="{6BF68457-0D9E-470F-9C38-2655C349EAC7}"/>
    <cellStyle name="Linked Cell 28 2 2 2 2 6 2 2" xfId="28585" xr:uid="{99D98BE2-DE8F-4028-9102-0FE5E4E81811}"/>
    <cellStyle name="Linked Cell 28 2 2 2 2 6 3" xfId="28586" xr:uid="{CF078DC3-FA70-44C7-AF87-3A43DEFADF4F}"/>
    <cellStyle name="Linked Cell 28 2 2 2 2 7" xfId="28587" xr:uid="{058E9A50-ACF6-4539-954A-21FEA2983C1D}"/>
    <cellStyle name="Linked Cell 28 2 2 2 2 7 2" xfId="28588" xr:uid="{C026BB24-1582-4BE3-9179-2FEE490A0120}"/>
    <cellStyle name="Linked Cell 28 2 2 2 2 7 2 2" xfId="28589" xr:uid="{66705D4C-D19C-471C-B216-EDBAFB412C6D}"/>
    <cellStyle name="Linked Cell 28 2 2 2 2 7 3" xfId="28590" xr:uid="{1A7B5FD8-E715-49D5-9EE9-294A0CC86B0C}"/>
    <cellStyle name="Linked Cell 28 2 2 2 2 8" xfId="28591" xr:uid="{C8C616BA-9E84-46D5-89C6-DCBB2894F4AB}"/>
    <cellStyle name="Linked Cell 28 2 2 2 2 8 2" xfId="28592" xr:uid="{D6E43FD7-4C34-4CE8-91E7-98D041BE9667}"/>
    <cellStyle name="Linked Cell 28 2 2 2 2 8 2 2" xfId="28593" xr:uid="{4CBB6FC0-CE8F-4F77-8059-9F2F450CFD0E}"/>
    <cellStyle name="Linked Cell 28 2 2 2 2 8 3" xfId="28594" xr:uid="{57F62144-D787-4FD4-AF09-CB54D7499214}"/>
    <cellStyle name="Linked Cell 28 2 2 2 2 9" xfId="28595" xr:uid="{CFB41F46-E18D-41FF-B01E-40C429B51CFC}"/>
    <cellStyle name="Linked Cell 28 2 2 2 2 9 2" xfId="28596" xr:uid="{C82B530A-6EAB-48DD-BA08-879B7634C831}"/>
    <cellStyle name="Linked Cell 28 2 2 2 2 9 2 2" xfId="28597" xr:uid="{A720333D-935A-451D-89F2-BBC379DF0462}"/>
    <cellStyle name="Linked Cell 28 2 2 2 2 9 3" xfId="28598" xr:uid="{59EF9870-56A4-4839-A90A-B965FD8F19E3}"/>
    <cellStyle name="Linked Cell 28 2 2 2 3" xfId="28599" xr:uid="{E061842F-DD3E-45FA-A971-C854AA5D4DD0}"/>
    <cellStyle name="Linked Cell 28 2 2 2 3 10" xfId="28600" xr:uid="{C60741FE-711A-4232-BC97-EFE6CDDFCA05}"/>
    <cellStyle name="Linked Cell 28 2 2 2 3 10 2" xfId="28601" xr:uid="{8867F8F2-DAF0-4D35-83B3-02B9E2384DF7}"/>
    <cellStyle name="Linked Cell 28 2 2 2 3 11" xfId="28602" xr:uid="{7A1C8032-FF5A-4B2C-A497-5956EF78773F}"/>
    <cellStyle name="Linked Cell 28 2 2 2 3 2" xfId="28603" xr:uid="{B1B889E7-2C83-48F1-B398-FF733BC74FF3}"/>
    <cellStyle name="Linked Cell 28 2 2 2 3 2 2" xfId="28604" xr:uid="{64231BC0-ADB1-4EC7-B538-212DBC18EE7A}"/>
    <cellStyle name="Linked Cell 28 2 2 2 3 2 2 2" xfId="28605" xr:uid="{726ECD29-89B2-4B0B-BE0D-44E7A84B5925}"/>
    <cellStyle name="Linked Cell 28 2 2 2 3 2 3" xfId="28606" xr:uid="{DFEB2D32-4BDA-493B-8B5C-FAF7FBBC5D9B}"/>
    <cellStyle name="Linked Cell 28 2 2 2 3 3" xfId="28607" xr:uid="{71198F98-9227-4145-9BF1-FC4710EBEC8F}"/>
    <cellStyle name="Linked Cell 28 2 2 2 3 3 2" xfId="28608" xr:uid="{D6A8406A-FD87-4E45-8377-E58485821A05}"/>
    <cellStyle name="Linked Cell 28 2 2 2 3 3 2 2" xfId="28609" xr:uid="{0C35A880-FBC7-4596-8809-13F6CEF50EC2}"/>
    <cellStyle name="Linked Cell 28 2 2 2 3 3 3" xfId="28610" xr:uid="{EE2EBAAF-BE59-400C-AA56-66D6D50CAD39}"/>
    <cellStyle name="Linked Cell 28 2 2 2 3 4" xfId="28611" xr:uid="{876E230F-3F1C-4B7E-966D-665D7CBE44F8}"/>
    <cellStyle name="Linked Cell 28 2 2 2 3 4 2" xfId="28612" xr:uid="{B6F79EC2-FE80-4C18-A228-C02742508986}"/>
    <cellStyle name="Linked Cell 28 2 2 2 3 4 2 2" xfId="28613" xr:uid="{55350E26-F28F-4C4A-8828-9045825693AF}"/>
    <cellStyle name="Linked Cell 28 2 2 2 3 4 3" xfId="28614" xr:uid="{B308EC15-2506-4802-90DB-320F59F08A1D}"/>
    <cellStyle name="Linked Cell 28 2 2 2 3 5" xfId="28615" xr:uid="{D2E8F88C-6976-4276-B63B-19FEE8F7CFA5}"/>
    <cellStyle name="Linked Cell 28 2 2 2 3 5 2" xfId="28616" xr:uid="{80D3A9A2-C865-4EFD-9B92-9FA208D87A3A}"/>
    <cellStyle name="Linked Cell 28 2 2 2 3 5 2 2" xfId="28617" xr:uid="{7985E29B-7D2B-413D-B6DD-37C1643FA780}"/>
    <cellStyle name="Linked Cell 28 2 2 2 3 5 3" xfId="28618" xr:uid="{CB9FEF2E-882C-446A-9958-D251581BA756}"/>
    <cellStyle name="Linked Cell 28 2 2 2 3 6" xfId="28619" xr:uid="{06451B8B-23AF-45DD-8708-7E244CC04FD4}"/>
    <cellStyle name="Linked Cell 28 2 2 2 3 6 2" xfId="28620" xr:uid="{ABC2959E-8478-4B7E-BF84-D39BEE382342}"/>
    <cellStyle name="Linked Cell 28 2 2 2 3 6 2 2" xfId="28621" xr:uid="{8A2C69B9-9A43-43C4-896E-E507BEBD3789}"/>
    <cellStyle name="Linked Cell 28 2 2 2 3 6 3" xfId="28622" xr:uid="{0A0C95DE-FC6D-492B-97AE-811ED9DA5398}"/>
    <cellStyle name="Linked Cell 28 2 2 2 3 7" xfId="28623" xr:uid="{FEC5BBC3-9A04-4CE8-A3BA-0FA1F766E626}"/>
    <cellStyle name="Linked Cell 28 2 2 2 3 7 2" xfId="28624" xr:uid="{759A7B3D-5D7C-4258-B9A4-CAB464033594}"/>
    <cellStyle name="Linked Cell 28 2 2 2 3 7 2 2" xfId="28625" xr:uid="{773F7A12-9465-4BD7-BBFA-DEE19C7F0968}"/>
    <cellStyle name="Linked Cell 28 2 2 2 3 7 3" xfId="28626" xr:uid="{3E696AD1-BD3C-4253-92B3-FA57B3AFEBB0}"/>
    <cellStyle name="Linked Cell 28 2 2 2 3 8" xfId="28627" xr:uid="{F5C40459-519F-4271-9060-DE28D8E196B1}"/>
    <cellStyle name="Linked Cell 28 2 2 2 3 8 2" xfId="28628" xr:uid="{19698560-CCC3-4365-AF85-6854354B2CD4}"/>
    <cellStyle name="Linked Cell 28 2 2 2 3 8 2 2" xfId="28629" xr:uid="{AF9F1D83-3CD6-4FF3-9809-B6A9BA94440A}"/>
    <cellStyle name="Linked Cell 28 2 2 2 3 8 3" xfId="28630" xr:uid="{9EC013DF-E980-4213-8446-2C2313B49AB3}"/>
    <cellStyle name="Linked Cell 28 2 2 2 3 9" xfId="28631" xr:uid="{B2913C7E-3547-4C79-BCA0-849E0B78798E}"/>
    <cellStyle name="Linked Cell 28 2 2 2 3 9 2" xfId="28632" xr:uid="{9DF673BE-D8B3-4647-B325-E41A88BFE6D1}"/>
    <cellStyle name="Linked Cell 28 2 2 2 3 9 2 2" xfId="28633" xr:uid="{D8857C4D-FCED-45ED-AE8C-388BD4177C95}"/>
    <cellStyle name="Linked Cell 28 2 2 2 3 9 3" xfId="28634" xr:uid="{8086E58A-39E2-439B-8BF5-F09D023225C1}"/>
    <cellStyle name="Linked Cell 28 2 2 2 4" xfId="28635" xr:uid="{A8A6105C-A0A6-4312-A14C-CC1DC6F6CC11}"/>
    <cellStyle name="Linked Cell 28 2 2 2 4 2" xfId="28636" xr:uid="{BD193A08-A276-4D63-93E8-AA55830102BF}"/>
    <cellStyle name="Linked Cell 28 2 2 2 4 2 2" xfId="28637" xr:uid="{B78ED16E-E4F2-4970-8DB6-B6B9648F7DDE}"/>
    <cellStyle name="Linked Cell 28 2 2 2 4 3" xfId="28638" xr:uid="{8325B0ED-F485-49C2-B329-DB893FBC7E05}"/>
    <cellStyle name="Linked Cell 28 2 2 2 5" xfId="28639" xr:uid="{C19F2227-A510-4BBA-B7C9-0680F4841985}"/>
    <cellStyle name="Linked Cell 28 2 2 2 5 2" xfId="28640" xr:uid="{059E2206-CE8C-44F4-BDB5-A2E66FCFD0BA}"/>
    <cellStyle name="Linked Cell 28 2 2 2 5 2 2" xfId="28641" xr:uid="{D853A882-D43E-453E-A7D0-51118FA0B018}"/>
    <cellStyle name="Linked Cell 28 2 2 2 5 3" xfId="28642" xr:uid="{433AE36F-0E13-4BF8-8E00-7CB43823A63B}"/>
    <cellStyle name="Linked Cell 28 2 2 2 6" xfId="28643" xr:uid="{82FF71E4-772E-4C4D-AD04-259DEE9DFE57}"/>
    <cellStyle name="Linked Cell 28 2 2 2 6 2" xfId="28644" xr:uid="{F4A49D70-22F4-49A2-836F-7A58D1F39473}"/>
    <cellStyle name="Linked Cell 28 2 2 2 6 2 2" xfId="28645" xr:uid="{BB5B7EAF-2D5D-43B7-B649-F472C2D68AB0}"/>
    <cellStyle name="Linked Cell 28 2 2 2 6 3" xfId="28646" xr:uid="{0A1C284F-F85B-4E7D-9D1E-420A6D90A70C}"/>
    <cellStyle name="Linked Cell 28 2 2 2 7" xfId="28647" xr:uid="{1EF20820-026E-44C3-9F62-1D18CA166424}"/>
    <cellStyle name="Linked Cell 28 2 2 2 7 2" xfId="28648" xr:uid="{3DB043DD-2D94-43CC-99E7-A58A394EEC6A}"/>
    <cellStyle name="Linked Cell 28 2 2 2 7 2 2" xfId="28649" xr:uid="{7833FB76-C910-4AB6-A367-B0A893862307}"/>
    <cellStyle name="Linked Cell 28 2 2 2 7 3" xfId="28650" xr:uid="{D1FFE82D-72A9-408E-ADF3-D035831E3103}"/>
    <cellStyle name="Linked Cell 28 2 2 2 8" xfId="28651" xr:uid="{9CBE18FD-18C8-4B85-B730-F99CB4E57A02}"/>
    <cellStyle name="Linked Cell 28 2 2 2 8 2" xfId="28652" xr:uid="{23EE6D94-F544-4BF0-AAFA-FB73547EB020}"/>
    <cellStyle name="Linked Cell 28 2 2 2 8 2 2" xfId="28653" xr:uid="{05AC1A37-6E84-4D39-B564-D09A1D403854}"/>
    <cellStyle name="Linked Cell 28 2 2 2 8 3" xfId="28654" xr:uid="{9205FF64-7943-4038-A893-B25EEBFA04ED}"/>
    <cellStyle name="Linked Cell 28 2 2 2 9" xfId="28655" xr:uid="{6AB44C2D-9D56-4B3D-97F2-17C358FB262F}"/>
    <cellStyle name="Linked Cell 28 2 2 2 9 2" xfId="28656" xr:uid="{5DC54AF2-D0BE-416B-AA1B-6A15A6D0EE26}"/>
    <cellStyle name="Linked Cell 28 2 2 2 9 2 2" xfId="28657" xr:uid="{D8F98674-D2F7-4977-9DD2-5E9510A332B4}"/>
    <cellStyle name="Linked Cell 28 2 2 2 9 3" xfId="28658" xr:uid="{5FF36762-D5C9-45A0-8612-5F32E78A43B8}"/>
    <cellStyle name="Linked Cell 28 2 2 3" xfId="28659" xr:uid="{CE18EB5B-ABEA-4202-A63B-AAB28E78D50C}"/>
    <cellStyle name="Linked Cell 28 2 2 3 10" xfId="28660" xr:uid="{2302C8EF-BEA3-4959-AC3C-A7FF4103E53D}"/>
    <cellStyle name="Linked Cell 28 2 2 3 10 2" xfId="28661" xr:uid="{F1974E58-B142-4872-93EE-C962DF7537CF}"/>
    <cellStyle name="Linked Cell 28 2 2 3 10 2 2" xfId="28662" xr:uid="{04953AA4-E757-46ED-BABE-4966985FD73B}"/>
    <cellStyle name="Linked Cell 28 2 2 3 10 3" xfId="28663" xr:uid="{F6C833B6-CFE0-4D08-BF6B-66BBBA4C8342}"/>
    <cellStyle name="Linked Cell 28 2 2 3 11" xfId="28664" xr:uid="{703AB2B3-8799-41CF-927F-3E9D6ACE2E34}"/>
    <cellStyle name="Linked Cell 28 2 2 3 11 2" xfId="28665" xr:uid="{E75CBE83-8D30-4DF7-A17C-83EC60F2577A}"/>
    <cellStyle name="Linked Cell 28 2 2 3 12" xfId="28666" xr:uid="{74BB8F31-46C4-4371-8572-6CAA497651F5}"/>
    <cellStyle name="Linked Cell 28 2 2 3 2" xfId="28667" xr:uid="{B56D7DE5-7892-404D-9625-61AC72A3DAD6}"/>
    <cellStyle name="Linked Cell 28 2 2 3 2 10" xfId="28668" xr:uid="{9240262D-3568-4BAC-88DD-061AD56DC2E6}"/>
    <cellStyle name="Linked Cell 28 2 2 3 2 10 2" xfId="28669" xr:uid="{ADC849A9-AEB1-454F-AD74-400CDA07C82C}"/>
    <cellStyle name="Linked Cell 28 2 2 3 2 11" xfId="28670" xr:uid="{717DA32E-276A-4E31-8AA6-93C8FADAADA7}"/>
    <cellStyle name="Linked Cell 28 2 2 3 2 2" xfId="28671" xr:uid="{8B872BAE-C78A-446D-B1B3-FCBB71C8CE71}"/>
    <cellStyle name="Linked Cell 28 2 2 3 2 2 2" xfId="28672" xr:uid="{7C370D43-1001-4D67-949F-5336DD69F128}"/>
    <cellStyle name="Linked Cell 28 2 2 3 2 2 2 2" xfId="28673" xr:uid="{B6254CD9-4BF9-4FFA-8232-6C6D5CF090FE}"/>
    <cellStyle name="Linked Cell 28 2 2 3 2 2 3" xfId="28674" xr:uid="{70C2D282-1A2D-4195-8CAC-356241078521}"/>
    <cellStyle name="Linked Cell 28 2 2 3 2 3" xfId="28675" xr:uid="{338158BE-A91D-4F5C-BC1A-DF91E533AB53}"/>
    <cellStyle name="Linked Cell 28 2 2 3 2 3 2" xfId="28676" xr:uid="{B7373610-6698-4B64-8F21-C50299D305C5}"/>
    <cellStyle name="Linked Cell 28 2 2 3 2 3 2 2" xfId="28677" xr:uid="{4DA9E602-96CE-4DD7-BF3A-D44D84268578}"/>
    <cellStyle name="Linked Cell 28 2 2 3 2 3 3" xfId="28678" xr:uid="{E05E63B3-5832-40A0-9CB0-A7C2EB49EA14}"/>
    <cellStyle name="Linked Cell 28 2 2 3 2 4" xfId="28679" xr:uid="{50E2A87D-9548-43AE-BA1A-EB28FC87C6A6}"/>
    <cellStyle name="Linked Cell 28 2 2 3 2 4 2" xfId="28680" xr:uid="{EA8B3714-2635-4649-AAB4-0DBC9C57C443}"/>
    <cellStyle name="Linked Cell 28 2 2 3 2 4 2 2" xfId="28681" xr:uid="{C7A54FFD-83C3-4A6F-863F-A734EA0867A7}"/>
    <cellStyle name="Linked Cell 28 2 2 3 2 4 3" xfId="28682" xr:uid="{8BF7BA48-F4E0-4ACA-B688-BA9C045E67EC}"/>
    <cellStyle name="Linked Cell 28 2 2 3 2 5" xfId="28683" xr:uid="{31C69FD0-591D-4569-AA3C-78A6433E15A4}"/>
    <cellStyle name="Linked Cell 28 2 2 3 2 5 2" xfId="28684" xr:uid="{2A71FB36-5C01-4A33-A737-546F37D326D6}"/>
    <cellStyle name="Linked Cell 28 2 2 3 2 5 2 2" xfId="28685" xr:uid="{C24B5942-7976-4EE2-8564-952EBDC53F1D}"/>
    <cellStyle name="Linked Cell 28 2 2 3 2 5 3" xfId="28686" xr:uid="{27E8F618-AC9F-4A16-98F8-B9B0574E4D8E}"/>
    <cellStyle name="Linked Cell 28 2 2 3 2 6" xfId="28687" xr:uid="{2789D4EF-7BEF-417C-9D4C-E2175F6760D1}"/>
    <cellStyle name="Linked Cell 28 2 2 3 2 6 2" xfId="28688" xr:uid="{705B199D-596C-4FD0-9530-099DEB25928A}"/>
    <cellStyle name="Linked Cell 28 2 2 3 2 6 2 2" xfId="28689" xr:uid="{03DF26F2-A39B-43E3-8C12-BACF36AA5552}"/>
    <cellStyle name="Linked Cell 28 2 2 3 2 6 3" xfId="28690" xr:uid="{F1344D3D-E0EE-4176-9350-8B6827A65583}"/>
    <cellStyle name="Linked Cell 28 2 2 3 2 7" xfId="28691" xr:uid="{E4520800-4DEB-4486-B0C7-32152196C797}"/>
    <cellStyle name="Linked Cell 28 2 2 3 2 7 2" xfId="28692" xr:uid="{B1D8D168-312B-4735-AF43-D04A1E0A33B6}"/>
    <cellStyle name="Linked Cell 28 2 2 3 2 7 2 2" xfId="28693" xr:uid="{C804B48E-55A1-4088-9BE4-6E9AFEDB4DA5}"/>
    <cellStyle name="Linked Cell 28 2 2 3 2 7 3" xfId="28694" xr:uid="{261515BC-EFC2-41A5-9857-8DDB3C242F59}"/>
    <cellStyle name="Linked Cell 28 2 2 3 2 8" xfId="28695" xr:uid="{409D95FF-243C-414D-AD8D-D3B426913DBE}"/>
    <cellStyle name="Linked Cell 28 2 2 3 2 8 2" xfId="28696" xr:uid="{D072268B-0C46-49DD-ACBE-AE0AF46F8AF4}"/>
    <cellStyle name="Linked Cell 28 2 2 3 2 8 2 2" xfId="28697" xr:uid="{CC6EDC8F-38C9-42EA-93B0-FFEA2F5D152D}"/>
    <cellStyle name="Linked Cell 28 2 2 3 2 8 3" xfId="28698" xr:uid="{8CD05E86-E71C-4CB6-B76F-AF5DD5B22D65}"/>
    <cellStyle name="Linked Cell 28 2 2 3 2 9" xfId="28699" xr:uid="{01B90FE4-20DB-48E2-B8E5-EB2E2AAA9B39}"/>
    <cellStyle name="Linked Cell 28 2 2 3 2 9 2" xfId="28700" xr:uid="{A8FC80A7-365D-44D8-A6FB-6F4299A994C6}"/>
    <cellStyle name="Linked Cell 28 2 2 3 2 9 2 2" xfId="28701" xr:uid="{620535F6-8A01-490C-96B6-F60AC040EE38}"/>
    <cellStyle name="Linked Cell 28 2 2 3 2 9 3" xfId="28702" xr:uid="{C82D0289-37F9-4D65-8E90-C7FDBA3B8C5D}"/>
    <cellStyle name="Linked Cell 28 2 2 3 3" xfId="28703" xr:uid="{9BFCB0EC-5B0D-44E8-850F-C0C4E936A336}"/>
    <cellStyle name="Linked Cell 28 2 2 3 3 2" xfId="28704" xr:uid="{91B838A4-BAEC-4C82-80EC-245DAA9FB0F1}"/>
    <cellStyle name="Linked Cell 28 2 2 3 3 2 2" xfId="28705" xr:uid="{5670E04B-7EE1-4D0D-AF1F-C1876C71D4D3}"/>
    <cellStyle name="Linked Cell 28 2 2 3 3 3" xfId="28706" xr:uid="{72E46178-68E7-4AF4-8931-3BA8301C5588}"/>
    <cellStyle name="Linked Cell 28 2 2 3 4" xfId="28707" xr:uid="{881C2EB1-49B6-4BB7-880C-84C1AFBEEFAA}"/>
    <cellStyle name="Linked Cell 28 2 2 3 4 2" xfId="28708" xr:uid="{15542526-8FD6-484B-A812-34344D07643A}"/>
    <cellStyle name="Linked Cell 28 2 2 3 4 2 2" xfId="28709" xr:uid="{124CB195-6D88-43F6-BA2E-BB30F596AE21}"/>
    <cellStyle name="Linked Cell 28 2 2 3 4 3" xfId="28710" xr:uid="{1DB6F55D-0034-47C9-9D83-AC57A8F34E4A}"/>
    <cellStyle name="Linked Cell 28 2 2 3 5" xfId="28711" xr:uid="{BC7CC752-E534-471D-9C62-75A4F92A93E9}"/>
    <cellStyle name="Linked Cell 28 2 2 3 5 2" xfId="28712" xr:uid="{14C67F52-D7EE-433E-B98F-FD84DCBA74D5}"/>
    <cellStyle name="Linked Cell 28 2 2 3 5 2 2" xfId="28713" xr:uid="{3015507C-EE73-4A04-8E97-FE704B05BA4B}"/>
    <cellStyle name="Linked Cell 28 2 2 3 5 3" xfId="28714" xr:uid="{E1B92CC4-B78B-4C47-A100-7A4B35F5D01A}"/>
    <cellStyle name="Linked Cell 28 2 2 3 6" xfId="28715" xr:uid="{35F0FCD4-9182-4530-9B4E-B9B2E95418C1}"/>
    <cellStyle name="Linked Cell 28 2 2 3 6 2" xfId="28716" xr:uid="{A46AB099-9BED-40B6-ACA4-A3C42B067654}"/>
    <cellStyle name="Linked Cell 28 2 2 3 6 2 2" xfId="28717" xr:uid="{0D43384A-09A7-483F-8772-D6E194CA51AF}"/>
    <cellStyle name="Linked Cell 28 2 2 3 6 3" xfId="28718" xr:uid="{9630391A-C74A-49CB-95A6-74B65C361C57}"/>
    <cellStyle name="Linked Cell 28 2 2 3 7" xfId="28719" xr:uid="{6AF98F15-9488-442D-897B-2A30C9F758AE}"/>
    <cellStyle name="Linked Cell 28 2 2 3 7 2" xfId="28720" xr:uid="{52DD5EBD-E070-4F95-BE9A-5DDEDC1FA21D}"/>
    <cellStyle name="Linked Cell 28 2 2 3 7 2 2" xfId="28721" xr:uid="{8A836023-7BA7-44F9-AD83-D1CC8A3C9048}"/>
    <cellStyle name="Linked Cell 28 2 2 3 7 3" xfId="28722" xr:uid="{0403D0E6-8D70-4302-A428-997D123505CD}"/>
    <cellStyle name="Linked Cell 28 2 2 3 8" xfId="28723" xr:uid="{62C1AB59-75ED-488C-8079-7624A79BF860}"/>
    <cellStyle name="Linked Cell 28 2 2 3 8 2" xfId="28724" xr:uid="{1398FB27-184E-4339-BC43-B64CC1A96ADC}"/>
    <cellStyle name="Linked Cell 28 2 2 3 8 2 2" xfId="28725" xr:uid="{14ADA6D3-C66D-4AB5-A295-1AE142EA6C0C}"/>
    <cellStyle name="Linked Cell 28 2 2 3 8 3" xfId="28726" xr:uid="{86FC5066-9B21-43CF-B9AE-F0FB337B4EFE}"/>
    <cellStyle name="Linked Cell 28 2 2 3 9" xfId="28727" xr:uid="{E089658E-5235-4272-A6EC-BC328773E5FE}"/>
    <cellStyle name="Linked Cell 28 2 2 3 9 2" xfId="28728" xr:uid="{D79FBB9A-448C-4253-9A4E-32B1B347937C}"/>
    <cellStyle name="Linked Cell 28 2 2 3 9 2 2" xfId="28729" xr:uid="{360C7C34-7F65-41EC-9DE1-4E302841C62E}"/>
    <cellStyle name="Linked Cell 28 2 2 3 9 3" xfId="28730" xr:uid="{5C39BFA3-201A-49D2-867B-EF6419EA5A4F}"/>
    <cellStyle name="Linked Cell 28 2 2 4" xfId="28731" xr:uid="{E61C4DDB-62A0-45A8-A7AB-F50622EF3E73}"/>
    <cellStyle name="Linked Cell 28 2 2 4 10" xfId="28732" xr:uid="{32ED9A01-0A27-48AB-ADF7-70B911C61595}"/>
    <cellStyle name="Linked Cell 28 2 2 4 10 2" xfId="28733" xr:uid="{44B4BA0A-9339-428B-8503-0937D5900F38}"/>
    <cellStyle name="Linked Cell 28 2 2 4 11" xfId="28734" xr:uid="{DE60A5BC-0B22-4BE9-8EDD-154777DCB04A}"/>
    <cellStyle name="Linked Cell 28 2 2 4 2" xfId="28735" xr:uid="{2156CCE4-1E57-4564-90CF-B794564F5C66}"/>
    <cellStyle name="Linked Cell 28 2 2 4 2 2" xfId="28736" xr:uid="{E21E72E8-E205-45D5-91C9-76B83B1CD96B}"/>
    <cellStyle name="Linked Cell 28 2 2 4 2 2 2" xfId="28737" xr:uid="{15D9BAF2-57DF-41A1-B9CD-CA25C5F80271}"/>
    <cellStyle name="Linked Cell 28 2 2 4 2 3" xfId="28738" xr:uid="{EBBCAFE4-D85A-4C37-BE90-43B92F63822F}"/>
    <cellStyle name="Linked Cell 28 2 2 4 3" xfId="28739" xr:uid="{70BD2C35-6A8D-40F8-98D5-F05BA2F58F2B}"/>
    <cellStyle name="Linked Cell 28 2 2 4 3 2" xfId="28740" xr:uid="{E7E81157-D2A8-472B-9C6C-E30DC7435708}"/>
    <cellStyle name="Linked Cell 28 2 2 4 3 2 2" xfId="28741" xr:uid="{DF10A788-FA0A-4573-86C3-8D7DA5584C5E}"/>
    <cellStyle name="Linked Cell 28 2 2 4 3 3" xfId="28742" xr:uid="{89339496-7430-4026-8281-657F02608246}"/>
    <cellStyle name="Linked Cell 28 2 2 4 4" xfId="28743" xr:uid="{906775AD-09D8-4B63-A418-3E06017D73C9}"/>
    <cellStyle name="Linked Cell 28 2 2 4 4 2" xfId="28744" xr:uid="{A09AF26C-23A9-4053-8FC6-331A5BFFA664}"/>
    <cellStyle name="Linked Cell 28 2 2 4 4 2 2" xfId="28745" xr:uid="{9B8534C3-D7FB-4FFE-A0BB-2E572E47596A}"/>
    <cellStyle name="Linked Cell 28 2 2 4 4 3" xfId="28746" xr:uid="{15DACAF9-3669-4DC6-94F1-AC2A93F708D4}"/>
    <cellStyle name="Linked Cell 28 2 2 4 5" xfId="28747" xr:uid="{E0988C9C-A2DC-486B-8FEB-9DE7619C8E89}"/>
    <cellStyle name="Linked Cell 28 2 2 4 5 2" xfId="28748" xr:uid="{4F3F4DA0-D2D9-4DAC-9793-8F3A723CF68F}"/>
    <cellStyle name="Linked Cell 28 2 2 4 5 2 2" xfId="28749" xr:uid="{E163B69E-91D2-4B8B-B7A5-FEE37173F52A}"/>
    <cellStyle name="Linked Cell 28 2 2 4 5 3" xfId="28750" xr:uid="{5058000C-BFD7-4717-8842-634E414F0304}"/>
    <cellStyle name="Linked Cell 28 2 2 4 6" xfId="28751" xr:uid="{2AB3B54B-F37E-4F35-86B9-1333D97A26BD}"/>
    <cellStyle name="Linked Cell 28 2 2 4 6 2" xfId="28752" xr:uid="{3B72290C-74C8-4815-A2C2-CDD681006778}"/>
    <cellStyle name="Linked Cell 28 2 2 4 6 2 2" xfId="28753" xr:uid="{C8645800-8631-4BEC-943C-8AE6E853093F}"/>
    <cellStyle name="Linked Cell 28 2 2 4 6 3" xfId="28754" xr:uid="{627AB558-27CF-43FE-8A53-0109CD6C953A}"/>
    <cellStyle name="Linked Cell 28 2 2 4 7" xfId="28755" xr:uid="{A7CDC3B0-A7D9-4C65-85BA-03C7D308C02B}"/>
    <cellStyle name="Linked Cell 28 2 2 4 7 2" xfId="28756" xr:uid="{EC90D29D-A3BF-42E5-94F3-C57B8E2A29E3}"/>
    <cellStyle name="Linked Cell 28 2 2 4 7 2 2" xfId="28757" xr:uid="{51CE4F48-6386-434E-889A-6E514ED6A83E}"/>
    <cellStyle name="Linked Cell 28 2 2 4 7 3" xfId="28758" xr:uid="{A15F258B-4B96-4BEB-A44D-C454827893D7}"/>
    <cellStyle name="Linked Cell 28 2 2 4 8" xfId="28759" xr:uid="{C0F9E3BA-567E-4B38-A3AE-D5A0E35F040B}"/>
    <cellStyle name="Linked Cell 28 2 2 4 8 2" xfId="28760" xr:uid="{0996F9FB-6619-44BA-BB54-A989D68AEB43}"/>
    <cellStyle name="Linked Cell 28 2 2 4 8 2 2" xfId="28761" xr:uid="{3151A75F-E36D-4D00-850E-6EB780EDF374}"/>
    <cellStyle name="Linked Cell 28 2 2 4 8 3" xfId="28762" xr:uid="{EAE190FE-D11E-49A1-9CC7-76DCCBB17E17}"/>
    <cellStyle name="Linked Cell 28 2 2 4 9" xfId="28763" xr:uid="{27B5D9BC-4CBA-4E8E-9853-1CDA7F052A34}"/>
    <cellStyle name="Linked Cell 28 2 2 4 9 2" xfId="28764" xr:uid="{0DD3B328-4289-43A5-B11C-A5FF56F39D2E}"/>
    <cellStyle name="Linked Cell 28 2 2 4 9 2 2" xfId="28765" xr:uid="{D1D994AE-2A33-4783-91A7-B31C5D2459D2}"/>
    <cellStyle name="Linked Cell 28 2 2 4 9 3" xfId="28766" xr:uid="{ACDC0043-C163-4515-A5BE-2CAA536D706D}"/>
    <cellStyle name="Linked Cell 28 2 2 5" xfId="28767" xr:uid="{800EA7E7-C06D-4A2B-A8A6-66DA281B89F0}"/>
    <cellStyle name="Linked Cell 28 2 2 5 2" xfId="28768" xr:uid="{EF5D079C-B448-4F50-88BF-BBBA702EE65C}"/>
    <cellStyle name="Linked Cell 28 2 2 5 2 2" xfId="28769" xr:uid="{FF142A08-E49D-498F-B1E7-BAD2EFD3AA72}"/>
    <cellStyle name="Linked Cell 28 2 2 5 3" xfId="28770" xr:uid="{4C8E55C0-446E-4008-A810-8894B4E89C38}"/>
    <cellStyle name="Linked Cell 28 2 2 6" xfId="28771" xr:uid="{3ED2307B-45CB-4556-BEEC-DFD6B4C04E48}"/>
    <cellStyle name="Linked Cell 28 2 2 6 2" xfId="28772" xr:uid="{4D190F97-B315-4E86-94F8-CAF11F97B30D}"/>
    <cellStyle name="Linked Cell 28 2 2 6 2 2" xfId="28773" xr:uid="{23A420B9-E978-4EA8-B460-0CFD50A95801}"/>
    <cellStyle name="Linked Cell 28 2 2 6 3" xfId="28774" xr:uid="{B8169E2A-6B97-4B21-864A-620E52B028E5}"/>
    <cellStyle name="Linked Cell 28 2 2 7" xfId="28775" xr:uid="{F832D424-FEC9-4518-8B30-F53BA6F60958}"/>
    <cellStyle name="Linked Cell 28 2 2 7 2" xfId="28776" xr:uid="{9CF00A16-6063-4E82-AB33-613164446D28}"/>
    <cellStyle name="Linked Cell 28 2 2 7 2 2" xfId="28777" xr:uid="{0FE3D627-0AD8-489C-A5EA-7CD51082B4BD}"/>
    <cellStyle name="Linked Cell 28 2 2 7 3" xfId="28778" xr:uid="{2E247513-6913-4AC5-A9CB-08D843676F2C}"/>
    <cellStyle name="Linked Cell 28 2 2 8" xfId="28779" xr:uid="{E36B2270-E3EC-40C2-85DC-807AEFE9BFD4}"/>
    <cellStyle name="Linked Cell 28 2 2 8 2" xfId="28780" xr:uid="{AFF7256B-C711-4EB9-BC2B-335F0FEA639B}"/>
    <cellStyle name="Linked Cell 28 2 2 8 2 2" xfId="28781" xr:uid="{07FFE30D-3D59-47E1-B1FA-C31E26DBDE1B}"/>
    <cellStyle name="Linked Cell 28 2 2 8 3" xfId="28782" xr:uid="{C6794C37-334C-4330-81C1-2C82C3ED4C2F}"/>
    <cellStyle name="Linked Cell 28 2 2 9" xfId="28783" xr:uid="{4CDD157B-79C9-4C01-A8B1-8291974580F2}"/>
    <cellStyle name="Linked Cell 28 2 2 9 2" xfId="28784" xr:uid="{45C9C6FA-AD8C-4284-A656-B3E3C51A8C2D}"/>
    <cellStyle name="Linked Cell 28 2 2 9 2 2" xfId="28785" xr:uid="{F4E8198D-3334-4E8C-B77B-37F1A8E5C806}"/>
    <cellStyle name="Linked Cell 28 2 2 9 3" xfId="28786" xr:uid="{61497671-5BAE-467D-A516-F1A3264C5821}"/>
    <cellStyle name="Linked Cell 28 2 3" xfId="28787" xr:uid="{00556990-3F46-450D-9A71-0F6A395DC82A}"/>
    <cellStyle name="Linked Cell 28 2 3 10" xfId="28788" xr:uid="{4CE0DFEB-6D02-4A55-9771-6F644A777D0F}"/>
    <cellStyle name="Linked Cell 28 2 3 10 2" xfId="28789" xr:uid="{D7171703-F73D-42E6-90C2-390B69331776}"/>
    <cellStyle name="Linked Cell 28 2 3 10 2 2" xfId="28790" xr:uid="{09AA7CC3-61C9-4E71-A4D6-EDC157E13160}"/>
    <cellStyle name="Linked Cell 28 2 3 10 3" xfId="28791" xr:uid="{914B41F4-737C-4683-971F-F359F5B2FF92}"/>
    <cellStyle name="Linked Cell 28 2 3 11" xfId="28792" xr:uid="{D31B65CC-B922-4C55-8D59-4BC181583430}"/>
    <cellStyle name="Linked Cell 28 2 3 11 2" xfId="28793" xr:uid="{355DD220-D2DE-4308-B148-2C13A66DA56F}"/>
    <cellStyle name="Linked Cell 28 2 3 11 2 2" xfId="28794" xr:uid="{A49025F4-72F7-48DE-AAB2-5EDEE6FC952C}"/>
    <cellStyle name="Linked Cell 28 2 3 11 3" xfId="28795" xr:uid="{194EFBB9-7CF8-4D93-8775-FD8868D49CD4}"/>
    <cellStyle name="Linked Cell 28 2 3 12" xfId="28796" xr:uid="{4F748E3F-CDAB-4E3E-A376-C82496C1B00A}"/>
    <cellStyle name="Linked Cell 28 2 3 12 2" xfId="28797" xr:uid="{E9385624-8B18-45CA-A3DF-E37F78B857F8}"/>
    <cellStyle name="Linked Cell 28 2 3 13" xfId="28798" xr:uid="{2CDAB855-62E6-4957-BCAE-2F801F3C89CD}"/>
    <cellStyle name="Linked Cell 28 2 3 2" xfId="28799" xr:uid="{417F7EB2-13BC-41A6-9F3F-40E91D1AC481}"/>
    <cellStyle name="Linked Cell 28 2 3 2 10" xfId="28800" xr:uid="{D9D107CD-B391-48C4-9016-441100DA9559}"/>
    <cellStyle name="Linked Cell 28 2 3 2 10 2" xfId="28801" xr:uid="{0C815CEE-28C0-4B3A-A4CC-9828F7F3E158}"/>
    <cellStyle name="Linked Cell 28 2 3 2 10 2 2" xfId="28802" xr:uid="{CDF875A4-365C-4295-8B7B-56A214821B4C}"/>
    <cellStyle name="Linked Cell 28 2 3 2 10 3" xfId="28803" xr:uid="{A2402D37-F305-489B-A485-CD052E7247E8}"/>
    <cellStyle name="Linked Cell 28 2 3 2 11" xfId="28804" xr:uid="{40FE014F-0EAA-40DC-B042-E6FB3DEDC209}"/>
    <cellStyle name="Linked Cell 28 2 3 2 11 2" xfId="28805" xr:uid="{351D6963-E29D-4DDC-81C7-56C4F0A4FDA2}"/>
    <cellStyle name="Linked Cell 28 2 3 2 12" xfId="28806" xr:uid="{E477DA12-A21D-4D57-BDD8-5CF1CEDD699E}"/>
    <cellStyle name="Linked Cell 28 2 3 2 2" xfId="28807" xr:uid="{81D82068-0D62-4FF6-A0A0-C5732FDA229B}"/>
    <cellStyle name="Linked Cell 28 2 3 2 2 2" xfId="28808" xr:uid="{02541745-BEA9-45D5-B5AC-AD29C146613F}"/>
    <cellStyle name="Linked Cell 28 2 3 2 2 2 2" xfId="28809" xr:uid="{05699DB5-F3D3-4346-B8BD-85AFDCB4ABAE}"/>
    <cellStyle name="Linked Cell 28 2 3 2 2 3" xfId="28810" xr:uid="{7AFAD5D0-6BED-4166-9652-ADFEC5E13BAD}"/>
    <cellStyle name="Linked Cell 28 2 3 2 3" xfId="28811" xr:uid="{AFA4C152-34CE-446A-AD38-4F021C217294}"/>
    <cellStyle name="Linked Cell 28 2 3 2 3 2" xfId="28812" xr:uid="{9B8891FC-0D91-48E6-900D-09A1799F0BFF}"/>
    <cellStyle name="Linked Cell 28 2 3 2 3 2 2" xfId="28813" xr:uid="{DE7F174C-9A7D-4E9C-B60A-89FDCD15E314}"/>
    <cellStyle name="Linked Cell 28 2 3 2 3 3" xfId="28814" xr:uid="{D423618B-1654-47EF-A8F1-4525A17FE445}"/>
    <cellStyle name="Linked Cell 28 2 3 2 4" xfId="28815" xr:uid="{7BF81480-E214-412C-B6C5-93047F3F1324}"/>
    <cellStyle name="Linked Cell 28 2 3 2 4 2" xfId="28816" xr:uid="{1D1B52E3-190D-4B76-A7C1-9AF5DDE18A6F}"/>
    <cellStyle name="Linked Cell 28 2 3 2 4 2 2" xfId="28817" xr:uid="{5997F2FB-BF86-4C11-9D57-4ED6E1447F10}"/>
    <cellStyle name="Linked Cell 28 2 3 2 4 3" xfId="28818" xr:uid="{000AB918-DCD1-4828-8CF7-F7FEDE17A52C}"/>
    <cellStyle name="Linked Cell 28 2 3 2 5" xfId="28819" xr:uid="{65EB3592-0ACE-4A9B-AC7F-EB7E1942BDB9}"/>
    <cellStyle name="Linked Cell 28 2 3 2 5 2" xfId="28820" xr:uid="{FE763C92-9E4B-47D8-A226-471E55530F13}"/>
    <cellStyle name="Linked Cell 28 2 3 2 5 2 2" xfId="28821" xr:uid="{8B2F5766-5572-4C4D-90CE-AFB42F098DA6}"/>
    <cellStyle name="Linked Cell 28 2 3 2 5 3" xfId="28822" xr:uid="{22DB90E2-EC0D-4B25-AE6E-CA6577C88EBE}"/>
    <cellStyle name="Linked Cell 28 2 3 2 6" xfId="28823" xr:uid="{A3878FB5-1D11-48CE-A98C-61548206C568}"/>
    <cellStyle name="Linked Cell 28 2 3 2 6 2" xfId="28824" xr:uid="{233E1FC8-29D9-44E3-A0D6-CE7FDC024204}"/>
    <cellStyle name="Linked Cell 28 2 3 2 6 2 2" xfId="28825" xr:uid="{9FF5311A-6761-422E-8055-B5E5ADF0AE7D}"/>
    <cellStyle name="Linked Cell 28 2 3 2 6 3" xfId="28826" xr:uid="{21667D79-916B-4F0E-8745-998D10090751}"/>
    <cellStyle name="Linked Cell 28 2 3 2 7" xfId="28827" xr:uid="{C707F8A3-256A-4F21-9C93-5747F25A5794}"/>
    <cellStyle name="Linked Cell 28 2 3 2 7 2" xfId="28828" xr:uid="{8CFBBDD0-A6A6-4D31-AD14-BB254E251C33}"/>
    <cellStyle name="Linked Cell 28 2 3 2 7 2 2" xfId="28829" xr:uid="{5A0D2D34-E1C0-435B-B0F2-D2599414AA63}"/>
    <cellStyle name="Linked Cell 28 2 3 2 7 3" xfId="28830" xr:uid="{75ACD3B9-9E85-493C-A555-2A8674F6EC7E}"/>
    <cellStyle name="Linked Cell 28 2 3 2 8" xfId="28831" xr:uid="{740CC465-F0E3-4F94-A79B-2617F2CEA9BF}"/>
    <cellStyle name="Linked Cell 28 2 3 2 8 2" xfId="28832" xr:uid="{85EA805F-8838-4D1A-8CF4-3AE091C5B24D}"/>
    <cellStyle name="Linked Cell 28 2 3 2 8 2 2" xfId="28833" xr:uid="{69F0863E-BCE7-4876-BBEF-1B0E87659696}"/>
    <cellStyle name="Linked Cell 28 2 3 2 8 3" xfId="28834" xr:uid="{B5EF9E7A-1B61-4EF3-A5AC-B2DE6FAF4CFA}"/>
    <cellStyle name="Linked Cell 28 2 3 2 9" xfId="28835" xr:uid="{0F99FB5B-37A6-4C4D-9DF4-B6F3A82D1729}"/>
    <cellStyle name="Linked Cell 28 2 3 2 9 2" xfId="28836" xr:uid="{D026888E-8834-428E-A3C5-8D4BAA02CC45}"/>
    <cellStyle name="Linked Cell 28 2 3 2 9 2 2" xfId="28837" xr:uid="{E6EF579F-A273-4D1F-85A7-A34945DB8B91}"/>
    <cellStyle name="Linked Cell 28 2 3 2 9 3" xfId="28838" xr:uid="{A6240A65-94ED-48ED-8C02-E10B7462EF5A}"/>
    <cellStyle name="Linked Cell 28 2 3 3" xfId="28839" xr:uid="{2C2AE071-EF73-4908-BEDA-114D80C066DC}"/>
    <cellStyle name="Linked Cell 28 2 3 3 10" xfId="28840" xr:uid="{8D5DC950-B7B8-4179-A9DE-E5F86CE10CC3}"/>
    <cellStyle name="Linked Cell 28 2 3 3 10 2" xfId="28841" xr:uid="{FBA6F53F-6319-4E90-A213-8F122F178A41}"/>
    <cellStyle name="Linked Cell 28 2 3 3 11" xfId="28842" xr:uid="{C5BC673D-6B56-4539-B5F2-7C0F772E3D8C}"/>
    <cellStyle name="Linked Cell 28 2 3 3 2" xfId="28843" xr:uid="{E561AC59-79EE-4FF0-A86F-559B73644243}"/>
    <cellStyle name="Linked Cell 28 2 3 3 2 2" xfId="28844" xr:uid="{15F23F8F-6178-4226-AB4E-5D52E8F3280A}"/>
    <cellStyle name="Linked Cell 28 2 3 3 2 2 2" xfId="28845" xr:uid="{5D12AA65-4A49-4EA9-97D0-306609C3C174}"/>
    <cellStyle name="Linked Cell 28 2 3 3 2 3" xfId="28846" xr:uid="{31F30930-4139-4B3E-A3C6-9072AEB6DB2D}"/>
    <cellStyle name="Linked Cell 28 2 3 3 3" xfId="28847" xr:uid="{F8546AC4-1123-4131-B84E-B6E554045BCF}"/>
    <cellStyle name="Linked Cell 28 2 3 3 3 2" xfId="28848" xr:uid="{4159A4E3-EA99-444D-8216-196049552119}"/>
    <cellStyle name="Linked Cell 28 2 3 3 3 2 2" xfId="28849" xr:uid="{90E734F5-03D9-4FB8-8F1B-9D690AC6CBBC}"/>
    <cellStyle name="Linked Cell 28 2 3 3 3 3" xfId="28850" xr:uid="{62F47AE5-971E-4D0D-83FE-443858E0F47D}"/>
    <cellStyle name="Linked Cell 28 2 3 3 4" xfId="28851" xr:uid="{B17B27AB-8C69-43F6-8AE7-C3D5976EE067}"/>
    <cellStyle name="Linked Cell 28 2 3 3 4 2" xfId="28852" xr:uid="{CB8A6B93-2449-40D8-9BB9-018E564A29D0}"/>
    <cellStyle name="Linked Cell 28 2 3 3 4 2 2" xfId="28853" xr:uid="{57F46C51-569C-40EA-9816-7371303B4570}"/>
    <cellStyle name="Linked Cell 28 2 3 3 4 3" xfId="28854" xr:uid="{D6D5A398-339F-4BFA-A681-B639AE2E4D6B}"/>
    <cellStyle name="Linked Cell 28 2 3 3 5" xfId="28855" xr:uid="{EE8E8205-3B61-4D5C-BFFB-3AD18CB7565A}"/>
    <cellStyle name="Linked Cell 28 2 3 3 5 2" xfId="28856" xr:uid="{DA54D16D-931D-4F8F-B6A3-BC47A3805929}"/>
    <cellStyle name="Linked Cell 28 2 3 3 5 2 2" xfId="28857" xr:uid="{A7A285A8-0B90-4C4B-A6F6-7D1D94E5F9B0}"/>
    <cellStyle name="Linked Cell 28 2 3 3 5 3" xfId="28858" xr:uid="{448AFCC8-D348-4521-84F3-E8ABBD819E2D}"/>
    <cellStyle name="Linked Cell 28 2 3 3 6" xfId="28859" xr:uid="{B71A70E0-F805-410B-9895-CD1EAB213E4B}"/>
    <cellStyle name="Linked Cell 28 2 3 3 6 2" xfId="28860" xr:uid="{ACFFBE28-D41B-4804-88E3-39AB9FF29DDC}"/>
    <cellStyle name="Linked Cell 28 2 3 3 6 2 2" xfId="28861" xr:uid="{36EDFC85-C645-496C-BD43-FE91FE47476F}"/>
    <cellStyle name="Linked Cell 28 2 3 3 6 3" xfId="28862" xr:uid="{6CBB8F3B-190D-4CAC-8546-B1B5172E6BEF}"/>
    <cellStyle name="Linked Cell 28 2 3 3 7" xfId="28863" xr:uid="{53C984E1-9253-41B7-B458-9D7832B10870}"/>
    <cellStyle name="Linked Cell 28 2 3 3 7 2" xfId="28864" xr:uid="{DDBD77D0-69BB-41C8-8A85-65E80DB68C7B}"/>
    <cellStyle name="Linked Cell 28 2 3 3 7 2 2" xfId="28865" xr:uid="{4D4B374E-B5F9-4576-9C8C-145FC1106724}"/>
    <cellStyle name="Linked Cell 28 2 3 3 7 3" xfId="28866" xr:uid="{CE189CAC-B900-4FCC-BA77-16C41AFC0C0B}"/>
    <cellStyle name="Linked Cell 28 2 3 3 8" xfId="28867" xr:uid="{06EEEEE8-6789-495B-8F90-44137EB50305}"/>
    <cellStyle name="Linked Cell 28 2 3 3 8 2" xfId="28868" xr:uid="{1E5A9C07-1AF9-4737-911B-B5EF5AC5A941}"/>
    <cellStyle name="Linked Cell 28 2 3 3 8 2 2" xfId="28869" xr:uid="{DB3340F6-74C3-4F46-B61A-8D0857BBD73D}"/>
    <cellStyle name="Linked Cell 28 2 3 3 8 3" xfId="28870" xr:uid="{0E27BD1A-14C5-4F58-8A5C-C34DB7B418EC}"/>
    <cellStyle name="Linked Cell 28 2 3 3 9" xfId="28871" xr:uid="{68842F4C-143F-4C53-B08E-E81CF9586CFF}"/>
    <cellStyle name="Linked Cell 28 2 3 3 9 2" xfId="28872" xr:uid="{3AEEAAAC-640F-42B2-A9AD-2880C32E1F49}"/>
    <cellStyle name="Linked Cell 28 2 3 3 9 2 2" xfId="28873" xr:uid="{7B0B6DBB-3627-4EE2-97FC-C3CFB6F83F70}"/>
    <cellStyle name="Linked Cell 28 2 3 3 9 3" xfId="28874" xr:uid="{6B46CE56-A2DC-4AF1-8564-3988C8A3DFE9}"/>
    <cellStyle name="Linked Cell 28 2 3 4" xfId="28875" xr:uid="{03818F62-7B9E-4922-A02C-811315671C6B}"/>
    <cellStyle name="Linked Cell 28 2 3 4 2" xfId="28876" xr:uid="{8E3EF541-8566-4C6C-9E34-C74160A871B2}"/>
    <cellStyle name="Linked Cell 28 2 3 4 2 2" xfId="28877" xr:uid="{B22C5F91-C035-4FE7-8BC8-D8B785926545}"/>
    <cellStyle name="Linked Cell 28 2 3 4 3" xfId="28878" xr:uid="{BFEFAC7E-3C00-463E-9009-46E7F9123834}"/>
    <cellStyle name="Linked Cell 28 2 3 5" xfId="28879" xr:uid="{ADCFDEBD-48F5-47CB-84A6-D78C63C603A2}"/>
    <cellStyle name="Linked Cell 28 2 3 5 2" xfId="28880" xr:uid="{D56C2DD2-EB8E-4323-845E-799A8479CAAC}"/>
    <cellStyle name="Linked Cell 28 2 3 5 2 2" xfId="28881" xr:uid="{B8E21773-A41C-4F99-A535-B237B3BC96B5}"/>
    <cellStyle name="Linked Cell 28 2 3 5 3" xfId="28882" xr:uid="{5DCBF99B-C61E-4E7D-83BB-6507DC539836}"/>
    <cellStyle name="Linked Cell 28 2 3 6" xfId="28883" xr:uid="{369CE63A-4312-4168-8936-E4917ADB842D}"/>
    <cellStyle name="Linked Cell 28 2 3 6 2" xfId="28884" xr:uid="{EAFD3E9D-C7EE-4C08-BED2-2176C2490716}"/>
    <cellStyle name="Linked Cell 28 2 3 6 2 2" xfId="28885" xr:uid="{B0C87465-164C-4714-A257-4A94D7050673}"/>
    <cellStyle name="Linked Cell 28 2 3 6 3" xfId="28886" xr:uid="{842DCD85-D6E1-447D-BBF3-A6BF1EB7D443}"/>
    <cellStyle name="Linked Cell 28 2 3 7" xfId="28887" xr:uid="{9F1A4701-A969-4BBE-A571-F473739AF148}"/>
    <cellStyle name="Linked Cell 28 2 3 7 2" xfId="28888" xr:uid="{F0114B44-E6F2-44E8-BAA8-70F0D7409E76}"/>
    <cellStyle name="Linked Cell 28 2 3 7 2 2" xfId="28889" xr:uid="{E4798340-4E8C-4978-82CB-341BCF600193}"/>
    <cellStyle name="Linked Cell 28 2 3 7 3" xfId="28890" xr:uid="{4AF5C0F7-B76A-40CC-B347-5E5116B388F9}"/>
    <cellStyle name="Linked Cell 28 2 3 8" xfId="28891" xr:uid="{CC367690-A0CB-4B6A-A501-0C99823F6870}"/>
    <cellStyle name="Linked Cell 28 2 3 8 2" xfId="28892" xr:uid="{558DB866-E91C-4C74-A011-AF497EF329B6}"/>
    <cellStyle name="Linked Cell 28 2 3 8 2 2" xfId="28893" xr:uid="{A9BE3223-5051-465D-B818-0BD7BF708E5C}"/>
    <cellStyle name="Linked Cell 28 2 3 8 3" xfId="28894" xr:uid="{C08AC422-72F8-498D-B506-B8E0D983D4B1}"/>
    <cellStyle name="Linked Cell 28 2 3 9" xfId="28895" xr:uid="{897E8344-DDFB-444F-BDAA-60BD521D0C59}"/>
    <cellStyle name="Linked Cell 28 2 3 9 2" xfId="28896" xr:uid="{DF784E91-8221-4FCC-A3F2-A45F8C5FC7F9}"/>
    <cellStyle name="Linked Cell 28 2 3 9 2 2" xfId="28897" xr:uid="{527BE1A2-213F-4586-9B2B-FF735A7E62DF}"/>
    <cellStyle name="Linked Cell 28 2 3 9 3" xfId="28898" xr:uid="{1C71C2A4-80F2-42B1-AEF1-9D67844F6E9A}"/>
    <cellStyle name="Linked Cell 28 2 4" xfId="28899" xr:uid="{DE95F609-3DC9-4EDA-B27B-0F53F0338AC4}"/>
    <cellStyle name="Linked Cell 28 2 4 10" xfId="28900" xr:uid="{13C7F1CE-F9D6-46A4-A6C9-073D34A67DF9}"/>
    <cellStyle name="Linked Cell 28 2 4 10 2" xfId="28901" xr:uid="{13201887-9A1A-4452-936A-47EFDF9864C2}"/>
    <cellStyle name="Linked Cell 28 2 4 10 2 2" xfId="28902" xr:uid="{F0D14286-DFB6-4A68-977B-1532F6573505}"/>
    <cellStyle name="Linked Cell 28 2 4 10 3" xfId="28903" xr:uid="{5250358B-87D6-41DC-8A57-8963F869E687}"/>
    <cellStyle name="Linked Cell 28 2 4 11" xfId="28904" xr:uid="{A040DE50-698F-4A3D-B8A4-0246D2C0CCBD}"/>
    <cellStyle name="Linked Cell 28 2 4 11 2" xfId="28905" xr:uid="{73609291-4B22-475D-A8A1-2119B0024822}"/>
    <cellStyle name="Linked Cell 28 2 4 12" xfId="28906" xr:uid="{D11A3723-C027-4F3F-8FBA-EB9617EF5069}"/>
    <cellStyle name="Linked Cell 28 2 4 2" xfId="28907" xr:uid="{C4576496-79D8-4598-BB85-706B0E2609C0}"/>
    <cellStyle name="Linked Cell 28 2 4 2 10" xfId="28908" xr:uid="{D3A79FD7-C632-4B8D-BCDC-EA6EB285CEB9}"/>
    <cellStyle name="Linked Cell 28 2 4 2 10 2" xfId="28909" xr:uid="{9673450B-A80E-4193-B5F9-E07361053FB7}"/>
    <cellStyle name="Linked Cell 28 2 4 2 11" xfId="28910" xr:uid="{175F4744-3ED8-4425-8707-5F26A3034A97}"/>
    <cellStyle name="Linked Cell 28 2 4 2 2" xfId="28911" xr:uid="{1488057D-3874-476F-A69D-CA435F3EA5EF}"/>
    <cellStyle name="Linked Cell 28 2 4 2 2 2" xfId="28912" xr:uid="{6E4DE466-93C1-4967-8DF8-95A4BF87922C}"/>
    <cellStyle name="Linked Cell 28 2 4 2 2 2 2" xfId="28913" xr:uid="{240B1BE7-4D3B-4504-A932-808C9FE8C007}"/>
    <cellStyle name="Linked Cell 28 2 4 2 2 3" xfId="28914" xr:uid="{486AEF7C-28B0-4779-A8B2-7BC171D7BF0E}"/>
    <cellStyle name="Linked Cell 28 2 4 2 3" xfId="28915" xr:uid="{0281594A-988D-419F-AE7B-3FF58ABC9973}"/>
    <cellStyle name="Linked Cell 28 2 4 2 3 2" xfId="28916" xr:uid="{E48D4C6F-1CF3-4CD1-BA00-29B7A10E1D5C}"/>
    <cellStyle name="Linked Cell 28 2 4 2 3 2 2" xfId="28917" xr:uid="{F65A5808-7128-4942-9EEB-4CF2C43FE3D8}"/>
    <cellStyle name="Linked Cell 28 2 4 2 3 3" xfId="28918" xr:uid="{D891851B-4502-4EBC-921B-4341A59A35A4}"/>
    <cellStyle name="Linked Cell 28 2 4 2 4" xfId="28919" xr:uid="{88094679-ABA6-44BD-A531-F80609FCC350}"/>
    <cellStyle name="Linked Cell 28 2 4 2 4 2" xfId="28920" xr:uid="{158B0AC2-4AD6-4B57-A007-1F0FBFBF9B05}"/>
    <cellStyle name="Linked Cell 28 2 4 2 4 2 2" xfId="28921" xr:uid="{35C42AAD-C20A-469D-80CE-03B7B5AC7D83}"/>
    <cellStyle name="Linked Cell 28 2 4 2 4 3" xfId="28922" xr:uid="{F839BB20-7274-4884-9EB1-5BCA19186DBA}"/>
    <cellStyle name="Linked Cell 28 2 4 2 5" xfId="28923" xr:uid="{BF2B620C-ABE6-4C28-8431-24B7C9BC9907}"/>
    <cellStyle name="Linked Cell 28 2 4 2 5 2" xfId="28924" xr:uid="{86CBC387-369F-495B-9EDF-F7856CA5E512}"/>
    <cellStyle name="Linked Cell 28 2 4 2 5 2 2" xfId="28925" xr:uid="{281FCF89-6932-4547-8B1B-52D337F9E68B}"/>
    <cellStyle name="Linked Cell 28 2 4 2 5 3" xfId="28926" xr:uid="{50C6597A-8B4E-4E36-93B3-21C5C62353B2}"/>
    <cellStyle name="Linked Cell 28 2 4 2 6" xfId="28927" xr:uid="{97A58575-873C-4F4F-87A0-896679C4BE4F}"/>
    <cellStyle name="Linked Cell 28 2 4 2 6 2" xfId="28928" xr:uid="{29E00695-A900-4F48-A66F-75E1DB4528D4}"/>
    <cellStyle name="Linked Cell 28 2 4 2 6 2 2" xfId="28929" xr:uid="{1DEAE1A7-0781-49F4-BAE8-D80DB38EEE00}"/>
    <cellStyle name="Linked Cell 28 2 4 2 6 3" xfId="28930" xr:uid="{33493573-EAF5-4477-BFD7-CDB62073A06E}"/>
    <cellStyle name="Linked Cell 28 2 4 2 7" xfId="28931" xr:uid="{C2328F78-1AD7-495F-B553-42D24A99F10A}"/>
    <cellStyle name="Linked Cell 28 2 4 2 7 2" xfId="28932" xr:uid="{B2DCAD33-3CF6-484F-A41C-6D4A4CAF8D08}"/>
    <cellStyle name="Linked Cell 28 2 4 2 7 2 2" xfId="28933" xr:uid="{20744B39-005E-414C-A93C-C214459D9A67}"/>
    <cellStyle name="Linked Cell 28 2 4 2 7 3" xfId="28934" xr:uid="{08C2FCB1-C5CA-4288-B262-381D52A17B61}"/>
    <cellStyle name="Linked Cell 28 2 4 2 8" xfId="28935" xr:uid="{E95FCC35-B94C-48AF-803D-10E632732645}"/>
    <cellStyle name="Linked Cell 28 2 4 2 8 2" xfId="28936" xr:uid="{E64778A6-5A46-468C-9CF1-3779595143F2}"/>
    <cellStyle name="Linked Cell 28 2 4 2 8 2 2" xfId="28937" xr:uid="{76881542-B919-42CC-BD6E-244EF6AFA7E1}"/>
    <cellStyle name="Linked Cell 28 2 4 2 8 3" xfId="28938" xr:uid="{C09BD123-A309-4E0C-B050-EE71FC13E706}"/>
    <cellStyle name="Linked Cell 28 2 4 2 9" xfId="28939" xr:uid="{484F8B4B-F50F-46E2-AADE-5515AF7D71E0}"/>
    <cellStyle name="Linked Cell 28 2 4 2 9 2" xfId="28940" xr:uid="{C10ACCD3-12BC-487F-BF73-5A7171C3547F}"/>
    <cellStyle name="Linked Cell 28 2 4 2 9 2 2" xfId="28941" xr:uid="{761F1BF7-3CB0-4063-8B90-8AA30F690773}"/>
    <cellStyle name="Linked Cell 28 2 4 2 9 3" xfId="28942" xr:uid="{7A0449EE-CD74-419B-9B26-C3D4FF963806}"/>
    <cellStyle name="Linked Cell 28 2 4 3" xfId="28943" xr:uid="{E865E03F-CBF3-45E5-AECF-F7B8FF47CF63}"/>
    <cellStyle name="Linked Cell 28 2 4 3 2" xfId="28944" xr:uid="{1F09D381-36A1-4BCA-9694-C9956A380D10}"/>
    <cellStyle name="Linked Cell 28 2 4 3 2 2" xfId="28945" xr:uid="{51099BF2-C502-4155-A514-BF9D348DB605}"/>
    <cellStyle name="Linked Cell 28 2 4 3 3" xfId="28946" xr:uid="{206F67B0-4995-4FAA-B17D-536DFF868307}"/>
    <cellStyle name="Linked Cell 28 2 4 4" xfId="28947" xr:uid="{14BDA263-4B3B-45F2-A902-97F8453F8A13}"/>
    <cellStyle name="Linked Cell 28 2 4 4 2" xfId="28948" xr:uid="{928D135E-8080-4384-A78C-4A73F2FC45A6}"/>
    <cellStyle name="Linked Cell 28 2 4 4 2 2" xfId="28949" xr:uid="{E404E9A8-9076-48BD-98FB-F4FF0A852CBC}"/>
    <cellStyle name="Linked Cell 28 2 4 4 3" xfId="28950" xr:uid="{3A9CCB2C-3D4A-4235-AAF5-F7C59499D33A}"/>
    <cellStyle name="Linked Cell 28 2 4 5" xfId="28951" xr:uid="{5B6E1261-AD41-44D5-90DC-5181E31B7038}"/>
    <cellStyle name="Linked Cell 28 2 4 5 2" xfId="28952" xr:uid="{F00187D4-2701-40D7-BCA6-042009D2E2BE}"/>
    <cellStyle name="Linked Cell 28 2 4 5 2 2" xfId="28953" xr:uid="{0A536785-6565-40D0-9221-CB99F402B0A6}"/>
    <cellStyle name="Linked Cell 28 2 4 5 3" xfId="28954" xr:uid="{5CDBB4E8-887D-4A5A-920B-3ACFE7E452E4}"/>
    <cellStyle name="Linked Cell 28 2 4 6" xfId="28955" xr:uid="{3A5DB5C5-248B-43B7-ACDC-BD926A699B93}"/>
    <cellStyle name="Linked Cell 28 2 4 6 2" xfId="28956" xr:uid="{480A4AD9-27E0-4C83-A90C-38C258F8795A}"/>
    <cellStyle name="Linked Cell 28 2 4 6 2 2" xfId="28957" xr:uid="{98325D33-26DB-4E2B-8955-A5F4BAC31182}"/>
    <cellStyle name="Linked Cell 28 2 4 6 3" xfId="28958" xr:uid="{38BA5EC0-D630-49BD-BBD6-00809A0710FF}"/>
    <cellStyle name="Linked Cell 28 2 4 7" xfId="28959" xr:uid="{F4411420-DC24-412D-A4BE-01CC2F6A739C}"/>
    <cellStyle name="Linked Cell 28 2 4 7 2" xfId="28960" xr:uid="{7F13041B-39A4-48AF-805C-1C5AEAEDE7C2}"/>
    <cellStyle name="Linked Cell 28 2 4 7 2 2" xfId="28961" xr:uid="{D0520C84-B348-440C-B00F-3E73AD2AB54D}"/>
    <cellStyle name="Linked Cell 28 2 4 7 3" xfId="28962" xr:uid="{98AC5DF0-EA41-42AB-9326-6F90B8ACAD1B}"/>
    <cellStyle name="Linked Cell 28 2 4 8" xfId="28963" xr:uid="{FC0C5DE8-83DF-4641-993D-AEE51610B45D}"/>
    <cellStyle name="Linked Cell 28 2 4 8 2" xfId="28964" xr:uid="{AED6B33B-5D3D-4D94-9204-D5A9CCCFC539}"/>
    <cellStyle name="Linked Cell 28 2 4 8 2 2" xfId="28965" xr:uid="{B472EB5E-A0AB-422C-9F18-A7394AC37BAD}"/>
    <cellStyle name="Linked Cell 28 2 4 8 3" xfId="28966" xr:uid="{2A32DCCC-A29C-4A57-8B71-2DEFDB457663}"/>
    <cellStyle name="Linked Cell 28 2 4 9" xfId="28967" xr:uid="{5FC7F256-03A0-43A2-8221-FC1366D99455}"/>
    <cellStyle name="Linked Cell 28 2 4 9 2" xfId="28968" xr:uid="{5D47E6AD-2072-4A36-AC98-B217262193F2}"/>
    <cellStyle name="Linked Cell 28 2 4 9 2 2" xfId="28969" xr:uid="{C2E362B6-9C0E-42AF-A199-DCEC4DF8FBE4}"/>
    <cellStyle name="Linked Cell 28 2 4 9 3" xfId="28970" xr:uid="{5A327CA6-3304-4954-A130-2747499D00AB}"/>
    <cellStyle name="Linked Cell 28 2 5" xfId="28971" xr:uid="{D2942BC0-E036-4162-8C21-A13755FEC428}"/>
    <cellStyle name="Linked Cell 28 2 5 10" xfId="28972" xr:uid="{5BB6EF53-D975-40A8-8638-AA3189C6B04C}"/>
    <cellStyle name="Linked Cell 28 2 5 10 2" xfId="28973" xr:uid="{C6E5BABE-AFE9-442C-82E2-CDA66E74B6EC}"/>
    <cellStyle name="Linked Cell 28 2 5 11" xfId="28974" xr:uid="{D6113157-C5E2-49C9-A55F-A81400F5831D}"/>
    <cellStyle name="Linked Cell 28 2 5 2" xfId="28975" xr:uid="{E1BEB5EB-FF01-44D7-8913-2C8057A99556}"/>
    <cellStyle name="Linked Cell 28 2 5 2 2" xfId="28976" xr:uid="{4C2AD810-5BB3-44C6-B724-EEEAF298F920}"/>
    <cellStyle name="Linked Cell 28 2 5 2 2 2" xfId="28977" xr:uid="{9B7FEC18-01EC-4D13-8E96-0D4C5568E6A8}"/>
    <cellStyle name="Linked Cell 28 2 5 2 3" xfId="28978" xr:uid="{19C147A2-3CAC-4199-8C88-8581E2F39FFE}"/>
    <cellStyle name="Linked Cell 28 2 5 3" xfId="28979" xr:uid="{3DE4D8BA-7E89-448C-99E5-57F52C16DB28}"/>
    <cellStyle name="Linked Cell 28 2 5 3 2" xfId="28980" xr:uid="{4E9C4CC8-B852-49B5-80D6-11992B3ACE42}"/>
    <cellStyle name="Linked Cell 28 2 5 3 2 2" xfId="28981" xr:uid="{CCB38741-3C8D-4922-BD75-E2CE4502B21E}"/>
    <cellStyle name="Linked Cell 28 2 5 3 3" xfId="28982" xr:uid="{7269B1ED-6F2D-42E5-A1E4-36DC164F1284}"/>
    <cellStyle name="Linked Cell 28 2 5 4" xfId="28983" xr:uid="{C205CCDA-6F1C-4C00-92C0-E735DE125EC8}"/>
    <cellStyle name="Linked Cell 28 2 5 4 2" xfId="28984" xr:uid="{B45B526E-52B2-4F62-815A-1B188234D6A3}"/>
    <cellStyle name="Linked Cell 28 2 5 4 2 2" xfId="28985" xr:uid="{660AD2C4-2D87-4974-A66B-12E86FFE43B1}"/>
    <cellStyle name="Linked Cell 28 2 5 4 3" xfId="28986" xr:uid="{C403B773-1B8C-471E-8961-79D0A68DC72E}"/>
    <cellStyle name="Linked Cell 28 2 5 5" xfId="28987" xr:uid="{2DF34286-5765-4346-B38F-9D6AE6CCF76A}"/>
    <cellStyle name="Linked Cell 28 2 5 5 2" xfId="28988" xr:uid="{AF49D0C1-E87A-4F32-87A6-EB476A879223}"/>
    <cellStyle name="Linked Cell 28 2 5 5 2 2" xfId="28989" xr:uid="{B8A3B42F-E256-4ED1-930E-2EC67ABEC86A}"/>
    <cellStyle name="Linked Cell 28 2 5 5 3" xfId="28990" xr:uid="{7969828C-4F0D-46A9-AE5E-65BF3273A5E7}"/>
    <cellStyle name="Linked Cell 28 2 5 6" xfId="28991" xr:uid="{1DBA3386-AA73-4A72-BE0E-F745D7D5988B}"/>
    <cellStyle name="Linked Cell 28 2 5 6 2" xfId="28992" xr:uid="{10B1BA69-5BC9-46F1-B8C7-D5D909A7A458}"/>
    <cellStyle name="Linked Cell 28 2 5 6 2 2" xfId="28993" xr:uid="{02BD0488-4BEA-40F3-975B-C6978160DC33}"/>
    <cellStyle name="Linked Cell 28 2 5 6 3" xfId="28994" xr:uid="{1021283A-CFC3-4439-9470-C42A9E648FB0}"/>
    <cellStyle name="Linked Cell 28 2 5 7" xfId="28995" xr:uid="{5E7ECBAF-9C45-4DD6-8B2D-C00EC0CCA7A0}"/>
    <cellStyle name="Linked Cell 28 2 5 7 2" xfId="28996" xr:uid="{C4E70B09-AB9C-49A4-A9D2-3CB0240EF3DE}"/>
    <cellStyle name="Linked Cell 28 2 5 7 2 2" xfId="28997" xr:uid="{06C9507A-285A-42FC-9B83-8BC58D7223C0}"/>
    <cellStyle name="Linked Cell 28 2 5 7 3" xfId="28998" xr:uid="{3CCE6BCE-9CC7-46F2-8CB9-34FE2A459331}"/>
    <cellStyle name="Linked Cell 28 2 5 8" xfId="28999" xr:uid="{05B7021E-FCA7-4A69-99C2-749E161198B6}"/>
    <cellStyle name="Linked Cell 28 2 5 8 2" xfId="29000" xr:uid="{71D386BE-8A02-4682-ADDE-58A05A0875ED}"/>
    <cellStyle name="Linked Cell 28 2 5 8 2 2" xfId="29001" xr:uid="{3D408691-3D0D-4391-8251-5EDCCD6713E2}"/>
    <cellStyle name="Linked Cell 28 2 5 8 3" xfId="29002" xr:uid="{24EDB884-2E38-480C-AFE8-B0D1CA8DE2F3}"/>
    <cellStyle name="Linked Cell 28 2 5 9" xfId="29003" xr:uid="{D86FF1C7-039F-42E8-86D0-D2AD73FCDCF9}"/>
    <cellStyle name="Linked Cell 28 2 5 9 2" xfId="29004" xr:uid="{605ECB93-AD3F-402B-866A-141E2D98A9BF}"/>
    <cellStyle name="Linked Cell 28 2 5 9 2 2" xfId="29005" xr:uid="{B3836060-2D84-485B-9B97-A64B3F4EABC1}"/>
    <cellStyle name="Linked Cell 28 2 5 9 3" xfId="29006" xr:uid="{17DD0615-7D12-4C57-BE5B-76946EB0A852}"/>
    <cellStyle name="Linked Cell 28 2 6" xfId="29007" xr:uid="{55E78713-22F0-4F21-9AE6-74E6051235B6}"/>
    <cellStyle name="Linked Cell 28 2 6 2" xfId="29008" xr:uid="{032F956D-0513-4966-89E3-58CB1F116293}"/>
    <cellStyle name="Linked Cell 28 2 6 2 2" xfId="29009" xr:uid="{9C2AD896-97CF-4AAF-9633-448138957739}"/>
    <cellStyle name="Linked Cell 28 2 6 3" xfId="29010" xr:uid="{02280F62-8A2F-4822-A5DC-72296FF8B79E}"/>
    <cellStyle name="Linked Cell 28 2 7" xfId="29011" xr:uid="{47F25D37-3344-4656-8AA6-1F8962150752}"/>
    <cellStyle name="Linked Cell 28 2 7 2" xfId="29012" xr:uid="{24799A4B-4550-48BA-A05D-0FFC57E88D0F}"/>
    <cellStyle name="Linked Cell 28 2 7 2 2" xfId="29013" xr:uid="{47979429-BCAD-4109-BC5E-413D659BEC80}"/>
    <cellStyle name="Linked Cell 28 2 7 3" xfId="29014" xr:uid="{81E6B069-09D2-4C1D-B807-C57AC455AF29}"/>
    <cellStyle name="Linked Cell 28 2 8" xfId="29015" xr:uid="{FDED73D4-E6DE-49A6-9235-06BD1EF36619}"/>
    <cellStyle name="Linked Cell 28 2 8 2" xfId="29016" xr:uid="{279DE19B-E0A1-4DA4-A7E7-CE64AE6BE76A}"/>
    <cellStyle name="Linked Cell 28 2 8 2 2" xfId="29017" xr:uid="{E79DCED1-EC95-4EAE-B6A7-BE8BC4A1DDA2}"/>
    <cellStyle name="Linked Cell 28 2 8 3" xfId="29018" xr:uid="{07C34C7F-6450-44A7-B5C2-4312CEB535B5}"/>
    <cellStyle name="Linked Cell 28 2 9" xfId="29019" xr:uid="{AAE67A2C-D2F1-4362-BA51-B907540CD1EA}"/>
    <cellStyle name="Linked Cell 28 2 9 2" xfId="29020" xr:uid="{18A01A01-C30D-4BB6-ACB8-C59D6C48471D}"/>
    <cellStyle name="Linked Cell 28 2 9 2 2" xfId="29021" xr:uid="{0F4EF07C-DA26-48BE-95F6-01113DD6498F}"/>
    <cellStyle name="Linked Cell 28 2 9 3" xfId="29022" xr:uid="{E892D089-AA68-434E-97BF-DAA738A8502C}"/>
    <cellStyle name="Linked Cell 28 3" xfId="29023" xr:uid="{08F2F033-7F11-45E1-8D51-610D0A375A15}"/>
    <cellStyle name="Linked Cell 28 3 10" xfId="29024" xr:uid="{E2C11791-D3BB-4107-A1A5-2E1B1776E2CE}"/>
    <cellStyle name="Linked Cell 28 3 10 2" xfId="29025" xr:uid="{46D7D9DA-86BD-41CA-B7C8-120A13AF9134}"/>
    <cellStyle name="Linked Cell 28 3 10 2 2" xfId="29026" xr:uid="{B0FEA91A-A6B3-47B9-9E54-9A02F50BAA8C}"/>
    <cellStyle name="Linked Cell 28 3 10 3" xfId="29027" xr:uid="{91F73C12-0257-4654-BC07-2DB1CDF0BCE4}"/>
    <cellStyle name="Linked Cell 28 3 11" xfId="29028" xr:uid="{ECCD8637-D88C-43C0-8D40-022392BF6AF6}"/>
    <cellStyle name="Linked Cell 28 3 11 2" xfId="29029" xr:uid="{1A44C6D2-2A53-4F7F-8244-5CD7690FF4E0}"/>
    <cellStyle name="Linked Cell 28 3 11 2 2" xfId="29030" xr:uid="{A35BCFBC-4C76-4E0E-A902-F34D24F98A6A}"/>
    <cellStyle name="Linked Cell 28 3 11 3" xfId="29031" xr:uid="{72E6E8B5-C4F1-4CD4-A284-504FFB1B54A7}"/>
    <cellStyle name="Linked Cell 28 3 12" xfId="29032" xr:uid="{9CD4FBA1-1FA2-4646-A869-EEF7F2B8292E}"/>
    <cellStyle name="Linked Cell 28 3 12 2" xfId="29033" xr:uid="{EF422A19-84C4-46F0-954A-9D9FC2DE363C}"/>
    <cellStyle name="Linked Cell 28 3 12 2 2" xfId="29034" xr:uid="{BA2C3DD6-7113-4727-96BE-FEE55D0CE08F}"/>
    <cellStyle name="Linked Cell 28 3 12 3" xfId="29035" xr:uid="{398D2E09-4E21-4C26-A7EF-A1FE572956C8}"/>
    <cellStyle name="Linked Cell 28 3 13" xfId="29036" xr:uid="{0CED4276-C293-48A7-A840-CA929A89FC4F}"/>
    <cellStyle name="Linked Cell 28 3 13 2" xfId="29037" xr:uid="{4971CD3A-53E6-4866-BA28-63955BC40FBB}"/>
    <cellStyle name="Linked Cell 28 3 14" xfId="29038" xr:uid="{F5FB1E20-DF8F-4584-9630-415F5D67808E}"/>
    <cellStyle name="Linked Cell 28 3 2" xfId="29039" xr:uid="{F03E77D9-F407-42B8-821E-783E0B38C240}"/>
    <cellStyle name="Linked Cell 28 3 2 10" xfId="29040" xr:uid="{0916C3D0-5F3D-4504-B5AC-3A0975423AA7}"/>
    <cellStyle name="Linked Cell 28 3 2 10 2" xfId="29041" xr:uid="{102B5F3F-462A-44BF-8CA1-D4082F0CE64B}"/>
    <cellStyle name="Linked Cell 28 3 2 10 2 2" xfId="29042" xr:uid="{E6278CCB-BC2A-48C2-A961-727986C6EBA7}"/>
    <cellStyle name="Linked Cell 28 3 2 10 3" xfId="29043" xr:uid="{48D1400C-1447-4B74-B207-511AC386EDBA}"/>
    <cellStyle name="Linked Cell 28 3 2 11" xfId="29044" xr:uid="{A0FD5559-5393-4802-9B8E-BC8615221A97}"/>
    <cellStyle name="Linked Cell 28 3 2 11 2" xfId="29045" xr:uid="{EB3EE85B-5C1F-42C7-9CEE-692915C66A88}"/>
    <cellStyle name="Linked Cell 28 3 2 11 2 2" xfId="29046" xr:uid="{CFA3BD98-ED91-42BF-965E-BB15CAD87DEE}"/>
    <cellStyle name="Linked Cell 28 3 2 11 3" xfId="29047" xr:uid="{37EA2355-68B2-4450-A146-86E0C4928DEA}"/>
    <cellStyle name="Linked Cell 28 3 2 12" xfId="29048" xr:uid="{17FA164D-113D-4AF4-9799-DFADAE516CA9}"/>
    <cellStyle name="Linked Cell 28 3 2 12 2" xfId="29049" xr:uid="{DCCCFC11-8CF1-4FEE-862D-73D820A36F51}"/>
    <cellStyle name="Linked Cell 28 3 2 13" xfId="29050" xr:uid="{D6E763B7-E2CF-4E72-A448-A873C9DDE68C}"/>
    <cellStyle name="Linked Cell 28 3 2 2" xfId="29051" xr:uid="{8D044F63-05DD-4D7A-ABB4-72FEAAFE9549}"/>
    <cellStyle name="Linked Cell 28 3 2 2 10" xfId="29052" xr:uid="{52855027-E497-459C-B515-C5C2566AE3C6}"/>
    <cellStyle name="Linked Cell 28 3 2 2 10 2" xfId="29053" xr:uid="{807816C9-4CF1-42F3-B436-8AC0B9D10D9A}"/>
    <cellStyle name="Linked Cell 28 3 2 2 10 2 2" xfId="29054" xr:uid="{2A0D71F2-A11E-47EF-B4B7-AA8EE81314A2}"/>
    <cellStyle name="Linked Cell 28 3 2 2 10 3" xfId="29055" xr:uid="{A72A76D7-7270-418D-93AE-FDAD6FD08912}"/>
    <cellStyle name="Linked Cell 28 3 2 2 11" xfId="29056" xr:uid="{4A8BCA3D-B854-4EC0-92B3-11D676AF6339}"/>
    <cellStyle name="Linked Cell 28 3 2 2 11 2" xfId="29057" xr:uid="{D2CBFF91-1E53-430D-A2CB-AD5F25B41879}"/>
    <cellStyle name="Linked Cell 28 3 2 2 12" xfId="29058" xr:uid="{524766F2-34C1-41E3-A355-9DDDA02831A1}"/>
    <cellStyle name="Linked Cell 28 3 2 2 2" xfId="29059" xr:uid="{057170AA-0459-4653-87A4-E73DD6C54E32}"/>
    <cellStyle name="Linked Cell 28 3 2 2 2 2" xfId="29060" xr:uid="{EFFC6BB4-B2BC-4A67-8EAB-9B89F3347468}"/>
    <cellStyle name="Linked Cell 28 3 2 2 2 2 2" xfId="29061" xr:uid="{3F16CE84-BE7D-48DA-91A5-49E68A93FF29}"/>
    <cellStyle name="Linked Cell 28 3 2 2 2 3" xfId="29062" xr:uid="{E8283BE5-D1E9-4BF3-A328-EF09E6DF3196}"/>
    <cellStyle name="Linked Cell 28 3 2 2 3" xfId="29063" xr:uid="{BDCFAB62-F71C-410B-B2A2-8AADDE021311}"/>
    <cellStyle name="Linked Cell 28 3 2 2 3 2" xfId="29064" xr:uid="{3B66164F-5E80-477C-9A46-A0129E161394}"/>
    <cellStyle name="Linked Cell 28 3 2 2 3 2 2" xfId="29065" xr:uid="{D5702256-0B4A-4A73-9595-4702B6152E49}"/>
    <cellStyle name="Linked Cell 28 3 2 2 3 3" xfId="29066" xr:uid="{D731BF81-90C3-443C-898D-2B3D913F2E79}"/>
    <cellStyle name="Linked Cell 28 3 2 2 4" xfId="29067" xr:uid="{C1C529DA-DAB8-4B56-BA55-0D5F3615ECC7}"/>
    <cellStyle name="Linked Cell 28 3 2 2 4 2" xfId="29068" xr:uid="{4D79B231-9D22-4A83-B16A-C24385A7A808}"/>
    <cellStyle name="Linked Cell 28 3 2 2 4 2 2" xfId="29069" xr:uid="{E0852165-D038-4E14-BED2-787B5B3D7F5A}"/>
    <cellStyle name="Linked Cell 28 3 2 2 4 3" xfId="29070" xr:uid="{9FE816F9-CE23-4AAB-BACF-71442FB1EF8B}"/>
    <cellStyle name="Linked Cell 28 3 2 2 5" xfId="29071" xr:uid="{F1B51094-6401-4225-A999-ACFE8394D6FC}"/>
    <cellStyle name="Linked Cell 28 3 2 2 5 2" xfId="29072" xr:uid="{E66ADC3A-D802-40F1-B37C-13345BBB560F}"/>
    <cellStyle name="Linked Cell 28 3 2 2 5 2 2" xfId="29073" xr:uid="{4D75CE3A-AC49-4226-ADB0-FD6FE64A09BA}"/>
    <cellStyle name="Linked Cell 28 3 2 2 5 3" xfId="29074" xr:uid="{3211197F-98F1-4D7E-84B7-3694A09E90EE}"/>
    <cellStyle name="Linked Cell 28 3 2 2 6" xfId="29075" xr:uid="{C6F35F65-3E5B-411F-98F7-932CA4BC5C59}"/>
    <cellStyle name="Linked Cell 28 3 2 2 6 2" xfId="29076" xr:uid="{0E9EE937-2444-41DA-B0C0-1E3E1F15016D}"/>
    <cellStyle name="Linked Cell 28 3 2 2 6 2 2" xfId="29077" xr:uid="{A32E68CF-4211-4BA4-A1DD-4D2B2C6EB391}"/>
    <cellStyle name="Linked Cell 28 3 2 2 6 3" xfId="29078" xr:uid="{4CA84693-D645-4F90-9507-CA0236AA0901}"/>
    <cellStyle name="Linked Cell 28 3 2 2 7" xfId="29079" xr:uid="{3C361FDE-F124-4212-98D7-DE248CE6996C}"/>
    <cellStyle name="Linked Cell 28 3 2 2 7 2" xfId="29080" xr:uid="{F4FF6FC7-6FEA-4882-979E-F2F784E216D6}"/>
    <cellStyle name="Linked Cell 28 3 2 2 7 2 2" xfId="29081" xr:uid="{8D3EF85F-278D-46D9-9278-F3E2245F7C8C}"/>
    <cellStyle name="Linked Cell 28 3 2 2 7 3" xfId="29082" xr:uid="{49DA6E77-268E-423E-9BC3-BB0961301360}"/>
    <cellStyle name="Linked Cell 28 3 2 2 8" xfId="29083" xr:uid="{8219A208-5459-46B0-B7EF-F34032FB9CB7}"/>
    <cellStyle name="Linked Cell 28 3 2 2 8 2" xfId="29084" xr:uid="{4477929E-96FD-4C3C-A8E5-A2F628F6B966}"/>
    <cellStyle name="Linked Cell 28 3 2 2 8 2 2" xfId="29085" xr:uid="{BA0D6709-A666-4D92-83A1-540E29F27234}"/>
    <cellStyle name="Linked Cell 28 3 2 2 8 3" xfId="29086" xr:uid="{17DF692C-6C6F-4786-837B-4FFEE4696392}"/>
    <cellStyle name="Linked Cell 28 3 2 2 9" xfId="29087" xr:uid="{4CF9ADCE-E161-4FED-B3EB-6D5540BA1BB1}"/>
    <cellStyle name="Linked Cell 28 3 2 2 9 2" xfId="29088" xr:uid="{4C3F102E-A50E-4526-8713-9627318B0147}"/>
    <cellStyle name="Linked Cell 28 3 2 2 9 2 2" xfId="29089" xr:uid="{0B37E2E4-F106-4744-B268-330D8ECB17DC}"/>
    <cellStyle name="Linked Cell 28 3 2 2 9 3" xfId="29090" xr:uid="{B77C303F-6AA6-4F4C-98C9-F3F8970E6290}"/>
    <cellStyle name="Linked Cell 28 3 2 3" xfId="29091" xr:uid="{571EF104-B4E5-49AE-A3B0-A07F0DC5E5D1}"/>
    <cellStyle name="Linked Cell 28 3 2 3 10" xfId="29092" xr:uid="{720751FF-C319-4D32-8046-7871095F9235}"/>
    <cellStyle name="Linked Cell 28 3 2 3 10 2" xfId="29093" xr:uid="{F03409E3-7D7A-4CBC-AF3E-E7E4519138A2}"/>
    <cellStyle name="Linked Cell 28 3 2 3 11" xfId="29094" xr:uid="{F84F995C-3A6D-4A33-867B-51B40FDCC24E}"/>
    <cellStyle name="Linked Cell 28 3 2 3 2" xfId="29095" xr:uid="{14795A72-05A2-46DF-81F1-1909BFA2BB8D}"/>
    <cellStyle name="Linked Cell 28 3 2 3 2 2" xfId="29096" xr:uid="{6E17D23E-E4D7-4F5B-B301-0EF45D24302A}"/>
    <cellStyle name="Linked Cell 28 3 2 3 2 2 2" xfId="29097" xr:uid="{64CB520A-957E-449C-9FEB-1F9C5D3DB344}"/>
    <cellStyle name="Linked Cell 28 3 2 3 2 3" xfId="29098" xr:uid="{8336BB69-E6C3-4151-8290-33534B7A7C9D}"/>
    <cellStyle name="Linked Cell 28 3 2 3 3" xfId="29099" xr:uid="{E4FC83BD-7F37-491C-9E8D-D0D9DC59EF66}"/>
    <cellStyle name="Linked Cell 28 3 2 3 3 2" xfId="29100" xr:uid="{0EF9AC25-03D4-44F5-BB02-1728A42054D8}"/>
    <cellStyle name="Linked Cell 28 3 2 3 3 2 2" xfId="29101" xr:uid="{226773EE-4571-4DA3-8CB0-BEE898C1F222}"/>
    <cellStyle name="Linked Cell 28 3 2 3 3 3" xfId="29102" xr:uid="{6CDBB200-F66F-437D-B552-A743CB256FB2}"/>
    <cellStyle name="Linked Cell 28 3 2 3 4" xfId="29103" xr:uid="{5B35D90B-B01B-48A1-A7DD-75290FFD2E4B}"/>
    <cellStyle name="Linked Cell 28 3 2 3 4 2" xfId="29104" xr:uid="{8B2A63B9-8D46-4E1A-9D1F-5BF32CE7B579}"/>
    <cellStyle name="Linked Cell 28 3 2 3 4 2 2" xfId="29105" xr:uid="{E7279DEB-AD47-44DD-9984-69EB588D8C63}"/>
    <cellStyle name="Linked Cell 28 3 2 3 4 3" xfId="29106" xr:uid="{32000893-A067-4C62-ACA9-A1E57DFF606D}"/>
    <cellStyle name="Linked Cell 28 3 2 3 5" xfId="29107" xr:uid="{85A4A0FA-8C99-46A7-8EA4-89B469C0FF08}"/>
    <cellStyle name="Linked Cell 28 3 2 3 5 2" xfId="29108" xr:uid="{19801460-3459-41CF-A0AF-3B281EA1917F}"/>
    <cellStyle name="Linked Cell 28 3 2 3 5 2 2" xfId="29109" xr:uid="{2F9D351D-F678-4CE5-BF6E-90AEEA41ECDF}"/>
    <cellStyle name="Linked Cell 28 3 2 3 5 3" xfId="29110" xr:uid="{1C387AFC-2F93-42F4-AE57-4160A7F5287A}"/>
    <cellStyle name="Linked Cell 28 3 2 3 6" xfId="29111" xr:uid="{0FDD625F-0C3B-4B5A-952C-D97599653BA8}"/>
    <cellStyle name="Linked Cell 28 3 2 3 6 2" xfId="29112" xr:uid="{E64C8464-964D-4573-BE15-B784FA5ED85C}"/>
    <cellStyle name="Linked Cell 28 3 2 3 6 2 2" xfId="29113" xr:uid="{8DA24479-3315-4FB8-ADDA-3EDEB427D7A8}"/>
    <cellStyle name="Linked Cell 28 3 2 3 6 3" xfId="29114" xr:uid="{25993380-D4F8-4C44-8B58-30E960CBA004}"/>
    <cellStyle name="Linked Cell 28 3 2 3 7" xfId="29115" xr:uid="{E64C5760-576C-420F-B99A-E0BB5E8A6D3C}"/>
    <cellStyle name="Linked Cell 28 3 2 3 7 2" xfId="29116" xr:uid="{BE1A4439-0502-4B80-866D-BB55E76B6F5F}"/>
    <cellStyle name="Linked Cell 28 3 2 3 7 2 2" xfId="29117" xr:uid="{0F189815-82C4-4D37-97A8-53C116A8F3E3}"/>
    <cellStyle name="Linked Cell 28 3 2 3 7 3" xfId="29118" xr:uid="{0F58E4BB-7BF5-48DB-AA9B-3E66049B6024}"/>
    <cellStyle name="Linked Cell 28 3 2 3 8" xfId="29119" xr:uid="{581E91C9-2304-49E1-B782-365E0DEAFAA8}"/>
    <cellStyle name="Linked Cell 28 3 2 3 8 2" xfId="29120" xr:uid="{449D647F-DAA0-415F-967D-89BDB78B0B55}"/>
    <cellStyle name="Linked Cell 28 3 2 3 8 2 2" xfId="29121" xr:uid="{2B84AEBF-A99C-4C6A-B5F1-9551D964022A}"/>
    <cellStyle name="Linked Cell 28 3 2 3 8 3" xfId="29122" xr:uid="{80A05AE2-E15A-45DF-9853-6BF3E49E2EBE}"/>
    <cellStyle name="Linked Cell 28 3 2 3 9" xfId="29123" xr:uid="{9AE0B04A-5ACF-4125-8111-65F99D63FB3C}"/>
    <cellStyle name="Linked Cell 28 3 2 3 9 2" xfId="29124" xr:uid="{3AC2ED95-9679-442D-9A7F-CE7F984358D8}"/>
    <cellStyle name="Linked Cell 28 3 2 3 9 2 2" xfId="29125" xr:uid="{163B9368-58E5-4FDC-B2CA-C5F8D0C06FD4}"/>
    <cellStyle name="Linked Cell 28 3 2 3 9 3" xfId="29126" xr:uid="{9C2063C0-E3BC-42DF-A279-D26D4C49619E}"/>
    <cellStyle name="Linked Cell 28 3 2 4" xfId="29127" xr:uid="{2792CF91-3FFF-45FF-8159-FC412E10BE75}"/>
    <cellStyle name="Linked Cell 28 3 2 4 2" xfId="29128" xr:uid="{8AADD62E-E75A-422E-B774-32113B06B83D}"/>
    <cellStyle name="Linked Cell 28 3 2 4 2 2" xfId="29129" xr:uid="{9B1282A1-00C2-4026-825F-4A93BCAE2E40}"/>
    <cellStyle name="Linked Cell 28 3 2 4 3" xfId="29130" xr:uid="{911741D6-C562-44FB-A8A6-B511E1CF9BBC}"/>
    <cellStyle name="Linked Cell 28 3 2 5" xfId="29131" xr:uid="{DF81FA12-70CB-448F-BE88-15088D28ACD6}"/>
    <cellStyle name="Linked Cell 28 3 2 5 2" xfId="29132" xr:uid="{3BE3C48E-39D7-4BD5-828C-599F582D4A37}"/>
    <cellStyle name="Linked Cell 28 3 2 5 2 2" xfId="29133" xr:uid="{2F35643A-E4D2-4842-8D84-4D65526927B8}"/>
    <cellStyle name="Linked Cell 28 3 2 5 3" xfId="29134" xr:uid="{039E84EE-EA7F-410A-BA95-3373BE1BA3AF}"/>
    <cellStyle name="Linked Cell 28 3 2 6" xfId="29135" xr:uid="{2C021D7C-86AF-4D28-8672-AB8F0BFD086C}"/>
    <cellStyle name="Linked Cell 28 3 2 6 2" xfId="29136" xr:uid="{CE5C3759-116D-4CFC-B5D3-0C66112E9212}"/>
    <cellStyle name="Linked Cell 28 3 2 6 2 2" xfId="29137" xr:uid="{91DB0E11-0587-4968-9E3D-ACD3DC5BBAC5}"/>
    <cellStyle name="Linked Cell 28 3 2 6 3" xfId="29138" xr:uid="{02C3E040-ED78-4CD8-9AB6-BBB02DEDE4EF}"/>
    <cellStyle name="Linked Cell 28 3 2 7" xfId="29139" xr:uid="{B14CF2A0-6824-4E6D-B6B7-E7683D6176F8}"/>
    <cellStyle name="Linked Cell 28 3 2 7 2" xfId="29140" xr:uid="{89351CE7-39BA-4411-81D2-DC0AF3D8522C}"/>
    <cellStyle name="Linked Cell 28 3 2 7 2 2" xfId="29141" xr:uid="{0C0DE392-1853-47D8-BA03-4961F944DDA2}"/>
    <cellStyle name="Linked Cell 28 3 2 7 3" xfId="29142" xr:uid="{D672EFBA-BE63-42D2-8907-479163172DEF}"/>
    <cellStyle name="Linked Cell 28 3 2 8" xfId="29143" xr:uid="{D2524D32-946A-4CC2-89A5-AC14ED67AFB1}"/>
    <cellStyle name="Linked Cell 28 3 2 8 2" xfId="29144" xr:uid="{2B3FDDCB-3728-4C7F-B200-973C3840617D}"/>
    <cellStyle name="Linked Cell 28 3 2 8 2 2" xfId="29145" xr:uid="{F0757334-1F18-4A6C-A6D2-2D84F82CCBB4}"/>
    <cellStyle name="Linked Cell 28 3 2 8 3" xfId="29146" xr:uid="{EFA6541C-ED41-423C-A962-BF3E8CFF0809}"/>
    <cellStyle name="Linked Cell 28 3 2 9" xfId="29147" xr:uid="{69E3B33A-B128-4BD7-9E42-E1FCF0DCFAFE}"/>
    <cellStyle name="Linked Cell 28 3 2 9 2" xfId="29148" xr:uid="{7708BCBA-26B3-4973-85DA-1CC805C10437}"/>
    <cellStyle name="Linked Cell 28 3 2 9 2 2" xfId="29149" xr:uid="{B9349EF7-497B-4A1B-B827-D0CCD02903A3}"/>
    <cellStyle name="Linked Cell 28 3 2 9 3" xfId="29150" xr:uid="{6D873437-6A88-466D-8362-02AA398A49BA}"/>
    <cellStyle name="Linked Cell 28 3 3" xfId="29151" xr:uid="{EA488773-26BF-44EE-9206-AD071AAADBE6}"/>
    <cellStyle name="Linked Cell 28 3 3 10" xfId="29152" xr:uid="{9D545293-DA03-4A95-AC0F-DEA14B2257CE}"/>
    <cellStyle name="Linked Cell 28 3 3 10 2" xfId="29153" xr:uid="{394135D3-ABD5-4F1A-A549-8A25DAD5C16A}"/>
    <cellStyle name="Linked Cell 28 3 3 10 2 2" xfId="29154" xr:uid="{238C11AC-53EE-4459-8764-2ADF76FD3A9B}"/>
    <cellStyle name="Linked Cell 28 3 3 10 3" xfId="29155" xr:uid="{A0B21065-1C86-4779-80FB-2BC2398B39E5}"/>
    <cellStyle name="Linked Cell 28 3 3 11" xfId="29156" xr:uid="{92B27F68-2938-449A-8AE4-B69FBB0033E3}"/>
    <cellStyle name="Linked Cell 28 3 3 11 2" xfId="29157" xr:uid="{AAB5183B-AC7C-4176-A4DD-0E36419EBC18}"/>
    <cellStyle name="Linked Cell 28 3 3 12" xfId="29158" xr:uid="{48D7AAF0-5EF7-465E-A8D5-748AC0DB7739}"/>
    <cellStyle name="Linked Cell 28 3 3 2" xfId="29159" xr:uid="{0B09B1A5-5E5D-42AB-978C-B55EF8505CDD}"/>
    <cellStyle name="Linked Cell 28 3 3 2 10" xfId="29160" xr:uid="{9A0AFBE4-FC2C-492B-9E5C-2F757940306A}"/>
    <cellStyle name="Linked Cell 28 3 3 2 10 2" xfId="29161" xr:uid="{16E8DEBD-B7FD-44B1-B3BC-BAD0A1C1FB31}"/>
    <cellStyle name="Linked Cell 28 3 3 2 11" xfId="29162" xr:uid="{28C7CA5C-824B-4943-B656-40B67B006A92}"/>
    <cellStyle name="Linked Cell 28 3 3 2 2" xfId="29163" xr:uid="{3090E08A-F213-4A7C-9275-DBA9CF1D41FF}"/>
    <cellStyle name="Linked Cell 28 3 3 2 2 2" xfId="29164" xr:uid="{2B03D25E-F93E-45CE-9118-A492195C8FE9}"/>
    <cellStyle name="Linked Cell 28 3 3 2 2 2 2" xfId="29165" xr:uid="{65794143-D559-42B0-A477-830F17756555}"/>
    <cellStyle name="Linked Cell 28 3 3 2 2 3" xfId="29166" xr:uid="{226DC3E3-F8E7-4A67-B19C-F0B172ED4DC1}"/>
    <cellStyle name="Linked Cell 28 3 3 2 3" xfId="29167" xr:uid="{EBE2A0CC-7CED-4CFF-9286-6F6916FD0E3B}"/>
    <cellStyle name="Linked Cell 28 3 3 2 3 2" xfId="29168" xr:uid="{E7537393-81E6-4C12-B54F-C3097B80E3FD}"/>
    <cellStyle name="Linked Cell 28 3 3 2 3 2 2" xfId="29169" xr:uid="{81A4F7A7-D7B1-402C-B00A-73CB23AEFF38}"/>
    <cellStyle name="Linked Cell 28 3 3 2 3 3" xfId="29170" xr:uid="{64CF3AF1-05E9-4096-AB0E-3B6BFD966F2A}"/>
    <cellStyle name="Linked Cell 28 3 3 2 4" xfId="29171" xr:uid="{6774FFBB-9E84-401E-93B0-189D4F0071E2}"/>
    <cellStyle name="Linked Cell 28 3 3 2 4 2" xfId="29172" xr:uid="{5D412AC2-3ED6-44D9-AFC9-923E4DCB8A58}"/>
    <cellStyle name="Linked Cell 28 3 3 2 4 2 2" xfId="29173" xr:uid="{91AF6F7A-27A7-49F0-AA85-D47777EDA71E}"/>
    <cellStyle name="Linked Cell 28 3 3 2 4 3" xfId="29174" xr:uid="{485ECF55-EC86-4978-9FC0-FCBC88FB9CF6}"/>
    <cellStyle name="Linked Cell 28 3 3 2 5" xfId="29175" xr:uid="{A99EF6CB-3BE4-4CC6-9841-C4C35375DBC0}"/>
    <cellStyle name="Linked Cell 28 3 3 2 5 2" xfId="29176" xr:uid="{03312BA2-A83F-450B-A833-FE805EE1E381}"/>
    <cellStyle name="Linked Cell 28 3 3 2 5 2 2" xfId="29177" xr:uid="{ABE22D0F-127B-4DFE-B782-F51147A72241}"/>
    <cellStyle name="Linked Cell 28 3 3 2 5 3" xfId="29178" xr:uid="{3BE105FC-9371-4CF2-94CA-CEBB9BDB1B0E}"/>
    <cellStyle name="Linked Cell 28 3 3 2 6" xfId="29179" xr:uid="{252644E0-A367-48BA-ACA4-B85DB971B09C}"/>
    <cellStyle name="Linked Cell 28 3 3 2 6 2" xfId="29180" xr:uid="{627C3C27-6606-41C7-9EFE-CA362806C3D7}"/>
    <cellStyle name="Linked Cell 28 3 3 2 6 2 2" xfId="29181" xr:uid="{B39517FB-DDB9-4CC2-84F5-1E4CA3B2A276}"/>
    <cellStyle name="Linked Cell 28 3 3 2 6 3" xfId="29182" xr:uid="{FCD73AD5-0D67-4C56-ACEC-A1FBBB18B60C}"/>
    <cellStyle name="Linked Cell 28 3 3 2 7" xfId="29183" xr:uid="{2305A074-1173-44AE-9713-AAE989BEEECB}"/>
    <cellStyle name="Linked Cell 28 3 3 2 7 2" xfId="29184" xr:uid="{BC0B1913-9FE0-4E9D-9B15-702ED2B09380}"/>
    <cellStyle name="Linked Cell 28 3 3 2 7 2 2" xfId="29185" xr:uid="{2DD6EA17-BC6E-4BAE-B246-5630C1837D65}"/>
    <cellStyle name="Linked Cell 28 3 3 2 7 3" xfId="29186" xr:uid="{C93B2AB5-A442-4658-84A3-880C2684AFD9}"/>
    <cellStyle name="Linked Cell 28 3 3 2 8" xfId="29187" xr:uid="{C52E2405-5F5E-41C9-92E0-A56CF6B847E5}"/>
    <cellStyle name="Linked Cell 28 3 3 2 8 2" xfId="29188" xr:uid="{E30ED4AD-8A60-45BB-B306-E760F2F843B0}"/>
    <cellStyle name="Linked Cell 28 3 3 2 8 2 2" xfId="29189" xr:uid="{8403A46E-3867-48FA-8782-32EB30E1C2D9}"/>
    <cellStyle name="Linked Cell 28 3 3 2 8 3" xfId="29190" xr:uid="{4FE814E9-02F0-4B29-A333-0B0920A8F798}"/>
    <cellStyle name="Linked Cell 28 3 3 2 9" xfId="29191" xr:uid="{599D9949-897E-4177-B32C-6F5A4F0288E3}"/>
    <cellStyle name="Linked Cell 28 3 3 2 9 2" xfId="29192" xr:uid="{6D14D18C-B8B5-4D93-BEBB-0220E2E95C6D}"/>
    <cellStyle name="Linked Cell 28 3 3 2 9 2 2" xfId="29193" xr:uid="{02D81B73-AB23-4AE6-A2A2-DF742842B59F}"/>
    <cellStyle name="Linked Cell 28 3 3 2 9 3" xfId="29194" xr:uid="{AA12A5AE-AA8E-45E5-B3FF-79FEB158572B}"/>
    <cellStyle name="Linked Cell 28 3 3 3" xfId="29195" xr:uid="{8AA615B5-920F-4836-BC68-500D822DA860}"/>
    <cellStyle name="Linked Cell 28 3 3 3 2" xfId="29196" xr:uid="{D68AFC8C-C29C-4198-BB9D-9810624E07B2}"/>
    <cellStyle name="Linked Cell 28 3 3 3 2 2" xfId="29197" xr:uid="{F6BBEAC8-A283-437F-B218-66FB239C92A3}"/>
    <cellStyle name="Linked Cell 28 3 3 3 3" xfId="29198" xr:uid="{8A6E92BB-F6EB-469A-AE1D-E333DF0ABA45}"/>
    <cellStyle name="Linked Cell 28 3 3 4" xfId="29199" xr:uid="{C4CB67B1-C61E-45D2-9163-B298C84F9084}"/>
    <cellStyle name="Linked Cell 28 3 3 4 2" xfId="29200" xr:uid="{F8B9B6D3-63A3-48B1-BA61-F9AB19A09539}"/>
    <cellStyle name="Linked Cell 28 3 3 4 2 2" xfId="29201" xr:uid="{E46BA72F-DE4D-4B2F-BA06-4072E91083BC}"/>
    <cellStyle name="Linked Cell 28 3 3 4 3" xfId="29202" xr:uid="{83F92773-45CA-4582-9386-7C46256A7E7E}"/>
    <cellStyle name="Linked Cell 28 3 3 5" xfId="29203" xr:uid="{40FC1D6F-688C-4FF3-959C-9FD3C983A844}"/>
    <cellStyle name="Linked Cell 28 3 3 5 2" xfId="29204" xr:uid="{5C9622FC-C7C2-49AA-8745-8AD3A2950DA8}"/>
    <cellStyle name="Linked Cell 28 3 3 5 2 2" xfId="29205" xr:uid="{5B573617-91A1-42F2-AA3A-6F1FECB600F2}"/>
    <cellStyle name="Linked Cell 28 3 3 5 3" xfId="29206" xr:uid="{D45521E1-8F1C-4B9A-AF7D-A1656FC65DC5}"/>
    <cellStyle name="Linked Cell 28 3 3 6" xfId="29207" xr:uid="{99E65ECF-68AE-4838-B9E6-AA2B7ED36530}"/>
    <cellStyle name="Linked Cell 28 3 3 6 2" xfId="29208" xr:uid="{CFE7B599-D061-47F5-A922-0ED3DD605F50}"/>
    <cellStyle name="Linked Cell 28 3 3 6 2 2" xfId="29209" xr:uid="{3260EEB8-29B5-4E83-AC1B-A85E4A412B6F}"/>
    <cellStyle name="Linked Cell 28 3 3 6 3" xfId="29210" xr:uid="{0FB10C64-6150-46BA-B8D1-D481FA418400}"/>
    <cellStyle name="Linked Cell 28 3 3 7" xfId="29211" xr:uid="{4A82F669-497F-49E5-B306-AB5CBBBD5E50}"/>
    <cellStyle name="Linked Cell 28 3 3 7 2" xfId="29212" xr:uid="{27636F54-EDA3-42F0-914B-38AC637041B9}"/>
    <cellStyle name="Linked Cell 28 3 3 7 2 2" xfId="29213" xr:uid="{9EE5CCBD-56E9-4799-B708-912DBEAD50F0}"/>
    <cellStyle name="Linked Cell 28 3 3 7 3" xfId="29214" xr:uid="{030BB7EA-9D46-4631-9C62-C205CBD30D91}"/>
    <cellStyle name="Linked Cell 28 3 3 8" xfId="29215" xr:uid="{EEF82E0F-E190-4880-87E0-EB3486593BDF}"/>
    <cellStyle name="Linked Cell 28 3 3 8 2" xfId="29216" xr:uid="{D42B4619-31BD-4E5D-B042-C87F670830F3}"/>
    <cellStyle name="Linked Cell 28 3 3 8 2 2" xfId="29217" xr:uid="{65824B24-242F-47BF-AAC1-D20560B6DF39}"/>
    <cellStyle name="Linked Cell 28 3 3 8 3" xfId="29218" xr:uid="{33F0626B-B451-4F73-B1CA-F0E678DC5DC2}"/>
    <cellStyle name="Linked Cell 28 3 3 9" xfId="29219" xr:uid="{212A69F3-E81D-41E3-B68C-90709A5B4A24}"/>
    <cellStyle name="Linked Cell 28 3 3 9 2" xfId="29220" xr:uid="{992CEC51-735F-49BA-A23B-D9545741F0D6}"/>
    <cellStyle name="Linked Cell 28 3 3 9 2 2" xfId="29221" xr:uid="{6236D10F-3191-477F-A389-D6BB005EA335}"/>
    <cellStyle name="Linked Cell 28 3 3 9 3" xfId="29222" xr:uid="{B22BC0DB-396F-4267-A6CD-80279C6ADDB7}"/>
    <cellStyle name="Linked Cell 28 3 4" xfId="29223" xr:uid="{2D66D4FA-C14C-4A9C-83DB-99C3F9221870}"/>
    <cellStyle name="Linked Cell 28 3 4 10" xfId="29224" xr:uid="{F53FCB10-6D6F-4015-90E8-BBDDD52963B8}"/>
    <cellStyle name="Linked Cell 28 3 4 10 2" xfId="29225" xr:uid="{917E288D-A276-470D-874C-CB34CA5A4A8B}"/>
    <cellStyle name="Linked Cell 28 3 4 11" xfId="29226" xr:uid="{6E5066EF-A599-4BF1-9713-67127A291DE1}"/>
    <cellStyle name="Linked Cell 28 3 4 2" xfId="29227" xr:uid="{ABF4138D-65CF-4CD9-B6B1-E93050DB8BED}"/>
    <cellStyle name="Linked Cell 28 3 4 2 2" xfId="29228" xr:uid="{40ED5FFB-4C0A-4B43-84E3-53973718CDA9}"/>
    <cellStyle name="Linked Cell 28 3 4 2 2 2" xfId="29229" xr:uid="{74974D5A-9A58-4F47-9E6C-8A988D31F86B}"/>
    <cellStyle name="Linked Cell 28 3 4 2 3" xfId="29230" xr:uid="{A9FEA901-B4E0-4C9E-A63C-B8410526A640}"/>
    <cellStyle name="Linked Cell 28 3 4 3" xfId="29231" xr:uid="{92C73197-AA85-4D7A-B991-FD8711226703}"/>
    <cellStyle name="Linked Cell 28 3 4 3 2" xfId="29232" xr:uid="{DFE0533D-DFD4-488E-B4AF-F8859EB174CC}"/>
    <cellStyle name="Linked Cell 28 3 4 3 2 2" xfId="29233" xr:uid="{B106C170-CD69-4620-A575-457A0AC24F06}"/>
    <cellStyle name="Linked Cell 28 3 4 3 3" xfId="29234" xr:uid="{097E511C-691A-4912-9B14-3DE0A4238CAD}"/>
    <cellStyle name="Linked Cell 28 3 4 4" xfId="29235" xr:uid="{3185B36E-55DB-45DA-905E-49A94D5CAA92}"/>
    <cellStyle name="Linked Cell 28 3 4 4 2" xfId="29236" xr:uid="{F6B5487E-F3D5-4C38-94B5-5ABFEE47698C}"/>
    <cellStyle name="Linked Cell 28 3 4 4 2 2" xfId="29237" xr:uid="{09CBB3A6-F8FE-4490-9571-37ED4A5764A1}"/>
    <cellStyle name="Linked Cell 28 3 4 4 3" xfId="29238" xr:uid="{15B54E21-DFB0-4C27-B039-B614763D46B1}"/>
    <cellStyle name="Linked Cell 28 3 4 5" xfId="29239" xr:uid="{DCEB6910-9707-4E12-A1CD-69F167A92CD1}"/>
    <cellStyle name="Linked Cell 28 3 4 5 2" xfId="29240" xr:uid="{8A391AAD-95E1-42A1-AE5F-36981B26911B}"/>
    <cellStyle name="Linked Cell 28 3 4 5 2 2" xfId="29241" xr:uid="{7535FB00-6180-4867-AAB9-37BC3871E301}"/>
    <cellStyle name="Linked Cell 28 3 4 5 3" xfId="29242" xr:uid="{D6DB6DD6-9AEE-4962-8FB6-389DF9A4329B}"/>
    <cellStyle name="Linked Cell 28 3 4 6" xfId="29243" xr:uid="{DD1C8A4B-0A62-4A22-8B9F-4AB593A94E12}"/>
    <cellStyle name="Linked Cell 28 3 4 6 2" xfId="29244" xr:uid="{914DC737-6B47-496B-BE2E-95CCB878C1EB}"/>
    <cellStyle name="Linked Cell 28 3 4 6 2 2" xfId="29245" xr:uid="{B9801994-DC06-4E09-9B42-3BC6F78B8D39}"/>
    <cellStyle name="Linked Cell 28 3 4 6 3" xfId="29246" xr:uid="{4DC80C9A-B60F-40B1-B2D3-71EEAA5CBC73}"/>
    <cellStyle name="Linked Cell 28 3 4 7" xfId="29247" xr:uid="{0F4DC74F-5114-4D3C-9A23-FDD31F085C87}"/>
    <cellStyle name="Linked Cell 28 3 4 7 2" xfId="29248" xr:uid="{70E98661-595A-438F-B77F-1B439B108B19}"/>
    <cellStyle name="Linked Cell 28 3 4 7 2 2" xfId="29249" xr:uid="{51783168-5937-47A1-B475-A1ABC68F5E9D}"/>
    <cellStyle name="Linked Cell 28 3 4 7 3" xfId="29250" xr:uid="{735BC988-6BE2-42C8-9AD0-5F627148670B}"/>
    <cellStyle name="Linked Cell 28 3 4 8" xfId="29251" xr:uid="{CBB101CF-329F-4046-A841-2D14FEB0B93D}"/>
    <cellStyle name="Linked Cell 28 3 4 8 2" xfId="29252" xr:uid="{4C9FB118-5593-45EE-BA17-5B454924C7B0}"/>
    <cellStyle name="Linked Cell 28 3 4 8 2 2" xfId="29253" xr:uid="{44C4293D-9991-444B-AC86-CD70DAC91960}"/>
    <cellStyle name="Linked Cell 28 3 4 8 3" xfId="29254" xr:uid="{4292A432-5E0B-4308-8BDF-BE41CD5D29B1}"/>
    <cellStyle name="Linked Cell 28 3 4 9" xfId="29255" xr:uid="{E693AF43-370B-44B8-BD4E-92BFDD97D989}"/>
    <cellStyle name="Linked Cell 28 3 4 9 2" xfId="29256" xr:uid="{CD0618AF-FBDD-4F4D-BC66-B9B4361F61E9}"/>
    <cellStyle name="Linked Cell 28 3 4 9 2 2" xfId="29257" xr:uid="{39963557-CC26-4590-9A39-A961E7448673}"/>
    <cellStyle name="Linked Cell 28 3 4 9 3" xfId="29258" xr:uid="{7A0D1DC4-3B73-4D41-9555-04AB7F686ACF}"/>
    <cellStyle name="Linked Cell 28 3 5" xfId="29259" xr:uid="{8A29924C-007E-4AC3-9A31-9B88B74A18BF}"/>
    <cellStyle name="Linked Cell 28 3 5 2" xfId="29260" xr:uid="{144DBB62-4036-40F8-9554-655E24B1E9BD}"/>
    <cellStyle name="Linked Cell 28 3 5 2 2" xfId="29261" xr:uid="{A8E90F4E-0989-4A07-AF74-B544882378F0}"/>
    <cellStyle name="Linked Cell 28 3 5 3" xfId="29262" xr:uid="{63CA0524-2D26-4F56-8FAF-359E7745FF63}"/>
    <cellStyle name="Linked Cell 28 3 6" xfId="29263" xr:uid="{4F8DE691-5D98-41E4-ABE8-385ED0064DBF}"/>
    <cellStyle name="Linked Cell 28 3 6 2" xfId="29264" xr:uid="{61863225-A05C-4BFB-9203-F730C08ADB1A}"/>
    <cellStyle name="Linked Cell 28 3 6 2 2" xfId="29265" xr:uid="{B889E3EE-AA64-416B-9950-5103D1CD6702}"/>
    <cellStyle name="Linked Cell 28 3 6 3" xfId="29266" xr:uid="{910E0AB3-D607-4EE7-858F-C6343D31EC22}"/>
    <cellStyle name="Linked Cell 28 3 7" xfId="29267" xr:uid="{0912C94E-BDD8-43D2-AAB5-3303388B4914}"/>
    <cellStyle name="Linked Cell 28 3 7 2" xfId="29268" xr:uid="{71BC002C-FBB4-45DB-8BCA-15EE5E2AB9D6}"/>
    <cellStyle name="Linked Cell 28 3 7 2 2" xfId="29269" xr:uid="{EBCCA38D-6CAE-471C-83F0-3040C708A2C2}"/>
    <cellStyle name="Linked Cell 28 3 7 3" xfId="29270" xr:uid="{CAA7BF71-440A-4019-836D-0D9AFF52F185}"/>
    <cellStyle name="Linked Cell 28 3 8" xfId="29271" xr:uid="{6CEB461B-B82E-462E-9060-2A89DD545D39}"/>
    <cellStyle name="Linked Cell 28 3 8 2" xfId="29272" xr:uid="{3EA625A4-D759-4EBB-8BCA-5F85E01C3A02}"/>
    <cellStyle name="Linked Cell 28 3 8 2 2" xfId="29273" xr:uid="{C3EBBDCB-DA63-4E9B-8891-D3E1B2D6BB10}"/>
    <cellStyle name="Linked Cell 28 3 8 3" xfId="29274" xr:uid="{E5AEC202-2CFA-4CFA-B824-FA3507DE4972}"/>
    <cellStyle name="Linked Cell 28 3 9" xfId="29275" xr:uid="{A74F3DAB-6FEC-479A-8B4A-186ADFC6FCDD}"/>
    <cellStyle name="Linked Cell 28 3 9 2" xfId="29276" xr:uid="{53525494-89CF-4D2A-8202-A8E0A38A2623}"/>
    <cellStyle name="Linked Cell 28 3 9 2 2" xfId="29277" xr:uid="{B3E7B89B-0804-463C-8B38-4460BA462DA7}"/>
    <cellStyle name="Linked Cell 28 3 9 3" xfId="29278" xr:uid="{E56D1FD2-0207-49B9-8982-5D03ACB8D408}"/>
    <cellStyle name="Linked Cell 28 4" xfId="29279" xr:uid="{F22BFDA5-53FE-4D73-B833-2EA83467BA97}"/>
    <cellStyle name="Linked Cell 28 4 10" xfId="29280" xr:uid="{FE54E541-9480-420C-BC83-8FBF1E74FCBB}"/>
    <cellStyle name="Linked Cell 28 4 10 2" xfId="29281" xr:uid="{D4739EF5-F12F-45A9-A951-CCD8C71BE19B}"/>
    <cellStyle name="Linked Cell 28 4 10 2 2" xfId="29282" xr:uid="{F6AF3053-E7B5-4517-83F0-2E2EAA42D73F}"/>
    <cellStyle name="Linked Cell 28 4 10 3" xfId="29283" xr:uid="{5D204958-6F89-42BF-8FEF-8746BEA45A5F}"/>
    <cellStyle name="Linked Cell 28 4 11" xfId="29284" xr:uid="{B5F8D79A-6EF5-4679-B38A-91F669A1BA0F}"/>
    <cellStyle name="Linked Cell 28 4 11 2" xfId="29285" xr:uid="{F0AB42CF-C5BF-44DC-B405-9644D725DF12}"/>
    <cellStyle name="Linked Cell 28 4 11 2 2" xfId="29286" xr:uid="{A0475673-FAEA-442D-872C-B02B8FCA9AF2}"/>
    <cellStyle name="Linked Cell 28 4 11 3" xfId="29287" xr:uid="{DA84C467-946D-4AAF-94B3-8689502C73AE}"/>
    <cellStyle name="Linked Cell 28 4 12" xfId="29288" xr:uid="{A44ABA0E-B866-46D4-B1BB-CF8FE3949D1E}"/>
    <cellStyle name="Linked Cell 28 4 12 2" xfId="29289" xr:uid="{B2445AA2-73D5-4B2C-BFEA-D0E5B505D152}"/>
    <cellStyle name="Linked Cell 28 4 13" xfId="29290" xr:uid="{4701F971-C5CF-4FFB-8A18-D84E939AB486}"/>
    <cellStyle name="Linked Cell 28 4 2" xfId="29291" xr:uid="{AD91DEB2-D2D3-405F-A093-28039E258B3D}"/>
    <cellStyle name="Linked Cell 28 4 2 10" xfId="29292" xr:uid="{B8061F93-D330-41F5-96D2-8C73D2D1F24E}"/>
    <cellStyle name="Linked Cell 28 4 2 10 2" xfId="29293" xr:uid="{645B8E29-A22F-4FF9-BE30-5F79D8AB4F53}"/>
    <cellStyle name="Linked Cell 28 4 2 10 2 2" xfId="29294" xr:uid="{F53D0FF8-8F35-4E1D-BBA0-2D56145CCED5}"/>
    <cellStyle name="Linked Cell 28 4 2 10 3" xfId="29295" xr:uid="{C27A3547-F02A-43A7-88F5-DB0CE54BD272}"/>
    <cellStyle name="Linked Cell 28 4 2 11" xfId="29296" xr:uid="{05BE398A-A966-4DE6-A993-72CF553E8091}"/>
    <cellStyle name="Linked Cell 28 4 2 11 2" xfId="29297" xr:uid="{6E6A079E-9306-4864-B07D-733C4144A75F}"/>
    <cellStyle name="Linked Cell 28 4 2 12" xfId="29298" xr:uid="{E8D7B552-55D1-47D7-AB91-5BCD88CE256E}"/>
    <cellStyle name="Linked Cell 28 4 2 2" xfId="29299" xr:uid="{93EF3306-477A-458C-A9BC-67ABA988758E}"/>
    <cellStyle name="Linked Cell 28 4 2 2 2" xfId="29300" xr:uid="{3E470565-A98D-4E6A-8AEE-48B5104CF759}"/>
    <cellStyle name="Linked Cell 28 4 2 2 2 2" xfId="29301" xr:uid="{4885FC4B-77CF-43DF-A29B-3FA582E388B1}"/>
    <cellStyle name="Linked Cell 28 4 2 2 3" xfId="29302" xr:uid="{41CFE2CC-2CF3-4D13-B5C4-B03DC5F0C8A4}"/>
    <cellStyle name="Linked Cell 28 4 2 3" xfId="29303" xr:uid="{2D948BDC-7B04-4154-BD0B-A1E211B1BABD}"/>
    <cellStyle name="Linked Cell 28 4 2 3 2" xfId="29304" xr:uid="{ACAC48BC-BEDA-49DA-A859-585287B532F8}"/>
    <cellStyle name="Linked Cell 28 4 2 3 2 2" xfId="29305" xr:uid="{25154CB9-0B08-489A-963E-6B66BC70EDAC}"/>
    <cellStyle name="Linked Cell 28 4 2 3 3" xfId="29306" xr:uid="{5F754727-C239-4F82-A58D-7B615931C8FB}"/>
    <cellStyle name="Linked Cell 28 4 2 4" xfId="29307" xr:uid="{E72F0B16-0B9D-4679-A9DA-F1BBF7177392}"/>
    <cellStyle name="Linked Cell 28 4 2 4 2" xfId="29308" xr:uid="{0FCF2D54-AD99-4A1A-8D2D-D48C1880924C}"/>
    <cellStyle name="Linked Cell 28 4 2 4 2 2" xfId="29309" xr:uid="{1A303510-3E89-48D6-BEFE-E8CED94D11B5}"/>
    <cellStyle name="Linked Cell 28 4 2 4 3" xfId="29310" xr:uid="{583E6ADA-CD33-47A8-B3CA-AC0FC85BC685}"/>
    <cellStyle name="Linked Cell 28 4 2 5" xfId="29311" xr:uid="{3128BAE3-F285-4E3E-98ED-B2EC92819085}"/>
    <cellStyle name="Linked Cell 28 4 2 5 2" xfId="29312" xr:uid="{42C4C6AF-BF62-451C-B106-550C65E03254}"/>
    <cellStyle name="Linked Cell 28 4 2 5 2 2" xfId="29313" xr:uid="{EFAEA92B-E54D-41B9-8720-C6AEB1FD5832}"/>
    <cellStyle name="Linked Cell 28 4 2 5 3" xfId="29314" xr:uid="{48BD285B-848C-4D79-B6CA-C752440C672C}"/>
    <cellStyle name="Linked Cell 28 4 2 6" xfId="29315" xr:uid="{173A5919-FB5D-4DED-8DD9-76951FD8F7D4}"/>
    <cellStyle name="Linked Cell 28 4 2 6 2" xfId="29316" xr:uid="{5D74B82D-0D4E-4346-BEFC-549DE87608E6}"/>
    <cellStyle name="Linked Cell 28 4 2 6 2 2" xfId="29317" xr:uid="{47DC43DD-CFDC-46FF-BEEB-FF8D3D06BEE6}"/>
    <cellStyle name="Linked Cell 28 4 2 6 3" xfId="29318" xr:uid="{88A981D1-C5DA-46A0-81AE-0CB685C383BD}"/>
    <cellStyle name="Linked Cell 28 4 2 7" xfId="29319" xr:uid="{6DD62409-4131-49EA-AA3C-7622A210473B}"/>
    <cellStyle name="Linked Cell 28 4 2 7 2" xfId="29320" xr:uid="{4A835C2C-A55D-4C1E-9548-85753CA3F944}"/>
    <cellStyle name="Linked Cell 28 4 2 7 2 2" xfId="29321" xr:uid="{D3329F86-E8E1-46DC-A1A4-6926677BB8C3}"/>
    <cellStyle name="Linked Cell 28 4 2 7 3" xfId="29322" xr:uid="{1AEE3747-4E7A-4DC6-95BB-3F9E941662CA}"/>
    <cellStyle name="Linked Cell 28 4 2 8" xfId="29323" xr:uid="{206D11B9-3E6E-4861-8913-A07AA1CA69D8}"/>
    <cellStyle name="Linked Cell 28 4 2 8 2" xfId="29324" xr:uid="{809BC240-9318-47E6-8976-F2A8A2E517F9}"/>
    <cellStyle name="Linked Cell 28 4 2 8 2 2" xfId="29325" xr:uid="{908368F5-DB2F-49CD-AA31-77C49E3C1037}"/>
    <cellStyle name="Linked Cell 28 4 2 8 3" xfId="29326" xr:uid="{CB3E9400-5E5D-4206-B038-F2B9A2EE0669}"/>
    <cellStyle name="Linked Cell 28 4 2 9" xfId="29327" xr:uid="{F7C6E1D2-AED6-4A66-93DD-1B0CE2B85CF3}"/>
    <cellStyle name="Linked Cell 28 4 2 9 2" xfId="29328" xr:uid="{54D682E7-17CC-45C9-8F9B-C2E8D424B116}"/>
    <cellStyle name="Linked Cell 28 4 2 9 2 2" xfId="29329" xr:uid="{87D84763-5DAA-4264-8931-67325E6AB45F}"/>
    <cellStyle name="Linked Cell 28 4 2 9 3" xfId="29330" xr:uid="{4A0314E9-9822-47C5-8E59-49413E662124}"/>
    <cellStyle name="Linked Cell 28 4 3" xfId="29331" xr:uid="{3ADFDD56-3B58-41F9-8C24-2D2D53FC2D68}"/>
    <cellStyle name="Linked Cell 28 4 3 10" xfId="29332" xr:uid="{29D85348-C201-4526-A6AB-CB2C51424A63}"/>
    <cellStyle name="Linked Cell 28 4 3 10 2" xfId="29333" xr:uid="{7ADA5D04-7861-4F65-B1D9-95EE7A706F34}"/>
    <cellStyle name="Linked Cell 28 4 3 11" xfId="29334" xr:uid="{007E75F2-E831-4A8E-90D2-76915F2D8797}"/>
    <cellStyle name="Linked Cell 28 4 3 2" xfId="29335" xr:uid="{CCF77B44-0A0B-4936-9845-4836433BFAAC}"/>
    <cellStyle name="Linked Cell 28 4 3 2 2" xfId="29336" xr:uid="{C43A3006-BDA7-45D4-BE9E-188445CBB5CA}"/>
    <cellStyle name="Linked Cell 28 4 3 2 2 2" xfId="29337" xr:uid="{B07BD177-5F3E-45E1-A35D-3AA017EB255E}"/>
    <cellStyle name="Linked Cell 28 4 3 2 3" xfId="29338" xr:uid="{2459FF5D-3780-4291-BBED-8B3C4EC28164}"/>
    <cellStyle name="Linked Cell 28 4 3 3" xfId="29339" xr:uid="{53AED909-6026-475C-9D09-589E865B2759}"/>
    <cellStyle name="Linked Cell 28 4 3 3 2" xfId="29340" xr:uid="{73BE025E-E645-444F-906F-BB7963BA1B1F}"/>
    <cellStyle name="Linked Cell 28 4 3 3 2 2" xfId="29341" xr:uid="{A329C64E-6506-440A-B524-F1141E2DBA83}"/>
    <cellStyle name="Linked Cell 28 4 3 3 3" xfId="29342" xr:uid="{B4F0807B-89E4-4CD8-9192-9944B4513029}"/>
    <cellStyle name="Linked Cell 28 4 3 4" xfId="29343" xr:uid="{4F1188BC-95FD-4AC9-BF2F-511D51CFB5CE}"/>
    <cellStyle name="Linked Cell 28 4 3 4 2" xfId="29344" xr:uid="{D14CD36B-00D2-49EE-A4E7-0551150BF914}"/>
    <cellStyle name="Linked Cell 28 4 3 4 2 2" xfId="29345" xr:uid="{770E721A-9EFA-4760-9EF1-DECF77C32A0A}"/>
    <cellStyle name="Linked Cell 28 4 3 4 3" xfId="29346" xr:uid="{AD8C98A9-0352-4470-ACC7-3520D2D93097}"/>
    <cellStyle name="Linked Cell 28 4 3 5" xfId="29347" xr:uid="{54E0EE1C-E2F7-4FEF-B2FF-0E55074E8F3B}"/>
    <cellStyle name="Linked Cell 28 4 3 5 2" xfId="29348" xr:uid="{E39AF444-2CA8-428C-A3D2-EE8A5BBBB14E}"/>
    <cellStyle name="Linked Cell 28 4 3 5 2 2" xfId="29349" xr:uid="{2B76992E-E50F-4FFC-821A-78141BB6B9F1}"/>
    <cellStyle name="Linked Cell 28 4 3 5 3" xfId="29350" xr:uid="{DC152F75-F7D1-4776-92AB-44643E4EC627}"/>
    <cellStyle name="Linked Cell 28 4 3 6" xfId="29351" xr:uid="{BF5904D6-59AE-4B30-AFF4-166DFBE79D0D}"/>
    <cellStyle name="Linked Cell 28 4 3 6 2" xfId="29352" xr:uid="{F91F7A32-679E-4ADE-AB65-C8D781A6935F}"/>
    <cellStyle name="Linked Cell 28 4 3 6 2 2" xfId="29353" xr:uid="{E74AB8D2-91B9-47B8-AAB0-373C27943F67}"/>
    <cellStyle name="Linked Cell 28 4 3 6 3" xfId="29354" xr:uid="{E2723130-1DE7-47A9-B1BE-217B2DD00957}"/>
    <cellStyle name="Linked Cell 28 4 3 7" xfId="29355" xr:uid="{92CB71E0-02EA-4ED6-8ED0-59033C187355}"/>
    <cellStyle name="Linked Cell 28 4 3 7 2" xfId="29356" xr:uid="{24CC9ADA-9160-4D73-9EE9-C577A547DEE0}"/>
    <cellStyle name="Linked Cell 28 4 3 7 2 2" xfId="29357" xr:uid="{02F639AB-F641-48BE-8357-A9E649A3C522}"/>
    <cellStyle name="Linked Cell 28 4 3 7 3" xfId="29358" xr:uid="{9B253C13-ACB7-460A-AF98-2836DFB2EFE5}"/>
    <cellStyle name="Linked Cell 28 4 3 8" xfId="29359" xr:uid="{450374AD-ADCA-4102-8545-D523E95A02F3}"/>
    <cellStyle name="Linked Cell 28 4 3 8 2" xfId="29360" xr:uid="{D8B616ED-AC37-4EAF-9925-7F7DF9B62454}"/>
    <cellStyle name="Linked Cell 28 4 3 8 2 2" xfId="29361" xr:uid="{104A12DC-C92D-4932-8399-0CE64974B8A8}"/>
    <cellStyle name="Linked Cell 28 4 3 8 3" xfId="29362" xr:uid="{36828411-68AC-4003-9123-CB125AFB1908}"/>
    <cellStyle name="Linked Cell 28 4 3 9" xfId="29363" xr:uid="{E1217C77-9E28-490D-924A-3BCA5988FA98}"/>
    <cellStyle name="Linked Cell 28 4 3 9 2" xfId="29364" xr:uid="{BF319201-CD68-457B-9A14-424C6BBE58AE}"/>
    <cellStyle name="Linked Cell 28 4 3 9 2 2" xfId="29365" xr:uid="{F86D9DFA-5161-4E5C-A866-B2D229409032}"/>
    <cellStyle name="Linked Cell 28 4 3 9 3" xfId="29366" xr:uid="{AF982053-DA77-414C-A371-A7A29A39837D}"/>
    <cellStyle name="Linked Cell 28 4 4" xfId="29367" xr:uid="{6822BF69-D92A-41AC-B0D5-ABEC60F8E8F1}"/>
    <cellStyle name="Linked Cell 28 4 4 2" xfId="29368" xr:uid="{A32C3153-E236-48AB-BF20-3ED34CA461E0}"/>
    <cellStyle name="Linked Cell 28 4 4 2 2" xfId="29369" xr:uid="{703CBD39-C956-47AB-A82F-7A17B8C74E11}"/>
    <cellStyle name="Linked Cell 28 4 4 3" xfId="29370" xr:uid="{B455C66C-49A1-47C9-8771-79FB66648984}"/>
    <cellStyle name="Linked Cell 28 4 5" xfId="29371" xr:uid="{4AEF0F9A-9C98-4DB3-A6A6-3571E2C0DA20}"/>
    <cellStyle name="Linked Cell 28 4 5 2" xfId="29372" xr:uid="{B4A278F4-445E-47EC-917A-30F9D8F1C9B9}"/>
    <cellStyle name="Linked Cell 28 4 5 2 2" xfId="29373" xr:uid="{ED6CE86F-BD73-4315-B3C0-143CB991763C}"/>
    <cellStyle name="Linked Cell 28 4 5 3" xfId="29374" xr:uid="{D9A058ED-FE22-488B-8F32-8A892F521A66}"/>
    <cellStyle name="Linked Cell 28 4 6" xfId="29375" xr:uid="{E15B49F4-C5BD-4077-8AAB-F1B283360EBA}"/>
    <cellStyle name="Linked Cell 28 4 6 2" xfId="29376" xr:uid="{7762A2F1-CDEA-4BF3-9727-CF3975E86E79}"/>
    <cellStyle name="Linked Cell 28 4 6 2 2" xfId="29377" xr:uid="{0AAB1DB1-8FB0-4267-902C-97608AE008A0}"/>
    <cellStyle name="Linked Cell 28 4 6 3" xfId="29378" xr:uid="{123941AF-8604-4CB2-A89A-F6E3B2247060}"/>
    <cellStyle name="Linked Cell 28 4 7" xfId="29379" xr:uid="{5FE1D7B6-F465-4E8D-8047-C467C4C78CC0}"/>
    <cellStyle name="Linked Cell 28 4 7 2" xfId="29380" xr:uid="{A4855568-BF8F-476F-BC89-13FB357F811C}"/>
    <cellStyle name="Linked Cell 28 4 7 2 2" xfId="29381" xr:uid="{0BA81A05-171F-4C99-A206-7138EC376BA1}"/>
    <cellStyle name="Linked Cell 28 4 7 3" xfId="29382" xr:uid="{33A7302B-4B7A-4126-AD3E-2F2B10DF1EB6}"/>
    <cellStyle name="Linked Cell 28 4 8" xfId="29383" xr:uid="{91ADEF1C-6004-4651-BAD3-708C93129208}"/>
    <cellStyle name="Linked Cell 28 4 8 2" xfId="29384" xr:uid="{D73A04F1-A1EC-49D5-8418-113234EBFE3E}"/>
    <cellStyle name="Linked Cell 28 4 8 2 2" xfId="29385" xr:uid="{BD84C34B-B757-4F01-A682-DA779332AAA8}"/>
    <cellStyle name="Linked Cell 28 4 8 3" xfId="29386" xr:uid="{1A91DB08-4E1C-4776-860C-20F1C31116BD}"/>
    <cellStyle name="Linked Cell 28 4 9" xfId="29387" xr:uid="{77A8D9AF-5044-4EFE-9CA8-CCB4E7840BFE}"/>
    <cellStyle name="Linked Cell 28 4 9 2" xfId="29388" xr:uid="{77D56935-B8C9-44D0-A674-4F06E3AD2DB9}"/>
    <cellStyle name="Linked Cell 28 4 9 2 2" xfId="29389" xr:uid="{2A209A6A-5A07-4BA1-990E-065A94792250}"/>
    <cellStyle name="Linked Cell 28 4 9 3" xfId="29390" xr:uid="{252F2FA7-3EEF-47D3-9843-CE1C63E0D44A}"/>
    <cellStyle name="Linked Cell 29" xfId="29391" xr:uid="{245E90F0-7053-40E8-A46E-63C5B8646B9E}"/>
    <cellStyle name="Linked Cell 29 2" xfId="29392" xr:uid="{EEDEE6FA-C9D8-4AF5-811E-71BDACB143BE}"/>
    <cellStyle name="Linked Cell 29 2 10" xfId="29393" xr:uid="{C2897C07-FDCE-4B89-81CC-53D8406D2CE9}"/>
    <cellStyle name="Linked Cell 29 2 10 2" xfId="29394" xr:uid="{6025D979-1F77-4606-A316-AAA7B084CE91}"/>
    <cellStyle name="Linked Cell 29 2 10 2 2" xfId="29395" xr:uid="{E4F162FF-7F04-46CD-B3EE-D4E04FE5CEA5}"/>
    <cellStyle name="Linked Cell 29 2 10 3" xfId="29396" xr:uid="{7E011A39-F90A-4E84-8566-585E67BD512E}"/>
    <cellStyle name="Linked Cell 29 2 11" xfId="29397" xr:uid="{2B3693A0-8232-4DDD-A243-972A8D636221}"/>
    <cellStyle name="Linked Cell 29 2 11 2" xfId="29398" xr:uid="{CF6D22E5-5ABE-4C67-A4DB-BEBF9E81E606}"/>
    <cellStyle name="Linked Cell 29 2 11 2 2" xfId="29399" xr:uid="{86FC0287-63D9-4BC2-B686-DB8960CE7A7F}"/>
    <cellStyle name="Linked Cell 29 2 11 3" xfId="29400" xr:uid="{06322429-8B02-4461-B5CD-A40099E9E038}"/>
    <cellStyle name="Linked Cell 29 2 12" xfId="29401" xr:uid="{D01634FF-84CB-49C1-A01B-85F26BF084ED}"/>
    <cellStyle name="Linked Cell 29 2 12 2" xfId="29402" xr:uid="{1C79A461-EFB7-491D-A046-6A6DDFFD91A6}"/>
    <cellStyle name="Linked Cell 29 2 12 2 2" xfId="29403" xr:uid="{5EC50EDF-3A7F-4D4A-B48E-7900745F83AE}"/>
    <cellStyle name="Linked Cell 29 2 12 3" xfId="29404" xr:uid="{BE1A00F0-405C-4C22-9F2F-79B22519B0C5}"/>
    <cellStyle name="Linked Cell 29 2 13" xfId="29405" xr:uid="{FDC50DE9-7993-48EC-9659-E5D2398E4A67}"/>
    <cellStyle name="Linked Cell 29 2 13 2" xfId="29406" xr:uid="{53E74C50-1333-47F5-9D97-AEBA8A934C4B}"/>
    <cellStyle name="Linked Cell 29 2 13 2 2" xfId="29407" xr:uid="{1426B673-638B-4C50-9E00-3EFA9D471D18}"/>
    <cellStyle name="Linked Cell 29 2 13 3" xfId="29408" xr:uid="{EB3CDD0A-A5C5-4F50-9008-D28062C073A9}"/>
    <cellStyle name="Linked Cell 29 2 14" xfId="29409" xr:uid="{77CFFFB1-2AA6-4A99-8193-167A6AE64E9C}"/>
    <cellStyle name="Linked Cell 29 2 14 2" xfId="29410" xr:uid="{FDF05A86-742E-4768-9F41-696166A44EF6}"/>
    <cellStyle name="Linked Cell 29 2 15" xfId="29411" xr:uid="{D249BEC0-2560-4488-A1B7-9954B5975EE3}"/>
    <cellStyle name="Linked Cell 29 2 2" xfId="29412" xr:uid="{5BFCA6E4-04E2-4E03-9703-766B43313659}"/>
    <cellStyle name="Linked Cell 29 2 2 10" xfId="29413" xr:uid="{8BFE80B2-5CEC-4045-91E7-8625A850D37C}"/>
    <cellStyle name="Linked Cell 29 2 2 10 2" xfId="29414" xr:uid="{331262EA-DB86-4F5D-AED2-53F80ADDADE3}"/>
    <cellStyle name="Linked Cell 29 2 2 10 2 2" xfId="29415" xr:uid="{94EAB901-E8D8-4E43-8990-5D0297E58C8D}"/>
    <cellStyle name="Linked Cell 29 2 2 10 3" xfId="29416" xr:uid="{1509E416-F06C-46D8-8584-873F1F72429F}"/>
    <cellStyle name="Linked Cell 29 2 2 11" xfId="29417" xr:uid="{7C84BBEB-B3CB-4594-B811-392820E54D07}"/>
    <cellStyle name="Linked Cell 29 2 2 11 2" xfId="29418" xr:uid="{F43CCB77-32F9-4CBC-B6EA-5F388E8F87A1}"/>
    <cellStyle name="Linked Cell 29 2 2 11 2 2" xfId="29419" xr:uid="{E5039AA8-4456-45F2-922C-FC7022BE3E48}"/>
    <cellStyle name="Linked Cell 29 2 2 11 3" xfId="29420" xr:uid="{3A4605D6-C31A-4E2D-8AC8-D64FFAEE4D82}"/>
    <cellStyle name="Linked Cell 29 2 2 12" xfId="29421" xr:uid="{D52ECBDF-330F-4771-A24E-3C33AADCE2A5}"/>
    <cellStyle name="Linked Cell 29 2 2 12 2" xfId="29422" xr:uid="{7A8ACF89-271D-48BF-8A10-32040D609AC1}"/>
    <cellStyle name="Linked Cell 29 2 2 12 2 2" xfId="29423" xr:uid="{C77D50FF-2A0D-45EB-92BC-4D6CC960BA13}"/>
    <cellStyle name="Linked Cell 29 2 2 12 3" xfId="29424" xr:uid="{0FD08315-0BF4-4BE8-AF6D-FD4BC1CFE1A6}"/>
    <cellStyle name="Linked Cell 29 2 2 13" xfId="29425" xr:uid="{4137A2A7-D4F0-487F-98E9-397EEBD30902}"/>
    <cellStyle name="Linked Cell 29 2 2 13 2" xfId="29426" xr:uid="{B56CA925-D2D3-4A22-B8FD-4D2D04F17805}"/>
    <cellStyle name="Linked Cell 29 2 2 14" xfId="29427" xr:uid="{EE3F93FB-DAA8-47A7-A1FC-C64B835916B9}"/>
    <cellStyle name="Linked Cell 29 2 2 2" xfId="29428" xr:uid="{0EB0F548-7231-42FA-8699-99F74087D252}"/>
    <cellStyle name="Linked Cell 29 2 2 2 10" xfId="29429" xr:uid="{88049378-515D-4F90-977D-EFBA88AEDC4F}"/>
    <cellStyle name="Linked Cell 29 2 2 2 10 2" xfId="29430" xr:uid="{A49302E9-27A4-4074-BE0B-8E9396F363B5}"/>
    <cellStyle name="Linked Cell 29 2 2 2 10 2 2" xfId="29431" xr:uid="{CE69D7DE-00E2-4B65-A60E-A427BEF1FD9E}"/>
    <cellStyle name="Linked Cell 29 2 2 2 10 3" xfId="29432" xr:uid="{6CB855EA-907C-4C93-8855-0F786C2C14A8}"/>
    <cellStyle name="Linked Cell 29 2 2 2 11" xfId="29433" xr:uid="{A8493F83-5C1E-43E6-A350-0D31C0D0199D}"/>
    <cellStyle name="Linked Cell 29 2 2 2 11 2" xfId="29434" xr:uid="{59D60C1E-3B34-45C5-A31C-2EE63DE0608F}"/>
    <cellStyle name="Linked Cell 29 2 2 2 11 2 2" xfId="29435" xr:uid="{F1654704-0A38-4D32-95A8-043C70F20F4E}"/>
    <cellStyle name="Linked Cell 29 2 2 2 11 3" xfId="29436" xr:uid="{0FE0FC6F-18FC-4219-A871-552669B7A0E3}"/>
    <cellStyle name="Linked Cell 29 2 2 2 12" xfId="29437" xr:uid="{01E90C21-EB1D-40B3-B052-B4032AF38B58}"/>
    <cellStyle name="Linked Cell 29 2 2 2 12 2" xfId="29438" xr:uid="{8239B07E-5F7D-4857-9ADF-857F21A09503}"/>
    <cellStyle name="Linked Cell 29 2 2 2 13" xfId="29439" xr:uid="{652D205C-1C68-493B-92E7-6F7DE071E12B}"/>
    <cellStyle name="Linked Cell 29 2 2 2 2" xfId="29440" xr:uid="{A0BE2DC8-F887-4A61-AB50-B1539F83D254}"/>
    <cellStyle name="Linked Cell 29 2 2 2 2 10" xfId="29441" xr:uid="{9953FC6C-AB65-476A-BE21-1ADC3DC8F4C5}"/>
    <cellStyle name="Linked Cell 29 2 2 2 2 10 2" xfId="29442" xr:uid="{2665D9E7-44E2-4FC5-83E0-FFCFF77B05EF}"/>
    <cellStyle name="Linked Cell 29 2 2 2 2 10 2 2" xfId="29443" xr:uid="{79F63516-F350-4F1B-8B12-73AE320C0271}"/>
    <cellStyle name="Linked Cell 29 2 2 2 2 10 3" xfId="29444" xr:uid="{E6DFFDC5-60A2-4674-8344-0088E9FA926C}"/>
    <cellStyle name="Linked Cell 29 2 2 2 2 11" xfId="29445" xr:uid="{3575C930-99A6-40A8-A1A7-FD7A70853A81}"/>
    <cellStyle name="Linked Cell 29 2 2 2 2 11 2" xfId="29446" xr:uid="{DADCDF7C-3E87-49EB-A7A0-FB0B0C17C893}"/>
    <cellStyle name="Linked Cell 29 2 2 2 2 12" xfId="29447" xr:uid="{7F8D1365-9A7A-45B5-B4B1-49DC342EDCDD}"/>
    <cellStyle name="Linked Cell 29 2 2 2 2 2" xfId="29448" xr:uid="{01570C59-D3FA-48D7-9245-6557183BB40B}"/>
    <cellStyle name="Linked Cell 29 2 2 2 2 2 2" xfId="29449" xr:uid="{44A91416-DFEA-4A98-A6B3-90D3C8581AFB}"/>
    <cellStyle name="Linked Cell 29 2 2 2 2 2 2 2" xfId="29450" xr:uid="{E586DEAD-3BF9-4CFD-A4C9-1274738E6E8A}"/>
    <cellStyle name="Linked Cell 29 2 2 2 2 2 3" xfId="29451" xr:uid="{67F00B10-2569-458F-A9FB-E4D30C43CF01}"/>
    <cellStyle name="Linked Cell 29 2 2 2 2 3" xfId="29452" xr:uid="{41DEFF57-D212-45A6-9A62-821025CF8662}"/>
    <cellStyle name="Linked Cell 29 2 2 2 2 3 2" xfId="29453" xr:uid="{18315A13-64E9-45D4-925E-7B10C2E381B7}"/>
    <cellStyle name="Linked Cell 29 2 2 2 2 3 2 2" xfId="29454" xr:uid="{E0E6D19E-EEF5-418D-B9FF-504F2B39741D}"/>
    <cellStyle name="Linked Cell 29 2 2 2 2 3 3" xfId="29455" xr:uid="{9C37B1AB-2E04-484E-BF8C-AB2E57B99F96}"/>
    <cellStyle name="Linked Cell 29 2 2 2 2 4" xfId="29456" xr:uid="{2C69F5C6-01A5-473E-9A37-AF32ADA7BB5B}"/>
    <cellStyle name="Linked Cell 29 2 2 2 2 4 2" xfId="29457" xr:uid="{1E1660A0-908A-4BFF-8F0E-1E8C3CEC6CAE}"/>
    <cellStyle name="Linked Cell 29 2 2 2 2 4 2 2" xfId="29458" xr:uid="{E36E2B4A-74F8-4F19-9313-2AF2762319E6}"/>
    <cellStyle name="Linked Cell 29 2 2 2 2 4 3" xfId="29459" xr:uid="{ABF35BD1-4F1E-420A-BCB6-D6FBDF46F23B}"/>
    <cellStyle name="Linked Cell 29 2 2 2 2 5" xfId="29460" xr:uid="{247AF822-0F07-4EFF-884E-954C5ECEC3D1}"/>
    <cellStyle name="Linked Cell 29 2 2 2 2 5 2" xfId="29461" xr:uid="{B33AB303-F46B-49BA-AC2A-A63E6282C9CC}"/>
    <cellStyle name="Linked Cell 29 2 2 2 2 5 2 2" xfId="29462" xr:uid="{7D153682-22EC-4EDD-9A85-BD990DA6FBC4}"/>
    <cellStyle name="Linked Cell 29 2 2 2 2 5 3" xfId="29463" xr:uid="{B9AC9083-4C6A-40F8-8B59-823ADB3C0B52}"/>
    <cellStyle name="Linked Cell 29 2 2 2 2 6" xfId="29464" xr:uid="{B7D83021-E8FD-48BC-8788-C1EEBED7A9EB}"/>
    <cellStyle name="Linked Cell 29 2 2 2 2 6 2" xfId="29465" xr:uid="{8F54C681-AC20-40C7-B4BD-462A72541C54}"/>
    <cellStyle name="Linked Cell 29 2 2 2 2 6 2 2" xfId="29466" xr:uid="{7230BF10-8F69-474F-BA2E-DDADAB6AF5CB}"/>
    <cellStyle name="Linked Cell 29 2 2 2 2 6 3" xfId="29467" xr:uid="{C6A89274-3EAD-49B3-BD99-6915C8A364A5}"/>
    <cellStyle name="Linked Cell 29 2 2 2 2 7" xfId="29468" xr:uid="{4EB4CC53-26D1-40FA-AAFA-747323A00FCB}"/>
    <cellStyle name="Linked Cell 29 2 2 2 2 7 2" xfId="29469" xr:uid="{63C161D3-5A90-443B-B06C-2A73EC9E390E}"/>
    <cellStyle name="Linked Cell 29 2 2 2 2 7 2 2" xfId="29470" xr:uid="{A7018055-F42E-4EAC-9E2A-4C43EFFCF880}"/>
    <cellStyle name="Linked Cell 29 2 2 2 2 7 3" xfId="29471" xr:uid="{0BAC9BFB-359E-4A1D-9EB3-B2F7B9BB5D2D}"/>
    <cellStyle name="Linked Cell 29 2 2 2 2 8" xfId="29472" xr:uid="{6DA77C82-1C5A-4C64-8941-DD3B711308A4}"/>
    <cellStyle name="Linked Cell 29 2 2 2 2 8 2" xfId="29473" xr:uid="{8AA440A0-9589-49D7-AABA-AA87F2269654}"/>
    <cellStyle name="Linked Cell 29 2 2 2 2 8 2 2" xfId="29474" xr:uid="{D00EF842-7FF1-4A60-94D6-1D71DE6ACC35}"/>
    <cellStyle name="Linked Cell 29 2 2 2 2 8 3" xfId="29475" xr:uid="{79319083-2EC4-4F9C-9404-1284A27A5359}"/>
    <cellStyle name="Linked Cell 29 2 2 2 2 9" xfId="29476" xr:uid="{B5BC92A9-AB5C-41F9-8EA8-83B7BC71AFDB}"/>
    <cellStyle name="Linked Cell 29 2 2 2 2 9 2" xfId="29477" xr:uid="{18B809BD-7D72-4894-BF67-A3356C14ADBF}"/>
    <cellStyle name="Linked Cell 29 2 2 2 2 9 2 2" xfId="29478" xr:uid="{C6D68EE3-C3FE-4C1C-A1B8-7A19A8A3A7A4}"/>
    <cellStyle name="Linked Cell 29 2 2 2 2 9 3" xfId="29479" xr:uid="{293C89E5-BFB9-497F-8291-C8000B41513A}"/>
    <cellStyle name="Linked Cell 29 2 2 2 3" xfId="29480" xr:uid="{EE93EC39-F423-4EA2-A1AE-826E3998406F}"/>
    <cellStyle name="Linked Cell 29 2 2 2 3 10" xfId="29481" xr:uid="{5E4847BF-DFCD-49F2-ACCB-ECDA725C4511}"/>
    <cellStyle name="Linked Cell 29 2 2 2 3 10 2" xfId="29482" xr:uid="{27968147-AAA3-456A-9017-23D95908BF79}"/>
    <cellStyle name="Linked Cell 29 2 2 2 3 11" xfId="29483" xr:uid="{BDD3A4F5-75C0-4687-AAF3-9BDB96BA9212}"/>
    <cellStyle name="Linked Cell 29 2 2 2 3 2" xfId="29484" xr:uid="{6664616F-2BFA-4936-9954-EE1E6D567ABE}"/>
    <cellStyle name="Linked Cell 29 2 2 2 3 2 2" xfId="29485" xr:uid="{FBFD3E31-FD37-4A08-BF51-E40E6A1B9DC4}"/>
    <cellStyle name="Linked Cell 29 2 2 2 3 2 2 2" xfId="29486" xr:uid="{E054FB53-4294-489C-A3BE-1816F91A3EFB}"/>
    <cellStyle name="Linked Cell 29 2 2 2 3 2 3" xfId="29487" xr:uid="{CBE94284-CB2C-439A-843C-2921659D4345}"/>
    <cellStyle name="Linked Cell 29 2 2 2 3 3" xfId="29488" xr:uid="{8F8A2930-661C-4A89-9BFA-04867A45A857}"/>
    <cellStyle name="Linked Cell 29 2 2 2 3 3 2" xfId="29489" xr:uid="{44EFBDAF-6842-44D2-922F-304A4DE7695A}"/>
    <cellStyle name="Linked Cell 29 2 2 2 3 3 2 2" xfId="29490" xr:uid="{D6E91290-AD60-4A43-A79C-C51DF01FB357}"/>
    <cellStyle name="Linked Cell 29 2 2 2 3 3 3" xfId="29491" xr:uid="{A431699E-1ACC-4B3B-BC33-1A09C76F8B37}"/>
    <cellStyle name="Linked Cell 29 2 2 2 3 4" xfId="29492" xr:uid="{A98F9306-8C98-4521-8E03-C2A9765CE1CF}"/>
    <cellStyle name="Linked Cell 29 2 2 2 3 4 2" xfId="29493" xr:uid="{A8A708B6-12D1-47BC-977C-900AD3C6F12D}"/>
    <cellStyle name="Linked Cell 29 2 2 2 3 4 2 2" xfId="29494" xr:uid="{4A05EB5D-E41F-4E5E-8292-D09B677197BE}"/>
    <cellStyle name="Linked Cell 29 2 2 2 3 4 3" xfId="29495" xr:uid="{366A8FE9-4515-4678-AD5B-6543051CAF99}"/>
    <cellStyle name="Linked Cell 29 2 2 2 3 5" xfId="29496" xr:uid="{CD8E2330-8CBA-4951-9CE5-17829DFFF13E}"/>
    <cellStyle name="Linked Cell 29 2 2 2 3 5 2" xfId="29497" xr:uid="{520FC250-6E30-459C-8DD5-33949C2D3A4F}"/>
    <cellStyle name="Linked Cell 29 2 2 2 3 5 2 2" xfId="29498" xr:uid="{81F326DF-4055-41E3-8BBA-82BE8AE48039}"/>
    <cellStyle name="Linked Cell 29 2 2 2 3 5 3" xfId="29499" xr:uid="{231551AE-3D2B-4755-87C4-9E714F1A4E60}"/>
    <cellStyle name="Linked Cell 29 2 2 2 3 6" xfId="29500" xr:uid="{85BA8094-2C38-4E8F-AE47-450C44EC7FD1}"/>
    <cellStyle name="Linked Cell 29 2 2 2 3 6 2" xfId="29501" xr:uid="{CF8FBDFA-BC93-4E06-9990-B96E5E2ABDE6}"/>
    <cellStyle name="Linked Cell 29 2 2 2 3 6 2 2" xfId="29502" xr:uid="{1EB06454-DD2C-4AF7-AB6D-F07331C68704}"/>
    <cellStyle name="Linked Cell 29 2 2 2 3 6 3" xfId="29503" xr:uid="{E61A47AE-4991-4924-B07D-1EE82CF6DB91}"/>
    <cellStyle name="Linked Cell 29 2 2 2 3 7" xfId="29504" xr:uid="{FF576486-AA0C-4A75-A8E6-FD1B2BD648E7}"/>
    <cellStyle name="Linked Cell 29 2 2 2 3 7 2" xfId="29505" xr:uid="{747C753C-27F8-4CF2-A662-D4A50DFD1E74}"/>
    <cellStyle name="Linked Cell 29 2 2 2 3 7 2 2" xfId="29506" xr:uid="{FE974A70-A6B7-44E0-8B9E-AFD496F00882}"/>
    <cellStyle name="Linked Cell 29 2 2 2 3 7 3" xfId="29507" xr:uid="{2C9317F5-2C80-4B17-917D-803D84CEA4AF}"/>
    <cellStyle name="Linked Cell 29 2 2 2 3 8" xfId="29508" xr:uid="{27B97D5A-5D46-4888-B19F-EB6AE15C18B0}"/>
    <cellStyle name="Linked Cell 29 2 2 2 3 8 2" xfId="29509" xr:uid="{A4DD86E8-FE2E-4C7A-9CB8-4620BB3513BC}"/>
    <cellStyle name="Linked Cell 29 2 2 2 3 8 2 2" xfId="29510" xr:uid="{72E41588-6112-45AC-B7B1-A4DF754210C4}"/>
    <cellStyle name="Linked Cell 29 2 2 2 3 8 3" xfId="29511" xr:uid="{DFB4746F-FAE6-48B2-953C-6DC42A013EBA}"/>
    <cellStyle name="Linked Cell 29 2 2 2 3 9" xfId="29512" xr:uid="{A30EBC09-4429-4281-BCCC-FF6196C5EE80}"/>
    <cellStyle name="Linked Cell 29 2 2 2 3 9 2" xfId="29513" xr:uid="{064FE293-789B-443C-B727-D0376340C39C}"/>
    <cellStyle name="Linked Cell 29 2 2 2 3 9 2 2" xfId="29514" xr:uid="{EFC0E279-9CCE-482B-B493-3F286B075C04}"/>
    <cellStyle name="Linked Cell 29 2 2 2 3 9 3" xfId="29515" xr:uid="{97FDD7DC-A79D-48B5-82C1-B04E47DAE07C}"/>
    <cellStyle name="Linked Cell 29 2 2 2 4" xfId="29516" xr:uid="{0EDD0438-EC4C-4DCD-9471-C0E93A3CF66B}"/>
    <cellStyle name="Linked Cell 29 2 2 2 4 2" xfId="29517" xr:uid="{89EEDB68-0682-4F3A-9ACD-E14703A5398A}"/>
    <cellStyle name="Linked Cell 29 2 2 2 4 2 2" xfId="29518" xr:uid="{F9F8DB1D-1C1A-4DFD-B90F-5C51C239A119}"/>
    <cellStyle name="Linked Cell 29 2 2 2 4 3" xfId="29519" xr:uid="{54DBB080-F8B3-46DE-A00A-3E4E21960E09}"/>
    <cellStyle name="Linked Cell 29 2 2 2 5" xfId="29520" xr:uid="{9F30AF84-4377-4533-B7A7-445387D026C2}"/>
    <cellStyle name="Linked Cell 29 2 2 2 5 2" xfId="29521" xr:uid="{5648AAF4-769A-45C6-9904-86533D70BEC4}"/>
    <cellStyle name="Linked Cell 29 2 2 2 5 2 2" xfId="29522" xr:uid="{98A4447D-0BC4-4B58-8141-9E29F13E28EE}"/>
    <cellStyle name="Linked Cell 29 2 2 2 5 3" xfId="29523" xr:uid="{74AD5BDD-0494-4F6A-BF98-637A60FD354E}"/>
    <cellStyle name="Linked Cell 29 2 2 2 6" xfId="29524" xr:uid="{68A17512-8B56-4DFC-9E82-134319588AD0}"/>
    <cellStyle name="Linked Cell 29 2 2 2 6 2" xfId="29525" xr:uid="{CAB73CBA-F2D2-4072-A388-8AB666EFBAC5}"/>
    <cellStyle name="Linked Cell 29 2 2 2 6 2 2" xfId="29526" xr:uid="{A858D198-50D5-449B-B092-EAF605D92B0E}"/>
    <cellStyle name="Linked Cell 29 2 2 2 6 3" xfId="29527" xr:uid="{DE4B6BE0-0A5B-4E1F-BAA6-4CFFE5CA9656}"/>
    <cellStyle name="Linked Cell 29 2 2 2 7" xfId="29528" xr:uid="{B43CC479-18D5-48EC-8092-2616D0CBEE8F}"/>
    <cellStyle name="Linked Cell 29 2 2 2 7 2" xfId="29529" xr:uid="{DD820942-340D-4D2D-AAE4-0F3ED9430969}"/>
    <cellStyle name="Linked Cell 29 2 2 2 7 2 2" xfId="29530" xr:uid="{103CFBBC-CDC5-4E62-B96D-1C9106AC6663}"/>
    <cellStyle name="Linked Cell 29 2 2 2 7 3" xfId="29531" xr:uid="{84E92AB4-3EBD-4B0C-BD24-54D1340886FD}"/>
    <cellStyle name="Linked Cell 29 2 2 2 8" xfId="29532" xr:uid="{63C21642-47D4-492E-AD86-D596402B0896}"/>
    <cellStyle name="Linked Cell 29 2 2 2 8 2" xfId="29533" xr:uid="{CC4820AE-FB0C-417D-9609-301C7D35F9BF}"/>
    <cellStyle name="Linked Cell 29 2 2 2 8 2 2" xfId="29534" xr:uid="{8E4F208F-41F6-4851-A57D-B281619698C4}"/>
    <cellStyle name="Linked Cell 29 2 2 2 8 3" xfId="29535" xr:uid="{FFB06184-8CCF-440B-A8DF-160B8A9B682F}"/>
    <cellStyle name="Linked Cell 29 2 2 2 9" xfId="29536" xr:uid="{5E4590F0-0907-43A8-81AC-54FF0B234D59}"/>
    <cellStyle name="Linked Cell 29 2 2 2 9 2" xfId="29537" xr:uid="{18C7B82A-2AD9-4E1F-9EA8-0AB237574910}"/>
    <cellStyle name="Linked Cell 29 2 2 2 9 2 2" xfId="29538" xr:uid="{3EB8456E-2C1A-428A-A432-E267331D2487}"/>
    <cellStyle name="Linked Cell 29 2 2 2 9 3" xfId="29539" xr:uid="{007C595B-B2A5-42A5-BD01-914691AA8C1C}"/>
    <cellStyle name="Linked Cell 29 2 2 3" xfId="29540" xr:uid="{2DACF5B9-B220-4677-8458-5D1D4F65997B}"/>
    <cellStyle name="Linked Cell 29 2 2 3 10" xfId="29541" xr:uid="{0C86D940-0DCF-4E16-8242-B31E37B3169A}"/>
    <cellStyle name="Linked Cell 29 2 2 3 10 2" xfId="29542" xr:uid="{820BB5A0-519B-409E-9810-F0912644B129}"/>
    <cellStyle name="Linked Cell 29 2 2 3 10 2 2" xfId="29543" xr:uid="{7CC8D7BB-1151-4F99-A4F9-F141E4B0BFED}"/>
    <cellStyle name="Linked Cell 29 2 2 3 10 3" xfId="29544" xr:uid="{A809D075-F298-4836-B090-FBCF348AFC74}"/>
    <cellStyle name="Linked Cell 29 2 2 3 11" xfId="29545" xr:uid="{4794E38C-0EB4-4C9A-ACD0-131A364ADC4A}"/>
    <cellStyle name="Linked Cell 29 2 2 3 11 2" xfId="29546" xr:uid="{6E7D305D-6E78-4814-8EE7-5D9A17175D30}"/>
    <cellStyle name="Linked Cell 29 2 2 3 12" xfId="29547" xr:uid="{B51EB4A8-46C5-4BE4-B4E0-3CB1481EE69E}"/>
    <cellStyle name="Linked Cell 29 2 2 3 2" xfId="29548" xr:uid="{002C51A7-BB2E-4A63-9256-73433F5B951C}"/>
    <cellStyle name="Linked Cell 29 2 2 3 2 10" xfId="29549" xr:uid="{686A6944-0AC3-4F87-AE45-60AEBE14ED49}"/>
    <cellStyle name="Linked Cell 29 2 2 3 2 10 2" xfId="29550" xr:uid="{0A699127-F57E-466B-9F82-BB7DA13F4EE4}"/>
    <cellStyle name="Linked Cell 29 2 2 3 2 11" xfId="29551" xr:uid="{B41B4D83-B434-43B2-AD7E-AE4381E6CF82}"/>
    <cellStyle name="Linked Cell 29 2 2 3 2 2" xfId="29552" xr:uid="{2B4B6912-DC41-450E-A677-3AA6833B1E4A}"/>
    <cellStyle name="Linked Cell 29 2 2 3 2 2 2" xfId="29553" xr:uid="{1DC90763-E520-4DE4-B1C6-C40B9D2CECB3}"/>
    <cellStyle name="Linked Cell 29 2 2 3 2 2 2 2" xfId="29554" xr:uid="{4E0E7604-A07D-48A4-81FF-5902C3A061EC}"/>
    <cellStyle name="Linked Cell 29 2 2 3 2 2 3" xfId="29555" xr:uid="{26EE3BEC-9E6F-4EF6-B938-08651FFED18C}"/>
    <cellStyle name="Linked Cell 29 2 2 3 2 3" xfId="29556" xr:uid="{8F26564E-90B9-4CFA-BD86-E525ABD02909}"/>
    <cellStyle name="Linked Cell 29 2 2 3 2 3 2" xfId="29557" xr:uid="{684BE784-C7C8-49FE-8229-424FEAB1D0C2}"/>
    <cellStyle name="Linked Cell 29 2 2 3 2 3 2 2" xfId="29558" xr:uid="{5932CDF0-1671-421A-8375-28A39D78C621}"/>
    <cellStyle name="Linked Cell 29 2 2 3 2 3 3" xfId="29559" xr:uid="{E9B4EBD3-9CD2-4F4A-80CA-EC1F22CD8FBF}"/>
    <cellStyle name="Linked Cell 29 2 2 3 2 4" xfId="29560" xr:uid="{B9696D5A-2C03-4F5E-9CFB-A2056F1F7F60}"/>
    <cellStyle name="Linked Cell 29 2 2 3 2 4 2" xfId="29561" xr:uid="{3F316C89-E2DA-40F1-861B-5F1F8D8568A0}"/>
    <cellStyle name="Linked Cell 29 2 2 3 2 4 2 2" xfId="29562" xr:uid="{947258C3-7252-42BD-B5E3-541FCE6E2FE5}"/>
    <cellStyle name="Linked Cell 29 2 2 3 2 4 3" xfId="29563" xr:uid="{647C656A-A6D6-4A71-86DE-642D6364DD30}"/>
    <cellStyle name="Linked Cell 29 2 2 3 2 5" xfId="29564" xr:uid="{404EDCC7-D46A-4B3D-ABFA-83AFA99D1AFA}"/>
    <cellStyle name="Linked Cell 29 2 2 3 2 5 2" xfId="29565" xr:uid="{18A0CC55-5F37-4FF3-9031-0B1B2F5D7EBD}"/>
    <cellStyle name="Linked Cell 29 2 2 3 2 5 2 2" xfId="29566" xr:uid="{8E66DE67-572E-4D1C-B15E-2AC0B0202F8D}"/>
    <cellStyle name="Linked Cell 29 2 2 3 2 5 3" xfId="29567" xr:uid="{E9B578A2-5D31-446B-ADCB-94F53A6DB8E5}"/>
    <cellStyle name="Linked Cell 29 2 2 3 2 6" xfId="29568" xr:uid="{069F7FC5-0209-4DDE-B564-4AB3256DA9E3}"/>
    <cellStyle name="Linked Cell 29 2 2 3 2 6 2" xfId="29569" xr:uid="{CE71D89E-9D73-4BFD-926F-932E952C2896}"/>
    <cellStyle name="Linked Cell 29 2 2 3 2 6 2 2" xfId="29570" xr:uid="{36BED384-73E3-48AF-B82F-0D976FD7E5E0}"/>
    <cellStyle name="Linked Cell 29 2 2 3 2 6 3" xfId="29571" xr:uid="{343C50E2-86BE-4EF4-8CE2-388214D56D7C}"/>
    <cellStyle name="Linked Cell 29 2 2 3 2 7" xfId="29572" xr:uid="{5958AC5F-2CD2-4C2B-867C-D57B38093A22}"/>
    <cellStyle name="Linked Cell 29 2 2 3 2 7 2" xfId="29573" xr:uid="{78F85B92-C3D2-44FA-92A1-5C70CA0C5719}"/>
    <cellStyle name="Linked Cell 29 2 2 3 2 7 2 2" xfId="29574" xr:uid="{A1F57ABC-B45D-4795-AD3F-6317337F3E60}"/>
    <cellStyle name="Linked Cell 29 2 2 3 2 7 3" xfId="29575" xr:uid="{5FEEC536-35E8-4152-BC84-FEDB4220B015}"/>
    <cellStyle name="Linked Cell 29 2 2 3 2 8" xfId="29576" xr:uid="{30C175EF-3E54-45F3-89C0-CF4A131DCF01}"/>
    <cellStyle name="Linked Cell 29 2 2 3 2 8 2" xfId="29577" xr:uid="{EE8E16A3-407B-4196-84BF-42A61F9FCF3D}"/>
    <cellStyle name="Linked Cell 29 2 2 3 2 8 2 2" xfId="29578" xr:uid="{61E2C08A-F9DA-4383-94D1-439E51B046C4}"/>
    <cellStyle name="Linked Cell 29 2 2 3 2 8 3" xfId="29579" xr:uid="{A921CD35-DF98-429F-BF39-2BC82CDD3333}"/>
    <cellStyle name="Linked Cell 29 2 2 3 2 9" xfId="29580" xr:uid="{D40EA622-01BC-43E3-A954-11242F73482C}"/>
    <cellStyle name="Linked Cell 29 2 2 3 2 9 2" xfId="29581" xr:uid="{CD426D5B-5B73-4009-9EB7-E14C5CF5FB27}"/>
    <cellStyle name="Linked Cell 29 2 2 3 2 9 2 2" xfId="29582" xr:uid="{4E2D92D8-8D62-4191-B862-5DEF71B08CB6}"/>
    <cellStyle name="Linked Cell 29 2 2 3 2 9 3" xfId="29583" xr:uid="{C5321687-2438-43A0-86A4-55626776E2B2}"/>
    <cellStyle name="Linked Cell 29 2 2 3 3" xfId="29584" xr:uid="{EBCCFA23-098C-42AE-B9F0-E1EB0223F8FE}"/>
    <cellStyle name="Linked Cell 29 2 2 3 3 2" xfId="29585" xr:uid="{B963487D-6A1A-4A96-AE64-11A1FBE85DF5}"/>
    <cellStyle name="Linked Cell 29 2 2 3 3 2 2" xfId="29586" xr:uid="{00CD6957-328D-4B71-A9DF-0674CFB37393}"/>
    <cellStyle name="Linked Cell 29 2 2 3 3 3" xfId="29587" xr:uid="{90232848-A842-4253-8922-B576992EC943}"/>
    <cellStyle name="Linked Cell 29 2 2 3 4" xfId="29588" xr:uid="{22FC5668-DC54-47B6-BC6F-941D9F710EC9}"/>
    <cellStyle name="Linked Cell 29 2 2 3 4 2" xfId="29589" xr:uid="{2A93718A-5C87-41A7-81BD-D45115B83553}"/>
    <cellStyle name="Linked Cell 29 2 2 3 4 2 2" xfId="29590" xr:uid="{C51DAEFC-497E-4A63-B0F7-7E9A768455BE}"/>
    <cellStyle name="Linked Cell 29 2 2 3 4 3" xfId="29591" xr:uid="{469D695B-6FBC-43C2-B452-6772F8CED2EB}"/>
    <cellStyle name="Linked Cell 29 2 2 3 5" xfId="29592" xr:uid="{6F7326C1-7C42-4AC8-8FDB-C7F9F4913B52}"/>
    <cellStyle name="Linked Cell 29 2 2 3 5 2" xfId="29593" xr:uid="{0BA44938-F03F-4BE0-A942-7D3A0818D3C1}"/>
    <cellStyle name="Linked Cell 29 2 2 3 5 2 2" xfId="29594" xr:uid="{94D631A9-B10D-49D1-A1C3-C1F7C624C1CD}"/>
    <cellStyle name="Linked Cell 29 2 2 3 5 3" xfId="29595" xr:uid="{0A1F6BA0-E161-404E-9E46-63A1FDA137F8}"/>
    <cellStyle name="Linked Cell 29 2 2 3 6" xfId="29596" xr:uid="{4C22F387-1338-4B54-ADE6-322373717891}"/>
    <cellStyle name="Linked Cell 29 2 2 3 6 2" xfId="29597" xr:uid="{F764F6A8-8752-4DBA-85C0-9463087767ED}"/>
    <cellStyle name="Linked Cell 29 2 2 3 6 2 2" xfId="29598" xr:uid="{EB5DC338-FF63-442D-82E1-9BAEC0F544C1}"/>
    <cellStyle name="Linked Cell 29 2 2 3 6 3" xfId="29599" xr:uid="{7C1A36AF-5F95-4A15-B36E-38846E013E8E}"/>
    <cellStyle name="Linked Cell 29 2 2 3 7" xfId="29600" xr:uid="{99DFEB62-4491-4551-A5C1-EF2C8437FD65}"/>
    <cellStyle name="Linked Cell 29 2 2 3 7 2" xfId="29601" xr:uid="{AA1E53FA-D8F7-4131-A67F-04A3E2D65231}"/>
    <cellStyle name="Linked Cell 29 2 2 3 7 2 2" xfId="29602" xr:uid="{669680BD-E06A-472E-9562-28382D64BBD8}"/>
    <cellStyle name="Linked Cell 29 2 2 3 7 3" xfId="29603" xr:uid="{BEBD5FE7-E9B4-4850-8E06-6F5D8085610E}"/>
    <cellStyle name="Linked Cell 29 2 2 3 8" xfId="29604" xr:uid="{5E60C960-4907-463A-890B-41EED6DED09C}"/>
    <cellStyle name="Linked Cell 29 2 2 3 8 2" xfId="29605" xr:uid="{6761EF55-6B28-42DC-803C-D98EBE55A1A3}"/>
    <cellStyle name="Linked Cell 29 2 2 3 8 2 2" xfId="29606" xr:uid="{40E2694F-89A2-406C-8B82-11F7D5460E5B}"/>
    <cellStyle name="Linked Cell 29 2 2 3 8 3" xfId="29607" xr:uid="{C44241CF-B60F-4101-A793-FEA9A993F92A}"/>
    <cellStyle name="Linked Cell 29 2 2 3 9" xfId="29608" xr:uid="{F558C81C-60FA-4CF8-9B38-C84C6C1D31FA}"/>
    <cellStyle name="Linked Cell 29 2 2 3 9 2" xfId="29609" xr:uid="{F5F2D79F-EC38-4A2F-AF21-BB451CC7DC49}"/>
    <cellStyle name="Linked Cell 29 2 2 3 9 2 2" xfId="29610" xr:uid="{DFD69FE5-5142-45C2-984D-329D71F4FE6A}"/>
    <cellStyle name="Linked Cell 29 2 2 3 9 3" xfId="29611" xr:uid="{78A30803-75AC-4143-BD6B-3A353BCD726D}"/>
    <cellStyle name="Linked Cell 29 2 2 4" xfId="29612" xr:uid="{E92A3F97-6766-4642-9C56-353B21DD29C5}"/>
    <cellStyle name="Linked Cell 29 2 2 4 10" xfId="29613" xr:uid="{BAF1DD91-C07E-4C33-87A7-D2E44DC56141}"/>
    <cellStyle name="Linked Cell 29 2 2 4 10 2" xfId="29614" xr:uid="{94BC7EFA-A965-4ED1-8ABD-0E198AC4E4A9}"/>
    <cellStyle name="Linked Cell 29 2 2 4 11" xfId="29615" xr:uid="{9114CCB1-7F4C-4C14-B897-D8D1465F1DDF}"/>
    <cellStyle name="Linked Cell 29 2 2 4 2" xfId="29616" xr:uid="{E954948C-96D5-4239-B76C-88CFD0207015}"/>
    <cellStyle name="Linked Cell 29 2 2 4 2 2" xfId="29617" xr:uid="{83FCB3DE-35FD-40F4-97BE-D8539BFF21F3}"/>
    <cellStyle name="Linked Cell 29 2 2 4 2 2 2" xfId="29618" xr:uid="{7C36533E-C725-4C85-9468-0DB053821F0C}"/>
    <cellStyle name="Linked Cell 29 2 2 4 2 3" xfId="29619" xr:uid="{C554793D-9F32-46B9-B9AE-ED369929D83F}"/>
    <cellStyle name="Linked Cell 29 2 2 4 3" xfId="29620" xr:uid="{773DA874-3A66-461E-9F5E-C0D66D293ABE}"/>
    <cellStyle name="Linked Cell 29 2 2 4 3 2" xfId="29621" xr:uid="{F8CA6B3F-3C9E-4066-BAC2-428E2515FF48}"/>
    <cellStyle name="Linked Cell 29 2 2 4 3 2 2" xfId="29622" xr:uid="{134E9C9E-7821-45FE-A9E7-351C5F2392F7}"/>
    <cellStyle name="Linked Cell 29 2 2 4 3 3" xfId="29623" xr:uid="{FC04CE1B-FE01-47BC-ADC9-5F1CBF166987}"/>
    <cellStyle name="Linked Cell 29 2 2 4 4" xfId="29624" xr:uid="{C4D04993-47B3-4396-9CDB-00FD847256C8}"/>
    <cellStyle name="Linked Cell 29 2 2 4 4 2" xfId="29625" xr:uid="{AEE90EB1-4846-42A7-B45A-8C3BD95FC479}"/>
    <cellStyle name="Linked Cell 29 2 2 4 4 2 2" xfId="29626" xr:uid="{3C25CC65-15A3-4F0D-B8CF-B7DFE3185105}"/>
    <cellStyle name="Linked Cell 29 2 2 4 4 3" xfId="29627" xr:uid="{A60F462B-5439-4DDB-AA73-15D580008F8F}"/>
    <cellStyle name="Linked Cell 29 2 2 4 5" xfId="29628" xr:uid="{4533339E-EAC3-47F0-9051-59691B9B5155}"/>
    <cellStyle name="Linked Cell 29 2 2 4 5 2" xfId="29629" xr:uid="{B34293B0-96CB-417B-B7D8-7CFAFB3A93BD}"/>
    <cellStyle name="Linked Cell 29 2 2 4 5 2 2" xfId="29630" xr:uid="{CA7C9ABB-5337-49F9-A982-3A845D6CD87B}"/>
    <cellStyle name="Linked Cell 29 2 2 4 5 3" xfId="29631" xr:uid="{E0E952B4-EE5D-4A46-A5F3-6ABAA6EF6485}"/>
    <cellStyle name="Linked Cell 29 2 2 4 6" xfId="29632" xr:uid="{8CC1E55B-BDAD-4A4A-98FF-067C8180BC94}"/>
    <cellStyle name="Linked Cell 29 2 2 4 6 2" xfId="29633" xr:uid="{F1A1582E-2457-465A-87FD-7A321CDA475A}"/>
    <cellStyle name="Linked Cell 29 2 2 4 6 2 2" xfId="29634" xr:uid="{B5900C27-B44E-49C2-8C45-F6FF0D215004}"/>
    <cellStyle name="Linked Cell 29 2 2 4 6 3" xfId="29635" xr:uid="{07E756C1-5589-4ED1-AB3A-7F6130CCA31F}"/>
    <cellStyle name="Linked Cell 29 2 2 4 7" xfId="29636" xr:uid="{1AE09F30-D9FF-46C8-A392-EC1BD5017A4D}"/>
    <cellStyle name="Linked Cell 29 2 2 4 7 2" xfId="29637" xr:uid="{80BA5D09-5B0A-4FF4-A61E-EB2D0FA08CA7}"/>
    <cellStyle name="Linked Cell 29 2 2 4 7 2 2" xfId="29638" xr:uid="{E6443DD8-875C-4F2E-B639-88C205705EC4}"/>
    <cellStyle name="Linked Cell 29 2 2 4 7 3" xfId="29639" xr:uid="{FFD816CF-2F6C-4E46-AB23-8E2F79A9EB39}"/>
    <cellStyle name="Linked Cell 29 2 2 4 8" xfId="29640" xr:uid="{B7BA3358-0DB3-4F1C-874A-1BC77A26874D}"/>
    <cellStyle name="Linked Cell 29 2 2 4 8 2" xfId="29641" xr:uid="{4DACB39D-8270-4510-A7D9-215F3230892C}"/>
    <cellStyle name="Linked Cell 29 2 2 4 8 2 2" xfId="29642" xr:uid="{F6E35C2D-FA71-49A5-8306-D780906F6FAA}"/>
    <cellStyle name="Linked Cell 29 2 2 4 8 3" xfId="29643" xr:uid="{FA02D7C8-3F12-46B5-8564-98C429A5130B}"/>
    <cellStyle name="Linked Cell 29 2 2 4 9" xfId="29644" xr:uid="{F7384562-E4B9-4004-9E47-B39E4A81343C}"/>
    <cellStyle name="Linked Cell 29 2 2 4 9 2" xfId="29645" xr:uid="{EC2E2CFE-38A4-47D5-8F6A-BAEFCE695FDD}"/>
    <cellStyle name="Linked Cell 29 2 2 4 9 2 2" xfId="29646" xr:uid="{3ADD58EC-E949-486E-BE59-329891625A81}"/>
    <cellStyle name="Linked Cell 29 2 2 4 9 3" xfId="29647" xr:uid="{BB464F89-E07D-44DF-94DE-CF8C31FA3168}"/>
    <cellStyle name="Linked Cell 29 2 2 5" xfId="29648" xr:uid="{C9B3CFD1-14D9-45F4-A9F1-765B61600C76}"/>
    <cellStyle name="Linked Cell 29 2 2 5 2" xfId="29649" xr:uid="{3F39B31A-3C66-408B-AC29-282B9091373D}"/>
    <cellStyle name="Linked Cell 29 2 2 5 2 2" xfId="29650" xr:uid="{81051E3F-B11D-477C-AAC0-ACA02F8DF192}"/>
    <cellStyle name="Linked Cell 29 2 2 5 3" xfId="29651" xr:uid="{5562B8B7-6E86-49E7-A741-9CA8BBC11193}"/>
    <cellStyle name="Linked Cell 29 2 2 6" xfId="29652" xr:uid="{425A0E34-A8DA-42AD-9024-576B9370DC8D}"/>
    <cellStyle name="Linked Cell 29 2 2 6 2" xfId="29653" xr:uid="{7CC2CCA5-379E-421C-9401-9B29A0CA8162}"/>
    <cellStyle name="Linked Cell 29 2 2 6 2 2" xfId="29654" xr:uid="{CC7C0795-007B-4981-88BF-CEBD5DD37599}"/>
    <cellStyle name="Linked Cell 29 2 2 6 3" xfId="29655" xr:uid="{F6653CBC-CAA6-4180-9C6B-0789157882FD}"/>
    <cellStyle name="Linked Cell 29 2 2 7" xfId="29656" xr:uid="{FD692AA9-2BB3-4BCB-BFC6-D1BCC45141DC}"/>
    <cellStyle name="Linked Cell 29 2 2 7 2" xfId="29657" xr:uid="{E321B6F6-1F04-48A6-82D4-48B03D0B231A}"/>
    <cellStyle name="Linked Cell 29 2 2 7 2 2" xfId="29658" xr:uid="{DD8217B9-AC6E-4C4B-A15A-68C448D9E6B3}"/>
    <cellStyle name="Linked Cell 29 2 2 7 3" xfId="29659" xr:uid="{9AC1359E-4E1D-4A03-B03D-4180DDE2EE6B}"/>
    <cellStyle name="Linked Cell 29 2 2 8" xfId="29660" xr:uid="{53F369BE-F1FD-4806-89D9-30ECF53F5558}"/>
    <cellStyle name="Linked Cell 29 2 2 8 2" xfId="29661" xr:uid="{E6237D67-5769-48B3-ADEE-B87D82A4C11D}"/>
    <cellStyle name="Linked Cell 29 2 2 8 2 2" xfId="29662" xr:uid="{4201C038-03CE-4EFF-B8E6-93CE6C11B58C}"/>
    <cellStyle name="Linked Cell 29 2 2 8 3" xfId="29663" xr:uid="{7F636CF1-8756-40A1-9E1E-423099AF0274}"/>
    <cellStyle name="Linked Cell 29 2 2 9" xfId="29664" xr:uid="{9F6D8C16-CCA4-4A78-8572-5ECD84A72E84}"/>
    <cellStyle name="Linked Cell 29 2 2 9 2" xfId="29665" xr:uid="{DBB097E3-2386-4F15-91CB-9DA47C24EA4C}"/>
    <cellStyle name="Linked Cell 29 2 2 9 2 2" xfId="29666" xr:uid="{0E58C533-6239-4E41-B0DC-1EDBCE513555}"/>
    <cellStyle name="Linked Cell 29 2 2 9 3" xfId="29667" xr:uid="{DBA23E9A-D5DD-4DC2-B7E6-E26568D131EA}"/>
    <cellStyle name="Linked Cell 29 2 3" xfId="29668" xr:uid="{2A44B544-6ED8-4B93-A49E-87A1C5581CC9}"/>
    <cellStyle name="Linked Cell 29 2 3 10" xfId="29669" xr:uid="{EA81E7BD-8BD7-49EB-A12F-522880969364}"/>
    <cellStyle name="Linked Cell 29 2 3 10 2" xfId="29670" xr:uid="{21936D1B-7E2E-4069-9C18-60F07DE46F4D}"/>
    <cellStyle name="Linked Cell 29 2 3 10 2 2" xfId="29671" xr:uid="{562D0DF9-0834-4985-A95F-4B11899DCDAC}"/>
    <cellStyle name="Linked Cell 29 2 3 10 3" xfId="29672" xr:uid="{0D0F97EA-C9AC-4F8D-9D63-E1D8F5E977B7}"/>
    <cellStyle name="Linked Cell 29 2 3 11" xfId="29673" xr:uid="{D0A90093-A344-4BDA-8BF2-F805CDC424D2}"/>
    <cellStyle name="Linked Cell 29 2 3 11 2" xfId="29674" xr:uid="{87D25A4F-72BD-4A0D-9CB5-08D006B74CAF}"/>
    <cellStyle name="Linked Cell 29 2 3 11 2 2" xfId="29675" xr:uid="{FB9B4C51-C3EA-4A40-83D2-FE1EAE3ECEC8}"/>
    <cellStyle name="Linked Cell 29 2 3 11 3" xfId="29676" xr:uid="{2BF5D73A-C55F-486E-85DE-A69D7DCC9934}"/>
    <cellStyle name="Linked Cell 29 2 3 12" xfId="29677" xr:uid="{0D183E8B-31FE-4ED1-AEE9-55D3F3FF94E6}"/>
    <cellStyle name="Linked Cell 29 2 3 12 2" xfId="29678" xr:uid="{26544A92-63AB-4D57-936D-CAFA68D3884E}"/>
    <cellStyle name="Linked Cell 29 2 3 13" xfId="29679" xr:uid="{001DA7FC-9976-4ECE-9D04-A82967D8D81C}"/>
    <cellStyle name="Linked Cell 29 2 3 2" xfId="29680" xr:uid="{83A15EFC-FE13-4204-9E75-E760D55C524E}"/>
    <cellStyle name="Linked Cell 29 2 3 2 10" xfId="29681" xr:uid="{1E231E61-D724-4744-9BDB-6A9FF96B3257}"/>
    <cellStyle name="Linked Cell 29 2 3 2 10 2" xfId="29682" xr:uid="{33605665-B134-4725-B68D-16AD97D164A0}"/>
    <cellStyle name="Linked Cell 29 2 3 2 10 2 2" xfId="29683" xr:uid="{764D5BBE-C1FD-459F-9F79-01779CDA9C9A}"/>
    <cellStyle name="Linked Cell 29 2 3 2 10 3" xfId="29684" xr:uid="{EC083944-B253-4718-8C88-A99B45F3C134}"/>
    <cellStyle name="Linked Cell 29 2 3 2 11" xfId="29685" xr:uid="{DAEDB8C8-6119-4F71-955A-4070B23DFEB6}"/>
    <cellStyle name="Linked Cell 29 2 3 2 11 2" xfId="29686" xr:uid="{53FF5FB3-D6EF-41C7-8871-855D29919306}"/>
    <cellStyle name="Linked Cell 29 2 3 2 12" xfId="29687" xr:uid="{2E077BBE-43A7-4F63-9C8F-1C4CF82792FE}"/>
    <cellStyle name="Linked Cell 29 2 3 2 2" xfId="29688" xr:uid="{88FA3981-AE3D-4A73-B6D6-B40C166C7E5B}"/>
    <cellStyle name="Linked Cell 29 2 3 2 2 2" xfId="29689" xr:uid="{2AFCB72A-5E22-4264-9316-3F495B3A4F59}"/>
    <cellStyle name="Linked Cell 29 2 3 2 2 2 2" xfId="29690" xr:uid="{73BB78AD-5E2D-4650-A4F4-67F8D5E03A62}"/>
    <cellStyle name="Linked Cell 29 2 3 2 2 3" xfId="29691" xr:uid="{6936AC13-EE8E-46A9-A54B-102BD14252E0}"/>
    <cellStyle name="Linked Cell 29 2 3 2 3" xfId="29692" xr:uid="{7CDF99E0-65BA-4A17-9010-69E18D1470B9}"/>
    <cellStyle name="Linked Cell 29 2 3 2 3 2" xfId="29693" xr:uid="{6F9E918B-3C20-4E51-948E-957CB6D94212}"/>
    <cellStyle name="Linked Cell 29 2 3 2 3 2 2" xfId="29694" xr:uid="{6D595973-19CC-4505-9D3A-D3669171EA5B}"/>
    <cellStyle name="Linked Cell 29 2 3 2 3 3" xfId="29695" xr:uid="{54869E8A-A2EA-4B62-AF3F-113DE28AB513}"/>
    <cellStyle name="Linked Cell 29 2 3 2 4" xfId="29696" xr:uid="{1C96B0C7-96C2-43C6-96C8-DC507E16A747}"/>
    <cellStyle name="Linked Cell 29 2 3 2 4 2" xfId="29697" xr:uid="{BF890340-2C3E-44EB-A20F-CAF752B1A592}"/>
    <cellStyle name="Linked Cell 29 2 3 2 4 2 2" xfId="29698" xr:uid="{C9E02919-8DB9-4E99-A90B-AAA5DC4D2466}"/>
    <cellStyle name="Linked Cell 29 2 3 2 4 3" xfId="29699" xr:uid="{6A3E546B-9C3F-4E17-A178-C375F9AA3A79}"/>
    <cellStyle name="Linked Cell 29 2 3 2 5" xfId="29700" xr:uid="{9282D965-8AD6-4BD5-AE2E-7CA17AAFD21E}"/>
    <cellStyle name="Linked Cell 29 2 3 2 5 2" xfId="29701" xr:uid="{5612957D-2370-4E71-9A21-00D6822F320E}"/>
    <cellStyle name="Linked Cell 29 2 3 2 5 2 2" xfId="29702" xr:uid="{102D7897-7B93-4627-8379-A856C2A6ACA5}"/>
    <cellStyle name="Linked Cell 29 2 3 2 5 3" xfId="29703" xr:uid="{64D73FA0-9E07-48B8-BE19-654936CCE863}"/>
    <cellStyle name="Linked Cell 29 2 3 2 6" xfId="29704" xr:uid="{4ED59D36-F90A-4D76-9A0F-E19102D97E0A}"/>
    <cellStyle name="Linked Cell 29 2 3 2 6 2" xfId="29705" xr:uid="{DEA8CD65-1E7D-4BDC-86A1-B987678823E5}"/>
    <cellStyle name="Linked Cell 29 2 3 2 6 2 2" xfId="29706" xr:uid="{A0131C0D-4238-417D-85A5-B3A32BA5C9B8}"/>
    <cellStyle name="Linked Cell 29 2 3 2 6 3" xfId="29707" xr:uid="{81B56A6C-968F-4DFC-9CEF-F3BB89DA83D5}"/>
    <cellStyle name="Linked Cell 29 2 3 2 7" xfId="29708" xr:uid="{520ED083-0F66-4CDC-9772-5C804DA4DE8D}"/>
    <cellStyle name="Linked Cell 29 2 3 2 7 2" xfId="29709" xr:uid="{718E3CE1-636C-47A8-807F-324CDA45D965}"/>
    <cellStyle name="Linked Cell 29 2 3 2 7 2 2" xfId="29710" xr:uid="{0680784F-B365-4300-B3B0-008D8B0EB8F7}"/>
    <cellStyle name="Linked Cell 29 2 3 2 7 3" xfId="29711" xr:uid="{58C5A639-BCC5-4526-B9CD-610DF72E5563}"/>
    <cellStyle name="Linked Cell 29 2 3 2 8" xfId="29712" xr:uid="{93145144-5464-4A90-9613-4F7250E88500}"/>
    <cellStyle name="Linked Cell 29 2 3 2 8 2" xfId="29713" xr:uid="{C75DCB51-C4E5-4B4D-825F-90E46A916A8A}"/>
    <cellStyle name="Linked Cell 29 2 3 2 8 2 2" xfId="29714" xr:uid="{EB5D8653-3937-418A-9C90-696F7C3EF1A1}"/>
    <cellStyle name="Linked Cell 29 2 3 2 8 3" xfId="29715" xr:uid="{F469EF24-CA07-4D90-8DE7-E68A69F1E9CD}"/>
    <cellStyle name="Linked Cell 29 2 3 2 9" xfId="29716" xr:uid="{78F14897-0537-45BB-AB82-CBD74EB7CA4A}"/>
    <cellStyle name="Linked Cell 29 2 3 2 9 2" xfId="29717" xr:uid="{6F15AAA6-E187-4721-B959-1160716C7EC2}"/>
    <cellStyle name="Linked Cell 29 2 3 2 9 2 2" xfId="29718" xr:uid="{A80F3FFE-B2EC-411B-8E68-858DA70AF66A}"/>
    <cellStyle name="Linked Cell 29 2 3 2 9 3" xfId="29719" xr:uid="{73FD998C-369D-4D7B-95A4-068C8D90788B}"/>
    <cellStyle name="Linked Cell 29 2 3 3" xfId="29720" xr:uid="{83951C15-AFD8-4071-B574-7F04A93956DB}"/>
    <cellStyle name="Linked Cell 29 2 3 3 10" xfId="29721" xr:uid="{8EC86902-5DEB-4EDD-A0A5-A417CA2C16A6}"/>
    <cellStyle name="Linked Cell 29 2 3 3 10 2" xfId="29722" xr:uid="{D837F47B-A42B-4345-B812-D2C95DF8BE5F}"/>
    <cellStyle name="Linked Cell 29 2 3 3 11" xfId="29723" xr:uid="{674E7C3F-BDE3-4167-91E8-D9458B1487A9}"/>
    <cellStyle name="Linked Cell 29 2 3 3 2" xfId="29724" xr:uid="{2A16D85C-D5C2-48B1-8785-9E704D71F7A3}"/>
    <cellStyle name="Linked Cell 29 2 3 3 2 2" xfId="29725" xr:uid="{26D07DF1-7DD3-4E32-AADA-BB8971A2DF69}"/>
    <cellStyle name="Linked Cell 29 2 3 3 2 2 2" xfId="29726" xr:uid="{E6B7BFD6-9924-4553-9B28-B1E016EFC482}"/>
    <cellStyle name="Linked Cell 29 2 3 3 2 3" xfId="29727" xr:uid="{1071CA4F-9BB0-4412-8E99-F8D288EE1862}"/>
    <cellStyle name="Linked Cell 29 2 3 3 3" xfId="29728" xr:uid="{4B01E833-EF0F-4077-BD92-557839D752BE}"/>
    <cellStyle name="Linked Cell 29 2 3 3 3 2" xfId="29729" xr:uid="{A9332F09-EBE0-490E-82A4-EE73EA54E956}"/>
    <cellStyle name="Linked Cell 29 2 3 3 3 2 2" xfId="29730" xr:uid="{548781CD-06A3-41F3-8911-9E52C80A8FCD}"/>
    <cellStyle name="Linked Cell 29 2 3 3 3 3" xfId="29731" xr:uid="{15A05CD4-24A7-44CA-A02D-42B880ECA0AD}"/>
    <cellStyle name="Linked Cell 29 2 3 3 4" xfId="29732" xr:uid="{755EA5E6-E61E-44B3-9375-7C1765CEB284}"/>
    <cellStyle name="Linked Cell 29 2 3 3 4 2" xfId="29733" xr:uid="{2DE332FF-3C91-49A4-B610-D3CF649B51E5}"/>
    <cellStyle name="Linked Cell 29 2 3 3 4 2 2" xfId="29734" xr:uid="{AE23428F-0A24-4303-8B5B-371D74852C33}"/>
    <cellStyle name="Linked Cell 29 2 3 3 4 3" xfId="29735" xr:uid="{9E4DDD19-A981-46E9-909C-F2C6023BBFAD}"/>
    <cellStyle name="Linked Cell 29 2 3 3 5" xfId="29736" xr:uid="{62DFA6F2-0A8E-4102-BD23-BD84D9993508}"/>
    <cellStyle name="Linked Cell 29 2 3 3 5 2" xfId="29737" xr:uid="{7DE62512-15E8-4BE9-AAB8-6D2F7938FC87}"/>
    <cellStyle name="Linked Cell 29 2 3 3 5 2 2" xfId="29738" xr:uid="{E976E46E-20C6-4427-A719-DDD3EDB34BD3}"/>
    <cellStyle name="Linked Cell 29 2 3 3 5 3" xfId="29739" xr:uid="{AAC603F1-1210-48F1-8A84-B9CEA9279156}"/>
    <cellStyle name="Linked Cell 29 2 3 3 6" xfId="29740" xr:uid="{0310C2E5-8E16-4AF9-A25E-30C235E24D74}"/>
    <cellStyle name="Linked Cell 29 2 3 3 6 2" xfId="29741" xr:uid="{470F900F-5960-4C9B-84C2-FDDF22DFA205}"/>
    <cellStyle name="Linked Cell 29 2 3 3 6 2 2" xfId="29742" xr:uid="{A862EBAD-5A54-4185-94BA-75774F8621F6}"/>
    <cellStyle name="Linked Cell 29 2 3 3 6 3" xfId="29743" xr:uid="{38B192EC-3C7C-4DAA-960F-DE6FE5599C04}"/>
    <cellStyle name="Linked Cell 29 2 3 3 7" xfId="29744" xr:uid="{36F03DDB-B4C1-4848-8662-01B162D3500F}"/>
    <cellStyle name="Linked Cell 29 2 3 3 7 2" xfId="29745" xr:uid="{B387E832-115B-4134-9BA1-C91A54530432}"/>
    <cellStyle name="Linked Cell 29 2 3 3 7 2 2" xfId="29746" xr:uid="{21DF1437-97B5-42F2-AAB6-0D123200395C}"/>
    <cellStyle name="Linked Cell 29 2 3 3 7 3" xfId="29747" xr:uid="{715DDAE3-CDFD-4EC4-8916-E749348A2EAA}"/>
    <cellStyle name="Linked Cell 29 2 3 3 8" xfId="29748" xr:uid="{B1C9851C-EE39-4C43-ADEF-1E77DD87CFF4}"/>
    <cellStyle name="Linked Cell 29 2 3 3 8 2" xfId="29749" xr:uid="{A02DA90B-FD4F-451A-B414-212DC768490C}"/>
    <cellStyle name="Linked Cell 29 2 3 3 8 2 2" xfId="29750" xr:uid="{3C8C7039-D543-48EB-B43B-F58845345854}"/>
    <cellStyle name="Linked Cell 29 2 3 3 8 3" xfId="29751" xr:uid="{E004E1AF-4A65-4407-9563-8F4B2A8D678A}"/>
    <cellStyle name="Linked Cell 29 2 3 3 9" xfId="29752" xr:uid="{49D373FB-31C8-47EF-BA5E-5D663594511C}"/>
    <cellStyle name="Linked Cell 29 2 3 3 9 2" xfId="29753" xr:uid="{BFE254D7-F9E0-4BF9-9540-61E532F1BBDE}"/>
    <cellStyle name="Linked Cell 29 2 3 3 9 2 2" xfId="29754" xr:uid="{971A33AF-9A17-494C-BA70-F994246E2930}"/>
    <cellStyle name="Linked Cell 29 2 3 3 9 3" xfId="29755" xr:uid="{B585A1F8-27CE-4F09-8596-D036E77FC345}"/>
    <cellStyle name="Linked Cell 29 2 3 4" xfId="29756" xr:uid="{34F8FF21-F7B8-407E-9ED2-BF27F2FCBC28}"/>
    <cellStyle name="Linked Cell 29 2 3 4 2" xfId="29757" xr:uid="{C35FE6D5-6C89-4011-9C93-8698073751CD}"/>
    <cellStyle name="Linked Cell 29 2 3 4 2 2" xfId="29758" xr:uid="{7011D1AB-B9DE-4D60-8A27-22AB671DE470}"/>
    <cellStyle name="Linked Cell 29 2 3 4 3" xfId="29759" xr:uid="{32753E35-EA84-4912-A7AF-2A101643B847}"/>
    <cellStyle name="Linked Cell 29 2 3 5" xfId="29760" xr:uid="{07EA3DA9-8C44-4222-9F71-8BBC94819415}"/>
    <cellStyle name="Linked Cell 29 2 3 5 2" xfId="29761" xr:uid="{5AFE552C-B4EF-465E-8F0C-F7B07A66AFDB}"/>
    <cellStyle name="Linked Cell 29 2 3 5 2 2" xfId="29762" xr:uid="{DC9EBAB3-8CC0-45D8-8072-F3762FD33B1E}"/>
    <cellStyle name="Linked Cell 29 2 3 5 3" xfId="29763" xr:uid="{45E40A52-D0E0-49C3-9F24-2B101A494197}"/>
    <cellStyle name="Linked Cell 29 2 3 6" xfId="29764" xr:uid="{E419085C-5971-4746-B99F-A7182372EB4A}"/>
    <cellStyle name="Linked Cell 29 2 3 6 2" xfId="29765" xr:uid="{42C6D8E7-AA4A-4676-B778-0F019B8D142C}"/>
    <cellStyle name="Linked Cell 29 2 3 6 2 2" xfId="29766" xr:uid="{100C055D-FEFE-4AE3-BFD1-742D59C158B7}"/>
    <cellStyle name="Linked Cell 29 2 3 6 3" xfId="29767" xr:uid="{1F6D6464-40DE-46DF-826D-2F0A4B136D29}"/>
    <cellStyle name="Linked Cell 29 2 3 7" xfId="29768" xr:uid="{761FE6B4-AABE-419C-A7CF-CBFB4CF7CC49}"/>
    <cellStyle name="Linked Cell 29 2 3 7 2" xfId="29769" xr:uid="{C2F76123-C553-4A93-8F47-526F228D0B7B}"/>
    <cellStyle name="Linked Cell 29 2 3 7 2 2" xfId="29770" xr:uid="{830888D3-92B6-4BEB-8100-5F99972E3CC6}"/>
    <cellStyle name="Linked Cell 29 2 3 7 3" xfId="29771" xr:uid="{926A9C26-78C8-4BA3-B1DF-6A96004E4333}"/>
    <cellStyle name="Linked Cell 29 2 3 8" xfId="29772" xr:uid="{2299E045-C577-4503-8455-302461791758}"/>
    <cellStyle name="Linked Cell 29 2 3 8 2" xfId="29773" xr:uid="{3BE1A3FB-A18F-413E-9B4E-25E1F6179AB0}"/>
    <cellStyle name="Linked Cell 29 2 3 8 2 2" xfId="29774" xr:uid="{568CC92D-8E3B-4652-879D-EB24E5DBC248}"/>
    <cellStyle name="Linked Cell 29 2 3 8 3" xfId="29775" xr:uid="{32EF9DCC-2BAA-48C6-B0EE-ACF0C0646400}"/>
    <cellStyle name="Linked Cell 29 2 3 9" xfId="29776" xr:uid="{9D55749A-1CDD-4748-8AC7-F1CD442CC801}"/>
    <cellStyle name="Linked Cell 29 2 3 9 2" xfId="29777" xr:uid="{9F96F370-A66B-4BC1-8605-144A0470AE06}"/>
    <cellStyle name="Linked Cell 29 2 3 9 2 2" xfId="29778" xr:uid="{A27397F1-03AA-41E6-B6DD-31714A8D06E3}"/>
    <cellStyle name="Linked Cell 29 2 3 9 3" xfId="29779" xr:uid="{9D0559AA-E780-4361-84B1-E927E8BAEB26}"/>
    <cellStyle name="Linked Cell 29 2 4" xfId="29780" xr:uid="{B3DDBAE1-7575-4EC2-B2FB-2E9CAAABA432}"/>
    <cellStyle name="Linked Cell 29 2 4 10" xfId="29781" xr:uid="{A7B1C66A-8F3A-4CD8-82E8-BD5423BD7301}"/>
    <cellStyle name="Linked Cell 29 2 4 10 2" xfId="29782" xr:uid="{4521020B-8454-45D1-80EE-61B140AC293E}"/>
    <cellStyle name="Linked Cell 29 2 4 10 2 2" xfId="29783" xr:uid="{F42F98B3-A777-47B4-BEA6-6BF86B118F49}"/>
    <cellStyle name="Linked Cell 29 2 4 10 3" xfId="29784" xr:uid="{770E8001-6018-482F-A08F-202B871E1238}"/>
    <cellStyle name="Linked Cell 29 2 4 11" xfId="29785" xr:uid="{5591604A-D308-4FA8-8947-4E7443D8B8FE}"/>
    <cellStyle name="Linked Cell 29 2 4 11 2" xfId="29786" xr:uid="{C0FFBA24-4329-460A-9DFF-DBD5D6635055}"/>
    <cellStyle name="Linked Cell 29 2 4 12" xfId="29787" xr:uid="{4C7B7660-26C8-4EFD-9A0A-3DC6F2C5C374}"/>
    <cellStyle name="Linked Cell 29 2 4 2" xfId="29788" xr:uid="{81CEDBBD-A78C-4B05-8FA0-18C30A631156}"/>
    <cellStyle name="Linked Cell 29 2 4 2 10" xfId="29789" xr:uid="{67D31261-6EE5-4508-935D-61D8DDA71DF8}"/>
    <cellStyle name="Linked Cell 29 2 4 2 10 2" xfId="29790" xr:uid="{A3B1A564-0879-4ECB-8B5F-C6537A99E278}"/>
    <cellStyle name="Linked Cell 29 2 4 2 11" xfId="29791" xr:uid="{2BD78600-6B6E-48FF-8375-A76C598278C7}"/>
    <cellStyle name="Linked Cell 29 2 4 2 2" xfId="29792" xr:uid="{9D29C53C-F4C6-4304-96AE-8D73FE46E904}"/>
    <cellStyle name="Linked Cell 29 2 4 2 2 2" xfId="29793" xr:uid="{C62BF830-6C02-4BCA-83FF-4DEA901C31D5}"/>
    <cellStyle name="Linked Cell 29 2 4 2 2 2 2" xfId="29794" xr:uid="{A4179985-3E62-4B56-8E3F-ABE9A9451546}"/>
    <cellStyle name="Linked Cell 29 2 4 2 2 3" xfId="29795" xr:uid="{549E8BAC-29F2-41F1-9A97-BB0080634FF8}"/>
    <cellStyle name="Linked Cell 29 2 4 2 3" xfId="29796" xr:uid="{CF0A2B90-C5B5-450C-90CB-9301BA89FD59}"/>
    <cellStyle name="Linked Cell 29 2 4 2 3 2" xfId="29797" xr:uid="{C8231820-9533-447D-8BDC-7307F37B469C}"/>
    <cellStyle name="Linked Cell 29 2 4 2 3 2 2" xfId="29798" xr:uid="{6098F84B-D527-4F8F-9721-517259F63FDF}"/>
    <cellStyle name="Linked Cell 29 2 4 2 3 3" xfId="29799" xr:uid="{7DA2E06E-4233-48B0-A638-B22DE4BD70F1}"/>
    <cellStyle name="Linked Cell 29 2 4 2 4" xfId="29800" xr:uid="{C296D85B-4163-4A39-8278-18FD4A6665DA}"/>
    <cellStyle name="Linked Cell 29 2 4 2 4 2" xfId="29801" xr:uid="{B5BAA673-10E4-4939-8980-7D7336B4D63E}"/>
    <cellStyle name="Linked Cell 29 2 4 2 4 2 2" xfId="29802" xr:uid="{2127687F-A78F-4B1E-A072-FFB580784A78}"/>
    <cellStyle name="Linked Cell 29 2 4 2 4 3" xfId="29803" xr:uid="{86B600CE-DC56-46DE-95E0-7FCAE1B82B4F}"/>
    <cellStyle name="Linked Cell 29 2 4 2 5" xfId="29804" xr:uid="{E61FACBD-B167-43A5-B70A-E00F8AC6CEB9}"/>
    <cellStyle name="Linked Cell 29 2 4 2 5 2" xfId="29805" xr:uid="{5A774998-BDC9-421C-91E2-7C87CF9796CF}"/>
    <cellStyle name="Linked Cell 29 2 4 2 5 2 2" xfId="29806" xr:uid="{8E2CEC5B-4C09-4974-85A9-45E222767A24}"/>
    <cellStyle name="Linked Cell 29 2 4 2 5 3" xfId="29807" xr:uid="{3C7C42B4-254C-4217-AC03-D81B27DEE62F}"/>
    <cellStyle name="Linked Cell 29 2 4 2 6" xfId="29808" xr:uid="{93BDBA64-A3EA-46CE-8633-559FED515B61}"/>
    <cellStyle name="Linked Cell 29 2 4 2 6 2" xfId="29809" xr:uid="{3ADE0FCE-4D06-4F0A-B17B-4D79FD8AAD54}"/>
    <cellStyle name="Linked Cell 29 2 4 2 6 2 2" xfId="29810" xr:uid="{26F89375-D14A-4477-811D-1D518C09D428}"/>
    <cellStyle name="Linked Cell 29 2 4 2 6 3" xfId="29811" xr:uid="{E567898F-0EF6-4EEA-BE46-4D939930B2C9}"/>
    <cellStyle name="Linked Cell 29 2 4 2 7" xfId="29812" xr:uid="{C823764B-1678-4EA3-9CF2-5F311CD13A5B}"/>
    <cellStyle name="Linked Cell 29 2 4 2 7 2" xfId="29813" xr:uid="{1F284139-2752-4750-9BE7-1A678344C5F1}"/>
    <cellStyle name="Linked Cell 29 2 4 2 7 2 2" xfId="29814" xr:uid="{CF74A015-ADC3-44BC-9D84-4997D0A44B92}"/>
    <cellStyle name="Linked Cell 29 2 4 2 7 3" xfId="29815" xr:uid="{219FDEB0-D7E9-4776-91F2-659C9A4AD244}"/>
    <cellStyle name="Linked Cell 29 2 4 2 8" xfId="29816" xr:uid="{C605C3A2-906E-4F2A-9575-B4A1721B6FF8}"/>
    <cellStyle name="Linked Cell 29 2 4 2 8 2" xfId="29817" xr:uid="{4D20BE6A-FF70-4F61-99F8-7F6C746D4A84}"/>
    <cellStyle name="Linked Cell 29 2 4 2 8 2 2" xfId="29818" xr:uid="{8E45C8E3-094E-40C2-8AB2-EC83D2C9093F}"/>
    <cellStyle name="Linked Cell 29 2 4 2 8 3" xfId="29819" xr:uid="{49A88AEB-59F8-490E-A8AD-6B43C5B0EEB3}"/>
    <cellStyle name="Linked Cell 29 2 4 2 9" xfId="29820" xr:uid="{626C7679-F5ED-4D7D-93DC-A9F0DC28CFD1}"/>
    <cellStyle name="Linked Cell 29 2 4 2 9 2" xfId="29821" xr:uid="{C139FD0B-CF77-4D67-984C-274925FE77A8}"/>
    <cellStyle name="Linked Cell 29 2 4 2 9 2 2" xfId="29822" xr:uid="{0F684B70-1BBC-4603-86CB-B29A15751941}"/>
    <cellStyle name="Linked Cell 29 2 4 2 9 3" xfId="29823" xr:uid="{C44E7885-4A9A-40EE-A931-08B6F5BCABDD}"/>
    <cellStyle name="Linked Cell 29 2 4 3" xfId="29824" xr:uid="{6B29BB6A-C27D-4F67-999F-422394C4441F}"/>
    <cellStyle name="Linked Cell 29 2 4 3 2" xfId="29825" xr:uid="{F2253049-35CE-4EA0-9552-F5F07FD59D48}"/>
    <cellStyle name="Linked Cell 29 2 4 3 2 2" xfId="29826" xr:uid="{37C63365-CDFD-4B55-9A89-FD398DAEA44E}"/>
    <cellStyle name="Linked Cell 29 2 4 3 3" xfId="29827" xr:uid="{C3737481-93E3-46AE-9CFA-B7458DC02FE5}"/>
    <cellStyle name="Linked Cell 29 2 4 4" xfId="29828" xr:uid="{BC7CFA4C-CD92-4DBC-A7AF-7BB686950610}"/>
    <cellStyle name="Linked Cell 29 2 4 4 2" xfId="29829" xr:uid="{AA27B093-4758-4A8C-B790-F5430A51DC16}"/>
    <cellStyle name="Linked Cell 29 2 4 4 2 2" xfId="29830" xr:uid="{569AEDF2-F147-43A0-BFA9-83AB073F0291}"/>
    <cellStyle name="Linked Cell 29 2 4 4 3" xfId="29831" xr:uid="{1F42D112-EDB9-41CE-AE2D-78690C227835}"/>
    <cellStyle name="Linked Cell 29 2 4 5" xfId="29832" xr:uid="{75B2B732-47E0-415F-9660-A4A8F9832BE6}"/>
    <cellStyle name="Linked Cell 29 2 4 5 2" xfId="29833" xr:uid="{B5BB561E-F597-4C7C-84F6-5D2D77FFA110}"/>
    <cellStyle name="Linked Cell 29 2 4 5 2 2" xfId="29834" xr:uid="{8DF98211-EF0B-4726-BBB0-9295FA4027A2}"/>
    <cellStyle name="Linked Cell 29 2 4 5 3" xfId="29835" xr:uid="{78AB54F7-E2CB-4C62-B7CD-1C3D7F618F0B}"/>
    <cellStyle name="Linked Cell 29 2 4 6" xfId="29836" xr:uid="{25A2E123-ED11-4C09-A882-D25871FCA83B}"/>
    <cellStyle name="Linked Cell 29 2 4 6 2" xfId="29837" xr:uid="{F278CFC5-F2FD-4726-B42B-3C1BC39DD1B9}"/>
    <cellStyle name="Linked Cell 29 2 4 6 2 2" xfId="29838" xr:uid="{FB5533B0-C881-4BCF-8C6A-325CAEFCECA1}"/>
    <cellStyle name="Linked Cell 29 2 4 6 3" xfId="29839" xr:uid="{8E734082-4B36-4AC4-A216-4564D6761BAD}"/>
    <cellStyle name="Linked Cell 29 2 4 7" xfId="29840" xr:uid="{2519E05A-934E-4CBF-B9B3-A5D474FC418F}"/>
    <cellStyle name="Linked Cell 29 2 4 7 2" xfId="29841" xr:uid="{88031859-7118-4746-A193-09CDD9529A4B}"/>
    <cellStyle name="Linked Cell 29 2 4 7 2 2" xfId="29842" xr:uid="{03C5282E-9415-4A4D-B49B-C0107A8E7460}"/>
    <cellStyle name="Linked Cell 29 2 4 7 3" xfId="29843" xr:uid="{FE9D7C87-AE21-4D16-84AC-4A683628FF81}"/>
    <cellStyle name="Linked Cell 29 2 4 8" xfId="29844" xr:uid="{70E1AE57-038E-464D-A8A3-FB987DF35AC1}"/>
    <cellStyle name="Linked Cell 29 2 4 8 2" xfId="29845" xr:uid="{4385E788-58D8-4A4F-9109-14818B6F9CEE}"/>
    <cellStyle name="Linked Cell 29 2 4 8 2 2" xfId="29846" xr:uid="{DA0B5CA6-DAD7-4363-8DB7-B559CEDEBA4E}"/>
    <cellStyle name="Linked Cell 29 2 4 8 3" xfId="29847" xr:uid="{FE92D298-8B7F-43BE-A6E8-FB0CC43232B0}"/>
    <cellStyle name="Linked Cell 29 2 4 9" xfId="29848" xr:uid="{51866F5D-976F-4DF6-9892-36413680B2AF}"/>
    <cellStyle name="Linked Cell 29 2 4 9 2" xfId="29849" xr:uid="{8D79E7F8-1BEE-4EA0-9C13-0C9BEBB1B8B6}"/>
    <cellStyle name="Linked Cell 29 2 4 9 2 2" xfId="29850" xr:uid="{CC6B7BFE-7F48-49EF-A575-3EADC54726B8}"/>
    <cellStyle name="Linked Cell 29 2 4 9 3" xfId="29851" xr:uid="{0BA9D1B0-44B8-44C0-8C9C-AFD2A2924CB5}"/>
    <cellStyle name="Linked Cell 29 2 5" xfId="29852" xr:uid="{2DD73152-8697-4E4D-B586-4774E00A2ABF}"/>
    <cellStyle name="Linked Cell 29 2 5 10" xfId="29853" xr:uid="{7EFF2E55-C493-48DD-8381-82A38CBE35B0}"/>
    <cellStyle name="Linked Cell 29 2 5 10 2" xfId="29854" xr:uid="{CA7F31E7-BE5E-43C3-8A81-2C42D5AF7C88}"/>
    <cellStyle name="Linked Cell 29 2 5 11" xfId="29855" xr:uid="{305F335F-7341-4D32-8DDC-1844C9C02E8F}"/>
    <cellStyle name="Linked Cell 29 2 5 2" xfId="29856" xr:uid="{B7DDF8D4-10ED-4964-A018-EA603765A1A1}"/>
    <cellStyle name="Linked Cell 29 2 5 2 2" xfId="29857" xr:uid="{B0BFDD75-512C-4478-B951-AD84302D6AFB}"/>
    <cellStyle name="Linked Cell 29 2 5 2 2 2" xfId="29858" xr:uid="{355FBB62-B4C6-4C6F-8E23-1A5F83D1B2E8}"/>
    <cellStyle name="Linked Cell 29 2 5 2 3" xfId="29859" xr:uid="{38C1DC2F-029B-436A-BBDD-64CD8512F419}"/>
    <cellStyle name="Linked Cell 29 2 5 3" xfId="29860" xr:uid="{D17D1326-681F-4E46-8504-1E7C4F571240}"/>
    <cellStyle name="Linked Cell 29 2 5 3 2" xfId="29861" xr:uid="{FB05C4CC-847F-4617-AD80-D8DA098BD0C0}"/>
    <cellStyle name="Linked Cell 29 2 5 3 2 2" xfId="29862" xr:uid="{5BF0AB0C-8628-4179-B901-52AC737E0761}"/>
    <cellStyle name="Linked Cell 29 2 5 3 3" xfId="29863" xr:uid="{7A8BDD7D-45C8-4DF9-953D-888D0164ED42}"/>
    <cellStyle name="Linked Cell 29 2 5 4" xfId="29864" xr:uid="{D1DC8776-CFC1-4284-A063-02C82B1840E1}"/>
    <cellStyle name="Linked Cell 29 2 5 4 2" xfId="29865" xr:uid="{14837C4B-52F9-4FE9-9FE2-FA8AD3E4105E}"/>
    <cellStyle name="Linked Cell 29 2 5 4 2 2" xfId="29866" xr:uid="{3DB49471-73AE-48E8-9500-454C088EDFAB}"/>
    <cellStyle name="Linked Cell 29 2 5 4 3" xfId="29867" xr:uid="{963D6CCC-7DC3-484F-A75E-161F353B23FC}"/>
    <cellStyle name="Linked Cell 29 2 5 5" xfId="29868" xr:uid="{C6BAF577-F157-4B74-91B7-E028381A20DF}"/>
    <cellStyle name="Linked Cell 29 2 5 5 2" xfId="29869" xr:uid="{F352E81C-4547-4B3D-95AE-7809ECBEE39A}"/>
    <cellStyle name="Linked Cell 29 2 5 5 2 2" xfId="29870" xr:uid="{9BF54E86-BF71-48EE-8367-C9D58BE75E4A}"/>
    <cellStyle name="Linked Cell 29 2 5 5 3" xfId="29871" xr:uid="{4BE47F49-6E02-4DF5-A062-6477F762E533}"/>
    <cellStyle name="Linked Cell 29 2 5 6" xfId="29872" xr:uid="{89288458-584F-47C2-B243-60C503C7E286}"/>
    <cellStyle name="Linked Cell 29 2 5 6 2" xfId="29873" xr:uid="{761D0CD0-A4EC-4875-A68F-6400DA36678B}"/>
    <cellStyle name="Linked Cell 29 2 5 6 2 2" xfId="29874" xr:uid="{8425C162-7D6B-443A-91BA-9A3D8BF26C41}"/>
    <cellStyle name="Linked Cell 29 2 5 6 3" xfId="29875" xr:uid="{20FAE235-E441-4C5D-B594-0CEA837EEA7D}"/>
    <cellStyle name="Linked Cell 29 2 5 7" xfId="29876" xr:uid="{83FC48C6-5C56-43F4-986C-AB0402D56FDD}"/>
    <cellStyle name="Linked Cell 29 2 5 7 2" xfId="29877" xr:uid="{A7FF13FC-3E51-47D5-A26F-AB02F12408D3}"/>
    <cellStyle name="Linked Cell 29 2 5 7 2 2" xfId="29878" xr:uid="{B8C099B5-116B-41A6-8F03-F82F1B868CA9}"/>
    <cellStyle name="Linked Cell 29 2 5 7 3" xfId="29879" xr:uid="{F52E4575-9837-4FC8-9BA9-09346865DACB}"/>
    <cellStyle name="Linked Cell 29 2 5 8" xfId="29880" xr:uid="{8B28160D-B8A3-45EA-9732-4FA186ADAA42}"/>
    <cellStyle name="Linked Cell 29 2 5 8 2" xfId="29881" xr:uid="{7E4DE572-4185-4FF8-875A-A0B29ED4EBDD}"/>
    <cellStyle name="Linked Cell 29 2 5 8 2 2" xfId="29882" xr:uid="{452F44C6-8249-4DD6-8234-E1B9E70E9A3C}"/>
    <cellStyle name="Linked Cell 29 2 5 8 3" xfId="29883" xr:uid="{3F5634C5-60C4-4641-BDBA-7BF16D535C1A}"/>
    <cellStyle name="Linked Cell 29 2 5 9" xfId="29884" xr:uid="{D58A6B28-5996-4ADF-B6A8-2F71BFCD27FC}"/>
    <cellStyle name="Linked Cell 29 2 5 9 2" xfId="29885" xr:uid="{18EE9874-CB57-4637-9478-01B620DF0BC5}"/>
    <cellStyle name="Linked Cell 29 2 5 9 2 2" xfId="29886" xr:uid="{1AAD5C2A-B573-4605-A299-7020E32A4632}"/>
    <cellStyle name="Linked Cell 29 2 5 9 3" xfId="29887" xr:uid="{68CEB4DF-BDD2-4321-BCA2-AA695E24C8CF}"/>
    <cellStyle name="Linked Cell 29 2 6" xfId="29888" xr:uid="{1EA1B458-4813-4FA7-92A5-673799EC7109}"/>
    <cellStyle name="Linked Cell 29 2 6 2" xfId="29889" xr:uid="{31F93B20-3D23-46FE-8317-90E88F5F2546}"/>
    <cellStyle name="Linked Cell 29 2 6 2 2" xfId="29890" xr:uid="{C12BD1EB-99A9-4B67-8911-824A846AA943}"/>
    <cellStyle name="Linked Cell 29 2 6 3" xfId="29891" xr:uid="{FB4F0C09-5618-4EE8-968D-B7D6B298EC87}"/>
    <cellStyle name="Linked Cell 29 2 7" xfId="29892" xr:uid="{E274BBBF-725D-4140-82D6-BC6D64E884E9}"/>
    <cellStyle name="Linked Cell 29 2 7 2" xfId="29893" xr:uid="{F73C6997-BE70-40D3-83D4-B9671BA6631E}"/>
    <cellStyle name="Linked Cell 29 2 7 2 2" xfId="29894" xr:uid="{8F913C75-9941-4114-8081-4608A5B700D5}"/>
    <cellStyle name="Linked Cell 29 2 7 3" xfId="29895" xr:uid="{D2AC6186-5949-43E5-B316-4047B9410D11}"/>
    <cellStyle name="Linked Cell 29 2 8" xfId="29896" xr:uid="{06E43515-3A1B-443A-8A01-94C00F95BA5D}"/>
    <cellStyle name="Linked Cell 29 2 8 2" xfId="29897" xr:uid="{D77CEB74-37F0-4182-ADE0-306C3254C9BC}"/>
    <cellStyle name="Linked Cell 29 2 8 2 2" xfId="29898" xr:uid="{555D1FD6-3C51-467A-B7F2-1E94062234B8}"/>
    <cellStyle name="Linked Cell 29 2 8 3" xfId="29899" xr:uid="{A8E3892F-E962-456E-AE63-FD1E6A13D1C5}"/>
    <cellStyle name="Linked Cell 29 2 9" xfId="29900" xr:uid="{B69FED62-2105-4DF5-ADD5-6744E0D40EA7}"/>
    <cellStyle name="Linked Cell 29 2 9 2" xfId="29901" xr:uid="{BA17313B-CA15-4970-B2DE-F2157E1A50BE}"/>
    <cellStyle name="Linked Cell 29 2 9 2 2" xfId="29902" xr:uid="{06F3A3DC-1E5B-4381-A978-E41AC5450B5B}"/>
    <cellStyle name="Linked Cell 29 2 9 3" xfId="29903" xr:uid="{9FE906E0-7D49-4C71-ADAC-6E4750F7E996}"/>
    <cellStyle name="Linked Cell 29 3" xfId="29904" xr:uid="{F70F3F38-BC53-4EE5-95F8-EEC82EAC783C}"/>
    <cellStyle name="Linked Cell 29 3 10" xfId="29905" xr:uid="{4597D097-40AA-4E43-B75C-9C76FCB1845B}"/>
    <cellStyle name="Linked Cell 29 3 10 2" xfId="29906" xr:uid="{029A6203-D6B8-496C-A431-9C8F86484FE3}"/>
    <cellStyle name="Linked Cell 29 3 10 2 2" xfId="29907" xr:uid="{C70C4D41-E6AE-410E-B4E6-B2C206CB9EF0}"/>
    <cellStyle name="Linked Cell 29 3 10 3" xfId="29908" xr:uid="{D1422E92-D722-47DE-B745-1DCB8F61F3FF}"/>
    <cellStyle name="Linked Cell 29 3 11" xfId="29909" xr:uid="{DDEA898A-13B6-48A5-BE6B-CB525D2007D9}"/>
    <cellStyle name="Linked Cell 29 3 11 2" xfId="29910" xr:uid="{366930FA-2738-4358-9C41-F32A0B9C6DA9}"/>
    <cellStyle name="Linked Cell 29 3 11 2 2" xfId="29911" xr:uid="{43EAA398-1534-4849-BB51-B6978BB36835}"/>
    <cellStyle name="Linked Cell 29 3 11 3" xfId="29912" xr:uid="{699B04E5-F27C-4A77-9146-7321EC30D6F6}"/>
    <cellStyle name="Linked Cell 29 3 12" xfId="29913" xr:uid="{AC2769E5-DAB3-4C4E-AB36-0C1515E6933C}"/>
    <cellStyle name="Linked Cell 29 3 12 2" xfId="29914" xr:uid="{CFF37D0C-984E-453D-9145-2DC24C54F034}"/>
    <cellStyle name="Linked Cell 29 3 12 2 2" xfId="29915" xr:uid="{3BD36D49-9B11-4E4E-B640-F4AF8B696714}"/>
    <cellStyle name="Linked Cell 29 3 12 3" xfId="29916" xr:uid="{673330FD-C72F-4B9E-9611-8DABE32A0418}"/>
    <cellStyle name="Linked Cell 29 3 13" xfId="29917" xr:uid="{A61FD291-1EFF-4DAB-91C6-2375FB554D78}"/>
    <cellStyle name="Linked Cell 29 3 13 2" xfId="29918" xr:uid="{F95D1BED-BF56-4286-BC28-21C930469B4D}"/>
    <cellStyle name="Linked Cell 29 3 14" xfId="29919" xr:uid="{752A64EC-4A4C-4033-AB1A-16C0618ACC6C}"/>
    <cellStyle name="Linked Cell 29 3 2" xfId="29920" xr:uid="{375E4D56-265F-491D-8F81-987B4FE6FE61}"/>
    <cellStyle name="Linked Cell 29 3 2 10" xfId="29921" xr:uid="{B942CD9E-7C01-4FC2-AEBD-3FD90DE5A58E}"/>
    <cellStyle name="Linked Cell 29 3 2 10 2" xfId="29922" xr:uid="{A52DDCB7-9733-4EA2-AA58-522D093375F1}"/>
    <cellStyle name="Linked Cell 29 3 2 10 2 2" xfId="29923" xr:uid="{EFCD33A4-3E4D-4AB6-8B2D-22D9B5E5A718}"/>
    <cellStyle name="Linked Cell 29 3 2 10 3" xfId="29924" xr:uid="{3AA254B0-723B-4C69-A97E-9407033BA2F1}"/>
    <cellStyle name="Linked Cell 29 3 2 11" xfId="29925" xr:uid="{2F04344C-515F-449D-AEB2-DB41FA39250B}"/>
    <cellStyle name="Linked Cell 29 3 2 11 2" xfId="29926" xr:uid="{6E74E22C-C2B7-46C3-A77C-2A5DC14901A2}"/>
    <cellStyle name="Linked Cell 29 3 2 11 2 2" xfId="29927" xr:uid="{323CA6A8-E0C3-4513-BB0B-0A00602BA971}"/>
    <cellStyle name="Linked Cell 29 3 2 11 3" xfId="29928" xr:uid="{C08724C5-E396-4BCA-A06A-CE106C890669}"/>
    <cellStyle name="Linked Cell 29 3 2 12" xfId="29929" xr:uid="{33C9AFBF-6939-4707-9E66-9AC9FC1D96AA}"/>
    <cellStyle name="Linked Cell 29 3 2 12 2" xfId="29930" xr:uid="{66E637BA-A497-4E7B-B29C-DAB07A618A72}"/>
    <cellStyle name="Linked Cell 29 3 2 13" xfId="29931" xr:uid="{CF6C5BD8-77F7-4C1F-86EB-EB53A17A205A}"/>
    <cellStyle name="Linked Cell 29 3 2 2" xfId="29932" xr:uid="{484F428B-A18D-4A88-86D0-CCCBF5490A10}"/>
    <cellStyle name="Linked Cell 29 3 2 2 10" xfId="29933" xr:uid="{17EAA984-51C5-403D-9E9C-66D5DD757FD7}"/>
    <cellStyle name="Linked Cell 29 3 2 2 10 2" xfId="29934" xr:uid="{67CE5708-E199-4B58-B1D8-6E5241473FCF}"/>
    <cellStyle name="Linked Cell 29 3 2 2 10 2 2" xfId="29935" xr:uid="{DCBAFBEC-B8AF-4756-8F31-0076138A6F90}"/>
    <cellStyle name="Linked Cell 29 3 2 2 10 3" xfId="29936" xr:uid="{17D3FFEE-8AE1-45BA-9A26-3CC3085AE620}"/>
    <cellStyle name="Linked Cell 29 3 2 2 11" xfId="29937" xr:uid="{C5EBF846-980C-4893-8D68-197234C91272}"/>
    <cellStyle name="Linked Cell 29 3 2 2 11 2" xfId="29938" xr:uid="{D7EE02C6-F2BE-48B1-ADDF-576D8B49E3BF}"/>
    <cellStyle name="Linked Cell 29 3 2 2 12" xfId="29939" xr:uid="{7EA1B1E4-5B52-40B9-92B4-D642B9DAA4B2}"/>
    <cellStyle name="Linked Cell 29 3 2 2 2" xfId="29940" xr:uid="{808D53AC-BEC1-4264-A0F3-B7CBA7AA2125}"/>
    <cellStyle name="Linked Cell 29 3 2 2 2 2" xfId="29941" xr:uid="{327A326C-CF17-4679-817E-A8B17D4F2E49}"/>
    <cellStyle name="Linked Cell 29 3 2 2 2 2 2" xfId="29942" xr:uid="{8A555B45-CD11-4AC6-93C0-3DC2B1C660F2}"/>
    <cellStyle name="Linked Cell 29 3 2 2 2 3" xfId="29943" xr:uid="{B689F2A6-7480-4FCF-ADC2-3C92FBBD9C20}"/>
    <cellStyle name="Linked Cell 29 3 2 2 3" xfId="29944" xr:uid="{835B8955-3A96-4C59-B758-642A48651208}"/>
    <cellStyle name="Linked Cell 29 3 2 2 3 2" xfId="29945" xr:uid="{FE3D9146-FE76-47DA-95CB-0B878AFC2C3F}"/>
    <cellStyle name="Linked Cell 29 3 2 2 3 2 2" xfId="29946" xr:uid="{191111B7-7008-47EA-8159-0D6B7633EAEE}"/>
    <cellStyle name="Linked Cell 29 3 2 2 3 3" xfId="29947" xr:uid="{9DE61913-3E18-4F5A-AA54-CC0BBDE8A855}"/>
    <cellStyle name="Linked Cell 29 3 2 2 4" xfId="29948" xr:uid="{73BA3F1C-2185-4B83-B736-12C7F61AC001}"/>
    <cellStyle name="Linked Cell 29 3 2 2 4 2" xfId="29949" xr:uid="{8D5B5193-9384-4EFD-B842-42C76B92F318}"/>
    <cellStyle name="Linked Cell 29 3 2 2 4 2 2" xfId="29950" xr:uid="{0F77617C-6C1A-4300-B35F-66FB7EFBC058}"/>
    <cellStyle name="Linked Cell 29 3 2 2 4 3" xfId="29951" xr:uid="{F5F432EE-4172-43DD-AA8D-0FA2B46ADAB6}"/>
    <cellStyle name="Linked Cell 29 3 2 2 5" xfId="29952" xr:uid="{5CF27DF1-0B2B-4A0C-9C75-2F45F4564FE7}"/>
    <cellStyle name="Linked Cell 29 3 2 2 5 2" xfId="29953" xr:uid="{C794E46D-78EF-4EEC-9AE2-61209F566D73}"/>
    <cellStyle name="Linked Cell 29 3 2 2 5 2 2" xfId="29954" xr:uid="{7364E568-8A74-4E06-9215-DF8D4AB54898}"/>
    <cellStyle name="Linked Cell 29 3 2 2 5 3" xfId="29955" xr:uid="{6EE590AF-B8A4-469D-ABC3-1F4411E4BC91}"/>
    <cellStyle name="Linked Cell 29 3 2 2 6" xfId="29956" xr:uid="{62B83DA1-8477-4CF3-94F5-476025C9B59D}"/>
    <cellStyle name="Linked Cell 29 3 2 2 6 2" xfId="29957" xr:uid="{F0211E5A-0B3B-4C77-A9CD-B35F7AEC24F1}"/>
    <cellStyle name="Linked Cell 29 3 2 2 6 2 2" xfId="29958" xr:uid="{2718E2B8-A249-4298-8FCA-ED0C0043FBF6}"/>
    <cellStyle name="Linked Cell 29 3 2 2 6 3" xfId="29959" xr:uid="{74E4FD8D-CB4B-4361-8F9B-F09EE3D327F8}"/>
    <cellStyle name="Linked Cell 29 3 2 2 7" xfId="29960" xr:uid="{4CD13D30-D252-4B4F-B550-0CBF5EA5C01F}"/>
    <cellStyle name="Linked Cell 29 3 2 2 7 2" xfId="29961" xr:uid="{DBEBE0A8-D9C0-4051-8311-11412EA01213}"/>
    <cellStyle name="Linked Cell 29 3 2 2 7 2 2" xfId="29962" xr:uid="{45656F53-06C6-4136-B6D0-94D84E0D24D5}"/>
    <cellStyle name="Linked Cell 29 3 2 2 7 3" xfId="29963" xr:uid="{8C36087F-07DD-41BC-A36D-D3AC7A8686D5}"/>
    <cellStyle name="Linked Cell 29 3 2 2 8" xfId="29964" xr:uid="{C01D5E0C-C277-4DB9-B082-E192AB0375B1}"/>
    <cellStyle name="Linked Cell 29 3 2 2 8 2" xfId="29965" xr:uid="{9D811055-1AB6-49A3-8291-B32132D59F72}"/>
    <cellStyle name="Linked Cell 29 3 2 2 8 2 2" xfId="29966" xr:uid="{6676055F-887A-4A69-BDBC-6BD8ACF4AF11}"/>
    <cellStyle name="Linked Cell 29 3 2 2 8 3" xfId="29967" xr:uid="{FF9D31E3-07E9-4420-B5A7-49D8D3E87041}"/>
    <cellStyle name="Linked Cell 29 3 2 2 9" xfId="29968" xr:uid="{CCE568EF-89D4-4ECB-ADB2-7F1053FABFA4}"/>
    <cellStyle name="Linked Cell 29 3 2 2 9 2" xfId="29969" xr:uid="{80D40FBC-8BEB-405C-A13A-FE62F80F7EF3}"/>
    <cellStyle name="Linked Cell 29 3 2 2 9 2 2" xfId="29970" xr:uid="{4647EB9A-FA47-4885-A473-2DACE5F115B4}"/>
    <cellStyle name="Linked Cell 29 3 2 2 9 3" xfId="29971" xr:uid="{846F4AC2-B06B-4600-9B81-0074AE3A81E6}"/>
    <cellStyle name="Linked Cell 29 3 2 3" xfId="29972" xr:uid="{23D25423-0E6B-4894-962A-2834A167F3E5}"/>
    <cellStyle name="Linked Cell 29 3 2 3 10" xfId="29973" xr:uid="{B23BEAC2-BAF0-4AA8-AC39-FCBA5EC37692}"/>
    <cellStyle name="Linked Cell 29 3 2 3 10 2" xfId="29974" xr:uid="{7716C113-F39A-48A2-A41C-4BF404138237}"/>
    <cellStyle name="Linked Cell 29 3 2 3 11" xfId="29975" xr:uid="{55346F83-A3F7-41AF-9B0D-959D0058CE82}"/>
    <cellStyle name="Linked Cell 29 3 2 3 2" xfId="29976" xr:uid="{2BDD8369-7B58-4A67-B55D-7BAAB30F14A4}"/>
    <cellStyle name="Linked Cell 29 3 2 3 2 2" xfId="29977" xr:uid="{4F9E98CC-5A03-40B7-9F9D-45DB5085F51B}"/>
    <cellStyle name="Linked Cell 29 3 2 3 2 2 2" xfId="29978" xr:uid="{731D852E-DDB9-4788-A06F-BAF07224E352}"/>
    <cellStyle name="Linked Cell 29 3 2 3 2 3" xfId="29979" xr:uid="{D83953D2-E308-4690-B739-C96D0E06CDEB}"/>
    <cellStyle name="Linked Cell 29 3 2 3 3" xfId="29980" xr:uid="{F3240304-98AF-4FE3-9A02-A4F25BD67F5A}"/>
    <cellStyle name="Linked Cell 29 3 2 3 3 2" xfId="29981" xr:uid="{A9B0EB62-11F0-45B2-9F7C-950C6760D092}"/>
    <cellStyle name="Linked Cell 29 3 2 3 3 2 2" xfId="29982" xr:uid="{D070048E-59CC-4399-84EA-C13E362F0CDE}"/>
    <cellStyle name="Linked Cell 29 3 2 3 3 3" xfId="29983" xr:uid="{74091ACA-2CF0-4167-9A90-FAC4BBFF6898}"/>
    <cellStyle name="Linked Cell 29 3 2 3 4" xfId="29984" xr:uid="{AC3F2A24-B2BC-4C10-801E-C6814FA5328F}"/>
    <cellStyle name="Linked Cell 29 3 2 3 4 2" xfId="29985" xr:uid="{5C89CD80-BC6A-40B0-8BCF-0B09C7BA76FF}"/>
    <cellStyle name="Linked Cell 29 3 2 3 4 2 2" xfId="29986" xr:uid="{6F6BF40B-21AC-4266-B2AF-331645EC853A}"/>
    <cellStyle name="Linked Cell 29 3 2 3 4 3" xfId="29987" xr:uid="{32DCDE75-4937-4736-9920-D3802722DAE2}"/>
    <cellStyle name="Linked Cell 29 3 2 3 5" xfId="29988" xr:uid="{5680E330-D533-4688-9E6F-B79574FE2BBA}"/>
    <cellStyle name="Linked Cell 29 3 2 3 5 2" xfId="29989" xr:uid="{2B706807-AF89-44FB-B54C-8D5C8F5615B6}"/>
    <cellStyle name="Linked Cell 29 3 2 3 5 2 2" xfId="29990" xr:uid="{9B8044A0-5CA8-45D9-84BA-29A10BACD5ED}"/>
    <cellStyle name="Linked Cell 29 3 2 3 5 3" xfId="29991" xr:uid="{AEE23F9B-A6BD-4C2D-94C1-C194558B69C6}"/>
    <cellStyle name="Linked Cell 29 3 2 3 6" xfId="29992" xr:uid="{6FDDA096-B012-41E0-A2CE-4582E5D95D65}"/>
    <cellStyle name="Linked Cell 29 3 2 3 6 2" xfId="29993" xr:uid="{B38BF142-63FB-4223-9A15-3E75488823BB}"/>
    <cellStyle name="Linked Cell 29 3 2 3 6 2 2" xfId="29994" xr:uid="{4E7D3E47-E77A-40D2-9D29-3B3C5156C59A}"/>
    <cellStyle name="Linked Cell 29 3 2 3 6 3" xfId="29995" xr:uid="{77324246-5B6C-4548-8544-2ABC9631E451}"/>
    <cellStyle name="Linked Cell 29 3 2 3 7" xfId="29996" xr:uid="{2D521F35-2B53-47B1-8D81-083A6D8E3A79}"/>
    <cellStyle name="Linked Cell 29 3 2 3 7 2" xfId="29997" xr:uid="{8AC60CB3-A9CD-401D-9AEF-C68A50F1A0CC}"/>
    <cellStyle name="Linked Cell 29 3 2 3 7 2 2" xfId="29998" xr:uid="{65EECF7D-3C19-431B-93DB-D79A12F922B0}"/>
    <cellStyle name="Linked Cell 29 3 2 3 7 3" xfId="29999" xr:uid="{6F58CB49-7348-40BA-BB37-231FB4691307}"/>
    <cellStyle name="Linked Cell 29 3 2 3 8" xfId="30000" xr:uid="{94132965-8712-4DF6-8F0B-5C8605219100}"/>
    <cellStyle name="Linked Cell 29 3 2 3 8 2" xfId="30001" xr:uid="{F1BBDCD4-3A48-4487-AD1B-75F3ABCB1890}"/>
    <cellStyle name="Linked Cell 29 3 2 3 8 2 2" xfId="30002" xr:uid="{F101F7C5-8F25-43E6-98FB-FA453C11D610}"/>
    <cellStyle name="Linked Cell 29 3 2 3 8 3" xfId="30003" xr:uid="{B764A7BA-218F-43A7-8624-AF304420D724}"/>
    <cellStyle name="Linked Cell 29 3 2 3 9" xfId="30004" xr:uid="{2752FAB4-3812-481E-BD01-2D86DE758C96}"/>
    <cellStyle name="Linked Cell 29 3 2 3 9 2" xfId="30005" xr:uid="{6719A7FC-7B7C-4A7C-A273-558C01507F87}"/>
    <cellStyle name="Linked Cell 29 3 2 3 9 2 2" xfId="30006" xr:uid="{C550757B-63EF-4120-A87B-8C701D84DCA5}"/>
    <cellStyle name="Linked Cell 29 3 2 3 9 3" xfId="30007" xr:uid="{37479041-2258-495C-AF4D-0EA02F9A8CD8}"/>
    <cellStyle name="Linked Cell 29 3 2 4" xfId="30008" xr:uid="{192F633E-8634-4718-B4C3-C10C5573BD95}"/>
    <cellStyle name="Linked Cell 29 3 2 4 2" xfId="30009" xr:uid="{0CC682DE-9341-454D-AFB0-DD650F788491}"/>
    <cellStyle name="Linked Cell 29 3 2 4 2 2" xfId="30010" xr:uid="{708ADBC3-BE78-41A0-8B59-9CD8A12CA038}"/>
    <cellStyle name="Linked Cell 29 3 2 4 3" xfId="30011" xr:uid="{5C713E69-5AC4-4510-BA80-BFA35B8413C6}"/>
    <cellStyle name="Linked Cell 29 3 2 5" xfId="30012" xr:uid="{234BF6E1-1169-4137-A457-86EE63143B4A}"/>
    <cellStyle name="Linked Cell 29 3 2 5 2" xfId="30013" xr:uid="{A28EB247-815B-4D42-BC89-456E4B1CD086}"/>
    <cellStyle name="Linked Cell 29 3 2 5 2 2" xfId="30014" xr:uid="{EBFD9A10-852D-4580-A5A8-98C8132514DF}"/>
    <cellStyle name="Linked Cell 29 3 2 5 3" xfId="30015" xr:uid="{1F409205-8420-4583-8276-429E7CE20972}"/>
    <cellStyle name="Linked Cell 29 3 2 6" xfId="30016" xr:uid="{ED08E2FB-4A89-48F4-AFCA-A914CAE27AA8}"/>
    <cellStyle name="Linked Cell 29 3 2 6 2" xfId="30017" xr:uid="{75ED37B6-8EAC-4660-850F-A08F5817CF25}"/>
    <cellStyle name="Linked Cell 29 3 2 6 2 2" xfId="30018" xr:uid="{82B5AF88-88DC-4E06-85C7-7E9CC4563942}"/>
    <cellStyle name="Linked Cell 29 3 2 6 3" xfId="30019" xr:uid="{72624DBC-46B6-47A2-B5A0-F86A63E80F3C}"/>
    <cellStyle name="Linked Cell 29 3 2 7" xfId="30020" xr:uid="{E366E997-26B1-4BC5-9D52-876A0993DD93}"/>
    <cellStyle name="Linked Cell 29 3 2 7 2" xfId="30021" xr:uid="{1C2B5A10-BEC5-4A28-A30D-AAA697CB42F2}"/>
    <cellStyle name="Linked Cell 29 3 2 7 2 2" xfId="30022" xr:uid="{4626C990-5D8A-49DC-8134-386C7A3CA2B4}"/>
    <cellStyle name="Linked Cell 29 3 2 7 3" xfId="30023" xr:uid="{1103061D-E982-4251-97A0-2AD08D94DAF6}"/>
    <cellStyle name="Linked Cell 29 3 2 8" xfId="30024" xr:uid="{06A45A46-2EB6-48CF-94AB-821D7402277D}"/>
    <cellStyle name="Linked Cell 29 3 2 8 2" xfId="30025" xr:uid="{F422CA3D-E9F3-4636-92E4-B9474B267FC5}"/>
    <cellStyle name="Linked Cell 29 3 2 8 2 2" xfId="30026" xr:uid="{74FB54E9-8C17-4253-8065-1F3B084A9F7C}"/>
    <cellStyle name="Linked Cell 29 3 2 8 3" xfId="30027" xr:uid="{C5E04374-4CF0-4EBC-8D70-BC341AA8B1DA}"/>
    <cellStyle name="Linked Cell 29 3 2 9" xfId="30028" xr:uid="{FB876941-5B75-4F5A-AF36-13547CB7514D}"/>
    <cellStyle name="Linked Cell 29 3 2 9 2" xfId="30029" xr:uid="{0460AFDF-A163-4419-B7CB-53750C9E83A4}"/>
    <cellStyle name="Linked Cell 29 3 2 9 2 2" xfId="30030" xr:uid="{DF08D744-2346-454E-BBC4-05301231C869}"/>
    <cellStyle name="Linked Cell 29 3 2 9 3" xfId="30031" xr:uid="{8E11F26B-FD0B-4263-97B2-8927F7A633EB}"/>
    <cellStyle name="Linked Cell 29 3 3" xfId="30032" xr:uid="{CE83876A-4A2E-4F17-B609-EB1F18A97C3A}"/>
    <cellStyle name="Linked Cell 29 3 3 10" xfId="30033" xr:uid="{DA81624C-7DEC-4C86-9D71-53A4E1E6A3DB}"/>
    <cellStyle name="Linked Cell 29 3 3 10 2" xfId="30034" xr:uid="{63F0307D-6295-47D1-A30B-CEEB3FB9F4AC}"/>
    <cellStyle name="Linked Cell 29 3 3 10 2 2" xfId="30035" xr:uid="{3396AFE0-CB53-4153-960A-60EAA8277991}"/>
    <cellStyle name="Linked Cell 29 3 3 10 3" xfId="30036" xr:uid="{EEC0403B-554D-4193-BC0A-B7323B6517DC}"/>
    <cellStyle name="Linked Cell 29 3 3 11" xfId="30037" xr:uid="{F2774451-1F30-480C-97E4-88E163C43AE0}"/>
    <cellStyle name="Linked Cell 29 3 3 11 2" xfId="30038" xr:uid="{724CFB44-10D2-4F67-B6F7-EC7573024EA8}"/>
    <cellStyle name="Linked Cell 29 3 3 12" xfId="30039" xr:uid="{3510B8F6-FD15-4F75-AC69-9658866BA9DC}"/>
    <cellStyle name="Linked Cell 29 3 3 2" xfId="30040" xr:uid="{442094FA-0B61-4B51-AEF2-3286F2399BE4}"/>
    <cellStyle name="Linked Cell 29 3 3 2 10" xfId="30041" xr:uid="{C78688BA-2FB4-4FFD-8292-F0B23ECAE107}"/>
    <cellStyle name="Linked Cell 29 3 3 2 10 2" xfId="30042" xr:uid="{7247F8C3-1877-4D30-826E-3ECFC3E31315}"/>
    <cellStyle name="Linked Cell 29 3 3 2 11" xfId="30043" xr:uid="{C898FF00-232C-41A6-98BE-C401F3AAB234}"/>
    <cellStyle name="Linked Cell 29 3 3 2 2" xfId="30044" xr:uid="{5233915D-AD87-4FEA-9A35-95EDEC3035E9}"/>
    <cellStyle name="Linked Cell 29 3 3 2 2 2" xfId="30045" xr:uid="{CA6289FE-E5EA-4265-B45C-C4F3365D0071}"/>
    <cellStyle name="Linked Cell 29 3 3 2 2 2 2" xfId="30046" xr:uid="{892694F7-BDA9-4749-ACCB-8BCD23167CEE}"/>
    <cellStyle name="Linked Cell 29 3 3 2 2 3" xfId="30047" xr:uid="{D1BF0D08-1161-4C0C-9127-ACD26EF8219D}"/>
    <cellStyle name="Linked Cell 29 3 3 2 3" xfId="30048" xr:uid="{8D36438F-A91D-4803-87D9-E46929BC7015}"/>
    <cellStyle name="Linked Cell 29 3 3 2 3 2" xfId="30049" xr:uid="{722B909A-871B-4BB3-B53A-B6A536CF8DB1}"/>
    <cellStyle name="Linked Cell 29 3 3 2 3 2 2" xfId="30050" xr:uid="{2FE87E71-4C7E-4552-AA7E-293C75B35211}"/>
    <cellStyle name="Linked Cell 29 3 3 2 3 3" xfId="30051" xr:uid="{79981A79-BCB9-44E7-9093-A433CAA178E0}"/>
    <cellStyle name="Linked Cell 29 3 3 2 4" xfId="30052" xr:uid="{5DD16968-8383-4858-90AF-619626B646C8}"/>
    <cellStyle name="Linked Cell 29 3 3 2 4 2" xfId="30053" xr:uid="{AD8953C5-4AE3-47C6-9627-7D6B6E386901}"/>
    <cellStyle name="Linked Cell 29 3 3 2 4 2 2" xfId="30054" xr:uid="{819ADA7A-E820-4FF1-99EE-AF0C700845B8}"/>
    <cellStyle name="Linked Cell 29 3 3 2 4 3" xfId="30055" xr:uid="{1FFDBF4C-846D-41D6-9908-88142750AA9D}"/>
    <cellStyle name="Linked Cell 29 3 3 2 5" xfId="30056" xr:uid="{265F78C5-14B3-4EE3-80DC-2A6371522599}"/>
    <cellStyle name="Linked Cell 29 3 3 2 5 2" xfId="30057" xr:uid="{A9765690-1C11-45CB-9B36-2325A7B7D5C4}"/>
    <cellStyle name="Linked Cell 29 3 3 2 5 2 2" xfId="30058" xr:uid="{E411E4AD-C5C5-43F4-B4DF-476FFDC14622}"/>
    <cellStyle name="Linked Cell 29 3 3 2 5 3" xfId="30059" xr:uid="{3D042F02-6AD9-41C4-BB8F-340B9FAA3347}"/>
    <cellStyle name="Linked Cell 29 3 3 2 6" xfId="30060" xr:uid="{E0FAF763-AF2C-4C50-ABFA-A94F222EA1DC}"/>
    <cellStyle name="Linked Cell 29 3 3 2 6 2" xfId="30061" xr:uid="{7D22DF52-3136-4D49-8188-068FB6EB0F5F}"/>
    <cellStyle name="Linked Cell 29 3 3 2 6 2 2" xfId="30062" xr:uid="{03C93021-DCEF-4106-9B1F-FBDC62586179}"/>
    <cellStyle name="Linked Cell 29 3 3 2 6 3" xfId="30063" xr:uid="{90755D8C-37B9-42BD-B5C2-B7750C012CE3}"/>
    <cellStyle name="Linked Cell 29 3 3 2 7" xfId="30064" xr:uid="{EE49F071-075F-46B7-B28F-917FFC730038}"/>
    <cellStyle name="Linked Cell 29 3 3 2 7 2" xfId="30065" xr:uid="{2F331633-9ADF-421A-A61A-D1E8AD9E4C8B}"/>
    <cellStyle name="Linked Cell 29 3 3 2 7 2 2" xfId="30066" xr:uid="{1D94C46B-4056-4A1E-AB10-B7BC91D5F6F8}"/>
    <cellStyle name="Linked Cell 29 3 3 2 7 3" xfId="30067" xr:uid="{75D4ACD9-DD5A-4389-B9FE-6E0436050270}"/>
    <cellStyle name="Linked Cell 29 3 3 2 8" xfId="30068" xr:uid="{80CF3545-BB3C-4A45-BF47-9D00ACFC7D2F}"/>
    <cellStyle name="Linked Cell 29 3 3 2 8 2" xfId="30069" xr:uid="{560B68AA-FF37-4791-9D52-170E7E8A5E47}"/>
    <cellStyle name="Linked Cell 29 3 3 2 8 2 2" xfId="30070" xr:uid="{133685B6-0FA8-4A64-9E79-A3BB2F63891D}"/>
    <cellStyle name="Linked Cell 29 3 3 2 8 3" xfId="30071" xr:uid="{8CBC2004-0899-404D-8DE6-61C5A13D69C0}"/>
    <cellStyle name="Linked Cell 29 3 3 2 9" xfId="30072" xr:uid="{EC25A67B-18E5-427F-A052-4A2657127C6A}"/>
    <cellStyle name="Linked Cell 29 3 3 2 9 2" xfId="30073" xr:uid="{C50FA0F3-34CF-421F-BD7D-F267A3AFD4A1}"/>
    <cellStyle name="Linked Cell 29 3 3 2 9 2 2" xfId="30074" xr:uid="{E720D991-DE25-46DF-B5B9-450C0B1CD44C}"/>
    <cellStyle name="Linked Cell 29 3 3 2 9 3" xfId="30075" xr:uid="{01726434-0903-4FAE-AB8E-E9F546489501}"/>
    <cellStyle name="Linked Cell 29 3 3 3" xfId="30076" xr:uid="{830659BA-6E9D-4213-8DB6-70F2B6A51A42}"/>
    <cellStyle name="Linked Cell 29 3 3 3 2" xfId="30077" xr:uid="{F77DDE25-DA96-45E8-A4B0-FDF17E8B6BBD}"/>
    <cellStyle name="Linked Cell 29 3 3 3 2 2" xfId="30078" xr:uid="{A7C326BF-9BB6-4410-A9EC-8DAF5949C203}"/>
    <cellStyle name="Linked Cell 29 3 3 3 3" xfId="30079" xr:uid="{3301DFCE-E448-4596-9632-350D2691B1BC}"/>
    <cellStyle name="Linked Cell 29 3 3 4" xfId="30080" xr:uid="{B053063E-1B67-4911-8F96-3D12AA2CAC65}"/>
    <cellStyle name="Linked Cell 29 3 3 4 2" xfId="30081" xr:uid="{E37B91B5-3B28-4C51-9390-47FBFC1FA98E}"/>
    <cellStyle name="Linked Cell 29 3 3 4 2 2" xfId="30082" xr:uid="{48F6DC0A-7CBE-49F7-8DC4-EF4CDEFA2BF0}"/>
    <cellStyle name="Linked Cell 29 3 3 4 3" xfId="30083" xr:uid="{321DCD45-DEE9-4CD0-ABC8-B2BA0460D422}"/>
    <cellStyle name="Linked Cell 29 3 3 5" xfId="30084" xr:uid="{3564F754-9F1A-41C2-8A16-BA90723EB138}"/>
    <cellStyle name="Linked Cell 29 3 3 5 2" xfId="30085" xr:uid="{44F85FB2-7499-40D4-A895-366096AFBEF7}"/>
    <cellStyle name="Linked Cell 29 3 3 5 2 2" xfId="30086" xr:uid="{ABC0692D-F147-4F9C-A43A-22D51EAB7155}"/>
    <cellStyle name="Linked Cell 29 3 3 5 3" xfId="30087" xr:uid="{B43F447A-45F9-4540-B113-79A094560254}"/>
    <cellStyle name="Linked Cell 29 3 3 6" xfId="30088" xr:uid="{C1988DE8-C68B-4223-8A6C-287838D6F30A}"/>
    <cellStyle name="Linked Cell 29 3 3 6 2" xfId="30089" xr:uid="{E8C12028-6298-41DA-8A7A-FF5E65E24D83}"/>
    <cellStyle name="Linked Cell 29 3 3 6 2 2" xfId="30090" xr:uid="{F412C84E-EE4B-4072-955C-604A0BBFEFC1}"/>
    <cellStyle name="Linked Cell 29 3 3 6 3" xfId="30091" xr:uid="{DC8DD141-AF9F-48C7-8188-79DC2B322B59}"/>
    <cellStyle name="Linked Cell 29 3 3 7" xfId="30092" xr:uid="{D38FC869-85FC-4A53-9EC5-BF3AF0FAE90E}"/>
    <cellStyle name="Linked Cell 29 3 3 7 2" xfId="30093" xr:uid="{B841EDF0-F313-47E0-A8B3-3B3989D7CA2B}"/>
    <cellStyle name="Linked Cell 29 3 3 7 2 2" xfId="30094" xr:uid="{375D3A27-836F-451F-AB2A-E54FB5CD7B1A}"/>
    <cellStyle name="Linked Cell 29 3 3 7 3" xfId="30095" xr:uid="{96F935A7-35D7-42B9-96A3-17FCD0F17BEA}"/>
    <cellStyle name="Linked Cell 29 3 3 8" xfId="30096" xr:uid="{C7F11FB6-DADC-4361-9047-183E8BA204BE}"/>
    <cellStyle name="Linked Cell 29 3 3 8 2" xfId="30097" xr:uid="{F3BEF871-33C7-44FB-B0D7-01E55042DBFF}"/>
    <cellStyle name="Linked Cell 29 3 3 8 2 2" xfId="30098" xr:uid="{8D8C2605-A6C5-47FC-AA28-A16F5256F265}"/>
    <cellStyle name="Linked Cell 29 3 3 8 3" xfId="30099" xr:uid="{CC6A5B7D-35CD-4D73-924F-501388F8F197}"/>
    <cellStyle name="Linked Cell 29 3 3 9" xfId="30100" xr:uid="{E3C4F81A-B529-439C-AA5F-103E6E48B3A1}"/>
    <cellStyle name="Linked Cell 29 3 3 9 2" xfId="30101" xr:uid="{B8480C01-6384-4E48-95DD-83D36A634793}"/>
    <cellStyle name="Linked Cell 29 3 3 9 2 2" xfId="30102" xr:uid="{8BF3A366-41A7-42F1-9ADC-969B91E4F983}"/>
    <cellStyle name="Linked Cell 29 3 3 9 3" xfId="30103" xr:uid="{08019D95-883E-4C92-A235-3CD04A489AF2}"/>
    <cellStyle name="Linked Cell 29 3 4" xfId="30104" xr:uid="{7CC17F67-8314-4396-AB5A-B90F019AE07B}"/>
    <cellStyle name="Linked Cell 29 3 4 10" xfId="30105" xr:uid="{CD6A5261-CBC2-4A99-A8B5-DA71FCCA9383}"/>
    <cellStyle name="Linked Cell 29 3 4 10 2" xfId="30106" xr:uid="{3E9D428A-5308-4B37-854F-285317C2DCE4}"/>
    <cellStyle name="Linked Cell 29 3 4 11" xfId="30107" xr:uid="{86467E95-8C3B-4B48-B398-D33AA394E602}"/>
    <cellStyle name="Linked Cell 29 3 4 2" xfId="30108" xr:uid="{1A5A1850-395F-40FD-9687-5BBC8CDB51D9}"/>
    <cellStyle name="Linked Cell 29 3 4 2 2" xfId="30109" xr:uid="{4CDD5D8E-D753-4D84-A552-60D573FAD6C1}"/>
    <cellStyle name="Linked Cell 29 3 4 2 2 2" xfId="30110" xr:uid="{35DC389D-AA4C-40F3-87FE-8D11DBF632E5}"/>
    <cellStyle name="Linked Cell 29 3 4 2 3" xfId="30111" xr:uid="{85B0D219-109F-4ACB-A4D5-773D2C0782EE}"/>
    <cellStyle name="Linked Cell 29 3 4 3" xfId="30112" xr:uid="{899C726C-6434-458E-87F7-548E28805C37}"/>
    <cellStyle name="Linked Cell 29 3 4 3 2" xfId="30113" xr:uid="{38B679D1-4549-4332-824E-1B78318761F4}"/>
    <cellStyle name="Linked Cell 29 3 4 3 2 2" xfId="30114" xr:uid="{BB16EEC8-85D4-4E27-8447-DC0CDE5CD035}"/>
    <cellStyle name="Linked Cell 29 3 4 3 3" xfId="30115" xr:uid="{B15242EA-E4B1-4C7E-A34A-1F5039DCA906}"/>
    <cellStyle name="Linked Cell 29 3 4 4" xfId="30116" xr:uid="{334FB416-E9D9-44EC-8BAD-86D607E60935}"/>
    <cellStyle name="Linked Cell 29 3 4 4 2" xfId="30117" xr:uid="{219A73BD-6532-4673-B566-5AD51C63673A}"/>
    <cellStyle name="Linked Cell 29 3 4 4 2 2" xfId="30118" xr:uid="{93C934B2-E03D-44A1-905B-197AE5401EE1}"/>
    <cellStyle name="Linked Cell 29 3 4 4 3" xfId="30119" xr:uid="{F93D0FEB-CCC5-4F22-B89C-B8468DBD3F25}"/>
    <cellStyle name="Linked Cell 29 3 4 5" xfId="30120" xr:uid="{AC748CDF-E1EE-45A9-96DE-817BBEE3F850}"/>
    <cellStyle name="Linked Cell 29 3 4 5 2" xfId="30121" xr:uid="{B00716E8-4E54-495B-BFC4-0DD414C8E74E}"/>
    <cellStyle name="Linked Cell 29 3 4 5 2 2" xfId="30122" xr:uid="{61E9B1F4-45E8-46A4-886A-950E1485888E}"/>
    <cellStyle name="Linked Cell 29 3 4 5 3" xfId="30123" xr:uid="{45861917-A1C2-44CE-9831-B36D8F2A6AB1}"/>
    <cellStyle name="Linked Cell 29 3 4 6" xfId="30124" xr:uid="{78F54655-9536-4D7C-AEDD-89E3616FC873}"/>
    <cellStyle name="Linked Cell 29 3 4 6 2" xfId="30125" xr:uid="{33B535F7-9E92-4983-BC57-BAA0DA569901}"/>
    <cellStyle name="Linked Cell 29 3 4 6 2 2" xfId="30126" xr:uid="{E44DEB31-4C86-4483-8FBB-5CD6B9550DD6}"/>
    <cellStyle name="Linked Cell 29 3 4 6 3" xfId="30127" xr:uid="{A97A8AAE-CE2E-4943-A2BF-48FA45415E9B}"/>
    <cellStyle name="Linked Cell 29 3 4 7" xfId="30128" xr:uid="{C0D873BF-FF71-4FF2-BD05-769DAD0657D6}"/>
    <cellStyle name="Linked Cell 29 3 4 7 2" xfId="30129" xr:uid="{C7D22EAF-0BA7-4488-9653-37CE7082CF0C}"/>
    <cellStyle name="Linked Cell 29 3 4 7 2 2" xfId="30130" xr:uid="{37EB0650-E17C-4070-9D97-797A1AF74BD3}"/>
    <cellStyle name="Linked Cell 29 3 4 7 3" xfId="30131" xr:uid="{3E2CF108-DF69-4710-B1EC-E2C727719AC0}"/>
    <cellStyle name="Linked Cell 29 3 4 8" xfId="30132" xr:uid="{003F1353-F8D9-491E-94A6-61D3B10BBDB7}"/>
    <cellStyle name="Linked Cell 29 3 4 8 2" xfId="30133" xr:uid="{7907FAB7-A20F-476F-A0AA-6F5EE1F2A91D}"/>
    <cellStyle name="Linked Cell 29 3 4 8 2 2" xfId="30134" xr:uid="{084F6DA9-11A2-4C73-95A9-1EA7BF18BF33}"/>
    <cellStyle name="Linked Cell 29 3 4 8 3" xfId="30135" xr:uid="{D730C1A3-34FC-4182-BBD4-68E1BF81C7F0}"/>
    <cellStyle name="Linked Cell 29 3 4 9" xfId="30136" xr:uid="{03936293-705F-4DFC-AA97-7F5EAB6048AF}"/>
    <cellStyle name="Linked Cell 29 3 4 9 2" xfId="30137" xr:uid="{BF82354D-B013-4F68-A0F2-FE1FBA95927F}"/>
    <cellStyle name="Linked Cell 29 3 4 9 2 2" xfId="30138" xr:uid="{AF3EA800-9398-4A4F-82FE-A40C59E3210A}"/>
    <cellStyle name="Linked Cell 29 3 4 9 3" xfId="30139" xr:uid="{4DC8D41B-F498-453F-B77A-BCBAD21A1BAA}"/>
    <cellStyle name="Linked Cell 29 3 5" xfId="30140" xr:uid="{8CE38797-60AE-40FF-9A39-B2C54ABF1D28}"/>
    <cellStyle name="Linked Cell 29 3 5 2" xfId="30141" xr:uid="{BA01B159-3C4A-478A-8C49-E13325036F31}"/>
    <cellStyle name="Linked Cell 29 3 5 2 2" xfId="30142" xr:uid="{428A8C36-07E1-4EE0-BF82-C6B74571F2CA}"/>
    <cellStyle name="Linked Cell 29 3 5 3" xfId="30143" xr:uid="{A2EE9982-E86B-4985-B980-55EC08CAE815}"/>
    <cellStyle name="Linked Cell 29 3 6" xfId="30144" xr:uid="{513BB3A9-BC4F-42A1-BF6B-34A4E6B4C51A}"/>
    <cellStyle name="Linked Cell 29 3 6 2" xfId="30145" xr:uid="{8FBB7FFF-7560-4F25-99A5-154D4518F0E2}"/>
    <cellStyle name="Linked Cell 29 3 6 2 2" xfId="30146" xr:uid="{2A465BCD-D82D-47E8-B92C-3BCCACA86380}"/>
    <cellStyle name="Linked Cell 29 3 6 3" xfId="30147" xr:uid="{229693A3-B123-4DF8-BC4E-1BA9C8321E8B}"/>
    <cellStyle name="Linked Cell 29 3 7" xfId="30148" xr:uid="{9DEE2C2A-EDB1-4CD7-AE49-EE1DA383841B}"/>
    <cellStyle name="Linked Cell 29 3 7 2" xfId="30149" xr:uid="{CF1B1BA1-9D89-485D-9827-0A7CDFF529A0}"/>
    <cellStyle name="Linked Cell 29 3 7 2 2" xfId="30150" xr:uid="{D60B3206-98A8-4916-BC72-A8EA0B5A20FE}"/>
    <cellStyle name="Linked Cell 29 3 7 3" xfId="30151" xr:uid="{F648223F-55C4-40F6-8321-FAAE97AAC2E0}"/>
    <cellStyle name="Linked Cell 29 3 8" xfId="30152" xr:uid="{EE4EF386-BDBC-4423-9172-CF77BE2A4ABB}"/>
    <cellStyle name="Linked Cell 29 3 8 2" xfId="30153" xr:uid="{76D5AB97-8F22-4205-93C3-B3978B5FB8B3}"/>
    <cellStyle name="Linked Cell 29 3 8 2 2" xfId="30154" xr:uid="{BF3FF34B-2F94-4140-813F-3102D53E9F7A}"/>
    <cellStyle name="Linked Cell 29 3 8 3" xfId="30155" xr:uid="{F1AAB580-8B8F-45F4-8B2E-71E46CEF5D3B}"/>
    <cellStyle name="Linked Cell 29 3 9" xfId="30156" xr:uid="{C2DE9CAF-137C-483D-B1B3-ED90AF7F4E1C}"/>
    <cellStyle name="Linked Cell 29 3 9 2" xfId="30157" xr:uid="{E2769A8A-2251-46EC-8D6A-01F938D5BFAB}"/>
    <cellStyle name="Linked Cell 29 3 9 2 2" xfId="30158" xr:uid="{0AAC85B9-3796-487C-920B-48213CF43374}"/>
    <cellStyle name="Linked Cell 29 3 9 3" xfId="30159" xr:uid="{273A2346-5C01-41C3-8B8D-37318D62B34B}"/>
    <cellStyle name="Linked Cell 29 4" xfId="30160" xr:uid="{C3D1F62C-B4D8-4159-9500-32891ECDD37A}"/>
    <cellStyle name="Linked Cell 29 4 10" xfId="30161" xr:uid="{8FD47C02-CA34-4C25-8259-3B7403C28700}"/>
    <cellStyle name="Linked Cell 29 4 10 2" xfId="30162" xr:uid="{84CCB0B0-9530-48EF-9243-1F222C9F3AEF}"/>
    <cellStyle name="Linked Cell 29 4 10 2 2" xfId="30163" xr:uid="{EE18283A-B6D4-4A37-B0DA-363F6F1C32E5}"/>
    <cellStyle name="Linked Cell 29 4 10 3" xfId="30164" xr:uid="{B4E21F19-646D-43AA-91F3-3BD166A48840}"/>
    <cellStyle name="Linked Cell 29 4 11" xfId="30165" xr:uid="{6B01CF44-1C3B-45EC-86B9-07E127A61938}"/>
    <cellStyle name="Linked Cell 29 4 11 2" xfId="30166" xr:uid="{20BC8D73-C9A6-4C94-89C3-66A34F9DF5B9}"/>
    <cellStyle name="Linked Cell 29 4 11 2 2" xfId="30167" xr:uid="{A0EFEB27-EE90-4AE7-820F-B8B1964F8AF9}"/>
    <cellStyle name="Linked Cell 29 4 11 3" xfId="30168" xr:uid="{145DE606-5151-403D-9A3A-E516F51D46C6}"/>
    <cellStyle name="Linked Cell 29 4 12" xfId="30169" xr:uid="{DF8B5CAB-E8BE-4CBE-8C41-0A62B20B20F9}"/>
    <cellStyle name="Linked Cell 29 4 12 2" xfId="30170" xr:uid="{FEC49171-1318-4BCC-A4AC-74408D3A0F4A}"/>
    <cellStyle name="Linked Cell 29 4 13" xfId="30171" xr:uid="{0D4458B6-8CDD-47C8-A4DD-5E5E06E2C4B1}"/>
    <cellStyle name="Linked Cell 29 4 2" xfId="30172" xr:uid="{EAB2BB9F-E3C1-4CEC-8CFB-711B22B0B02A}"/>
    <cellStyle name="Linked Cell 29 4 2 10" xfId="30173" xr:uid="{068A89A2-D298-4D3E-BCDD-B5AAAF1F442F}"/>
    <cellStyle name="Linked Cell 29 4 2 10 2" xfId="30174" xr:uid="{CED156C2-FAC0-458D-9F36-7ACAE922F549}"/>
    <cellStyle name="Linked Cell 29 4 2 10 2 2" xfId="30175" xr:uid="{62FCF46C-C717-46B3-B930-ECD026F81B5C}"/>
    <cellStyle name="Linked Cell 29 4 2 10 3" xfId="30176" xr:uid="{22DC6362-03E0-4102-A021-25DA6DC9FF54}"/>
    <cellStyle name="Linked Cell 29 4 2 11" xfId="30177" xr:uid="{7770D0C1-426C-4FD4-93FE-8AF8D54EEEE7}"/>
    <cellStyle name="Linked Cell 29 4 2 11 2" xfId="30178" xr:uid="{7D727870-CF83-40B5-B1AF-7CD96E5FC3EE}"/>
    <cellStyle name="Linked Cell 29 4 2 12" xfId="30179" xr:uid="{28BA338E-4EDD-4AFE-B89A-1A740526832B}"/>
    <cellStyle name="Linked Cell 29 4 2 2" xfId="30180" xr:uid="{88EB67DB-C1CB-4E91-8A0F-C137D8F4592F}"/>
    <cellStyle name="Linked Cell 29 4 2 2 2" xfId="30181" xr:uid="{3B2250AC-B9C4-4D19-8338-CAB9AF5DF16A}"/>
    <cellStyle name="Linked Cell 29 4 2 2 2 2" xfId="30182" xr:uid="{A78632F2-52FC-4BDC-8BF4-3C9E583FBE9A}"/>
    <cellStyle name="Linked Cell 29 4 2 2 3" xfId="30183" xr:uid="{F529690E-9DA0-45D3-AFFB-9370CF3ECC2E}"/>
    <cellStyle name="Linked Cell 29 4 2 3" xfId="30184" xr:uid="{CA421905-EEC0-4D25-AB7A-E91FC31AE4DB}"/>
    <cellStyle name="Linked Cell 29 4 2 3 2" xfId="30185" xr:uid="{AB04C5A9-2063-48D3-B9FF-5CC9656606E7}"/>
    <cellStyle name="Linked Cell 29 4 2 3 2 2" xfId="30186" xr:uid="{170A5E75-3CC7-4C42-8374-E7226438488A}"/>
    <cellStyle name="Linked Cell 29 4 2 3 3" xfId="30187" xr:uid="{7EEE34B0-C730-45A0-A405-FD9FE812B5E4}"/>
    <cellStyle name="Linked Cell 29 4 2 4" xfId="30188" xr:uid="{0A29634A-7723-4050-91FE-12322345F7C2}"/>
    <cellStyle name="Linked Cell 29 4 2 4 2" xfId="30189" xr:uid="{300BFDD6-B555-4458-BED2-D5511DC8EA82}"/>
    <cellStyle name="Linked Cell 29 4 2 4 2 2" xfId="30190" xr:uid="{047D5178-E208-4358-8E89-9A04CCFF66A5}"/>
    <cellStyle name="Linked Cell 29 4 2 4 3" xfId="30191" xr:uid="{0AAFD548-5EFF-4490-B494-17F923CC2369}"/>
    <cellStyle name="Linked Cell 29 4 2 5" xfId="30192" xr:uid="{C70CBB4B-053A-4AED-BDE9-58A893CC95A6}"/>
    <cellStyle name="Linked Cell 29 4 2 5 2" xfId="30193" xr:uid="{3B73821A-F834-4EED-9070-3883A11D5E78}"/>
    <cellStyle name="Linked Cell 29 4 2 5 2 2" xfId="30194" xr:uid="{4D286463-802D-4AB2-A402-DA8B2F182FD5}"/>
    <cellStyle name="Linked Cell 29 4 2 5 3" xfId="30195" xr:uid="{973DD40E-E63E-4753-9EC1-1B8D86705255}"/>
    <cellStyle name="Linked Cell 29 4 2 6" xfId="30196" xr:uid="{21E83AA7-39B5-49A2-AF01-BB7380D7C09F}"/>
    <cellStyle name="Linked Cell 29 4 2 6 2" xfId="30197" xr:uid="{B2CEC56C-7EC5-4162-AF25-043C88268B2F}"/>
    <cellStyle name="Linked Cell 29 4 2 6 2 2" xfId="30198" xr:uid="{D0B4A3F6-B855-477C-B2C7-202C8CA95D83}"/>
    <cellStyle name="Linked Cell 29 4 2 6 3" xfId="30199" xr:uid="{D49AD44C-6491-448E-8C50-A47E5AA6E729}"/>
    <cellStyle name="Linked Cell 29 4 2 7" xfId="30200" xr:uid="{718B7C44-FC15-4E75-A251-EBEF3BCBD026}"/>
    <cellStyle name="Linked Cell 29 4 2 7 2" xfId="30201" xr:uid="{9D5389FD-71DD-4597-A66F-8B9C3A71C823}"/>
    <cellStyle name="Linked Cell 29 4 2 7 2 2" xfId="30202" xr:uid="{D3717D52-52D5-46C5-AA8E-631D1765E344}"/>
    <cellStyle name="Linked Cell 29 4 2 7 3" xfId="30203" xr:uid="{570AD58C-0753-4837-9227-A520D396362A}"/>
    <cellStyle name="Linked Cell 29 4 2 8" xfId="30204" xr:uid="{F56554B3-50B6-4CA6-85BC-71D0568B9AFA}"/>
    <cellStyle name="Linked Cell 29 4 2 8 2" xfId="30205" xr:uid="{E83B92D3-F4D8-43B8-B1C2-94353F2C25EA}"/>
    <cellStyle name="Linked Cell 29 4 2 8 2 2" xfId="30206" xr:uid="{91625B04-0168-461D-98B2-18E4E42C42D1}"/>
    <cellStyle name="Linked Cell 29 4 2 8 3" xfId="30207" xr:uid="{1732B118-FA46-4B25-B644-C44F7B57CC4C}"/>
    <cellStyle name="Linked Cell 29 4 2 9" xfId="30208" xr:uid="{FFBD726D-A021-4A1E-AB57-1924E1FA214C}"/>
    <cellStyle name="Linked Cell 29 4 2 9 2" xfId="30209" xr:uid="{C0E5378E-7483-4DC1-B4C6-62E273282C0C}"/>
    <cellStyle name="Linked Cell 29 4 2 9 2 2" xfId="30210" xr:uid="{6995F758-C572-4D44-98F1-456D94830389}"/>
    <cellStyle name="Linked Cell 29 4 2 9 3" xfId="30211" xr:uid="{E86B1F21-DF80-4D4A-B054-675625D229E0}"/>
    <cellStyle name="Linked Cell 29 4 3" xfId="30212" xr:uid="{24689C1D-BDA9-4FC5-A933-FE280DEA5D3B}"/>
    <cellStyle name="Linked Cell 29 4 3 10" xfId="30213" xr:uid="{B238F160-137E-444D-AFBC-8B77573B4700}"/>
    <cellStyle name="Linked Cell 29 4 3 10 2" xfId="30214" xr:uid="{3AA4B7D4-7A76-4D14-92A5-24551AFD350B}"/>
    <cellStyle name="Linked Cell 29 4 3 11" xfId="30215" xr:uid="{4BE08D92-7910-4130-9958-FBEC30399BE8}"/>
    <cellStyle name="Linked Cell 29 4 3 2" xfId="30216" xr:uid="{4B679402-318C-4146-8B5D-CCF8AB0C457E}"/>
    <cellStyle name="Linked Cell 29 4 3 2 2" xfId="30217" xr:uid="{C36C2683-39CB-47A8-BA85-474038F202E4}"/>
    <cellStyle name="Linked Cell 29 4 3 2 2 2" xfId="30218" xr:uid="{0AF88730-A4A7-43EE-8A24-AE1870A2F00C}"/>
    <cellStyle name="Linked Cell 29 4 3 2 3" xfId="30219" xr:uid="{2555FC89-CF5F-43E7-8B52-A63B1FBB83EE}"/>
    <cellStyle name="Linked Cell 29 4 3 3" xfId="30220" xr:uid="{604E0847-E8DC-4167-9BBA-992878D7F222}"/>
    <cellStyle name="Linked Cell 29 4 3 3 2" xfId="30221" xr:uid="{E21AAC80-F727-47FC-99ED-8042A9E5DFD4}"/>
    <cellStyle name="Linked Cell 29 4 3 3 2 2" xfId="30222" xr:uid="{F1673CC8-3A05-483D-8205-63DDF9075411}"/>
    <cellStyle name="Linked Cell 29 4 3 3 3" xfId="30223" xr:uid="{82630B5C-07CF-4558-B8CC-F80FD8E7DE8C}"/>
    <cellStyle name="Linked Cell 29 4 3 4" xfId="30224" xr:uid="{95F8B129-5882-46AD-8874-94561C96353B}"/>
    <cellStyle name="Linked Cell 29 4 3 4 2" xfId="30225" xr:uid="{32D82233-BFFC-4C23-AC62-586C9988A010}"/>
    <cellStyle name="Linked Cell 29 4 3 4 2 2" xfId="30226" xr:uid="{F294FAE6-0126-4277-8A83-98268072E18C}"/>
    <cellStyle name="Linked Cell 29 4 3 4 3" xfId="30227" xr:uid="{E20E315F-C3EB-4DAE-A7AC-EDEB6763421D}"/>
    <cellStyle name="Linked Cell 29 4 3 5" xfId="30228" xr:uid="{44E627E0-46F2-49CF-B829-1243B108E2E7}"/>
    <cellStyle name="Linked Cell 29 4 3 5 2" xfId="30229" xr:uid="{CAD6C66F-6005-4298-B6F5-1103B56196BF}"/>
    <cellStyle name="Linked Cell 29 4 3 5 2 2" xfId="30230" xr:uid="{8658EC96-9693-4B42-9438-F5ED31808794}"/>
    <cellStyle name="Linked Cell 29 4 3 5 3" xfId="30231" xr:uid="{8F2D1508-CA05-4927-819B-A8BFC91BE7F5}"/>
    <cellStyle name="Linked Cell 29 4 3 6" xfId="30232" xr:uid="{82C781EF-CE2C-48AA-A1F3-8B9E4BDB8B08}"/>
    <cellStyle name="Linked Cell 29 4 3 6 2" xfId="30233" xr:uid="{81C18852-BACE-4DD7-B6E0-69EEBADD7B21}"/>
    <cellStyle name="Linked Cell 29 4 3 6 2 2" xfId="30234" xr:uid="{96E09F01-FC81-458F-AC0B-D9C3EA226595}"/>
    <cellStyle name="Linked Cell 29 4 3 6 3" xfId="30235" xr:uid="{20A41E6B-8490-47A9-B811-267B39DE7BD5}"/>
    <cellStyle name="Linked Cell 29 4 3 7" xfId="30236" xr:uid="{E852F48C-8211-4E77-A3C0-15DBA0A486D5}"/>
    <cellStyle name="Linked Cell 29 4 3 7 2" xfId="30237" xr:uid="{1161FEE5-E904-4D91-BBD5-71FA92E0C17E}"/>
    <cellStyle name="Linked Cell 29 4 3 7 2 2" xfId="30238" xr:uid="{987E81D0-FF95-4A34-B5F4-DBE66305D53C}"/>
    <cellStyle name="Linked Cell 29 4 3 7 3" xfId="30239" xr:uid="{DEA8ADE8-5ACD-48A9-915D-E16D7FCA94EB}"/>
    <cellStyle name="Linked Cell 29 4 3 8" xfId="30240" xr:uid="{67169223-2AB2-46CE-A6CA-B8D9BE64374A}"/>
    <cellStyle name="Linked Cell 29 4 3 8 2" xfId="30241" xr:uid="{84F07BF1-5E1A-463A-AB21-A73EEA1E6C68}"/>
    <cellStyle name="Linked Cell 29 4 3 8 2 2" xfId="30242" xr:uid="{1F9300F6-D86C-401D-9B94-EB3E7A96226D}"/>
    <cellStyle name="Linked Cell 29 4 3 8 3" xfId="30243" xr:uid="{9104288F-0CCB-418B-8997-10190E5B9902}"/>
    <cellStyle name="Linked Cell 29 4 3 9" xfId="30244" xr:uid="{F2B5D67D-D665-489C-AB3B-16CAB810D80F}"/>
    <cellStyle name="Linked Cell 29 4 3 9 2" xfId="30245" xr:uid="{34E2F043-E14B-4479-903C-691265BC21E5}"/>
    <cellStyle name="Linked Cell 29 4 3 9 2 2" xfId="30246" xr:uid="{CC1CADA5-365B-4F57-8B0D-BDD336B669F0}"/>
    <cellStyle name="Linked Cell 29 4 3 9 3" xfId="30247" xr:uid="{E5AED70A-CE3E-4F37-93FB-10D3B4140C5B}"/>
    <cellStyle name="Linked Cell 29 4 4" xfId="30248" xr:uid="{4DC4E190-C2E7-4BB4-A117-DB0D5E2F87AD}"/>
    <cellStyle name="Linked Cell 29 4 4 2" xfId="30249" xr:uid="{FFC69E3A-72BE-4794-A2BA-D76F0F46AABE}"/>
    <cellStyle name="Linked Cell 29 4 4 2 2" xfId="30250" xr:uid="{63940A08-DB75-4C8F-8370-3E0694ECA14D}"/>
    <cellStyle name="Linked Cell 29 4 4 3" xfId="30251" xr:uid="{D2AA37EC-A17F-4FD4-9F16-2694DCFD8D3A}"/>
    <cellStyle name="Linked Cell 29 4 5" xfId="30252" xr:uid="{1068CB28-490C-4EB3-A6C3-A3B42FE9AEB3}"/>
    <cellStyle name="Linked Cell 29 4 5 2" xfId="30253" xr:uid="{98421F03-B508-433F-958B-3B61A10F8C77}"/>
    <cellStyle name="Linked Cell 29 4 5 2 2" xfId="30254" xr:uid="{CF5CE366-98A6-4F18-A8CC-C162157CBF5B}"/>
    <cellStyle name="Linked Cell 29 4 5 3" xfId="30255" xr:uid="{66B49662-9F51-487F-AC8F-E96A83402B00}"/>
    <cellStyle name="Linked Cell 29 4 6" xfId="30256" xr:uid="{3FF6DC99-CF67-4B78-A949-F3FD05636219}"/>
    <cellStyle name="Linked Cell 29 4 6 2" xfId="30257" xr:uid="{D0A3AB94-4014-4A2D-B472-BB51F430DCCB}"/>
    <cellStyle name="Linked Cell 29 4 6 2 2" xfId="30258" xr:uid="{CD931678-365F-483D-AB44-D88B1BCA094F}"/>
    <cellStyle name="Linked Cell 29 4 6 3" xfId="30259" xr:uid="{D2E0E85B-A721-419C-8287-B84960DB6EE9}"/>
    <cellStyle name="Linked Cell 29 4 7" xfId="30260" xr:uid="{A2524D66-C83E-4815-BD36-6E4F02DBFBB1}"/>
    <cellStyle name="Linked Cell 29 4 7 2" xfId="30261" xr:uid="{056ECD22-539B-41C9-8710-51FB98A4EA89}"/>
    <cellStyle name="Linked Cell 29 4 7 2 2" xfId="30262" xr:uid="{B1E49A7F-43F3-4B82-9A75-7E0044C0C1B2}"/>
    <cellStyle name="Linked Cell 29 4 7 3" xfId="30263" xr:uid="{03639F6C-753C-4845-BC89-D4A8361212AC}"/>
    <cellStyle name="Linked Cell 29 4 8" xfId="30264" xr:uid="{45574F1F-3C6F-4417-AB3F-CB14638EDE30}"/>
    <cellStyle name="Linked Cell 29 4 8 2" xfId="30265" xr:uid="{164F73B9-13D0-4433-BC36-6BE6C8025615}"/>
    <cellStyle name="Linked Cell 29 4 8 2 2" xfId="30266" xr:uid="{D2C4869E-7D92-4126-B72D-0E42394B511D}"/>
    <cellStyle name="Linked Cell 29 4 8 3" xfId="30267" xr:uid="{DA9B16F8-E8F2-4844-A730-512DCD37AEEC}"/>
    <cellStyle name="Linked Cell 29 4 9" xfId="30268" xr:uid="{2D0BBB2E-9B4A-4BAA-A7CA-F715554133BD}"/>
    <cellStyle name="Linked Cell 29 4 9 2" xfId="30269" xr:uid="{6BE6AD2E-E7CE-4E94-AFF3-50EFF79E42EA}"/>
    <cellStyle name="Linked Cell 29 4 9 2 2" xfId="30270" xr:uid="{76ED4479-DE49-4955-9D3B-301AEE415FC7}"/>
    <cellStyle name="Linked Cell 29 4 9 3" xfId="30271" xr:uid="{2B339D6B-F137-450A-A277-438F88906493}"/>
    <cellStyle name="Linked Cell 3" xfId="30272" xr:uid="{034DB009-8BB3-47AB-B30C-EF4B834E0304}"/>
    <cellStyle name="Linked Cell 3 2" xfId="30273" xr:uid="{630F5507-30AB-42C2-8D0C-ED0630A655E1}"/>
    <cellStyle name="Linked Cell 3 2 10" xfId="30274" xr:uid="{F43D7451-FF33-477A-9EB0-870CE899BA0A}"/>
    <cellStyle name="Linked Cell 3 2 10 2" xfId="30275" xr:uid="{F4820BAF-9C6B-4109-9966-D2C11B150750}"/>
    <cellStyle name="Linked Cell 3 2 10 2 2" xfId="30276" xr:uid="{92586A34-EF32-42E6-BD7A-68F5FA76E865}"/>
    <cellStyle name="Linked Cell 3 2 10 3" xfId="30277" xr:uid="{A6276EB0-34EA-464A-98E1-D98001E017C6}"/>
    <cellStyle name="Linked Cell 3 2 11" xfId="30278" xr:uid="{F874780F-0EAC-45F1-8323-2833ED68A37B}"/>
    <cellStyle name="Linked Cell 3 2 11 2" xfId="30279" xr:uid="{77AF3174-9636-46AF-B733-FF8327FFB2EA}"/>
    <cellStyle name="Linked Cell 3 2 11 2 2" xfId="30280" xr:uid="{2AEBE838-6173-4173-91C2-3E774807768C}"/>
    <cellStyle name="Linked Cell 3 2 11 3" xfId="30281" xr:uid="{2B9FF733-B66F-4FDE-AD0D-FCB5BD062E56}"/>
    <cellStyle name="Linked Cell 3 2 12" xfId="30282" xr:uid="{EA472430-2835-4ADA-8188-1AF8F93F965D}"/>
    <cellStyle name="Linked Cell 3 2 12 2" xfId="30283" xr:uid="{2D08BB2B-1A05-4952-9A1F-AE20206C95A5}"/>
    <cellStyle name="Linked Cell 3 2 12 2 2" xfId="30284" xr:uid="{E791022A-4243-4313-8B8D-7B6DDF25B6DB}"/>
    <cellStyle name="Linked Cell 3 2 12 3" xfId="30285" xr:uid="{41474045-AFA2-4307-9862-F6A4D2865D19}"/>
    <cellStyle name="Linked Cell 3 2 13" xfId="30286" xr:uid="{8A49E9A9-C5B6-494C-AA65-3AF6928DACE9}"/>
    <cellStyle name="Linked Cell 3 2 13 2" xfId="30287" xr:uid="{145F27EC-8286-4E44-AB06-50824BCACA32}"/>
    <cellStyle name="Linked Cell 3 2 13 2 2" xfId="30288" xr:uid="{9C7ED904-3B2B-46CE-821F-E2ABE744F603}"/>
    <cellStyle name="Linked Cell 3 2 13 3" xfId="30289" xr:uid="{592A7B91-D67E-4AF9-A79B-1D7823BB7540}"/>
    <cellStyle name="Linked Cell 3 2 14" xfId="30290" xr:uid="{BFD03292-7A0F-402B-9519-A286466029C0}"/>
    <cellStyle name="Linked Cell 3 2 14 2" xfId="30291" xr:uid="{FA6A5CEB-A023-4D99-A72B-20F0D115DB30}"/>
    <cellStyle name="Linked Cell 3 2 15" xfId="30292" xr:uid="{39A189E1-735E-487C-B52E-CADE3786E3B5}"/>
    <cellStyle name="Linked Cell 3 2 2" xfId="30293" xr:uid="{026CE7AC-1FFB-4A6D-A7C9-A683EF9269D8}"/>
    <cellStyle name="Linked Cell 3 2 2 10" xfId="30294" xr:uid="{AEDEE36D-D1EF-47D3-8B20-70DF50329557}"/>
    <cellStyle name="Linked Cell 3 2 2 10 2" xfId="30295" xr:uid="{FD4A8DE7-56AA-40A7-9C26-B73981DBEBB3}"/>
    <cellStyle name="Linked Cell 3 2 2 10 2 2" xfId="30296" xr:uid="{5650C986-B607-44CD-8B91-7214A9C3AAE9}"/>
    <cellStyle name="Linked Cell 3 2 2 10 3" xfId="30297" xr:uid="{07CEFF26-BF07-4180-9679-4D154708A16B}"/>
    <cellStyle name="Linked Cell 3 2 2 11" xfId="30298" xr:uid="{29506EE1-28A3-44CC-905C-CE25FBBB0225}"/>
    <cellStyle name="Linked Cell 3 2 2 11 2" xfId="30299" xr:uid="{86D0A3F4-5B86-4AD6-9135-D62ED247518E}"/>
    <cellStyle name="Linked Cell 3 2 2 11 2 2" xfId="30300" xr:uid="{0F52C499-A313-4B4A-98FC-822B2F647ED4}"/>
    <cellStyle name="Linked Cell 3 2 2 11 3" xfId="30301" xr:uid="{BE5A5C71-B354-4F2B-8A3E-AFC19D036366}"/>
    <cellStyle name="Linked Cell 3 2 2 12" xfId="30302" xr:uid="{AA1A50DB-AB27-439B-96A9-2CD90A27D5F7}"/>
    <cellStyle name="Linked Cell 3 2 2 12 2" xfId="30303" xr:uid="{836875D8-FC9D-4DC5-A9D6-4C82BD5C6ED0}"/>
    <cellStyle name="Linked Cell 3 2 2 12 2 2" xfId="30304" xr:uid="{D4EAEE75-38A6-431A-8B5B-0D8E3028C4BA}"/>
    <cellStyle name="Linked Cell 3 2 2 12 3" xfId="30305" xr:uid="{D8BF0C64-52D2-4A59-B98B-7E1D3A026B3B}"/>
    <cellStyle name="Linked Cell 3 2 2 13" xfId="30306" xr:uid="{B643C022-CE52-43E2-82DA-505B35B92F1F}"/>
    <cellStyle name="Linked Cell 3 2 2 13 2" xfId="30307" xr:uid="{DC1A334F-F9BE-41A1-9C12-34A2627F2E24}"/>
    <cellStyle name="Linked Cell 3 2 2 14" xfId="30308" xr:uid="{08FDD46D-C1E3-46F6-8B75-AAF6CFFF5526}"/>
    <cellStyle name="Linked Cell 3 2 2 2" xfId="30309" xr:uid="{71E3CAA5-3921-4483-A28C-A8AAFA1AD79F}"/>
    <cellStyle name="Linked Cell 3 2 2 2 10" xfId="30310" xr:uid="{F305F90B-5FB3-4037-956C-9A0B2C914BF9}"/>
    <cellStyle name="Linked Cell 3 2 2 2 10 2" xfId="30311" xr:uid="{760B8C31-9EC1-4D58-A550-DD1023DA60D3}"/>
    <cellStyle name="Linked Cell 3 2 2 2 10 2 2" xfId="30312" xr:uid="{C9A7BBD0-8108-4820-BBD9-FB59F72308EB}"/>
    <cellStyle name="Linked Cell 3 2 2 2 10 3" xfId="30313" xr:uid="{DCA9657F-A61F-4473-A04E-BE3B0B3C3977}"/>
    <cellStyle name="Linked Cell 3 2 2 2 11" xfId="30314" xr:uid="{C96AB4BD-5E61-43C0-8E43-5F9E6D966050}"/>
    <cellStyle name="Linked Cell 3 2 2 2 11 2" xfId="30315" xr:uid="{C602A6F5-66D8-4FDC-8F73-3A7BCA9D3BE6}"/>
    <cellStyle name="Linked Cell 3 2 2 2 11 2 2" xfId="30316" xr:uid="{DBB62C82-0C3C-4BA1-B4B5-F6F290F95494}"/>
    <cellStyle name="Linked Cell 3 2 2 2 11 3" xfId="30317" xr:uid="{11EB12C0-BA71-4EDF-8C93-74CD4A3A5999}"/>
    <cellStyle name="Linked Cell 3 2 2 2 12" xfId="30318" xr:uid="{276B9F9F-778E-44E5-A64C-81511C7D9C00}"/>
    <cellStyle name="Linked Cell 3 2 2 2 12 2" xfId="30319" xr:uid="{E49643B6-5043-4160-A2B1-C1E907FF38A1}"/>
    <cellStyle name="Linked Cell 3 2 2 2 13" xfId="30320" xr:uid="{882BAFAD-2392-4AD7-8735-581A7D3F3384}"/>
    <cellStyle name="Linked Cell 3 2 2 2 2" xfId="30321" xr:uid="{03EA7DC1-FC21-4A10-9BFA-4D1B67B92803}"/>
    <cellStyle name="Linked Cell 3 2 2 2 2 10" xfId="30322" xr:uid="{316D3357-52B4-41E2-8056-7E4E21723D0A}"/>
    <cellStyle name="Linked Cell 3 2 2 2 2 10 2" xfId="30323" xr:uid="{F0CF17E9-E5AD-451E-A161-88A1E04C827A}"/>
    <cellStyle name="Linked Cell 3 2 2 2 2 10 2 2" xfId="30324" xr:uid="{68C289E0-E246-4C26-8BD7-0C58EB619A69}"/>
    <cellStyle name="Linked Cell 3 2 2 2 2 10 3" xfId="30325" xr:uid="{A365A01D-209E-460B-B2F7-0CC187EAC950}"/>
    <cellStyle name="Linked Cell 3 2 2 2 2 11" xfId="30326" xr:uid="{0E838C0D-88F2-4D08-869D-DA10E177FA38}"/>
    <cellStyle name="Linked Cell 3 2 2 2 2 11 2" xfId="30327" xr:uid="{78910682-664B-4B8D-847D-9E514A4ACF8A}"/>
    <cellStyle name="Linked Cell 3 2 2 2 2 12" xfId="30328" xr:uid="{3CAC8502-2D24-4A50-B503-7D6122B93E76}"/>
    <cellStyle name="Linked Cell 3 2 2 2 2 2" xfId="30329" xr:uid="{398D5D89-4A7D-402C-896A-B2A91ACED41E}"/>
    <cellStyle name="Linked Cell 3 2 2 2 2 2 2" xfId="30330" xr:uid="{A0B17DEB-518A-42B6-B6E5-0531EC9301D4}"/>
    <cellStyle name="Linked Cell 3 2 2 2 2 2 2 2" xfId="30331" xr:uid="{CD149A5C-BA6E-4DD8-8CB5-9573ADB69925}"/>
    <cellStyle name="Linked Cell 3 2 2 2 2 2 3" xfId="30332" xr:uid="{30977809-3554-44A4-BF73-4C2DE9202E5F}"/>
    <cellStyle name="Linked Cell 3 2 2 2 2 3" xfId="30333" xr:uid="{3B95313C-EDDC-424D-BE65-3AB5C77FDD5E}"/>
    <cellStyle name="Linked Cell 3 2 2 2 2 3 2" xfId="30334" xr:uid="{9151502B-6D60-4AE2-B584-B7F7A2F683FB}"/>
    <cellStyle name="Linked Cell 3 2 2 2 2 3 2 2" xfId="30335" xr:uid="{08FCD029-A38A-488C-A60C-AD814A521B56}"/>
    <cellStyle name="Linked Cell 3 2 2 2 2 3 3" xfId="30336" xr:uid="{5BE2B995-14E9-49F1-919C-E04A8DA63C6F}"/>
    <cellStyle name="Linked Cell 3 2 2 2 2 4" xfId="30337" xr:uid="{F4A27915-3F76-40BA-9B93-90CCE8399056}"/>
    <cellStyle name="Linked Cell 3 2 2 2 2 4 2" xfId="30338" xr:uid="{96161056-2042-480A-B286-42C508348EDC}"/>
    <cellStyle name="Linked Cell 3 2 2 2 2 4 2 2" xfId="30339" xr:uid="{C0131B99-72E7-485C-A4D3-278F081E83AE}"/>
    <cellStyle name="Linked Cell 3 2 2 2 2 4 3" xfId="30340" xr:uid="{5777C7D4-6F35-4E27-939D-AC7CEF1DF19D}"/>
    <cellStyle name="Linked Cell 3 2 2 2 2 5" xfId="30341" xr:uid="{5069FF20-0275-4275-9956-777CE510ECE2}"/>
    <cellStyle name="Linked Cell 3 2 2 2 2 5 2" xfId="30342" xr:uid="{E5A01840-261D-40EA-90AC-F4B0F9FAA058}"/>
    <cellStyle name="Linked Cell 3 2 2 2 2 5 2 2" xfId="30343" xr:uid="{E94B4492-E5BF-4EFE-907D-E7C561AB960D}"/>
    <cellStyle name="Linked Cell 3 2 2 2 2 5 3" xfId="30344" xr:uid="{60E61A8F-67CD-42C0-AF8E-13683C0F5B3A}"/>
    <cellStyle name="Linked Cell 3 2 2 2 2 6" xfId="30345" xr:uid="{470B4FC0-2B18-4ED9-8A04-979E549BFEB9}"/>
    <cellStyle name="Linked Cell 3 2 2 2 2 6 2" xfId="30346" xr:uid="{E0DAE3CA-3325-41BA-ACD0-CA77D7E6CA58}"/>
    <cellStyle name="Linked Cell 3 2 2 2 2 6 2 2" xfId="30347" xr:uid="{E59E87A2-CB86-4E87-AC1A-B201C50851E3}"/>
    <cellStyle name="Linked Cell 3 2 2 2 2 6 3" xfId="30348" xr:uid="{CEF0C8DB-89C2-49A0-9EA6-AE960AFFC08D}"/>
    <cellStyle name="Linked Cell 3 2 2 2 2 7" xfId="30349" xr:uid="{08B41928-C09B-4A1D-883D-F06847D0FB39}"/>
    <cellStyle name="Linked Cell 3 2 2 2 2 7 2" xfId="30350" xr:uid="{54D0069E-E366-48C4-BD4C-82FCB4AD4E5F}"/>
    <cellStyle name="Linked Cell 3 2 2 2 2 7 2 2" xfId="30351" xr:uid="{253A2B76-9010-4936-A80F-84E02A44791E}"/>
    <cellStyle name="Linked Cell 3 2 2 2 2 7 3" xfId="30352" xr:uid="{1505DF0E-0089-47DE-8A8E-9F98C4257F53}"/>
    <cellStyle name="Linked Cell 3 2 2 2 2 8" xfId="30353" xr:uid="{0663C08F-7AD4-492B-8376-70EFCD8DFD7E}"/>
    <cellStyle name="Linked Cell 3 2 2 2 2 8 2" xfId="30354" xr:uid="{DC18ED0F-FCD5-446C-8656-04914EC0B868}"/>
    <cellStyle name="Linked Cell 3 2 2 2 2 8 2 2" xfId="30355" xr:uid="{E612CE14-DA0B-4311-9205-6777C8CB917C}"/>
    <cellStyle name="Linked Cell 3 2 2 2 2 8 3" xfId="30356" xr:uid="{F568036C-3DAA-4F24-B62F-53410C43425E}"/>
    <cellStyle name="Linked Cell 3 2 2 2 2 9" xfId="30357" xr:uid="{8A347B5A-D32A-413B-8279-5CB2EDE5BC56}"/>
    <cellStyle name="Linked Cell 3 2 2 2 2 9 2" xfId="30358" xr:uid="{8632DA8E-D489-418A-9564-CAC7C75F5E5D}"/>
    <cellStyle name="Linked Cell 3 2 2 2 2 9 2 2" xfId="30359" xr:uid="{92C9FEB0-9324-4D9D-BF29-B473CBC71842}"/>
    <cellStyle name="Linked Cell 3 2 2 2 2 9 3" xfId="30360" xr:uid="{423CA97A-46D5-428F-A01B-2353A7ED6B3E}"/>
    <cellStyle name="Linked Cell 3 2 2 2 3" xfId="30361" xr:uid="{B7972983-C7A7-4A0C-B3DB-07D10D4FCBC6}"/>
    <cellStyle name="Linked Cell 3 2 2 2 3 10" xfId="30362" xr:uid="{58032775-A332-45B1-8C12-08BE5913593F}"/>
    <cellStyle name="Linked Cell 3 2 2 2 3 10 2" xfId="30363" xr:uid="{5CF33BCE-B661-479C-8763-22F38D97C026}"/>
    <cellStyle name="Linked Cell 3 2 2 2 3 11" xfId="30364" xr:uid="{33F28F7B-6CE1-43DE-B02E-77CBE876B906}"/>
    <cellStyle name="Linked Cell 3 2 2 2 3 2" xfId="30365" xr:uid="{DAD056AA-45AB-495E-B22C-27799FBE7437}"/>
    <cellStyle name="Linked Cell 3 2 2 2 3 2 2" xfId="30366" xr:uid="{2342D0F5-2845-4421-A1A2-BC8239AF8C8D}"/>
    <cellStyle name="Linked Cell 3 2 2 2 3 2 2 2" xfId="30367" xr:uid="{FC4415E4-CD6C-40DB-A508-9CE4EE258D6E}"/>
    <cellStyle name="Linked Cell 3 2 2 2 3 2 3" xfId="30368" xr:uid="{122080DC-6D08-4781-AACA-117317848FFF}"/>
    <cellStyle name="Linked Cell 3 2 2 2 3 3" xfId="30369" xr:uid="{D5C0BBE7-7B8B-4C41-A56C-F09986E1054E}"/>
    <cellStyle name="Linked Cell 3 2 2 2 3 3 2" xfId="30370" xr:uid="{447673A7-7B85-4370-9B9B-1DE735FC9680}"/>
    <cellStyle name="Linked Cell 3 2 2 2 3 3 2 2" xfId="30371" xr:uid="{CF36630F-08C4-490A-9528-DD4AEAAD1F3B}"/>
    <cellStyle name="Linked Cell 3 2 2 2 3 3 3" xfId="30372" xr:uid="{CAD2E262-A541-4A31-96EA-120D3E271A1B}"/>
    <cellStyle name="Linked Cell 3 2 2 2 3 4" xfId="30373" xr:uid="{4BAA72D3-3784-4B52-8AFB-2C6CB2B2C967}"/>
    <cellStyle name="Linked Cell 3 2 2 2 3 4 2" xfId="30374" xr:uid="{CD101C53-B9B6-4FAF-B2F5-A4AE7342DD79}"/>
    <cellStyle name="Linked Cell 3 2 2 2 3 4 2 2" xfId="30375" xr:uid="{E0DBED2F-BBCC-4C5F-9085-1082AC070A55}"/>
    <cellStyle name="Linked Cell 3 2 2 2 3 4 3" xfId="30376" xr:uid="{0BAD5639-ABA4-420C-9DFD-562E4E506B7D}"/>
    <cellStyle name="Linked Cell 3 2 2 2 3 5" xfId="30377" xr:uid="{63C091DF-8333-4F34-BD25-F16C3CAA3A28}"/>
    <cellStyle name="Linked Cell 3 2 2 2 3 5 2" xfId="30378" xr:uid="{F231624B-CF1B-471D-BAC0-EC6944316C23}"/>
    <cellStyle name="Linked Cell 3 2 2 2 3 5 2 2" xfId="30379" xr:uid="{EADEABD6-6E35-47B1-A1BC-BE1FB3F28BD6}"/>
    <cellStyle name="Linked Cell 3 2 2 2 3 5 3" xfId="30380" xr:uid="{8A8E06A3-C674-4AC6-8D0F-BB6902E30237}"/>
    <cellStyle name="Linked Cell 3 2 2 2 3 6" xfId="30381" xr:uid="{BD3BDFC8-98E8-4298-A8DF-1AFBC847B03F}"/>
    <cellStyle name="Linked Cell 3 2 2 2 3 6 2" xfId="30382" xr:uid="{8450169E-383B-4075-BF65-CD143CD29398}"/>
    <cellStyle name="Linked Cell 3 2 2 2 3 6 2 2" xfId="30383" xr:uid="{900328AD-6925-4E86-BA16-FF4D2F240E87}"/>
    <cellStyle name="Linked Cell 3 2 2 2 3 6 3" xfId="30384" xr:uid="{FF36277C-DEAB-41A9-80AE-467C583ECDBB}"/>
    <cellStyle name="Linked Cell 3 2 2 2 3 7" xfId="30385" xr:uid="{02EF64D1-310B-4795-8490-594F76AD208E}"/>
    <cellStyle name="Linked Cell 3 2 2 2 3 7 2" xfId="30386" xr:uid="{4E275C0A-1316-451B-BC6C-2A34F99B0B02}"/>
    <cellStyle name="Linked Cell 3 2 2 2 3 7 2 2" xfId="30387" xr:uid="{27CC4742-59CE-432C-A615-E86E01ADB30D}"/>
    <cellStyle name="Linked Cell 3 2 2 2 3 7 3" xfId="30388" xr:uid="{8CC50E8B-051D-4FBE-BB11-4EF1175CBEFD}"/>
    <cellStyle name="Linked Cell 3 2 2 2 3 8" xfId="30389" xr:uid="{69C1B52A-DF5D-4D38-8B2A-6101BB9E22CC}"/>
    <cellStyle name="Linked Cell 3 2 2 2 3 8 2" xfId="30390" xr:uid="{7439791C-7F0F-4BAB-A96B-6BC1688EC482}"/>
    <cellStyle name="Linked Cell 3 2 2 2 3 8 2 2" xfId="30391" xr:uid="{D77BC814-5633-4327-A7EC-8416220DC1E2}"/>
    <cellStyle name="Linked Cell 3 2 2 2 3 8 3" xfId="30392" xr:uid="{B52D3BFC-AF24-4D8D-B147-2BA5B2DE9741}"/>
    <cellStyle name="Linked Cell 3 2 2 2 3 9" xfId="30393" xr:uid="{5CF731B9-E7BF-40D2-9DC1-591C66CAD84D}"/>
    <cellStyle name="Linked Cell 3 2 2 2 3 9 2" xfId="30394" xr:uid="{7F142B46-F4FB-4AFF-A51C-805828BD7FF4}"/>
    <cellStyle name="Linked Cell 3 2 2 2 3 9 2 2" xfId="30395" xr:uid="{A2BB3841-8DBC-42E4-A1F2-52F32BEB793D}"/>
    <cellStyle name="Linked Cell 3 2 2 2 3 9 3" xfId="30396" xr:uid="{AF270185-4E3F-4E6F-B223-1D026222AC45}"/>
    <cellStyle name="Linked Cell 3 2 2 2 4" xfId="30397" xr:uid="{1EF7B653-8931-4C34-A888-EA722AEFDB18}"/>
    <cellStyle name="Linked Cell 3 2 2 2 4 2" xfId="30398" xr:uid="{BBEF490B-70B3-47EC-AA86-2A0AFD5E230E}"/>
    <cellStyle name="Linked Cell 3 2 2 2 4 2 2" xfId="30399" xr:uid="{8CEFA6EF-6131-48CD-A86F-80B3E2BABE3B}"/>
    <cellStyle name="Linked Cell 3 2 2 2 4 3" xfId="30400" xr:uid="{5D10B379-4771-4790-B800-D2A5FF096373}"/>
    <cellStyle name="Linked Cell 3 2 2 2 5" xfId="30401" xr:uid="{807DCC99-C1A8-422C-BB23-5300325EC7D7}"/>
    <cellStyle name="Linked Cell 3 2 2 2 5 2" xfId="30402" xr:uid="{3B34D1A1-4000-4EA6-B5D8-F0604381B029}"/>
    <cellStyle name="Linked Cell 3 2 2 2 5 2 2" xfId="30403" xr:uid="{89EEA3C3-5ACB-4CF8-B4EA-210EADCB4277}"/>
    <cellStyle name="Linked Cell 3 2 2 2 5 3" xfId="30404" xr:uid="{2166AB42-375F-4BA8-83BB-7A762D07DF9F}"/>
    <cellStyle name="Linked Cell 3 2 2 2 6" xfId="30405" xr:uid="{016B640D-3476-42C1-A717-8BA5356C280F}"/>
    <cellStyle name="Linked Cell 3 2 2 2 6 2" xfId="30406" xr:uid="{D1686DE5-A6D5-454D-A901-222F0DFE4EFE}"/>
    <cellStyle name="Linked Cell 3 2 2 2 6 2 2" xfId="30407" xr:uid="{4CE23A68-9A35-4897-95B7-B9BB6C422C33}"/>
    <cellStyle name="Linked Cell 3 2 2 2 6 3" xfId="30408" xr:uid="{CA932138-EB16-4FA1-A9EA-6244FB9246D0}"/>
    <cellStyle name="Linked Cell 3 2 2 2 7" xfId="30409" xr:uid="{1B14443A-683A-4070-BF59-53ADE87EA87B}"/>
    <cellStyle name="Linked Cell 3 2 2 2 7 2" xfId="30410" xr:uid="{5EA3B43A-774A-48DF-8653-2867B9C789C0}"/>
    <cellStyle name="Linked Cell 3 2 2 2 7 2 2" xfId="30411" xr:uid="{51C09308-9374-40CE-BA22-CF457988DEEB}"/>
    <cellStyle name="Linked Cell 3 2 2 2 7 3" xfId="30412" xr:uid="{EC51BEA7-A633-42C0-A866-14C2BB029A24}"/>
    <cellStyle name="Linked Cell 3 2 2 2 8" xfId="30413" xr:uid="{FAB76412-2145-4FD9-A8A4-8C104029441E}"/>
    <cellStyle name="Linked Cell 3 2 2 2 8 2" xfId="30414" xr:uid="{F06DE925-CC78-449D-8746-FEDF09F8911F}"/>
    <cellStyle name="Linked Cell 3 2 2 2 8 2 2" xfId="30415" xr:uid="{0443637B-EAE9-4F78-B477-08D0F8EB05C8}"/>
    <cellStyle name="Linked Cell 3 2 2 2 8 3" xfId="30416" xr:uid="{2D6446DA-F653-40C9-A442-6E25850A2E2F}"/>
    <cellStyle name="Linked Cell 3 2 2 2 9" xfId="30417" xr:uid="{DFE03D0E-C5C7-45D6-B370-533E2D447968}"/>
    <cellStyle name="Linked Cell 3 2 2 2 9 2" xfId="30418" xr:uid="{580E496F-1B76-4C8C-9EE4-13A078A7A496}"/>
    <cellStyle name="Linked Cell 3 2 2 2 9 2 2" xfId="30419" xr:uid="{49796531-B55F-419C-BF24-8E1F917BEDD7}"/>
    <cellStyle name="Linked Cell 3 2 2 2 9 3" xfId="30420" xr:uid="{ABE564FA-6E4C-433E-B08B-EBA8DF9652CC}"/>
    <cellStyle name="Linked Cell 3 2 2 3" xfId="30421" xr:uid="{E04879BF-CDB9-4644-A96E-94FF48A78182}"/>
    <cellStyle name="Linked Cell 3 2 2 3 10" xfId="30422" xr:uid="{AD18B813-E670-47C6-AE07-86314F5B175A}"/>
    <cellStyle name="Linked Cell 3 2 2 3 10 2" xfId="30423" xr:uid="{0F7D08C4-ACF4-4A57-A1AB-B0097AB67AC2}"/>
    <cellStyle name="Linked Cell 3 2 2 3 10 2 2" xfId="30424" xr:uid="{2CD486F1-95AF-4F20-93FB-7EE642FA8848}"/>
    <cellStyle name="Linked Cell 3 2 2 3 10 3" xfId="30425" xr:uid="{FBDBB5F8-75D5-490C-BF9B-74874630545F}"/>
    <cellStyle name="Linked Cell 3 2 2 3 11" xfId="30426" xr:uid="{982DD990-9D92-4833-932C-C9F444FE903F}"/>
    <cellStyle name="Linked Cell 3 2 2 3 11 2" xfId="30427" xr:uid="{1C54C1B8-6DB0-48AF-9ED9-1D43383D4D40}"/>
    <cellStyle name="Linked Cell 3 2 2 3 12" xfId="30428" xr:uid="{09D69D82-0367-4ACE-BA79-5918628491AE}"/>
    <cellStyle name="Linked Cell 3 2 2 3 2" xfId="30429" xr:uid="{B56ED8DB-23B3-4441-B6FA-5CB98148C8B3}"/>
    <cellStyle name="Linked Cell 3 2 2 3 2 10" xfId="30430" xr:uid="{9DBF2695-508C-48F8-A511-338B2B42652E}"/>
    <cellStyle name="Linked Cell 3 2 2 3 2 10 2" xfId="30431" xr:uid="{AF2ECBF3-0748-4CAE-9E50-7FF17ACF1A9E}"/>
    <cellStyle name="Linked Cell 3 2 2 3 2 11" xfId="30432" xr:uid="{E14DF50B-BDE4-45D5-99C5-D8859DFBB65D}"/>
    <cellStyle name="Linked Cell 3 2 2 3 2 2" xfId="30433" xr:uid="{52F9D85B-2A84-4FEF-81A5-C9A946FBF8D5}"/>
    <cellStyle name="Linked Cell 3 2 2 3 2 2 2" xfId="30434" xr:uid="{27722353-5E66-4023-9B64-147496CD12A4}"/>
    <cellStyle name="Linked Cell 3 2 2 3 2 2 2 2" xfId="30435" xr:uid="{68693FB9-9808-4F61-AC4F-2368D3183D6B}"/>
    <cellStyle name="Linked Cell 3 2 2 3 2 2 3" xfId="30436" xr:uid="{581DF86D-AC44-4B5E-9A31-D2A7C426AD87}"/>
    <cellStyle name="Linked Cell 3 2 2 3 2 3" xfId="30437" xr:uid="{2FD29536-A1B4-4837-B3DD-5C959E07B208}"/>
    <cellStyle name="Linked Cell 3 2 2 3 2 3 2" xfId="30438" xr:uid="{504B6D7B-EE75-4E94-B55F-09BED055F2D4}"/>
    <cellStyle name="Linked Cell 3 2 2 3 2 3 2 2" xfId="30439" xr:uid="{69430086-9EF1-4AA9-B77E-B618679A79DD}"/>
    <cellStyle name="Linked Cell 3 2 2 3 2 3 3" xfId="30440" xr:uid="{79976237-9CBD-48B2-9F9B-2460A169433D}"/>
    <cellStyle name="Linked Cell 3 2 2 3 2 4" xfId="30441" xr:uid="{4B4BC14F-8DEA-404C-9137-0A0C2C89C3FD}"/>
    <cellStyle name="Linked Cell 3 2 2 3 2 4 2" xfId="30442" xr:uid="{4F1F555A-782F-4C6F-8CB1-50B40F375E28}"/>
    <cellStyle name="Linked Cell 3 2 2 3 2 4 2 2" xfId="30443" xr:uid="{C3B3574B-6769-4A13-8611-879C32F11BDD}"/>
    <cellStyle name="Linked Cell 3 2 2 3 2 4 3" xfId="30444" xr:uid="{3010E324-657C-4F07-9917-4EE53C7E0F88}"/>
    <cellStyle name="Linked Cell 3 2 2 3 2 5" xfId="30445" xr:uid="{424B4243-21D7-425F-8AD9-7F03D3755B7C}"/>
    <cellStyle name="Linked Cell 3 2 2 3 2 5 2" xfId="30446" xr:uid="{0C672E3B-CFAC-4B4E-9587-0501BBA8821E}"/>
    <cellStyle name="Linked Cell 3 2 2 3 2 5 2 2" xfId="30447" xr:uid="{02FCD539-9C14-4C55-B0FA-63EA7E7FE680}"/>
    <cellStyle name="Linked Cell 3 2 2 3 2 5 3" xfId="30448" xr:uid="{96D55EB9-D9EE-4A73-8B31-6F57E92FEB8B}"/>
    <cellStyle name="Linked Cell 3 2 2 3 2 6" xfId="30449" xr:uid="{AC075726-C20D-4C7C-BBE9-98FF2386B3C4}"/>
    <cellStyle name="Linked Cell 3 2 2 3 2 6 2" xfId="30450" xr:uid="{E858861E-8E40-4C82-BA22-B3AC1F76A5F4}"/>
    <cellStyle name="Linked Cell 3 2 2 3 2 6 2 2" xfId="30451" xr:uid="{B8D6B672-5358-43B9-B72D-FCEC5E1EBC34}"/>
    <cellStyle name="Linked Cell 3 2 2 3 2 6 3" xfId="30452" xr:uid="{58F527D3-2ACD-458A-A3D3-EC310C38CCC8}"/>
    <cellStyle name="Linked Cell 3 2 2 3 2 7" xfId="30453" xr:uid="{15986946-3292-49D4-A6F2-DA184C3F96C0}"/>
    <cellStyle name="Linked Cell 3 2 2 3 2 7 2" xfId="30454" xr:uid="{695CF6AD-A64B-4DB0-A38D-C3FA63D5D33E}"/>
    <cellStyle name="Linked Cell 3 2 2 3 2 7 2 2" xfId="30455" xr:uid="{F74B69F2-CA3C-4237-A275-0682E06D62D3}"/>
    <cellStyle name="Linked Cell 3 2 2 3 2 7 3" xfId="30456" xr:uid="{FAD1EA97-A3C2-47B3-8BC2-7F9E37770B5F}"/>
    <cellStyle name="Linked Cell 3 2 2 3 2 8" xfId="30457" xr:uid="{B5FBB6E6-38F4-41D6-96C1-D10360F1F106}"/>
    <cellStyle name="Linked Cell 3 2 2 3 2 8 2" xfId="30458" xr:uid="{FEFD03BB-8770-4D03-816B-C679CDF92006}"/>
    <cellStyle name="Linked Cell 3 2 2 3 2 8 2 2" xfId="30459" xr:uid="{6D639DEA-2CF3-4879-A9D5-D8D77642A30C}"/>
    <cellStyle name="Linked Cell 3 2 2 3 2 8 3" xfId="30460" xr:uid="{42A53379-368C-4745-B674-FC11B368DAC9}"/>
    <cellStyle name="Linked Cell 3 2 2 3 2 9" xfId="30461" xr:uid="{19DA51D9-D196-45BF-B128-3BD2E2EA2F27}"/>
    <cellStyle name="Linked Cell 3 2 2 3 2 9 2" xfId="30462" xr:uid="{FA69FC18-CC09-4D35-B06F-920C4EAF3AB3}"/>
    <cellStyle name="Linked Cell 3 2 2 3 2 9 2 2" xfId="30463" xr:uid="{C7412C64-C5F7-4B10-BD61-F64D4F3D50D4}"/>
    <cellStyle name="Linked Cell 3 2 2 3 2 9 3" xfId="30464" xr:uid="{DA0B03A0-6C72-456E-809B-AA40AC40FAFB}"/>
    <cellStyle name="Linked Cell 3 2 2 3 3" xfId="30465" xr:uid="{7F2BE438-026B-460F-B34E-551B1529BF38}"/>
    <cellStyle name="Linked Cell 3 2 2 3 3 2" xfId="30466" xr:uid="{7634B5C5-87BD-4102-A4BA-FFDED7982635}"/>
    <cellStyle name="Linked Cell 3 2 2 3 3 2 2" xfId="30467" xr:uid="{7C35784A-AA40-4277-B03C-0DD5E82D09D0}"/>
    <cellStyle name="Linked Cell 3 2 2 3 3 3" xfId="30468" xr:uid="{D6EE553A-0D40-46EC-96C3-8B18BA272523}"/>
    <cellStyle name="Linked Cell 3 2 2 3 4" xfId="30469" xr:uid="{9CF4EEB7-A176-4A96-8C1D-A46963B2AC4C}"/>
    <cellStyle name="Linked Cell 3 2 2 3 4 2" xfId="30470" xr:uid="{DEAC6651-B58F-4F54-B296-19782DEAA3D4}"/>
    <cellStyle name="Linked Cell 3 2 2 3 4 2 2" xfId="30471" xr:uid="{34A62F8D-D3B7-47B6-B41F-AA7BAA6EE1CB}"/>
    <cellStyle name="Linked Cell 3 2 2 3 4 3" xfId="30472" xr:uid="{0D07A234-5D3A-4842-84C5-2F2226E964F4}"/>
    <cellStyle name="Linked Cell 3 2 2 3 5" xfId="30473" xr:uid="{82347F79-0E5B-4525-9421-1A266E7A9FB5}"/>
    <cellStyle name="Linked Cell 3 2 2 3 5 2" xfId="30474" xr:uid="{DB38D618-8B74-48FB-90F0-4C9091DA6547}"/>
    <cellStyle name="Linked Cell 3 2 2 3 5 2 2" xfId="30475" xr:uid="{9C778CE9-779A-4A36-9CAB-304E2281D1A4}"/>
    <cellStyle name="Linked Cell 3 2 2 3 5 3" xfId="30476" xr:uid="{C2A566F1-81A4-4E39-B7BD-32620038935C}"/>
    <cellStyle name="Linked Cell 3 2 2 3 6" xfId="30477" xr:uid="{848E4A4B-CE2F-40A9-BD1A-9908135D14F5}"/>
    <cellStyle name="Linked Cell 3 2 2 3 6 2" xfId="30478" xr:uid="{6E781B7D-835B-4190-B0DA-A972494616A3}"/>
    <cellStyle name="Linked Cell 3 2 2 3 6 2 2" xfId="30479" xr:uid="{68AB5AAC-0B4A-4E61-B572-FC3BE3D3249E}"/>
    <cellStyle name="Linked Cell 3 2 2 3 6 3" xfId="30480" xr:uid="{85822AB6-16A9-46EA-8C31-9205ABB0565D}"/>
    <cellStyle name="Linked Cell 3 2 2 3 7" xfId="30481" xr:uid="{CBE3764B-B9ED-4AAB-AC75-4945FDC47206}"/>
    <cellStyle name="Linked Cell 3 2 2 3 7 2" xfId="30482" xr:uid="{0505C86F-E54E-4C78-9997-83477ECB64E3}"/>
    <cellStyle name="Linked Cell 3 2 2 3 7 2 2" xfId="30483" xr:uid="{1B467D10-2BB0-4960-976A-B4751F576CA1}"/>
    <cellStyle name="Linked Cell 3 2 2 3 7 3" xfId="30484" xr:uid="{70434B85-5529-4796-8F9E-95BE223EA71A}"/>
    <cellStyle name="Linked Cell 3 2 2 3 8" xfId="30485" xr:uid="{19910CD7-806F-475A-8026-F4D2735F3B97}"/>
    <cellStyle name="Linked Cell 3 2 2 3 8 2" xfId="30486" xr:uid="{5AB7C090-B268-4C17-B7A8-963CA4666FA2}"/>
    <cellStyle name="Linked Cell 3 2 2 3 8 2 2" xfId="30487" xr:uid="{22749B77-D1AC-4A0B-90E2-B6F074186EE1}"/>
    <cellStyle name="Linked Cell 3 2 2 3 8 3" xfId="30488" xr:uid="{966292D6-E7BD-454A-A21D-966C07EFD45F}"/>
    <cellStyle name="Linked Cell 3 2 2 3 9" xfId="30489" xr:uid="{B4508635-2E60-4A85-A946-B1874D6944C7}"/>
    <cellStyle name="Linked Cell 3 2 2 3 9 2" xfId="30490" xr:uid="{963020E2-481C-4997-828F-C29D8A88006D}"/>
    <cellStyle name="Linked Cell 3 2 2 3 9 2 2" xfId="30491" xr:uid="{3EBB1814-9740-4B09-B863-8FEA3FF8CAA7}"/>
    <cellStyle name="Linked Cell 3 2 2 3 9 3" xfId="30492" xr:uid="{B595A40F-00D0-45E8-82E9-94DB7AF013A1}"/>
    <cellStyle name="Linked Cell 3 2 2 4" xfId="30493" xr:uid="{060663E5-3D75-4520-B338-263A8F5468F7}"/>
    <cellStyle name="Linked Cell 3 2 2 4 10" xfId="30494" xr:uid="{E6E5DD9F-33FF-4DEC-B940-44A70FE81B3F}"/>
    <cellStyle name="Linked Cell 3 2 2 4 10 2" xfId="30495" xr:uid="{FADA13BA-9085-4E98-A490-5537EC74B447}"/>
    <cellStyle name="Linked Cell 3 2 2 4 11" xfId="30496" xr:uid="{4C39C154-96B8-4289-866F-1B509CDDDF92}"/>
    <cellStyle name="Linked Cell 3 2 2 4 2" xfId="30497" xr:uid="{0A22C6B6-C692-4252-B6B2-451F573C0897}"/>
    <cellStyle name="Linked Cell 3 2 2 4 2 2" xfId="30498" xr:uid="{6A57C520-654B-4A50-8F0E-1237D3E1BDF9}"/>
    <cellStyle name="Linked Cell 3 2 2 4 2 2 2" xfId="30499" xr:uid="{51D09C51-AE74-4D05-A24F-A741730759B4}"/>
    <cellStyle name="Linked Cell 3 2 2 4 2 3" xfId="30500" xr:uid="{DD412438-5EA1-4D0F-8551-2785D468BE37}"/>
    <cellStyle name="Linked Cell 3 2 2 4 3" xfId="30501" xr:uid="{CEF4272B-1B13-4EB0-B0A4-FBF09999345B}"/>
    <cellStyle name="Linked Cell 3 2 2 4 3 2" xfId="30502" xr:uid="{178CF3AF-29B9-4CC5-8273-7BF486BB5940}"/>
    <cellStyle name="Linked Cell 3 2 2 4 3 2 2" xfId="30503" xr:uid="{66283725-9E1D-4DFE-A27C-6FC6E9AC05AB}"/>
    <cellStyle name="Linked Cell 3 2 2 4 3 3" xfId="30504" xr:uid="{76A05E26-2E97-4F7B-9E6A-4BF4A0AF18B9}"/>
    <cellStyle name="Linked Cell 3 2 2 4 4" xfId="30505" xr:uid="{1068296C-B968-492D-A470-477E3DB7FABC}"/>
    <cellStyle name="Linked Cell 3 2 2 4 4 2" xfId="30506" xr:uid="{48124199-99AD-4C19-9C58-572F42E2B492}"/>
    <cellStyle name="Linked Cell 3 2 2 4 4 2 2" xfId="30507" xr:uid="{8AB13EF2-E856-49D7-A073-34990DC88678}"/>
    <cellStyle name="Linked Cell 3 2 2 4 4 3" xfId="30508" xr:uid="{207C928D-357E-4F6F-B248-219C7526FC42}"/>
    <cellStyle name="Linked Cell 3 2 2 4 5" xfId="30509" xr:uid="{9941FA60-D939-4054-8DFA-3012642F18B0}"/>
    <cellStyle name="Linked Cell 3 2 2 4 5 2" xfId="30510" xr:uid="{61750FBC-9F1C-4804-A225-36CCB1F81E63}"/>
    <cellStyle name="Linked Cell 3 2 2 4 5 2 2" xfId="30511" xr:uid="{B7CC598D-AFE8-4C71-819A-A2D7F16B1B5D}"/>
    <cellStyle name="Linked Cell 3 2 2 4 5 3" xfId="30512" xr:uid="{4A7EA38B-685D-4DFC-AD60-C46FE710B503}"/>
    <cellStyle name="Linked Cell 3 2 2 4 6" xfId="30513" xr:uid="{7DD4CFBF-3ACA-4595-90D7-5F42E5E44406}"/>
    <cellStyle name="Linked Cell 3 2 2 4 6 2" xfId="30514" xr:uid="{7B827D46-70EB-4EAC-AF81-29E006B461F2}"/>
    <cellStyle name="Linked Cell 3 2 2 4 6 2 2" xfId="30515" xr:uid="{B484FC94-147E-404A-8ACB-1BEC4CA062B0}"/>
    <cellStyle name="Linked Cell 3 2 2 4 6 3" xfId="30516" xr:uid="{E7541700-F938-4DD0-AA05-E3FD6A2F99EE}"/>
    <cellStyle name="Linked Cell 3 2 2 4 7" xfId="30517" xr:uid="{54B81FD6-FFFD-4CCF-9F97-6BE465F5C6FD}"/>
    <cellStyle name="Linked Cell 3 2 2 4 7 2" xfId="30518" xr:uid="{67800F87-B97D-413F-9169-956CA60DD6E1}"/>
    <cellStyle name="Linked Cell 3 2 2 4 7 2 2" xfId="30519" xr:uid="{2E04B006-42BC-4469-84DC-555AA4788A58}"/>
    <cellStyle name="Linked Cell 3 2 2 4 7 3" xfId="30520" xr:uid="{BDE35A9A-62A5-45FD-8F59-B5F3DAA65292}"/>
    <cellStyle name="Linked Cell 3 2 2 4 8" xfId="30521" xr:uid="{F456BFBA-B6A6-446B-B438-279C0C8E9F50}"/>
    <cellStyle name="Linked Cell 3 2 2 4 8 2" xfId="30522" xr:uid="{CB15E7D5-3F1F-4BE2-8628-6923A47ED9B5}"/>
    <cellStyle name="Linked Cell 3 2 2 4 8 2 2" xfId="30523" xr:uid="{78738BBE-2A69-44F5-B3B0-BE8F62D2FD9D}"/>
    <cellStyle name="Linked Cell 3 2 2 4 8 3" xfId="30524" xr:uid="{76B54DBC-A178-4F20-9F31-4CAA2421291E}"/>
    <cellStyle name="Linked Cell 3 2 2 4 9" xfId="30525" xr:uid="{73FB5493-BDDE-4DA2-851B-10FD85F928B1}"/>
    <cellStyle name="Linked Cell 3 2 2 4 9 2" xfId="30526" xr:uid="{6B6F74BE-879C-4AB3-8AA5-F30BCF9191EC}"/>
    <cellStyle name="Linked Cell 3 2 2 4 9 2 2" xfId="30527" xr:uid="{AD5AE6A7-73DD-4461-9060-DA0C7DAC5DF1}"/>
    <cellStyle name="Linked Cell 3 2 2 4 9 3" xfId="30528" xr:uid="{50A27600-BC9F-4ADE-A1B2-7D75AA96B4B4}"/>
    <cellStyle name="Linked Cell 3 2 2 5" xfId="30529" xr:uid="{D93539DE-068E-4ADC-978E-55E5B5DAEBE1}"/>
    <cellStyle name="Linked Cell 3 2 2 5 2" xfId="30530" xr:uid="{D9279E83-C528-4156-A7A7-534EB5F2DF83}"/>
    <cellStyle name="Linked Cell 3 2 2 5 2 2" xfId="30531" xr:uid="{AEB71548-75C7-4FCA-8F00-99C223CECB5E}"/>
    <cellStyle name="Linked Cell 3 2 2 5 3" xfId="30532" xr:uid="{A2597DB2-453C-4BA3-8A7E-6874E2846EF0}"/>
    <cellStyle name="Linked Cell 3 2 2 6" xfId="30533" xr:uid="{54CE3B82-8D75-4994-B675-215336AEF4D2}"/>
    <cellStyle name="Linked Cell 3 2 2 6 2" xfId="30534" xr:uid="{FFAD1C19-B236-4226-8F96-72A7DE37DF0B}"/>
    <cellStyle name="Linked Cell 3 2 2 6 2 2" xfId="30535" xr:uid="{2E099354-92A9-442D-854E-DEFF6575672D}"/>
    <cellStyle name="Linked Cell 3 2 2 6 3" xfId="30536" xr:uid="{D8339F65-1BA9-4B42-AA30-6B1149B6CBB9}"/>
    <cellStyle name="Linked Cell 3 2 2 7" xfId="30537" xr:uid="{F38A7E67-A0F5-4B6B-9247-FD019FC9F465}"/>
    <cellStyle name="Linked Cell 3 2 2 7 2" xfId="30538" xr:uid="{4B05030A-573E-4B5A-B25A-7285E530325A}"/>
    <cellStyle name="Linked Cell 3 2 2 7 2 2" xfId="30539" xr:uid="{4F826BFD-B557-4C14-9E93-08DF7226B274}"/>
    <cellStyle name="Linked Cell 3 2 2 7 3" xfId="30540" xr:uid="{22A93652-FBCA-471A-A55A-3D2F7DC48B4C}"/>
    <cellStyle name="Linked Cell 3 2 2 8" xfId="30541" xr:uid="{9906317E-5988-4368-9B62-46081312DF02}"/>
    <cellStyle name="Linked Cell 3 2 2 8 2" xfId="30542" xr:uid="{6BDD6FE3-6F86-4906-8A35-FF9B5C3FD91D}"/>
    <cellStyle name="Linked Cell 3 2 2 8 2 2" xfId="30543" xr:uid="{D57DDCE3-52AF-41A5-A0C4-80A1A16629C6}"/>
    <cellStyle name="Linked Cell 3 2 2 8 3" xfId="30544" xr:uid="{AE0D5A0D-E4FF-4F1B-A57F-986ADB1D9D92}"/>
    <cellStyle name="Linked Cell 3 2 2 9" xfId="30545" xr:uid="{4AD297B2-A108-440C-921E-01F376C4EDD4}"/>
    <cellStyle name="Linked Cell 3 2 2 9 2" xfId="30546" xr:uid="{8E08E39A-822E-4398-B1D2-91EE9DB8757B}"/>
    <cellStyle name="Linked Cell 3 2 2 9 2 2" xfId="30547" xr:uid="{D95CCD98-7B44-41EF-B2DB-1429C07786F0}"/>
    <cellStyle name="Linked Cell 3 2 2 9 3" xfId="30548" xr:uid="{859AB673-3E9F-45CC-855D-DD121E500245}"/>
    <cellStyle name="Linked Cell 3 2 3" xfId="30549" xr:uid="{5A5F1888-6A21-4A3F-B0EF-B153C332B618}"/>
    <cellStyle name="Linked Cell 3 2 3 10" xfId="30550" xr:uid="{C655208F-770E-4F7B-89A1-25D504634AAC}"/>
    <cellStyle name="Linked Cell 3 2 3 10 2" xfId="30551" xr:uid="{515DF24F-F4A6-485D-84C3-4FADE0C828D9}"/>
    <cellStyle name="Linked Cell 3 2 3 10 2 2" xfId="30552" xr:uid="{82763675-1030-4F1F-87A4-1A87CBD9624B}"/>
    <cellStyle name="Linked Cell 3 2 3 10 3" xfId="30553" xr:uid="{3A7850BA-7A6A-4715-9D5E-E46DCA99F4C4}"/>
    <cellStyle name="Linked Cell 3 2 3 11" xfId="30554" xr:uid="{7319723B-4DD4-4474-A2E9-5EB871F94D54}"/>
    <cellStyle name="Linked Cell 3 2 3 11 2" xfId="30555" xr:uid="{5FF47CC6-08F9-40F5-A895-AD8C7771BB8A}"/>
    <cellStyle name="Linked Cell 3 2 3 11 2 2" xfId="30556" xr:uid="{47305CBF-E067-4153-886C-16D48544F557}"/>
    <cellStyle name="Linked Cell 3 2 3 11 3" xfId="30557" xr:uid="{61C68AF8-C605-4613-8749-22A78B67EDA7}"/>
    <cellStyle name="Linked Cell 3 2 3 12" xfId="30558" xr:uid="{BAEAD6DD-D588-42CC-A050-1C1EB65F0721}"/>
    <cellStyle name="Linked Cell 3 2 3 12 2" xfId="30559" xr:uid="{48588CD4-B69F-4E0E-9F7C-56A3488CD48A}"/>
    <cellStyle name="Linked Cell 3 2 3 13" xfId="30560" xr:uid="{234EA490-A106-4E45-81A5-811451597B63}"/>
    <cellStyle name="Linked Cell 3 2 3 2" xfId="30561" xr:uid="{43D507A0-1D18-41A9-A342-5377139FF6E1}"/>
    <cellStyle name="Linked Cell 3 2 3 2 10" xfId="30562" xr:uid="{5B6EB55C-D9B2-4C38-A0F3-528FF53D7AB2}"/>
    <cellStyle name="Linked Cell 3 2 3 2 10 2" xfId="30563" xr:uid="{63360FC6-75B1-49C5-B5CD-65276705902B}"/>
    <cellStyle name="Linked Cell 3 2 3 2 10 2 2" xfId="30564" xr:uid="{CC7D5252-9DFE-4D82-93B0-2FAB97A62F21}"/>
    <cellStyle name="Linked Cell 3 2 3 2 10 3" xfId="30565" xr:uid="{02C4AC27-9A7B-412E-803A-DC2F03B9B831}"/>
    <cellStyle name="Linked Cell 3 2 3 2 11" xfId="30566" xr:uid="{527B6B7F-BE92-49CE-9C11-B2F5180DABF7}"/>
    <cellStyle name="Linked Cell 3 2 3 2 11 2" xfId="30567" xr:uid="{0C18D2CD-6C73-41CD-8F3E-E178C737C249}"/>
    <cellStyle name="Linked Cell 3 2 3 2 12" xfId="30568" xr:uid="{E03EE5D9-EFEE-429F-AEA2-9F44D6EF2ED0}"/>
    <cellStyle name="Linked Cell 3 2 3 2 2" xfId="30569" xr:uid="{79CF344B-857A-4C0F-96E8-11A3AD8AF074}"/>
    <cellStyle name="Linked Cell 3 2 3 2 2 2" xfId="30570" xr:uid="{D257DF6B-974E-4C17-8C80-EB47EF97DC42}"/>
    <cellStyle name="Linked Cell 3 2 3 2 2 2 2" xfId="30571" xr:uid="{B7C8040D-F6BE-4ED6-9D51-05034F6A147C}"/>
    <cellStyle name="Linked Cell 3 2 3 2 2 3" xfId="30572" xr:uid="{B865F927-DAFE-4288-BDFB-BA166444C2F9}"/>
    <cellStyle name="Linked Cell 3 2 3 2 3" xfId="30573" xr:uid="{9B7EDF72-5A56-42F0-98F7-872D39FDBD7F}"/>
    <cellStyle name="Linked Cell 3 2 3 2 3 2" xfId="30574" xr:uid="{C8C83463-C571-4919-9516-F2F0332E973A}"/>
    <cellStyle name="Linked Cell 3 2 3 2 3 2 2" xfId="30575" xr:uid="{8BC2C672-1F4F-4424-B49A-9E1C0FF4F561}"/>
    <cellStyle name="Linked Cell 3 2 3 2 3 3" xfId="30576" xr:uid="{4092B548-4DA2-4E05-8132-514D4B7BA262}"/>
    <cellStyle name="Linked Cell 3 2 3 2 4" xfId="30577" xr:uid="{8972EDD1-5EB3-4F5D-90EB-D19F9755A9BE}"/>
    <cellStyle name="Linked Cell 3 2 3 2 4 2" xfId="30578" xr:uid="{09A7D487-C5F8-4D4C-8069-9D832BB377EA}"/>
    <cellStyle name="Linked Cell 3 2 3 2 4 2 2" xfId="30579" xr:uid="{07CFE838-5FE1-4451-939A-CE535BC19C9F}"/>
    <cellStyle name="Linked Cell 3 2 3 2 4 3" xfId="30580" xr:uid="{1B286EE2-9891-4583-BB8F-F0CCB2B126D2}"/>
    <cellStyle name="Linked Cell 3 2 3 2 5" xfId="30581" xr:uid="{C1451022-7443-484E-923B-CE68149E1B04}"/>
    <cellStyle name="Linked Cell 3 2 3 2 5 2" xfId="30582" xr:uid="{D2E27874-3445-40C6-B854-5130C745AFBC}"/>
    <cellStyle name="Linked Cell 3 2 3 2 5 2 2" xfId="30583" xr:uid="{7BDE6493-CB04-48F5-AFB0-9AEB68F3CAA1}"/>
    <cellStyle name="Linked Cell 3 2 3 2 5 3" xfId="30584" xr:uid="{FA6452E3-C962-4400-8FAD-DF51F6944796}"/>
    <cellStyle name="Linked Cell 3 2 3 2 6" xfId="30585" xr:uid="{72698F99-62BE-47E3-A076-D5DD319C223A}"/>
    <cellStyle name="Linked Cell 3 2 3 2 6 2" xfId="30586" xr:uid="{7B5F0E5C-288E-4E16-8348-D605B765C069}"/>
    <cellStyle name="Linked Cell 3 2 3 2 6 2 2" xfId="30587" xr:uid="{37F7DF5E-826B-40DF-B7D1-FD36BA8613E0}"/>
    <cellStyle name="Linked Cell 3 2 3 2 6 3" xfId="30588" xr:uid="{19305825-BE1A-4532-89CB-A4675FFEADAB}"/>
    <cellStyle name="Linked Cell 3 2 3 2 7" xfId="30589" xr:uid="{15CFDBBD-185D-4F7D-8DCD-EB5607DFF90E}"/>
    <cellStyle name="Linked Cell 3 2 3 2 7 2" xfId="30590" xr:uid="{9FA79660-2159-4EE2-8E12-830F6F954923}"/>
    <cellStyle name="Linked Cell 3 2 3 2 7 2 2" xfId="30591" xr:uid="{D6A68B0B-10E5-4E93-ACE7-7D579D2ABAAE}"/>
    <cellStyle name="Linked Cell 3 2 3 2 7 3" xfId="30592" xr:uid="{A71473AF-6459-46BF-A30F-C55CF6D8598D}"/>
    <cellStyle name="Linked Cell 3 2 3 2 8" xfId="30593" xr:uid="{A325CDD1-0E09-4F6F-A53A-DF0BAC49749A}"/>
    <cellStyle name="Linked Cell 3 2 3 2 8 2" xfId="30594" xr:uid="{C7DC74C8-634B-4F1D-BD79-EF6774F1B429}"/>
    <cellStyle name="Linked Cell 3 2 3 2 8 2 2" xfId="30595" xr:uid="{C2BF27A6-D5A7-48F5-8B81-425C229DA742}"/>
    <cellStyle name="Linked Cell 3 2 3 2 8 3" xfId="30596" xr:uid="{BB2A5EFE-36E1-4D28-AF69-EB72017452F2}"/>
    <cellStyle name="Linked Cell 3 2 3 2 9" xfId="30597" xr:uid="{9B8CBED0-65AC-4BB7-B84E-6FCC438352B7}"/>
    <cellStyle name="Linked Cell 3 2 3 2 9 2" xfId="30598" xr:uid="{DF48D3E3-CB7B-4652-9F8D-3C60D8A82D1D}"/>
    <cellStyle name="Linked Cell 3 2 3 2 9 2 2" xfId="30599" xr:uid="{C668DF1C-BBB2-435F-9F3B-6E1C54AE6005}"/>
    <cellStyle name="Linked Cell 3 2 3 2 9 3" xfId="30600" xr:uid="{561D0310-92CD-4546-95FE-99B3C68C5F1D}"/>
    <cellStyle name="Linked Cell 3 2 3 3" xfId="30601" xr:uid="{658EB3E4-0985-4F76-A232-732F484D82A5}"/>
    <cellStyle name="Linked Cell 3 2 3 3 10" xfId="30602" xr:uid="{04B4F02C-D126-42B1-BBF3-FB7CD761A553}"/>
    <cellStyle name="Linked Cell 3 2 3 3 10 2" xfId="30603" xr:uid="{3CEB7143-B1CB-465E-BF69-D6AB5FEA19B4}"/>
    <cellStyle name="Linked Cell 3 2 3 3 11" xfId="30604" xr:uid="{4AFD8ED5-D11B-4870-A4A3-CB7148D3F883}"/>
    <cellStyle name="Linked Cell 3 2 3 3 2" xfId="30605" xr:uid="{C00BCB86-FD87-4007-AA78-8A6216E87B7F}"/>
    <cellStyle name="Linked Cell 3 2 3 3 2 2" xfId="30606" xr:uid="{6A50DACF-FF2A-412C-BCCF-5E6854757715}"/>
    <cellStyle name="Linked Cell 3 2 3 3 2 2 2" xfId="30607" xr:uid="{20D67E64-DAB8-4C2B-B32A-452A773C779C}"/>
    <cellStyle name="Linked Cell 3 2 3 3 2 3" xfId="30608" xr:uid="{1147680A-D4E6-4C63-A9A6-A5B42D067451}"/>
    <cellStyle name="Linked Cell 3 2 3 3 3" xfId="30609" xr:uid="{C322A42B-77CA-457D-A77E-9C3A9ED5C535}"/>
    <cellStyle name="Linked Cell 3 2 3 3 3 2" xfId="30610" xr:uid="{196E46D8-9F94-4F79-9864-FFA62E229953}"/>
    <cellStyle name="Linked Cell 3 2 3 3 3 2 2" xfId="30611" xr:uid="{08242F0E-79B8-4CE5-9384-B34FF6C1F929}"/>
    <cellStyle name="Linked Cell 3 2 3 3 3 3" xfId="30612" xr:uid="{65BD9C47-95F2-431A-9C3D-3B6CC6B806B5}"/>
    <cellStyle name="Linked Cell 3 2 3 3 4" xfId="30613" xr:uid="{12722887-A3F9-47BF-BA75-B91830F5DA9E}"/>
    <cellStyle name="Linked Cell 3 2 3 3 4 2" xfId="30614" xr:uid="{F30793CF-B7D9-4330-A6E8-1736E9BC80E7}"/>
    <cellStyle name="Linked Cell 3 2 3 3 4 2 2" xfId="30615" xr:uid="{48CF8BA7-A717-44E2-BBB5-F7D59AA533C8}"/>
    <cellStyle name="Linked Cell 3 2 3 3 4 3" xfId="30616" xr:uid="{67B6909A-886A-4066-B7EB-B7818395067D}"/>
    <cellStyle name="Linked Cell 3 2 3 3 5" xfId="30617" xr:uid="{C801DAD1-C707-43EA-8AE2-2CBCF46204FA}"/>
    <cellStyle name="Linked Cell 3 2 3 3 5 2" xfId="30618" xr:uid="{909B50B1-BB85-4CB4-A11B-0476627AB374}"/>
    <cellStyle name="Linked Cell 3 2 3 3 5 2 2" xfId="30619" xr:uid="{10216B8D-D9C3-46DB-9519-E505B72B4C34}"/>
    <cellStyle name="Linked Cell 3 2 3 3 5 3" xfId="30620" xr:uid="{D71C149A-23A1-43C1-BFC7-5330763D01D1}"/>
    <cellStyle name="Linked Cell 3 2 3 3 6" xfId="30621" xr:uid="{D891012D-5A51-4822-BD86-E5BD672A718C}"/>
    <cellStyle name="Linked Cell 3 2 3 3 6 2" xfId="30622" xr:uid="{B12A1686-758C-49D8-9AC7-8BBF28115601}"/>
    <cellStyle name="Linked Cell 3 2 3 3 6 2 2" xfId="30623" xr:uid="{284D39DF-1C63-4047-8357-827F7D600973}"/>
    <cellStyle name="Linked Cell 3 2 3 3 6 3" xfId="30624" xr:uid="{14BBE4A3-24E4-4F71-85CC-E8EC12BF101C}"/>
    <cellStyle name="Linked Cell 3 2 3 3 7" xfId="30625" xr:uid="{F20F780A-F113-4737-99AA-E92DBC5CE05D}"/>
    <cellStyle name="Linked Cell 3 2 3 3 7 2" xfId="30626" xr:uid="{231713F7-61AA-4C31-9DB0-99F52A701748}"/>
    <cellStyle name="Linked Cell 3 2 3 3 7 2 2" xfId="30627" xr:uid="{8979485E-262C-4DE4-8F16-76B227EB897B}"/>
    <cellStyle name="Linked Cell 3 2 3 3 7 3" xfId="30628" xr:uid="{4C71D591-31DF-40F9-BD55-505302FD618D}"/>
    <cellStyle name="Linked Cell 3 2 3 3 8" xfId="30629" xr:uid="{56F5E03E-9EC6-40C3-AD52-062CB3DD75DB}"/>
    <cellStyle name="Linked Cell 3 2 3 3 8 2" xfId="30630" xr:uid="{FD74CE1C-F419-4532-8323-D5BECBC4543F}"/>
    <cellStyle name="Linked Cell 3 2 3 3 8 2 2" xfId="30631" xr:uid="{022C59AA-5D70-46FF-8CC0-9C2F397033F6}"/>
    <cellStyle name="Linked Cell 3 2 3 3 8 3" xfId="30632" xr:uid="{7EB0F5B8-9011-45B5-A922-38E49A177DD3}"/>
    <cellStyle name="Linked Cell 3 2 3 3 9" xfId="30633" xr:uid="{04D8CC74-EEBD-4A2A-9F90-A99E83CE6717}"/>
    <cellStyle name="Linked Cell 3 2 3 3 9 2" xfId="30634" xr:uid="{8E81AE3B-768E-4E47-B95C-3251BF94ED6F}"/>
    <cellStyle name="Linked Cell 3 2 3 3 9 2 2" xfId="30635" xr:uid="{B25F699D-D019-4838-98A9-4E73CBD7C1C1}"/>
    <cellStyle name="Linked Cell 3 2 3 3 9 3" xfId="30636" xr:uid="{49994BB9-3A5E-49A6-8BE9-C56A66CABE1F}"/>
    <cellStyle name="Linked Cell 3 2 3 4" xfId="30637" xr:uid="{C58E6664-EC76-47E7-A06C-524CA7989E3D}"/>
    <cellStyle name="Linked Cell 3 2 3 4 2" xfId="30638" xr:uid="{C1BD3DD1-431B-498F-B12C-2423095E77D3}"/>
    <cellStyle name="Linked Cell 3 2 3 4 2 2" xfId="30639" xr:uid="{84005647-5AB2-4C78-BB91-868AA293DB60}"/>
    <cellStyle name="Linked Cell 3 2 3 4 3" xfId="30640" xr:uid="{D275E474-4596-4A91-A5FF-6779E9B317D7}"/>
    <cellStyle name="Linked Cell 3 2 3 5" xfId="30641" xr:uid="{E5038FB3-2B02-4B86-8689-D0950F35AB5D}"/>
    <cellStyle name="Linked Cell 3 2 3 5 2" xfId="30642" xr:uid="{92699573-92BA-40CA-8333-1E878FDC727B}"/>
    <cellStyle name="Linked Cell 3 2 3 5 2 2" xfId="30643" xr:uid="{8D67935D-E648-4D31-A9D4-A2A6BBEBB373}"/>
    <cellStyle name="Linked Cell 3 2 3 5 3" xfId="30644" xr:uid="{0A5BC795-95F0-4354-8960-96626C42AAAF}"/>
    <cellStyle name="Linked Cell 3 2 3 6" xfId="30645" xr:uid="{3F176E31-3177-4907-9190-018DF0B5CC50}"/>
    <cellStyle name="Linked Cell 3 2 3 6 2" xfId="30646" xr:uid="{8F3422AF-D8BC-4947-84C1-DFD443BC982F}"/>
    <cellStyle name="Linked Cell 3 2 3 6 2 2" xfId="30647" xr:uid="{7700B287-D463-4D86-99BA-2C15F5989A62}"/>
    <cellStyle name="Linked Cell 3 2 3 6 3" xfId="30648" xr:uid="{8A85102D-7D7B-4292-BC6F-906CEAC6AAC7}"/>
    <cellStyle name="Linked Cell 3 2 3 7" xfId="30649" xr:uid="{1514CFC0-62DD-43F0-9B4D-984C28318AEE}"/>
    <cellStyle name="Linked Cell 3 2 3 7 2" xfId="30650" xr:uid="{2A48DEFF-F86D-4AA9-8031-C8731A206378}"/>
    <cellStyle name="Linked Cell 3 2 3 7 2 2" xfId="30651" xr:uid="{B87049B4-953A-41D4-9964-148E8AE49197}"/>
    <cellStyle name="Linked Cell 3 2 3 7 3" xfId="30652" xr:uid="{DC88E4B9-F1F4-48D9-A9B4-83216BE8F1B0}"/>
    <cellStyle name="Linked Cell 3 2 3 8" xfId="30653" xr:uid="{B09F7E5C-63B1-4F5A-BEEC-C0ADB2BDDA1D}"/>
    <cellStyle name="Linked Cell 3 2 3 8 2" xfId="30654" xr:uid="{3A7F33C9-F904-460A-9B6E-3A0A125102FD}"/>
    <cellStyle name="Linked Cell 3 2 3 8 2 2" xfId="30655" xr:uid="{164CAEDB-692E-4095-B81F-917552A97C47}"/>
    <cellStyle name="Linked Cell 3 2 3 8 3" xfId="30656" xr:uid="{B554BAE8-A900-4E06-AEC4-94BE24340828}"/>
    <cellStyle name="Linked Cell 3 2 3 9" xfId="30657" xr:uid="{EA45B9CE-F49F-41CE-807A-D3DC68BA94FB}"/>
    <cellStyle name="Linked Cell 3 2 3 9 2" xfId="30658" xr:uid="{B0B0BE6C-77D4-4C72-8B93-E2CA8A2D8C26}"/>
    <cellStyle name="Linked Cell 3 2 3 9 2 2" xfId="30659" xr:uid="{7CC998A8-0BCA-49E0-A852-D8C791DBFEE8}"/>
    <cellStyle name="Linked Cell 3 2 3 9 3" xfId="30660" xr:uid="{61056CDB-A6BD-4961-8262-2C5313EB2B80}"/>
    <cellStyle name="Linked Cell 3 2 4" xfId="30661" xr:uid="{23D457F4-C275-46BA-9D3D-CB68ED327C8A}"/>
    <cellStyle name="Linked Cell 3 2 4 10" xfId="30662" xr:uid="{478CF440-62DA-4E66-AAFA-61D43605BD80}"/>
    <cellStyle name="Linked Cell 3 2 4 10 2" xfId="30663" xr:uid="{3C30FE26-906C-4E40-ACA1-5151EE1534A4}"/>
    <cellStyle name="Linked Cell 3 2 4 10 2 2" xfId="30664" xr:uid="{044ED88A-89B0-4BB4-97DA-08A169AF8E67}"/>
    <cellStyle name="Linked Cell 3 2 4 10 3" xfId="30665" xr:uid="{9098989F-6395-4D3B-9D73-8ADCEBC54260}"/>
    <cellStyle name="Linked Cell 3 2 4 11" xfId="30666" xr:uid="{3FCA4E93-426B-4D82-9F96-861BABCE9BF8}"/>
    <cellStyle name="Linked Cell 3 2 4 11 2" xfId="30667" xr:uid="{ED7169C9-76BE-4CDC-BEAF-34153ECFE5BA}"/>
    <cellStyle name="Linked Cell 3 2 4 12" xfId="30668" xr:uid="{9A7E60C1-965E-4C09-92BA-5B3861A06AF8}"/>
    <cellStyle name="Linked Cell 3 2 4 2" xfId="30669" xr:uid="{03C944CB-3FC1-457E-89B0-D748AC8DE40F}"/>
    <cellStyle name="Linked Cell 3 2 4 2 10" xfId="30670" xr:uid="{4EAD0A3E-380E-4235-A6D2-2A9FF00F6E17}"/>
    <cellStyle name="Linked Cell 3 2 4 2 10 2" xfId="30671" xr:uid="{C376C50C-60D7-4A15-B081-A9D92D007324}"/>
    <cellStyle name="Linked Cell 3 2 4 2 11" xfId="30672" xr:uid="{33FA2392-A4A8-4941-AE7F-7656B0774856}"/>
    <cellStyle name="Linked Cell 3 2 4 2 2" xfId="30673" xr:uid="{94A5662D-4AA1-433C-8E83-894308289863}"/>
    <cellStyle name="Linked Cell 3 2 4 2 2 2" xfId="30674" xr:uid="{7001A3CC-7010-4691-8CC8-563F720F4102}"/>
    <cellStyle name="Linked Cell 3 2 4 2 2 2 2" xfId="30675" xr:uid="{9BED666E-8A31-4C60-AB39-DC411773C0C2}"/>
    <cellStyle name="Linked Cell 3 2 4 2 2 3" xfId="30676" xr:uid="{1A392120-BDA8-470B-AE5F-AEDB65E2EAB2}"/>
    <cellStyle name="Linked Cell 3 2 4 2 3" xfId="30677" xr:uid="{F06FEBCB-B4BD-4736-BEE5-AE178066C1EC}"/>
    <cellStyle name="Linked Cell 3 2 4 2 3 2" xfId="30678" xr:uid="{5FF5362B-8529-47CC-A25C-BFFEAD7D59BB}"/>
    <cellStyle name="Linked Cell 3 2 4 2 3 2 2" xfId="30679" xr:uid="{02829C1D-0DDE-4894-9E10-85014C6E89A2}"/>
    <cellStyle name="Linked Cell 3 2 4 2 3 3" xfId="30680" xr:uid="{7134CE64-2E0D-4462-BEB3-D79CA7D44B8F}"/>
    <cellStyle name="Linked Cell 3 2 4 2 4" xfId="30681" xr:uid="{24CB3935-2D25-4B6A-943D-DAD491850251}"/>
    <cellStyle name="Linked Cell 3 2 4 2 4 2" xfId="30682" xr:uid="{98A13674-E6E3-49C5-A254-B48E4A25712C}"/>
    <cellStyle name="Linked Cell 3 2 4 2 4 2 2" xfId="30683" xr:uid="{4E1DBE6E-0B21-4B76-93BE-FF2EB848D222}"/>
    <cellStyle name="Linked Cell 3 2 4 2 4 3" xfId="30684" xr:uid="{32A2246B-678B-4DB5-BB6C-3CA29D1A89F3}"/>
    <cellStyle name="Linked Cell 3 2 4 2 5" xfId="30685" xr:uid="{234C67E0-ACC7-4A42-BEB3-8AE1B3E7574C}"/>
    <cellStyle name="Linked Cell 3 2 4 2 5 2" xfId="30686" xr:uid="{ADDF2025-7DEB-456E-997D-89E85B80B987}"/>
    <cellStyle name="Linked Cell 3 2 4 2 5 2 2" xfId="30687" xr:uid="{71E9A198-CF07-4E05-8F15-12FC13DA2F06}"/>
    <cellStyle name="Linked Cell 3 2 4 2 5 3" xfId="30688" xr:uid="{655B2354-43BC-4294-A977-B5E0AA404481}"/>
    <cellStyle name="Linked Cell 3 2 4 2 6" xfId="30689" xr:uid="{A9287C79-1B01-4F9F-AF07-57D6213C9C30}"/>
    <cellStyle name="Linked Cell 3 2 4 2 6 2" xfId="30690" xr:uid="{DADAFFE3-003B-45AF-854E-39C8205C2EF4}"/>
    <cellStyle name="Linked Cell 3 2 4 2 6 2 2" xfId="30691" xr:uid="{2C53649D-E923-4548-9465-89D6BED50AA1}"/>
    <cellStyle name="Linked Cell 3 2 4 2 6 3" xfId="30692" xr:uid="{F13D2C11-72BD-40B1-9441-1DBAA6B50B8B}"/>
    <cellStyle name="Linked Cell 3 2 4 2 7" xfId="30693" xr:uid="{CFEA07E3-C61A-4FF4-A24A-32BE42AE6627}"/>
    <cellStyle name="Linked Cell 3 2 4 2 7 2" xfId="30694" xr:uid="{51148E23-2FB8-4440-8F5E-FB4433D02865}"/>
    <cellStyle name="Linked Cell 3 2 4 2 7 2 2" xfId="30695" xr:uid="{87E6F019-C6FF-4DE0-9BFE-E722CD170D9B}"/>
    <cellStyle name="Linked Cell 3 2 4 2 7 3" xfId="30696" xr:uid="{0500DBE9-7119-406B-827F-AED6A30709EF}"/>
    <cellStyle name="Linked Cell 3 2 4 2 8" xfId="30697" xr:uid="{38A9E66F-98A2-4293-9054-4A844E14027F}"/>
    <cellStyle name="Linked Cell 3 2 4 2 8 2" xfId="30698" xr:uid="{5EB2A80C-B918-4A5B-9BF8-A16666243E2C}"/>
    <cellStyle name="Linked Cell 3 2 4 2 8 2 2" xfId="30699" xr:uid="{C9060EC5-4F26-4577-9CFF-C125A0A8063C}"/>
    <cellStyle name="Linked Cell 3 2 4 2 8 3" xfId="30700" xr:uid="{359B9984-35CE-4FAA-B6D7-EB5E6419BA21}"/>
    <cellStyle name="Linked Cell 3 2 4 2 9" xfId="30701" xr:uid="{711884A8-5C3D-4349-B0D1-0F0E1D88B245}"/>
    <cellStyle name="Linked Cell 3 2 4 2 9 2" xfId="30702" xr:uid="{30237E7F-88A3-48C9-AA6E-9454B3E6E02A}"/>
    <cellStyle name="Linked Cell 3 2 4 2 9 2 2" xfId="30703" xr:uid="{F477E8B0-6B8D-494E-9DA2-3A92D4D27300}"/>
    <cellStyle name="Linked Cell 3 2 4 2 9 3" xfId="30704" xr:uid="{F0692EAF-B1DE-42F1-BB70-C481C76A20B0}"/>
    <cellStyle name="Linked Cell 3 2 4 3" xfId="30705" xr:uid="{E3BBE34D-372F-4A4B-97A1-5F8509CDD1AF}"/>
    <cellStyle name="Linked Cell 3 2 4 3 2" xfId="30706" xr:uid="{D856AFF8-2040-4D5E-B7B5-EA7CB1B1D014}"/>
    <cellStyle name="Linked Cell 3 2 4 3 2 2" xfId="30707" xr:uid="{A42852BA-1FDD-4A27-B258-36824F01BBF8}"/>
    <cellStyle name="Linked Cell 3 2 4 3 3" xfId="30708" xr:uid="{D38497BF-195E-4E21-B5C5-9F35031E1607}"/>
    <cellStyle name="Linked Cell 3 2 4 4" xfId="30709" xr:uid="{B7B88AE3-CC14-4C5B-8015-885242312939}"/>
    <cellStyle name="Linked Cell 3 2 4 4 2" xfId="30710" xr:uid="{1B11472C-1F7A-406B-85D8-92B105215F4C}"/>
    <cellStyle name="Linked Cell 3 2 4 4 2 2" xfId="30711" xr:uid="{D2D5B1B0-C22D-413E-BD21-0E75407D2FCC}"/>
    <cellStyle name="Linked Cell 3 2 4 4 3" xfId="30712" xr:uid="{0DF9CB54-DA8D-4A5D-954D-650A45A1DB10}"/>
    <cellStyle name="Linked Cell 3 2 4 5" xfId="30713" xr:uid="{FB7C1D46-D338-4FA6-9521-2ED294734091}"/>
    <cellStyle name="Linked Cell 3 2 4 5 2" xfId="30714" xr:uid="{34B76389-8F02-43D8-92E6-B29CE75818FB}"/>
    <cellStyle name="Linked Cell 3 2 4 5 2 2" xfId="30715" xr:uid="{A71A9024-9496-4401-98BE-5CE4CAF59498}"/>
    <cellStyle name="Linked Cell 3 2 4 5 3" xfId="30716" xr:uid="{8F0189E0-1B85-49F9-A800-F2E1A9C93F70}"/>
    <cellStyle name="Linked Cell 3 2 4 6" xfId="30717" xr:uid="{790FFB6E-2488-4AA3-AF0A-9DF7B6C32BC0}"/>
    <cellStyle name="Linked Cell 3 2 4 6 2" xfId="30718" xr:uid="{07D52E6A-2CCA-41BC-B019-A60EAB292A89}"/>
    <cellStyle name="Linked Cell 3 2 4 6 2 2" xfId="30719" xr:uid="{75625F43-E4B3-4AA0-903D-50BDEA5A8B0B}"/>
    <cellStyle name="Linked Cell 3 2 4 6 3" xfId="30720" xr:uid="{5ADB853B-9D9D-426D-86E2-7D4BAAFCEE50}"/>
    <cellStyle name="Linked Cell 3 2 4 7" xfId="30721" xr:uid="{42E5D5E6-1FE6-4A8B-A1CA-B2B849F412A7}"/>
    <cellStyle name="Linked Cell 3 2 4 7 2" xfId="30722" xr:uid="{C3D8DBE9-F090-4BC5-A1F1-FA53840A9BAB}"/>
    <cellStyle name="Linked Cell 3 2 4 7 2 2" xfId="30723" xr:uid="{49F3B2E4-BB17-4E90-BDBA-1362DBC81795}"/>
    <cellStyle name="Linked Cell 3 2 4 7 3" xfId="30724" xr:uid="{367C18FA-9B85-4E7D-AB2D-27F5097CFE24}"/>
    <cellStyle name="Linked Cell 3 2 4 8" xfId="30725" xr:uid="{0FD5356C-BF6D-4846-8F1E-C7EA436ACDF4}"/>
    <cellStyle name="Linked Cell 3 2 4 8 2" xfId="30726" xr:uid="{81407082-EBBC-4A9A-A68D-D0798844F3BE}"/>
    <cellStyle name="Linked Cell 3 2 4 8 2 2" xfId="30727" xr:uid="{9346ABC7-D2E6-4171-9B79-24FB20FDABB0}"/>
    <cellStyle name="Linked Cell 3 2 4 8 3" xfId="30728" xr:uid="{71510310-4CC6-4EAE-8BE1-EDAFAA4F59B6}"/>
    <cellStyle name="Linked Cell 3 2 4 9" xfId="30729" xr:uid="{B3224FD6-F563-421B-BA03-BD4C68128764}"/>
    <cellStyle name="Linked Cell 3 2 4 9 2" xfId="30730" xr:uid="{3D03DE93-4DBA-4AAD-A322-C8E820CCCDB0}"/>
    <cellStyle name="Linked Cell 3 2 4 9 2 2" xfId="30731" xr:uid="{67915798-CA41-442A-9AE7-39D08FE9DD7C}"/>
    <cellStyle name="Linked Cell 3 2 4 9 3" xfId="30732" xr:uid="{E33DDD83-C001-453D-8242-854A6FE034BC}"/>
    <cellStyle name="Linked Cell 3 2 5" xfId="30733" xr:uid="{D27626D8-8A6F-4BA9-A980-8A0618C26B6C}"/>
    <cellStyle name="Linked Cell 3 2 5 10" xfId="30734" xr:uid="{0D649200-7298-4BBE-9BB5-EF2F8891A0D7}"/>
    <cellStyle name="Linked Cell 3 2 5 10 2" xfId="30735" xr:uid="{C0633EB8-0A00-4D0B-AB65-50D15A584D31}"/>
    <cellStyle name="Linked Cell 3 2 5 11" xfId="30736" xr:uid="{EF278AC9-AFB4-4BC5-A037-D97E72FC6FF1}"/>
    <cellStyle name="Linked Cell 3 2 5 2" xfId="30737" xr:uid="{65A30203-E72D-432A-BC78-F6CDD8F93246}"/>
    <cellStyle name="Linked Cell 3 2 5 2 2" xfId="30738" xr:uid="{14AAC813-6C88-4549-8117-7E02ABE17681}"/>
    <cellStyle name="Linked Cell 3 2 5 2 2 2" xfId="30739" xr:uid="{A7D4A9BC-2515-4450-9805-42D81004852C}"/>
    <cellStyle name="Linked Cell 3 2 5 2 3" xfId="30740" xr:uid="{FF1532D6-4EA5-4673-914A-AB1D1FADEF4E}"/>
    <cellStyle name="Linked Cell 3 2 5 3" xfId="30741" xr:uid="{CB962D09-C13F-48BA-902E-ECCD43BEC551}"/>
    <cellStyle name="Linked Cell 3 2 5 3 2" xfId="30742" xr:uid="{F07DE5DA-D270-46C4-8C05-132B2C593F81}"/>
    <cellStyle name="Linked Cell 3 2 5 3 2 2" xfId="30743" xr:uid="{9A67550F-5E9C-4905-BAF4-4A26B5F602FB}"/>
    <cellStyle name="Linked Cell 3 2 5 3 3" xfId="30744" xr:uid="{45779579-81A1-436F-838A-5FAF3049DBFC}"/>
    <cellStyle name="Linked Cell 3 2 5 4" xfId="30745" xr:uid="{7D46420E-23A4-46AF-B721-4DC9780DBEF2}"/>
    <cellStyle name="Linked Cell 3 2 5 4 2" xfId="30746" xr:uid="{735A3716-7CE2-4C6F-B137-D0A052BB1803}"/>
    <cellStyle name="Linked Cell 3 2 5 4 2 2" xfId="30747" xr:uid="{49DEDF0B-50A7-4564-9967-DD3250C7E222}"/>
    <cellStyle name="Linked Cell 3 2 5 4 3" xfId="30748" xr:uid="{0D8C060A-7DDA-4539-B9DA-F9AD5AFB2417}"/>
    <cellStyle name="Linked Cell 3 2 5 5" xfId="30749" xr:uid="{490FE745-9EF2-4FB0-8E1A-6847C74630C6}"/>
    <cellStyle name="Linked Cell 3 2 5 5 2" xfId="30750" xr:uid="{3140FDF8-5F85-4429-A412-A9D15544A6A7}"/>
    <cellStyle name="Linked Cell 3 2 5 5 2 2" xfId="30751" xr:uid="{59D534C5-8628-4B43-841D-4235E420F6C5}"/>
    <cellStyle name="Linked Cell 3 2 5 5 3" xfId="30752" xr:uid="{A2EDC1F1-8FDA-4AAC-B85C-AD8B45371AC3}"/>
    <cellStyle name="Linked Cell 3 2 5 6" xfId="30753" xr:uid="{BF4005D4-377A-46AC-BAAC-8C44CAF41EBA}"/>
    <cellStyle name="Linked Cell 3 2 5 6 2" xfId="30754" xr:uid="{B90FBD96-DC24-43E0-8C8A-41EFC3E52866}"/>
    <cellStyle name="Linked Cell 3 2 5 6 2 2" xfId="30755" xr:uid="{FB8F0235-1B78-4CC0-9155-DBF805CAC105}"/>
    <cellStyle name="Linked Cell 3 2 5 6 3" xfId="30756" xr:uid="{5F63AC15-9FCA-474A-8B5D-30CA3790CB36}"/>
    <cellStyle name="Linked Cell 3 2 5 7" xfId="30757" xr:uid="{2EB1E68D-F13A-46FC-996F-86B937D0CD25}"/>
    <cellStyle name="Linked Cell 3 2 5 7 2" xfId="30758" xr:uid="{25A970AC-B8F8-4D3D-B9E5-E14A01CD5668}"/>
    <cellStyle name="Linked Cell 3 2 5 7 2 2" xfId="30759" xr:uid="{1E001403-D189-46C2-B5B8-8CA07796D0CD}"/>
    <cellStyle name="Linked Cell 3 2 5 7 3" xfId="30760" xr:uid="{E2F2B29A-AA79-4207-B340-C9259956DCA7}"/>
    <cellStyle name="Linked Cell 3 2 5 8" xfId="30761" xr:uid="{492C7DE7-39EC-4CC2-B836-50EAB55B93D0}"/>
    <cellStyle name="Linked Cell 3 2 5 8 2" xfId="30762" xr:uid="{5A0DF0E8-D3DF-4FDC-82A3-04F78A605180}"/>
    <cellStyle name="Linked Cell 3 2 5 8 2 2" xfId="30763" xr:uid="{0AAA4144-7D5C-4D15-AC36-4FE54DBBA2D5}"/>
    <cellStyle name="Linked Cell 3 2 5 8 3" xfId="30764" xr:uid="{EB8A7A19-33DE-4A2A-97C6-47CB343DF91F}"/>
    <cellStyle name="Linked Cell 3 2 5 9" xfId="30765" xr:uid="{C759298E-D941-4FC7-AFC7-D85B6E40786D}"/>
    <cellStyle name="Linked Cell 3 2 5 9 2" xfId="30766" xr:uid="{A214CF02-B9A8-47A9-A4E4-7D1961EFF651}"/>
    <cellStyle name="Linked Cell 3 2 5 9 2 2" xfId="30767" xr:uid="{DEC9E8B1-4295-413F-B800-1AAE5A6D92AC}"/>
    <cellStyle name="Linked Cell 3 2 5 9 3" xfId="30768" xr:uid="{CA8DB6EB-BA1E-453C-86C8-81A94FFC5FA0}"/>
    <cellStyle name="Linked Cell 3 2 6" xfId="30769" xr:uid="{CD9FFDAA-D530-44D4-ABFA-EC12D67B3BAA}"/>
    <cellStyle name="Linked Cell 3 2 6 2" xfId="30770" xr:uid="{84E9CF36-4566-4BF8-A532-6D9B9C60293E}"/>
    <cellStyle name="Linked Cell 3 2 6 2 2" xfId="30771" xr:uid="{34FFCF98-69BC-45A6-A982-D91BDBB15CC3}"/>
    <cellStyle name="Linked Cell 3 2 6 3" xfId="30772" xr:uid="{C0FD63FB-7C55-4F6F-A16E-0570AA581C42}"/>
    <cellStyle name="Linked Cell 3 2 7" xfId="30773" xr:uid="{16D35FD2-91EF-4BA9-B902-8E7673A97DCC}"/>
    <cellStyle name="Linked Cell 3 2 7 2" xfId="30774" xr:uid="{86A62F39-79F7-480B-AB60-01FEF2511FF0}"/>
    <cellStyle name="Linked Cell 3 2 7 2 2" xfId="30775" xr:uid="{8C20A29F-2D9E-45A2-BDC3-646DF1665FB6}"/>
    <cellStyle name="Linked Cell 3 2 7 3" xfId="30776" xr:uid="{C5E40B46-932C-418F-A802-82DF621B0C9F}"/>
    <cellStyle name="Linked Cell 3 2 8" xfId="30777" xr:uid="{036C1A3C-B98D-4F16-911C-42D4B44B6C85}"/>
    <cellStyle name="Linked Cell 3 2 8 2" xfId="30778" xr:uid="{E0AC2D79-CCCF-4A60-8895-F27CAA854EBD}"/>
    <cellStyle name="Linked Cell 3 2 8 2 2" xfId="30779" xr:uid="{0DD19601-0821-4B50-B315-450942E68EFC}"/>
    <cellStyle name="Linked Cell 3 2 8 3" xfId="30780" xr:uid="{D00E58D6-E788-4FCD-A450-5F8F83A9C946}"/>
    <cellStyle name="Linked Cell 3 2 9" xfId="30781" xr:uid="{B40C5079-FBD1-491E-97FB-E8DA83947CB1}"/>
    <cellStyle name="Linked Cell 3 2 9 2" xfId="30782" xr:uid="{F0C6290A-3885-40DC-AFEF-317DB13AEA7B}"/>
    <cellStyle name="Linked Cell 3 2 9 2 2" xfId="30783" xr:uid="{13E45D53-5CA1-45B8-812D-AA5CAFEC2D00}"/>
    <cellStyle name="Linked Cell 3 2 9 3" xfId="30784" xr:uid="{A0B345FE-F727-42D3-9E49-B38883E97463}"/>
    <cellStyle name="Linked Cell 3 3" xfId="30785" xr:uid="{AF8CD25B-F639-4D1E-AC33-DBB09099CBD3}"/>
    <cellStyle name="Linked Cell 3 3 10" xfId="30786" xr:uid="{B052A276-8FC1-4806-A01A-54854384FB22}"/>
    <cellStyle name="Linked Cell 3 3 10 2" xfId="30787" xr:uid="{AC2AD38D-E9C1-40C6-9B76-4E56B3AE73DE}"/>
    <cellStyle name="Linked Cell 3 3 10 2 2" xfId="30788" xr:uid="{520CA129-1943-43FE-8829-E1C41DEF12B1}"/>
    <cellStyle name="Linked Cell 3 3 10 3" xfId="30789" xr:uid="{B068227E-0B0D-4D24-B7D6-E93A18ADB5A2}"/>
    <cellStyle name="Linked Cell 3 3 11" xfId="30790" xr:uid="{4A724CB9-EE03-4EBA-913B-777F77D5C56A}"/>
    <cellStyle name="Linked Cell 3 3 11 2" xfId="30791" xr:uid="{8628B19C-F0AF-4F06-8D99-33A89DADFBD4}"/>
    <cellStyle name="Linked Cell 3 3 11 2 2" xfId="30792" xr:uid="{B1CF6132-5F83-4E12-9B6B-21BD0812BC38}"/>
    <cellStyle name="Linked Cell 3 3 11 3" xfId="30793" xr:uid="{A6A50B21-618E-4A34-8C71-00B7F54D70D1}"/>
    <cellStyle name="Linked Cell 3 3 12" xfId="30794" xr:uid="{0EF8FBA2-2A7E-49F9-B250-2F8669C1DA82}"/>
    <cellStyle name="Linked Cell 3 3 12 2" xfId="30795" xr:uid="{4733B5E6-6FED-47C2-85DB-0107857D8CB0}"/>
    <cellStyle name="Linked Cell 3 3 12 2 2" xfId="30796" xr:uid="{2BF2F4BA-537D-4F5F-BFB6-0CC6D8916C47}"/>
    <cellStyle name="Linked Cell 3 3 12 3" xfId="30797" xr:uid="{6D20176E-5F92-477B-95C1-ED695486F9E1}"/>
    <cellStyle name="Linked Cell 3 3 13" xfId="30798" xr:uid="{61E06659-4EE4-4F7A-903E-E07AB65E7A41}"/>
    <cellStyle name="Linked Cell 3 3 13 2" xfId="30799" xr:uid="{AEC67B49-350F-4BCA-9F6F-DF551BB705DD}"/>
    <cellStyle name="Linked Cell 3 3 14" xfId="30800" xr:uid="{A17583A4-7DD6-46BB-919F-0AF07409650D}"/>
    <cellStyle name="Linked Cell 3 3 2" xfId="30801" xr:uid="{9F005C74-5024-4F32-B44E-ABDE8D4E40B5}"/>
    <cellStyle name="Linked Cell 3 3 2 10" xfId="30802" xr:uid="{7887506A-53C4-4A1C-8E6E-48ED2F9DE65D}"/>
    <cellStyle name="Linked Cell 3 3 2 10 2" xfId="30803" xr:uid="{5A03E11E-7CC0-4999-90F3-5BAA98367183}"/>
    <cellStyle name="Linked Cell 3 3 2 10 2 2" xfId="30804" xr:uid="{59509F73-4A92-40B9-8DDD-64434FB723D4}"/>
    <cellStyle name="Linked Cell 3 3 2 10 3" xfId="30805" xr:uid="{4915C70E-1991-4BA1-B6D2-0F2F59E1F4F8}"/>
    <cellStyle name="Linked Cell 3 3 2 11" xfId="30806" xr:uid="{470F0B96-D043-4E11-93EB-9199562694EB}"/>
    <cellStyle name="Linked Cell 3 3 2 11 2" xfId="30807" xr:uid="{E6957B58-A0B8-4790-B0E6-A9506431037F}"/>
    <cellStyle name="Linked Cell 3 3 2 11 2 2" xfId="30808" xr:uid="{98094050-904A-416B-9E9D-A20FF452D122}"/>
    <cellStyle name="Linked Cell 3 3 2 11 3" xfId="30809" xr:uid="{B8268CC1-3C5B-4EAB-BC19-E465C6241A18}"/>
    <cellStyle name="Linked Cell 3 3 2 12" xfId="30810" xr:uid="{56108F7D-7A92-4F47-AD3D-14C9E4AC2987}"/>
    <cellStyle name="Linked Cell 3 3 2 12 2" xfId="30811" xr:uid="{41FE91C8-08B5-49A8-9F5C-35C1F2DE3E38}"/>
    <cellStyle name="Linked Cell 3 3 2 13" xfId="30812" xr:uid="{0D29821B-E9E3-4DDA-B6FA-9DBEB83F51A5}"/>
    <cellStyle name="Linked Cell 3 3 2 2" xfId="30813" xr:uid="{BFFE962B-C195-49C3-A3D3-4D183749DEF5}"/>
    <cellStyle name="Linked Cell 3 3 2 2 10" xfId="30814" xr:uid="{B840F537-969C-4FBD-8F1F-056B6674B04D}"/>
    <cellStyle name="Linked Cell 3 3 2 2 10 2" xfId="30815" xr:uid="{7BA68FE0-BA95-45DC-9683-D9ECFD214DA2}"/>
    <cellStyle name="Linked Cell 3 3 2 2 10 2 2" xfId="30816" xr:uid="{2CCF6A42-B85C-4EC1-8C86-499FA271B287}"/>
    <cellStyle name="Linked Cell 3 3 2 2 10 3" xfId="30817" xr:uid="{09CD6193-1E5F-4653-8DCA-1DBC25F2BB15}"/>
    <cellStyle name="Linked Cell 3 3 2 2 11" xfId="30818" xr:uid="{B3063083-BEB2-446A-8377-06449F966E43}"/>
    <cellStyle name="Linked Cell 3 3 2 2 11 2" xfId="30819" xr:uid="{F585CDDA-0D84-4C31-B4F8-6237E050C3E6}"/>
    <cellStyle name="Linked Cell 3 3 2 2 12" xfId="30820" xr:uid="{0F732E91-E197-409B-A1C3-503F791867AF}"/>
    <cellStyle name="Linked Cell 3 3 2 2 2" xfId="30821" xr:uid="{A7795354-00AD-4842-90B1-CA6856007A43}"/>
    <cellStyle name="Linked Cell 3 3 2 2 2 2" xfId="30822" xr:uid="{09A17619-F692-4591-B9D7-C3C9F7CCF3A1}"/>
    <cellStyle name="Linked Cell 3 3 2 2 2 2 2" xfId="30823" xr:uid="{6A52EBA3-AD12-42D9-9619-47D71FEED15A}"/>
    <cellStyle name="Linked Cell 3 3 2 2 2 3" xfId="30824" xr:uid="{D1F6E2AD-1019-4D71-86FC-5DDC7967F4D1}"/>
    <cellStyle name="Linked Cell 3 3 2 2 3" xfId="30825" xr:uid="{6FBBDC36-3A63-4719-B697-99B105D4681C}"/>
    <cellStyle name="Linked Cell 3 3 2 2 3 2" xfId="30826" xr:uid="{0B78D2FF-C1CC-4C70-9F14-5CEC12623CBE}"/>
    <cellStyle name="Linked Cell 3 3 2 2 3 2 2" xfId="30827" xr:uid="{0D907426-BA84-4871-BABD-76295441C7D5}"/>
    <cellStyle name="Linked Cell 3 3 2 2 3 3" xfId="30828" xr:uid="{04937046-2718-459C-8B81-BC41F6163207}"/>
    <cellStyle name="Linked Cell 3 3 2 2 4" xfId="30829" xr:uid="{92CFBF3C-F976-4197-8C47-5836CF548912}"/>
    <cellStyle name="Linked Cell 3 3 2 2 4 2" xfId="30830" xr:uid="{9B491083-CFB0-4B73-8D79-2C1878FF0BFC}"/>
    <cellStyle name="Linked Cell 3 3 2 2 4 2 2" xfId="30831" xr:uid="{1D544FF1-A25E-4F28-BB62-9D0DCC878E9F}"/>
    <cellStyle name="Linked Cell 3 3 2 2 4 3" xfId="30832" xr:uid="{556DEBE4-A089-4CB1-ABB0-6A4EB6DC2203}"/>
    <cellStyle name="Linked Cell 3 3 2 2 5" xfId="30833" xr:uid="{0955C49A-9B04-418D-A67E-05B7BE0FABBE}"/>
    <cellStyle name="Linked Cell 3 3 2 2 5 2" xfId="30834" xr:uid="{AF2D1A41-AC4B-4364-A89E-98DC5F4B8AEE}"/>
    <cellStyle name="Linked Cell 3 3 2 2 5 2 2" xfId="30835" xr:uid="{09E9BA1B-DF83-4BC0-A027-110EC13716DB}"/>
    <cellStyle name="Linked Cell 3 3 2 2 5 3" xfId="30836" xr:uid="{0B4293B3-677B-4737-AA9C-66570E30C44A}"/>
    <cellStyle name="Linked Cell 3 3 2 2 6" xfId="30837" xr:uid="{EC2B4F0C-8398-46DF-A252-D70A3D4B482D}"/>
    <cellStyle name="Linked Cell 3 3 2 2 6 2" xfId="30838" xr:uid="{B246BFB4-F407-4D2B-B19E-815FF882E4AC}"/>
    <cellStyle name="Linked Cell 3 3 2 2 6 2 2" xfId="30839" xr:uid="{42C3AA17-BEB6-48D6-8A4D-382EDBF18E0D}"/>
    <cellStyle name="Linked Cell 3 3 2 2 6 3" xfId="30840" xr:uid="{4311397A-127F-4C0B-B880-7E8B4BB6B0E4}"/>
    <cellStyle name="Linked Cell 3 3 2 2 7" xfId="30841" xr:uid="{94BC4E91-43FC-4E58-8179-29AC82B25F16}"/>
    <cellStyle name="Linked Cell 3 3 2 2 7 2" xfId="30842" xr:uid="{B55261FB-9D24-4686-8794-D5F74C86E2C8}"/>
    <cellStyle name="Linked Cell 3 3 2 2 7 2 2" xfId="30843" xr:uid="{06765DBB-3C9B-410B-A268-5FA55D4FF7B6}"/>
    <cellStyle name="Linked Cell 3 3 2 2 7 3" xfId="30844" xr:uid="{D36B84AB-AAC0-4AEB-B1FC-EA812B65E17B}"/>
    <cellStyle name="Linked Cell 3 3 2 2 8" xfId="30845" xr:uid="{1D131447-DA5F-4C02-A432-70CEB4972E0F}"/>
    <cellStyle name="Linked Cell 3 3 2 2 8 2" xfId="30846" xr:uid="{46A9B59B-8B23-47D1-A238-80E328D88E41}"/>
    <cellStyle name="Linked Cell 3 3 2 2 8 2 2" xfId="30847" xr:uid="{DEE91B14-A8D2-4E72-AA39-E6F154073D85}"/>
    <cellStyle name="Linked Cell 3 3 2 2 8 3" xfId="30848" xr:uid="{8D486089-7AC9-4740-B360-D913DAC0AE6C}"/>
    <cellStyle name="Linked Cell 3 3 2 2 9" xfId="30849" xr:uid="{D5086415-A727-4943-A749-1794A779E4F2}"/>
    <cellStyle name="Linked Cell 3 3 2 2 9 2" xfId="30850" xr:uid="{A1405DEB-2831-46FA-99CF-5128D5BA586B}"/>
    <cellStyle name="Linked Cell 3 3 2 2 9 2 2" xfId="30851" xr:uid="{AB8E3F07-B753-4031-BFF6-6D52CCD67520}"/>
    <cellStyle name="Linked Cell 3 3 2 2 9 3" xfId="30852" xr:uid="{8F71DF07-0158-44FC-BE94-2AFFD794AB60}"/>
    <cellStyle name="Linked Cell 3 3 2 3" xfId="30853" xr:uid="{F33F1DD4-DB2A-44D0-8298-A1DA75E2B136}"/>
    <cellStyle name="Linked Cell 3 3 2 3 10" xfId="30854" xr:uid="{0D0E6A34-371A-4BEB-9BCA-F6A7194B0790}"/>
    <cellStyle name="Linked Cell 3 3 2 3 10 2" xfId="30855" xr:uid="{E9356BAB-FF1E-47C6-82F2-EE9C54813F58}"/>
    <cellStyle name="Linked Cell 3 3 2 3 11" xfId="30856" xr:uid="{A480FFC1-8549-43DA-8BA6-FAE2F307B721}"/>
    <cellStyle name="Linked Cell 3 3 2 3 2" xfId="30857" xr:uid="{E321D52D-4EB1-49DA-A473-87F696634EC4}"/>
    <cellStyle name="Linked Cell 3 3 2 3 2 2" xfId="30858" xr:uid="{3CBEFBC9-C974-463E-8094-C028AB680984}"/>
    <cellStyle name="Linked Cell 3 3 2 3 2 2 2" xfId="30859" xr:uid="{D1E16694-68D5-43E8-9BDC-B72293548B96}"/>
    <cellStyle name="Linked Cell 3 3 2 3 2 3" xfId="30860" xr:uid="{F5255E6C-6D7F-4993-A56A-F8505BD1D380}"/>
    <cellStyle name="Linked Cell 3 3 2 3 3" xfId="30861" xr:uid="{C54D521B-B0A4-4929-853C-2B59D30815A9}"/>
    <cellStyle name="Linked Cell 3 3 2 3 3 2" xfId="30862" xr:uid="{EFC797AB-3EBE-4930-A6A9-64ED540BD890}"/>
    <cellStyle name="Linked Cell 3 3 2 3 3 2 2" xfId="30863" xr:uid="{6F2D2200-F42B-4E41-8F57-E6C2C260D0FA}"/>
    <cellStyle name="Linked Cell 3 3 2 3 3 3" xfId="30864" xr:uid="{47BCABA8-2F3F-4967-95FD-121296043104}"/>
    <cellStyle name="Linked Cell 3 3 2 3 4" xfId="30865" xr:uid="{1FB2CC45-7DE5-4CB6-8BF6-509BA09ED03D}"/>
    <cellStyle name="Linked Cell 3 3 2 3 4 2" xfId="30866" xr:uid="{A0E808F0-CB5F-4D65-B9B5-351AFCBFDAFA}"/>
    <cellStyle name="Linked Cell 3 3 2 3 4 2 2" xfId="30867" xr:uid="{9972A63B-BB80-4CF2-B9EE-FDF7C4B8708E}"/>
    <cellStyle name="Linked Cell 3 3 2 3 4 3" xfId="30868" xr:uid="{3A32F96A-008C-4041-9620-370346CC5DEE}"/>
    <cellStyle name="Linked Cell 3 3 2 3 5" xfId="30869" xr:uid="{A766B763-2155-47B8-ABAE-F807295918AF}"/>
    <cellStyle name="Linked Cell 3 3 2 3 5 2" xfId="30870" xr:uid="{0EB98C57-DE80-41B3-B72F-024E04FDEDD6}"/>
    <cellStyle name="Linked Cell 3 3 2 3 5 2 2" xfId="30871" xr:uid="{A9EFE934-7A89-4FC7-8E37-DC57E5720463}"/>
    <cellStyle name="Linked Cell 3 3 2 3 5 3" xfId="30872" xr:uid="{4174427C-D1B9-4CFC-80FE-B81DD1562336}"/>
    <cellStyle name="Linked Cell 3 3 2 3 6" xfId="30873" xr:uid="{DFFE00AD-4F12-4B57-8EE7-D385A8312B4F}"/>
    <cellStyle name="Linked Cell 3 3 2 3 6 2" xfId="30874" xr:uid="{75A87092-9ABE-4188-89F6-36DA2557FB83}"/>
    <cellStyle name="Linked Cell 3 3 2 3 6 2 2" xfId="30875" xr:uid="{2AB01880-3242-424D-B596-F108CBB054A0}"/>
    <cellStyle name="Linked Cell 3 3 2 3 6 3" xfId="30876" xr:uid="{0F80ACBA-38DB-4075-8F7F-CD02CD707A3A}"/>
    <cellStyle name="Linked Cell 3 3 2 3 7" xfId="30877" xr:uid="{B4F48FC9-B00A-4FC6-98DE-34E2C41149F3}"/>
    <cellStyle name="Linked Cell 3 3 2 3 7 2" xfId="30878" xr:uid="{1F6917CF-5C53-4FFA-94D1-FF5322B03EFE}"/>
    <cellStyle name="Linked Cell 3 3 2 3 7 2 2" xfId="30879" xr:uid="{6BBA793D-1008-4956-B26E-4E7F6615C860}"/>
    <cellStyle name="Linked Cell 3 3 2 3 7 3" xfId="30880" xr:uid="{F6901F3E-8C0E-4CF9-9196-E52F0CF59E27}"/>
    <cellStyle name="Linked Cell 3 3 2 3 8" xfId="30881" xr:uid="{7EBBB54F-4392-4C70-934A-1A343560016F}"/>
    <cellStyle name="Linked Cell 3 3 2 3 8 2" xfId="30882" xr:uid="{AA66BF00-4748-4C6B-9033-466B9C6D5209}"/>
    <cellStyle name="Linked Cell 3 3 2 3 8 2 2" xfId="30883" xr:uid="{8C4156A6-643C-4E16-90D4-89148489FCBB}"/>
    <cellStyle name="Linked Cell 3 3 2 3 8 3" xfId="30884" xr:uid="{D14F7A94-A917-48B9-B326-B8A273ADA2C4}"/>
    <cellStyle name="Linked Cell 3 3 2 3 9" xfId="30885" xr:uid="{B6C1E267-12FE-4EE7-AB18-AB6593898509}"/>
    <cellStyle name="Linked Cell 3 3 2 3 9 2" xfId="30886" xr:uid="{E5946A45-C204-46FE-BC95-B1EA81F4791A}"/>
    <cellStyle name="Linked Cell 3 3 2 3 9 2 2" xfId="30887" xr:uid="{CB9A2513-CFD1-4C40-8317-65FA9CD555C3}"/>
    <cellStyle name="Linked Cell 3 3 2 3 9 3" xfId="30888" xr:uid="{194DF2C5-52A7-4AD6-869A-E36B1820B541}"/>
    <cellStyle name="Linked Cell 3 3 2 4" xfId="30889" xr:uid="{67F53E5A-B98F-4A8A-B21A-DE6EC27A4F01}"/>
    <cellStyle name="Linked Cell 3 3 2 4 2" xfId="30890" xr:uid="{A496C6D5-E852-477E-8978-842BBBE3A3FD}"/>
    <cellStyle name="Linked Cell 3 3 2 4 2 2" xfId="30891" xr:uid="{FDE967C1-50D6-4D02-AA02-87D973AF378B}"/>
    <cellStyle name="Linked Cell 3 3 2 4 3" xfId="30892" xr:uid="{95678863-76A1-4FE4-A859-7B028C795480}"/>
    <cellStyle name="Linked Cell 3 3 2 5" xfId="30893" xr:uid="{6C823639-517C-4C38-989A-1F95A3831F9D}"/>
    <cellStyle name="Linked Cell 3 3 2 5 2" xfId="30894" xr:uid="{70E4E15A-9C50-493F-9302-4037FB8AA718}"/>
    <cellStyle name="Linked Cell 3 3 2 5 2 2" xfId="30895" xr:uid="{F02D1F3A-9D85-4277-9576-2A5F12DB8DE3}"/>
    <cellStyle name="Linked Cell 3 3 2 5 3" xfId="30896" xr:uid="{E5908641-4DBC-48B9-8126-CF5D639A90FE}"/>
    <cellStyle name="Linked Cell 3 3 2 6" xfId="30897" xr:uid="{BB78150C-50C1-485E-A758-771E3583F490}"/>
    <cellStyle name="Linked Cell 3 3 2 6 2" xfId="30898" xr:uid="{04D59CA2-A419-424D-9DD8-D8246C8AC2CB}"/>
    <cellStyle name="Linked Cell 3 3 2 6 2 2" xfId="30899" xr:uid="{93FF89E3-E9F2-40AA-A281-3EBC4C322F17}"/>
    <cellStyle name="Linked Cell 3 3 2 6 3" xfId="30900" xr:uid="{42610A1E-DEC4-4DA6-A17D-D43C66185D0E}"/>
    <cellStyle name="Linked Cell 3 3 2 7" xfId="30901" xr:uid="{C450A47B-96E2-47A0-9CD9-87ADE86EF90A}"/>
    <cellStyle name="Linked Cell 3 3 2 7 2" xfId="30902" xr:uid="{9CB45603-7CA2-4FB6-8AA9-5E6AC17C3443}"/>
    <cellStyle name="Linked Cell 3 3 2 7 2 2" xfId="30903" xr:uid="{D63E00C0-3C63-4A2B-85E7-9C282F2D6174}"/>
    <cellStyle name="Linked Cell 3 3 2 7 3" xfId="30904" xr:uid="{A3A115BB-5B74-40DB-A924-34102F292867}"/>
    <cellStyle name="Linked Cell 3 3 2 8" xfId="30905" xr:uid="{FC1E56F5-64DF-4BBC-955A-B7AF87F616E0}"/>
    <cellStyle name="Linked Cell 3 3 2 8 2" xfId="30906" xr:uid="{A71CE675-06C3-4918-916A-B426A6D06A97}"/>
    <cellStyle name="Linked Cell 3 3 2 8 2 2" xfId="30907" xr:uid="{468EF519-A3EF-4A8B-B40B-7BF18534FCA4}"/>
    <cellStyle name="Linked Cell 3 3 2 8 3" xfId="30908" xr:uid="{5F2C8A77-EE8D-4EB1-B8F1-5B90448800D0}"/>
    <cellStyle name="Linked Cell 3 3 2 9" xfId="30909" xr:uid="{D662AC86-FDD8-4517-A104-E95A5CB486F9}"/>
    <cellStyle name="Linked Cell 3 3 2 9 2" xfId="30910" xr:uid="{413A1736-D5EF-4647-A2E0-CB149CADA4EB}"/>
    <cellStyle name="Linked Cell 3 3 2 9 2 2" xfId="30911" xr:uid="{BD04DE4B-2041-47EE-89A4-5816508ACE98}"/>
    <cellStyle name="Linked Cell 3 3 2 9 3" xfId="30912" xr:uid="{AF2BC862-4279-4224-BED7-0CA010B241F5}"/>
    <cellStyle name="Linked Cell 3 3 3" xfId="30913" xr:uid="{9562D387-52E9-46AE-89D2-19CA3104F2C8}"/>
    <cellStyle name="Linked Cell 3 3 3 10" xfId="30914" xr:uid="{734A411E-23FE-4B70-A85F-42F8EF581AC8}"/>
    <cellStyle name="Linked Cell 3 3 3 10 2" xfId="30915" xr:uid="{38AC0AC2-642E-44BF-A0AF-B42CDA7746A9}"/>
    <cellStyle name="Linked Cell 3 3 3 10 2 2" xfId="30916" xr:uid="{ED9BDB31-2D54-49D6-825E-D5A15EE67D4A}"/>
    <cellStyle name="Linked Cell 3 3 3 10 3" xfId="30917" xr:uid="{80235BDF-21CE-4D1A-A5D3-585CAD052695}"/>
    <cellStyle name="Linked Cell 3 3 3 11" xfId="30918" xr:uid="{8CE205D7-0352-45DA-AD65-769940FDCDAC}"/>
    <cellStyle name="Linked Cell 3 3 3 11 2" xfId="30919" xr:uid="{8978A533-CA33-420A-A220-9A0D85F7514A}"/>
    <cellStyle name="Linked Cell 3 3 3 12" xfId="30920" xr:uid="{38FFFAEC-4BAF-4F5C-A46A-101E8631C583}"/>
    <cellStyle name="Linked Cell 3 3 3 2" xfId="30921" xr:uid="{AC7B598C-EB28-4E0A-8389-F43E31753A87}"/>
    <cellStyle name="Linked Cell 3 3 3 2 10" xfId="30922" xr:uid="{1E3FC084-2DE1-4F04-8C7B-9455D280B110}"/>
    <cellStyle name="Linked Cell 3 3 3 2 10 2" xfId="30923" xr:uid="{DA78203B-489A-4B24-A4AB-FD843713FA8B}"/>
    <cellStyle name="Linked Cell 3 3 3 2 11" xfId="30924" xr:uid="{0F16639A-CEED-456F-A535-64D85DC6F766}"/>
    <cellStyle name="Linked Cell 3 3 3 2 2" xfId="30925" xr:uid="{D4248F13-E80C-4263-B5AA-A830258CD7D9}"/>
    <cellStyle name="Linked Cell 3 3 3 2 2 2" xfId="30926" xr:uid="{2EDA0B29-D815-4A93-9B8B-8181AE0696E4}"/>
    <cellStyle name="Linked Cell 3 3 3 2 2 2 2" xfId="30927" xr:uid="{590DC21B-D3DA-458A-BBB5-2E7BC335C046}"/>
    <cellStyle name="Linked Cell 3 3 3 2 2 3" xfId="30928" xr:uid="{26CB46FE-37A0-428B-93C7-0CF96A52529D}"/>
    <cellStyle name="Linked Cell 3 3 3 2 3" xfId="30929" xr:uid="{043D58DB-17B1-481D-9C9A-7B110B369309}"/>
    <cellStyle name="Linked Cell 3 3 3 2 3 2" xfId="30930" xr:uid="{D60CC0E0-95E4-4DE2-9873-DB2BAC04D5C0}"/>
    <cellStyle name="Linked Cell 3 3 3 2 3 2 2" xfId="30931" xr:uid="{4FFD4BBA-8BF5-4CD2-94E8-EF335B2C335D}"/>
    <cellStyle name="Linked Cell 3 3 3 2 3 3" xfId="30932" xr:uid="{441D48D0-D157-49AD-84DE-EE4BDB8A50B3}"/>
    <cellStyle name="Linked Cell 3 3 3 2 4" xfId="30933" xr:uid="{A779EF75-56B6-46F7-ADD0-F27D217A8BCD}"/>
    <cellStyle name="Linked Cell 3 3 3 2 4 2" xfId="30934" xr:uid="{3232537F-A5C7-40C4-8B73-567175E8FDED}"/>
    <cellStyle name="Linked Cell 3 3 3 2 4 2 2" xfId="30935" xr:uid="{72F84900-2514-4A05-BDF5-44982516D3C2}"/>
    <cellStyle name="Linked Cell 3 3 3 2 4 3" xfId="30936" xr:uid="{0A5A2222-9119-415B-B5D3-39861C5ACEE0}"/>
    <cellStyle name="Linked Cell 3 3 3 2 5" xfId="30937" xr:uid="{344989CD-686E-4B7A-8B0D-8794EC116351}"/>
    <cellStyle name="Linked Cell 3 3 3 2 5 2" xfId="30938" xr:uid="{8BB33F78-906B-4CF1-B6FA-81DAC39B40D9}"/>
    <cellStyle name="Linked Cell 3 3 3 2 5 2 2" xfId="30939" xr:uid="{3130B6B2-A299-49A5-AE7E-9EB3E0F9E479}"/>
    <cellStyle name="Linked Cell 3 3 3 2 5 3" xfId="30940" xr:uid="{3D915CA2-25C0-42D8-B8A7-DFC0EBC8F7D0}"/>
    <cellStyle name="Linked Cell 3 3 3 2 6" xfId="30941" xr:uid="{31E879E0-31BD-4FDB-97AE-093A5132F0AB}"/>
    <cellStyle name="Linked Cell 3 3 3 2 6 2" xfId="30942" xr:uid="{CBB26DBB-2940-4453-8D76-9C12AA7F5507}"/>
    <cellStyle name="Linked Cell 3 3 3 2 6 2 2" xfId="30943" xr:uid="{C3FF5C92-DEA3-4F43-BC44-8BDB4584CB0C}"/>
    <cellStyle name="Linked Cell 3 3 3 2 6 3" xfId="30944" xr:uid="{EAD456C5-D0C9-49D7-A2EE-B10474292F74}"/>
    <cellStyle name="Linked Cell 3 3 3 2 7" xfId="30945" xr:uid="{49C46244-9359-4C96-A733-E00AD278E2CD}"/>
    <cellStyle name="Linked Cell 3 3 3 2 7 2" xfId="30946" xr:uid="{C29F7185-E776-4009-9EB7-B72600F8706B}"/>
    <cellStyle name="Linked Cell 3 3 3 2 7 2 2" xfId="30947" xr:uid="{2E30DE5E-D1AD-4CE2-8018-3EF7EFBA27B9}"/>
    <cellStyle name="Linked Cell 3 3 3 2 7 3" xfId="30948" xr:uid="{347904A0-DAC7-4259-B39E-9C46D05B00F3}"/>
    <cellStyle name="Linked Cell 3 3 3 2 8" xfId="30949" xr:uid="{29C8272B-EED5-4A3B-8466-7AA2227AA60C}"/>
    <cellStyle name="Linked Cell 3 3 3 2 8 2" xfId="30950" xr:uid="{0FBEB73C-6DE4-4A77-96BA-9D28D0A275FC}"/>
    <cellStyle name="Linked Cell 3 3 3 2 8 2 2" xfId="30951" xr:uid="{30441ADF-343E-499E-AC1D-1C3E723A8D98}"/>
    <cellStyle name="Linked Cell 3 3 3 2 8 3" xfId="30952" xr:uid="{B84F4EDC-502E-47C6-BA41-9FE06E3183C0}"/>
    <cellStyle name="Linked Cell 3 3 3 2 9" xfId="30953" xr:uid="{405F9F92-2AA6-4618-B860-75D22AA391B2}"/>
    <cellStyle name="Linked Cell 3 3 3 2 9 2" xfId="30954" xr:uid="{02C708A4-F7D4-4F8B-B42E-54871F619271}"/>
    <cellStyle name="Linked Cell 3 3 3 2 9 2 2" xfId="30955" xr:uid="{549BF1FA-22B4-4696-8C95-C229BD6DBADC}"/>
    <cellStyle name="Linked Cell 3 3 3 2 9 3" xfId="30956" xr:uid="{F938BA55-7672-4B90-93F7-148E666ED4E3}"/>
    <cellStyle name="Linked Cell 3 3 3 3" xfId="30957" xr:uid="{BBD24F0D-3D84-4FED-9408-539A5FB7EF5F}"/>
    <cellStyle name="Linked Cell 3 3 3 3 2" xfId="30958" xr:uid="{2A8F054F-AC4D-4F9B-8E34-8D2C0A940161}"/>
    <cellStyle name="Linked Cell 3 3 3 3 2 2" xfId="30959" xr:uid="{F15F1046-A857-4E3B-B9FC-D85DDD947589}"/>
    <cellStyle name="Linked Cell 3 3 3 3 3" xfId="30960" xr:uid="{3DD425A8-CCFE-4B82-A526-6F7055A42238}"/>
    <cellStyle name="Linked Cell 3 3 3 4" xfId="30961" xr:uid="{73631DB6-2A2F-44E7-9417-00F5CF49A500}"/>
    <cellStyle name="Linked Cell 3 3 3 4 2" xfId="30962" xr:uid="{EA06B506-D054-4A83-BB3E-9E2BA65F8FC2}"/>
    <cellStyle name="Linked Cell 3 3 3 4 2 2" xfId="30963" xr:uid="{12552A1F-E284-4233-BA4E-90766CA0C4CC}"/>
    <cellStyle name="Linked Cell 3 3 3 4 3" xfId="30964" xr:uid="{CB6629E9-1203-4F09-A831-88A901AC9340}"/>
    <cellStyle name="Linked Cell 3 3 3 5" xfId="30965" xr:uid="{8D100AF1-994C-4571-A622-85D7D32D94CA}"/>
    <cellStyle name="Linked Cell 3 3 3 5 2" xfId="30966" xr:uid="{024EF55C-7174-4CC8-9B1E-E94455E414D3}"/>
    <cellStyle name="Linked Cell 3 3 3 5 2 2" xfId="30967" xr:uid="{39F96E22-E69C-4D8D-96C7-D47125AEA970}"/>
    <cellStyle name="Linked Cell 3 3 3 5 3" xfId="30968" xr:uid="{3D520DCB-B69A-47D5-8D2B-DFF4372DE051}"/>
    <cellStyle name="Linked Cell 3 3 3 6" xfId="30969" xr:uid="{2B98DC95-4441-4F4A-83A6-A01854BAC6DF}"/>
    <cellStyle name="Linked Cell 3 3 3 6 2" xfId="30970" xr:uid="{07B3528A-3515-40C9-89C6-EEE161DB67FB}"/>
    <cellStyle name="Linked Cell 3 3 3 6 2 2" xfId="30971" xr:uid="{6C49D87D-93B9-4271-AF60-1D85AC428F01}"/>
    <cellStyle name="Linked Cell 3 3 3 6 3" xfId="30972" xr:uid="{2CDCF648-2714-4CA2-8367-C8EE8BD835B0}"/>
    <cellStyle name="Linked Cell 3 3 3 7" xfId="30973" xr:uid="{7D901739-C0D0-4703-9E18-4FD34142703E}"/>
    <cellStyle name="Linked Cell 3 3 3 7 2" xfId="30974" xr:uid="{611CF77E-30CE-4BB0-8E01-68718A2637B0}"/>
    <cellStyle name="Linked Cell 3 3 3 7 2 2" xfId="30975" xr:uid="{66CD735D-AC60-43C0-BEFE-85561E713EF5}"/>
    <cellStyle name="Linked Cell 3 3 3 7 3" xfId="30976" xr:uid="{3914C9CC-2E3C-4385-BF2B-11738F8FC383}"/>
    <cellStyle name="Linked Cell 3 3 3 8" xfId="30977" xr:uid="{6433E987-8FC3-4FF1-A0D9-870EBFB8C9E8}"/>
    <cellStyle name="Linked Cell 3 3 3 8 2" xfId="30978" xr:uid="{4217D4D7-14DD-4B3D-9F77-2DA5373AAEBE}"/>
    <cellStyle name="Linked Cell 3 3 3 8 2 2" xfId="30979" xr:uid="{1DB8C62B-C857-4AD1-9D1E-4F56C189784F}"/>
    <cellStyle name="Linked Cell 3 3 3 8 3" xfId="30980" xr:uid="{AD0FCFD1-960E-457B-AC9E-5C4AF049FB29}"/>
    <cellStyle name="Linked Cell 3 3 3 9" xfId="30981" xr:uid="{6C3A16A2-F7BC-4FB0-AF87-9236310D9B24}"/>
    <cellStyle name="Linked Cell 3 3 3 9 2" xfId="30982" xr:uid="{E5E312CF-FDA5-4197-8EFE-10D1B7D70E47}"/>
    <cellStyle name="Linked Cell 3 3 3 9 2 2" xfId="30983" xr:uid="{57BA1C09-026B-4908-B9F3-714CAB3FC2E7}"/>
    <cellStyle name="Linked Cell 3 3 3 9 3" xfId="30984" xr:uid="{012072A4-35E2-4D56-96BB-EF226D080734}"/>
    <cellStyle name="Linked Cell 3 3 4" xfId="30985" xr:uid="{86582548-3A59-4C9E-8CAD-DAA8C6C43771}"/>
    <cellStyle name="Linked Cell 3 3 4 10" xfId="30986" xr:uid="{16F999F2-C4A1-4901-B211-5102A61B751D}"/>
    <cellStyle name="Linked Cell 3 3 4 10 2" xfId="30987" xr:uid="{4B29220D-0CB3-43BA-A5BA-612842D53022}"/>
    <cellStyle name="Linked Cell 3 3 4 11" xfId="30988" xr:uid="{DAB7D607-CEE2-4DF8-8766-63357BA8F62E}"/>
    <cellStyle name="Linked Cell 3 3 4 2" xfId="30989" xr:uid="{2C186209-414E-498B-9831-5D56C573396F}"/>
    <cellStyle name="Linked Cell 3 3 4 2 2" xfId="30990" xr:uid="{637F2301-E17D-4402-A3B2-0DFCB3A6EA03}"/>
    <cellStyle name="Linked Cell 3 3 4 2 2 2" xfId="30991" xr:uid="{FB55A24E-CAE7-4307-8244-8ED847A1CCC0}"/>
    <cellStyle name="Linked Cell 3 3 4 2 3" xfId="30992" xr:uid="{ED135721-98D0-4531-8956-75645CE0FB79}"/>
    <cellStyle name="Linked Cell 3 3 4 3" xfId="30993" xr:uid="{9812463D-475D-482E-989E-790E7ABBEDD1}"/>
    <cellStyle name="Linked Cell 3 3 4 3 2" xfId="30994" xr:uid="{945884B5-3FCB-4E41-B5C1-A343C7A7554E}"/>
    <cellStyle name="Linked Cell 3 3 4 3 2 2" xfId="30995" xr:uid="{E58E4583-9D4D-4ACD-94E3-8C4CA3C4A718}"/>
    <cellStyle name="Linked Cell 3 3 4 3 3" xfId="30996" xr:uid="{B61EA4C7-2E29-42C3-891A-A556A6DA783C}"/>
    <cellStyle name="Linked Cell 3 3 4 4" xfId="30997" xr:uid="{13B974C3-FA71-4051-AC67-ABA2F464EAF1}"/>
    <cellStyle name="Linked Cell 3 3 4 4 2" xfId="30998" xr:uid="{B275A429-87B6-48FA-8A8B-8309F0D47699}"/>
    <cellStyle name="Linked Cell 3 3 4 4 2 2" xfId="30999" xr:uid="{A591D593-5BA3-4081-B543-764E45C2F161}"/>
    <cellStyle name="Linked Cell 3 3 4 4 3" xfId="31000" xr:uid="{ED83E2F7-F85B-413B-8723-E11B4074B5DD}"/>
    <cellStyle name="Linked Cell 3 3 4 5" xfId="31001" xr:uid="{83F48879-3D5C-459F-9ECC-FA7B4B5EDDEF}"/>
    <cellStyle name="Linked Cell 3 3 4 5 2" xfId="31002" xr:uid="{CA9F8CFD-B2F8-42F0-9BFD-310F1FC0C728}"/>
    <cellStyle name="Linked Cell 3 3 4 5 2 2" xfId="31003" xr:uid="{F4A54E22-7C05-476F-B86A-CC9114AEC322}"/>
    <cellStyle name="Linked Cell 3 3 4 5 3" xfId="31004" xr:uid="{04270530-2553-4775-8E9D-C3E9A99345E5}"/>
    <cellStyle name="Linked Cell 3 3 4 6" xfId="31005" xr:uid="{D715558A-4034-4F7D-9201-B7E7B321B6A8}"/>
    <cellStyle name="Linked Cell 3 3 4 6 2" xfId="31006" xr:uid="{0C4D6A35-C31C-419E-98AB-EECFDD8C8254}"/>
    <cellStyle name="Linked Cell 3 3 4 6 2 2" xfId="31007" xr:uid="{AB112326-71C0-4F76-9408-5FC093534DAC}"/>
    <cellStyle name="Linked Cell 3 3 4 6 3" xfId="31008" xr:uid="{57D04A7B-21AD-49C4-8B6E-D3BD5D4E9881}"/>
    <cellStyle name="Linked Cell 3 3 4 7" xfId="31009" xr:uid="{4A6F16EC-E840-438F-B540-6115E6617EA1}"/>
    <cellStyle name="Linked Cell 3 3 4 7 2" xfId="31010" xr:uid="{C3EDB5BF-9DDE-4315-B5DF-1D512F76726A}"/>
    <cellStyle name="Linked Cell 3 3 4 7 2 2" xfId="31011" xr:uid="{9C364DF0-8AD8-4794-8B77-E4928340C5A9}"/>
    <cellStyle name="Linked Cell 3 3 4 7 3" xfId="31012" xr:uid="{831EA1F7-9DA6-4B13-90D5-9BECC3102536}"/>
    <cellStyle name="Linked Cell 3 3 4 8" xfId="31013" xr:uid="{3CF7A3C8-7F7B-4683-A141-956F3C2DF761}"/>
    <cellStyle name="Linked Cell 3 3 4 8 2" xfId="31014" xr:uid="{1A60739C-556B-4880-97FE-472977FCCCD6}"/>
    <cellStyle name="Linked Cell 3 3 4 8 2 2" xfId="31015" xr:uid="{D9EFE4CD-29C9-4B81-8C75-53C77D60BFA7}"/>
    <cellStyle name="Linked Cell 3 3 4 8 3" xfId="31016" xr:uid="{9B813CAD-D2F8-4503-8B50-2F27A86AF462}"/>
    <cellStyle name="Linked Cell 3 3 4 9" xfId="31017" xr:uid="{4D527F42-5C00-4D9F-A73F-67B36121C8E0}"/>
    <cellStyle name="Linked Cell 3 3 4 9 2" xfId="31018" xr:uid="{42237782-9F39-4A65-AD9C-18EAD1D5A386}"/>
    <cellStyle name="Linked Cell 3 3 4 9 2 2" xfId="31019" xr:uid="{DD13D09C-5E68-48D2-AB29-4C22316E37BE}"/>
    <cellStyle name="Linked Cell 3 3 4 9 3" xfId="31020" xr:uid="{C9DCFF3F-16D4-4DF4-8DFA-E43BA1C79532}"/>
    <cellStyle name="Linked Cell 3 3 5" xfId="31021" xr:uid="{DC268166-DFA0-48AF-816E-47F7F57B6585}"/>
    <cellStyle name="Linked Cell 3 3 5 2" xfId="31022" xr:uid="{E59EB2DA-C971-4067-A865-15A4F58F9532}"/>
    <cellStyle name="Linked Cell 3 3 5 2 2" xfId="31023" xr:uid="{B3312B44-C1E5-4FFB-8DD5-B6F29EC11461}"/>
    <cellStyle name="Linked Cell 3 3 5 3" xfId="31024" xr:uid="{6342AF0C-EF8F-4E64-964D-B279051B6D00}"/>
    <cellStyle name="Linked Cell 3 3 6" xfId="31025" xr:uid="{ABC39D0B-A2A6-4BBB-AB10-91EE2D1D01C8}"/>
    <cellStyle name="Linked Cell 3 3 6 2" xfId="31026" xr:uid="{2C1C652C-8B7D-45F2-8670-0F192DC6F061}"/>
    <cellStyle name="Linked Cell 3 3 6 2 2" xfId="31027" xr:uid="{46479BCD-7A2E-4790-B83F-075806230CC7}"/>
    <cellStyle name="Linked Cell 3 3 6 3" xfId="31028" xr:uid="{B80308B0-C894-422D-AC5E-2495F109AC1E}"/>
    <cellStyle name="Linked Cell 3 3 7" xfId="31029" xr:uid="{7F9737B5-2B73-4ADF-9B86-300FD72D0826}"/>
    <cellStyle name="Linked Cell 3 3 7 2" xfId="31030" xr:uid="{D6F54205-E8C7-4020-A73E-83D484769D10}"/>
    <cellStyle name="Linked Cell 3 3 7 2 2" xfId="31031" xr:uid="{BD41C0BA-1C9E-4B60-837E-4F1D5CE5FCD6}"/>
    <cellStyle name="Linked Cell 3 3 7 3" xfId="31032" xr:uid="{B6E15B49-4192-4ECB-BF6F-6749B4E59A81}"/>
    <cellStyle name="Linked Cell 3 3 8" xfId="31033" xr:uid="{8239CE7A-9616-4EF3-B28F-BA5E2174B4A8}"/>
    <cellStyle name="Linked Cell 3 3 8 2" xfId="31034" xr:uid="{024CBEF4-E814-41A4-B55C-A5726457C044}"/>
    <cellStyle name="Linked Cell 3 3 8 2 2" xfId="31035" xr:uid="{4ABB5D70-7E5B-4439-8EF7-894902C25DCE}"/>
    <cellStyle name="Linked Cell 3 3 8 3" xfId="31036" xr:uid="{39733E2F-7D93-4F72-8C71-1116D1FA2998}"/>
    <cellStyle name="Linked Cell 3 3 9" xfId="31037" xr:uid="{626205A4-B216-44E5-9193-E83FC7790990}"/>
    <cellStyle name="Linked Cell 3 3 9 2" xfId="31038" xr:uid="{13E81938-E52D-4CB2-924F-4CD38CDBDCDA}"/>
    <cellStyle name="Linked Cell 3 3 9 2 2" xfId="31039" xr:uid="{6A5DC27E-0AC0-4591-9B4B-EC3428351E8A}"/>
    <cellStyle name="Linked Cell 3 3 9 3" xfId="31040" xr:uid="{83A00983-766A-4320-B619-8F76C24274A7}"/>
    <cellStyle name="Linked Cell 3 4" xfId="31041" xr:uid="{A6D2ABCC-2744-433B-8A26-46B638B9C296}"/>
    <cellStyle name="Linked Cell 3 4 10" xfId="31042" xr:uid="{6863228C-38D8-442D-B8F5-0AE290FA93AA}"/>
    <cellStyle name="Linked Cell 3 4 10 2" xfId="31043" xr:uid="{98A3A0F2-93DB-4FDE-A880-2EF92CFE1E18}"/>
    <cellStyle name="Linked Cell 3 4 10 2 2" xfId="31044" xr:uid="{220E3355-903E-4A52-A24A-CD6D57179CF1}"/>
    <cellStyle name="Linked Cell 3 4 10 3" xfId="31045" xr:uid="{0B4627AD-7014-4ABD-B2CD-D387AD72824C}"/>
    <cellStyle name="Linked Cell 3 4 11" xfId="31046" xr:uid="{E7F8FF78-FF4F-4D48-9B80-A91F1F0B8A8B}"/>
    <cellStyle name="Linked Cell 3 4 11 2" xfId="31047" xr:uid="{7EFB7BC9-66F6-49BB-B75E-32B07398F117}"/>
    <cellStyle name="Linked Cell 3 4 11 2 2" xfId="31048" xr:uid="{735B7A19-E103-45ED-A100-40CDEF5A3560}"/>
    <cellStyle name="Linked Cell 3 4 11 3" xfId="31049" xr:uid="{D0D1FBEE-EEFB-4D73-93A5-D937BC7F5752}"/>
    <cellStyle name="Linked Cell 3 4 12" xfId="31050" xr:uid="{594D7A84-512D-4612-9341-CE43091DE6EA}"/>
    <cellStyle name="Linked Cell 3 4 12 2" xfId="31051" xr:uid="{EB946562-18AC-4041-9319-2770B284FA74}"/>
    <cellStyle name="Linked Cell 3 4 13" xfId="31052" xr:uid="{1C398155-A1D6-4377-B158-05D369F82E8F}"/>
    <cellStyle name="Linked Cell 3 4 2" xfId="31053" xr:uid="{2ABE5534-3C2B-409D-942D-C3A14DFF7190}"/>
    <cellStyle name="Linked Cell 3 4 2 10" xfId="31054" xr:uid="{4485E64B-91CC-4C5C-B58A-DCA6056BE1F9}"/>
    <cellStyle name="Linked Cell 3 4 2 10 2" xfId="31055" xr:uid="{E6678767-AEA8-45F9-A43C-699470AB927C}"/>
    <cellStyle name="Linked Cell 3 4 2 10 2 2" xfId="31056" xr:uid="{7F4E7094-4240-45F0-8BB6-49FB1F3D3915}"/>
    <cellStyle name="Linked Cell 3 4 2 10 3" xfId="31057" xr:uid="{3470D289-173E-40CA-8D11-7C24E95C8588}"/>
    <cellStyle name="Linked Cell 3 4 2 11" xfId="31058" xr:uid="{1416FFB8-8B98-4640-A993-B8587CFE9DF6}"/>
    <cellStyle name="Linked Cell 3 4 2 11 2" xfId="31059" xr:uid="{C543E1B0-87E0-4C72-AB55-A51A4F613D0D}"/>
    <cellStyle name="Linked Cell 3 4 2 12" xfId="31060" xr:uid="{879E4909-88F1-4351-AABF-30A80010BA94}"/>
    <cellStyle name="Linked Cell 3 4 2 2" xfId="31061" xr:uid="{C9665824-0B38-4FF2-B752-92EB5C0D6397}"/>
    <cellStyle name="Linked Cell 3 4 2 2 2" xfId="31062" xr:uid="{4F713568-DFDC-4474-9A64-C5F62C2314F5}"/>
    <cellStyle name="Linked Cell 3 4 2 2 2 2" xfId="31063" xr:uid="{92B6EA10-2FCC-4BCB-AFF9-B81C39BF3986}"/>
    <cellStyle name="Linked Cell 3 4 2 2 3" xfId="31064" xr:uid="{7BE9E139-AEFE-4EAC-9CB6-D2B65C15BE41}"/>
    <cellStyle name="Linked Cell 3 4 2 3" xfId="31065" xr:uid="{ABA1C502-BD2C-4E02-B49A-E3CD56A5F346}"/>
    <cellStyle name="Linked Cell 3 4 2 3 2" xfId="31066" xr:uid="{54A1A542-09D3-48C8-98A2-660B3B1E6C1B}"/>
    <cellStyle name="Linked Cell 3 4 2 3 2 2" xfId="31067" xr:uid="{81C09CB7-095B-42B5-B2D3-1EC055B328B3}"/>
    <cellStyle name="Linked Cell 3 4 2 3 3" xfId="31068" xr:uid="{8E6BCD3B-D40E-4CA7-9DBD-C9727E7098F5}"/>
    <cellStyle name="Linked Cell 3 4 2 4" xfId="31069" xr:uid="{87D7B544-2142-4D85-8691-47105ACE5230}"/>
    <cellStyle name="Linked Cell 3 4 2 4 2" xfId="31070" xr:uid="{FE31F00E-5933-47D6-B0E0-42230637B425}"/>
    <cellStyle name="Linked Cell 3 4 2 4 2 2" xfId="31071" xr:uid="{F43AE9E0-72C6-4075-A016-1B3442C2DE1E}"/>
    <cellStyle name="Linked Cell 3 4 2 4 3" xfId="31072" xr:uid="{FCCC2F90-ABAF-4C35-9D5C-6C5050E96D04}"/>
    <cellStyle name="Linked Cell 3 4 2 5" xfId="31073" xr:uid="{23DDDE9B-56ED-4E13-8A48-12649A60DA46}"/>
    <cellStyle name="Linked Cell 3 4 2 5 2" xfId="31074" xr:uid="{1DDB0705-4585-45DC-A980-5CE4FE05A2F6}"/>
    <cellStyle name="Linked Cell 3 4 2 5 2 2" xfId="31075" xr:uid="{F176D7BD-F4BF-420C-9753-C405108EE329}"/>
    <cellStyle name="Linked Cell 3 4 2 5 3" xfId="31076" xr:uid="{46578A48-F1DF-486C-BFDD-D5120046CD0D}"/>
    <cellStyle name="Linked Cell 3 4 2 6" xfId="31077" xr:uid="{E1F48879-C59E-4FBC-B8E3-B283F13DD426}"/>
    <cellStyle name="Linked Cell 3 4 2 6 2" xfId="31078" xr:uid="{02B405C6-0A28-451D-904A-BC25DED044E1}"/>
    <cellStyle name="Linked Cell 3 4 2 6 2 2" xfId="31079" xr:uid="{6C052F14-F362-49F4-B872-88372D78A31A}"/>
    <cellStyle name="Linked Cell 3 4 2 6 3" xfId="31080" xr:uid="{DE0329BE-AE6D-4E1A-A437-56CAD5AF513D}"/>
    <cellStyle name="Linked Cell 3 4 2 7" xfId="31081" xr:uid="{FC5039D4-2A74-4BFB-BC1F-C84FE7F1D0C8}"/>
    <cellStyle name="Linked Cell 3 4 2 7 2" xfId="31082" xr:uid="{FDF50C1D-A1FA-407F-BB5F-270BD79A8944}"/>
    <cellStyle name="Linked Cell 3 4 2 7 2 2" xfId="31083" xr:uid="{1E6B86E4-F2C4-4FA2-A887-4DECCA83C91E}"/>
    <cellStyle name="Linked Cell 3 4 2 7 3" xfId="31084" xr:uid="{63CD16D8-D500-4103-851F-7EDC07677B8E}"/>
    <cellStyle name="Linked Cell 3 4 2 8" xfId="31085" xr:uid="{96312B08-7425-4685-A1D2-EE71A7B478E3}"/>
    <cellStyle name="Linked Cell 3 4 2 8 2" xfId="31086" xr:uid="{3366D349-4F72-4CD5-8B95-2EAE8AD80836}"/>
    <cellStyle name="Linked Cell 3 4 2 8 2 2" xfId="31087" xr:uid="{325F202E-7D70-43F2-A2C0-E397EE0F022E}"/>
    <cellStyle name="Linked Cell 3 4 2 8 3" xfId="31088" xr:uid="{1E4514AD-529E-4F5F-AB1F-015A819F2754}"/>
    <cellStyle name="Linked Cell 3 4 2 9" xfId="31089" xr:uid="{49FCAD21-91A0-4D5E-9261-04B75E70C750}"/>
    <cellStyle name="Linked Cell 3 4 2 9 2" xfId="31090" xr:uid="{C86BA588-B8F2-42DD-B22E-40406A194ACB}"/>
    <cellStyle name="Linked Cell 3 4 2 9 2 2" xfId="31091" xr:uid="{161CDDE7-389B-4964-83D4-A416DC95F800}"/>
    <cellStyle name="Linked Cell 3 4 2 9 3" xfId="31092" xr:uid="{C9C8CA26-209E-4AA1-B4BD-61D3D7713C47}"/>
    <cellStyle name="Linked Cell 3 4 3" xfId="31093" xr:uid="{F499C228-05B0-43AF-AC60-5D22855DA02F}"/>
    <cellStyle name="Linked Cell 3 4 3 10" xfId="31094" xr:uid="{23A15336-EB07-4450-9AFB-4BC037F20988}"/>
    <cellStyle name="Linked Cell 3 4 3 10 2" xfId="31095" xr:uid="{43519501-24F9-4156-8533-8484CAD68439}"/>
    <cellStyle name="Linked Cell 3 4 3 11" xfId="31096" xr:uid="{A3AD5A9B-C58E-4476-A324-210601522D8D}"/>
    <cellStyle name="Linked Cell 3 4 3 2" xfId="31097" xr:uid="{927DD746-2657-4947-B101-4E8775CBA2FE}"/>
    <cellStyle name="Linked Cell 3 4 3 2 2" xfId="31098" xr:uid="{8C49409E-9ADD-4A59-9B6B-4C4DAF627C2A}"/>
    <cellStyle name="Linked Cell 3 4 3 2 2 2" xfId="31099" xr:uid="{5954684A-CC8F-4F95-A8C6-D6F551235B01}"/>
    <cellStyle name="Linked Cell 3 4 3 2 3" xfId="31100" xr:uid="{AC0A1E7C-DDB2-469A-A7FD-A11BF3BBFF30}"/>
    <cellStyle name="Linked Cell 3 4 3 3" xfId="31101" xr:uid="{C8F4A1AB-9A0E-4938-B2B7-E03536414862}"/>
    <cellStyle name="Linked Cell 3 4 3 3 2" xfId="31102" xr:uid="{74F25F3D-94FD-47BF-B581-89A315970306}"/>
    <cellStyle name="Linked Cell 3 4 3 3 2 2" xfId="31103" xr:uid="{C58F08D8-C677-40C1-ABEA-4547C7A2259C}"/>
    <cellStyle name="Linked Cell 3 4 3 3 3" xfId="31104" xr:uid="{FB261F71-CC6A-4F26-8CA5-336B988CBEBE}"/>
    <cellStyle name="Linked Cell 3 4 3 4" xfId="31105" xr:uid="{3A17D65C-181F-4F34-9BF8-EDC5B98CD077}"/>
    <cellStyle name="Linked Cell 3 4 3 4 2" xfId="31106" xr:uid="{C6939891-9355-41DC-AA59-C79FC3D69996}"/>
    <cellStyle name="Linked Cell 3 4 3 4 2 2" xfId="31107" xr:uid="{B8D95199-9634-475D-9947-956FAA48A9AA}"/>
    <cellStyle name="Linked Cell 3 4 3 4 3" xfId="31108" xr:uid="{FFC8BBFA-1AC2-43EA-BF61-4B96270FC4E4}"/>
    <cellStyle name="Linked Cell 3 4 3 5" xfId="31109" xr:uid="{1085E66F-5D15-43EE-9C55-097361228E6E}"/>
    <cellStyle name="Linked Cell 3 4 3 5 2" xfId="31110" xr:uid="{F644FB2E-A697-4D21-B2CC-35EE847C0534}"/>
    <cellStyle name="Linked Cell 3 4 3 5 2 2" xfId="31111" xr:uid="{7CBB16F3-9F5B-4562-A0BF-CE1B2E9031EB}"/>
    <cellStyle name="Linked Cell 3 4 3 5 3" xfId="31112" xr:uid="{7ABC18F3-C10F-48F7-8143-6FFBE4DEFD92}"/>
    <cellStyle name="Linked Cell 3 4 3 6" xfId="31113" xr:uid="{305FE3D0-0C7F-4C93-860E-2EA72233976B}"/>
    <cellStyle name="Linked Cell 3 4 3 6 2" xfId="31114" xr:uid="{1D8D839E-5540-41D0-8905-13BE4A628F72}"/>
    <cellStyle name="Linked Cell 3 4 3 6 2 2" xfId="31115" xr:uid="{F0291D03-45FF-42C7-ABEA-E839C8D97EAD}"/>
    <cellStyle name="Linked Cell 3 4 3 6 3" xfId="31116" xr:uid="{173F778D-231C-4015-A916-A03764F54662}"/>
    <cellStyle name="Linked Cell 3 4 3 7" xfId="31117" xr:uid="{595EF58B-A601-4140-8D4C-1C63A0234194}"/>
    <cellStyle name="Linked Cell 3 4 3 7 2" xfId="31118" xr:uid="{B30CC98B-F3DE-44DB-BF36-833DD64791C4}"/>
    <cellStyle name="Linked Cell 3 4 3 7 2 2" xfId="31119" xr:uid="{4F54984C-A647-476A-963E-19BFDFC60458}"/>
    <cellStyle name="Linked Cell 3 4 3 7 3" xfId="31120" xr:uid="{99645BA9-7FD5-4FD7-80B3-F1EC9A20375D}"/>
    <cellStyle name="Linked Cell 3 4 3 8" xfId="31121" xr:uid="{E4D32EFD-55F3-4CE7-80A1-D96492E63304}"/>
    <cellStyle name="Linked Cell 3 4 3 8 2" xfId="31122" xr:uid="{28773E5E-F371-455B-9C8A-6EE747F606C9}"/>
    <cellStyle name="Linked Cell 3 4 3 8 2 2" xfId="31123" xr:uid="{49E75262-592D-4C59-805E-FCE892BF17FF}"/>
    <cellStyle name="Linked Cell 3 4 3 8 3" xfId="31124" xr:uid="{21916B16-FBC2-40C8-B085-B4469355F989}"/>
    <cellStyle name="Linked Cell 3 4 3 9" xfId="31125" xr:uid="{4761716C-4D20-4E99-8F0D-9E4BF1649BFD}"/>
    <cellStyle name="Linked Cell 3 4 3 9 2" xfId="31126" xr:uid="{601E0E33-4D5E-4B79-A945-8459DDEA02E8}"/>
    <cellStyle name="Linked Cell 3 4 3 9 2 2" xfId="31127" xr:uid="{1CBBB2CD-4A69-4C34-9925-C4BF1175B87E}"/>
    <cellStyle name="Linked Cell 3 4 3 9 3" xfId="31128" xr:uid="{06973678-1294-47AF-9DDC-DC2E90A84464}"/>
    <cellStyle name="Linked Cell 3 4 4" xfId="31129" xr:uid="{3D4CC0B6-4593-4A18-991C-744474837BFC}"/>
    <cellStyle name="Linked Cell 3 4 4 2" xfId="31130" xr:uid="{0A929D21-6C9A-40F6-A9D6-2CEA6B90D50F}"/>
    <cellStyle name="Linked Cell 3 4 4 2 2" xfId="31131" xr:uid="{346C2D31-91ED-4A44-8942-B4901688428D}"/>
    <cellStyle name="Linked Cell 3 4 4 3" xfId="31132" xr:uid="{82BDFE01-6427-459A-92EB-832A776A53B6}"/>
    <cellStyle name="Linked Cell 3 4 5" xfId="31133" xr:uid="{0DD837C9-12B2-4C82-AF25-CCFBFBB82ADA}"/>
    <cellStyle name="Linked Cell 3 4 5 2" xfId="31134" xr:uid="{BC85CC33-31E8-4795-B1CE-16F6EEE9CDB6}"/>
    <cellStyle name="Linked Cell 3 4 5 2 2" xfId="31135" xr:uid="{61E8E2B1-89BE-48A0-ADE0-74AD3B2BB0E7}"/>
    <cellStyle name="Linked Cell 3 4 5 3" xfId="31136" xr:uid="{DFB76B87-7FD6-4E85-8404-B1BAB853FB79}"/>
    <cellStyle name="Linked Cell 3 4 6" xfId="31137" xr:uid="{5FD78C9D-4FD9-42E7-95E4-EB1FE15EDF9A}"/>
    <cellStyle name="Linked Cell 3 4 6 2" xfId="31138" xr:uid="{D943AA4A-1E61-47E3-B9BE-9B1890D59CF5}"/>
    <cellStyle name="Linked Cell 3 4 6 2 2" xfId="31139" xr:uid="{237CF69A-9596-4999-8072-3D0CAF71129F}"/>
    <cellStyle name="Linked Cell 3 4 6 3" xfId="31140" xr:uid="{5E0234E7-1D18-41E2-95E4-D59B5B587C9D}"/>
    <cellStyle name="Linked Cell 3 4 7" xfId="31141" xr:uid="{9165EFD9-4364-4EB5-B917-6F91C0276FD6}"/>
    <cellStyle name="Linked Cell 3 4 7 2" xfId="31142" xr:uid="{CE3DAC3D-EF93-4533-9278-059BEFD54387}"/>
    <cellStyle name="Linked Cell 3 4 7 2 2" xfId="31143" xr:uid="{F6C8B9EF-C6D2-4379-881B-6DF7EC93041F}"/>
    <cellStyle name="Linked Cell 3 4 7 3" xfId="31144" xr:uid="{05E9B988-9873-4FD9-8024-DCDFA7B33EF8}"/>
    <cellStyle name="Linked Cell 3 4 8" xfId="31145" xr:uid="{3D0FEB5C-F688-4086-9100-7399086B04E0}"/>
    <cellStyle name="Linked Cell 3 4 8 2" xfId="31146" xr:uid="{4A050F1F-2875-4397-AE43-500483F6D743}"/>
    <cellStyle name="Linked Cell 3 4 8 2 2" xfId="31147" xr:uid="{A4032A98-3BE4-4323-B7AD-6FAC3C623C20}"/>
    <cellStyle name="Linked Cell 3 4 8 3" xfId="31148" xr:uid="{BBAE3728-30CC-4ACA-9362-C16B924D4233}"/>
    <cellStyle name="Linked Cell 3 4 9" xfId="31149" xr:uid="{2FFC949F-EF6B-4232-A68F-22BFAA4BB820}"/>
    <cellStyle name="Linked Cell 3 4 9 2" xfId="31150" xr:uid="{90C0A89A-580B-451C-8FAF-98A178CE49C7}"/>
    <cellStyle name="Linked Cell 3 4 9 2 2" xfId="31151" xr:uid="{112BFA48-3CEB-4FBF-A781-C34E26262E72}"/>
    <cellStyle name="Linked Cell 3 4 9 3" xfId="31152" xr:uid="{DEF17C70-C52D-4EDB-96F7-4D239CD5FA3C}"/>
    <cellStyle name="Linked Cell 30" xfId="31153" xr:uid="{13036729-A44B-48C9-9ACC-3E3798BF7C64}"/>
    <cellStyle name="Linked Cell 30 2" xfId="31154" xr:uid="{3C8E1A4A-64A0-4091-8606-395A423069DB}"/>
    <cellStyle name="Linked Cell 30 2 10" xfId="31155" xr:uid="{0450CAF2-500D-461C-BC2B-C528A8897BDF}"/>
    <cellStyle name="Linked Cell 30 2 10 2" xfId="31156" xr:uid="{90F15CDD-E0C5-483F-91C5-8DA41178B259}"/>
    <cellStyle name="Linked Cell 30 2 10 2 2" xfId="31157" xr:uid="{1B03A456-5D55-449F-83A7-25887D93BC6D}"/>
    <cellStyle name="Linked Cell 30 2 10 3" xfId="31158" xr:uid="{82C70A19-E5A0-40B9-9CFD-FBC231405CE2}"/>
    <cellStyle name="Linked Cell 30 2 11" xfId="31159" xr:uid="{ECE8F21E-6400-4C9F-AA41-4871643A4948}"/>
    <cellStyle name="Linked Cell 30 2 11 2" xfId="31160" xr:uid="{A0FFD1B1-AF09-44A8-8849-8483EF452596}"/>
    <cellStyle name="Linked Cell 30 2 11 2 2" xfId="31161" xr:uid="{ACE09AE1-C387-4A5A-99C7-356CAB63490E}"/>
    <cellStyle name="Linked Cell 30 2 11 3" xfId="31162" xr:uid="{077D5D01-5099-49F8-829B-5B002E6716F4}"/>
    <cellStyle name="Linked Cell 30 2 12" xfId="31163" xr:uid="{93D7FF2A-6D72-4A49-8A80-E0191F90182D}"/>
    <cellStyle name="Linked Cell 30 2 12 2" xfId="31164" xr:uid="{DAC6D6CE-281D-405C-9ABF-2F95B549CA7F}"/>
    <cellStyle name="Linked Cell 30 2 12 2 2" xfId="31165" xr:uid="{9B22463A-3332-4CF0-9FE7-5871E1DF88C8}"/>
    <cellStyle name="Linked Cell 30 2 12 3" xfId="31166" xr:uid="{205B675C-1BA9-4900-8B04-7A9D550BF4E9}"/>
    <cellStyle name="Linked Cell 30 2 13" xfId="31167" xr:uid="{45478FDE-D35A-49BD-8A96-5E275F15B2A6}"/>
    <cellStyle name="Linked Cell 30 2 13 2" xfId="31168" xr:uid="{B54C0BAF-4AC6-43A4-A96B-232B4F3F6DC4}"/>
    <cellStyle name="Linked Cell 30 2 13 2 2" xfId="31169" xr:uid="{727954AB-9763-4979-B0BB-8FCB523EE4E5}"/>
    <cellStyle name="Linked Cell 30 2 13 3" xfId="31170" xr:uid="{EC6AB3A0-B5AF-449C-BA02-B2C367E1FF66}"/>
    <cellStyle name="Linked Cell 30 2 14" xfId="31171" xr:uid="{42E5D119-7CED-40A6-A84E-DA632FB5B83A}"/>
    <cellStyle name="Linked Cell 30 2 14 2" xfId="31172" xr:uid="{0C06BAED-BA79-4A8E-91D9-61BDED18CEC8}"/>
    <cellStyle name="Linked Cell 30 2 15" xfId="31173" xr:uid="{D77BDD26-90F7-4221-872C-E283FB2952AA}"/>
    <cellStyle name="Linked Cell 30 2 2" xfId="31174" xr:uid="{A10CA0CB-7DDD-440C-B3AE-09020F09F7DE}"/>
    <cellStyle name="Linked Cell 30 2 2 10" xfId="31175" xr:uid="{4E5AB49B-7AE2-4DB7-87A3-50FDF21D8F11}"/>
    <cellStyle name="Linked Cell 30 2 2 10 2" xfId="31176" xr:uid="{3F907275-F3ED-4EA7-9CBF-D32DBEEA19C7}"/>
    <cellStyle name="Linked Cell 30 2 2 10 2 2" xfId="31177" xr:uid="{782EB164-C6E5-486F-BEDB-BA151B82599C}"/>
    <cellStyle name="Linked Cell 30 2 2 10 3" xfId="31178" xr:uid="{6969630A-D968-420F-9081-A68EBDEAA218}"/>
    <cellStyle name="Linked Cell 30 2 2 11" xfId="31179" xr:uid="{FA344A61-6122-4E3B-8563-D967182AB26C}"/>
    <cellStyle name="Linked Cell 30 2 2 11 2" xfId="31180" xr:uid="{7593D4EB-6866-41FA-AF7E-90A4EA95DC77}"/>
    <cellStyle name="Linked Cell 30 2 2 11 2 2" xfId="31181" xr:uid="{94062C52-F715-4644-BF40-A6EAC279C83A}"/>
    <cellStyle name="Linked Cell 30 2 2 11 3" xfId="31182" xr:uid="{77BF8955-CAA1-4463-823E-C5777B19EEF4}"/>
    <cellStyle name="Linked Cell 30 2 2 12" xfId="31183" xr:uid="{56004A3D-A87A-411B-B876-01E829C65DF2}"/>
    <cellStyle name="Linked Cell 30 2 2 12 2" xfId="31184" xr:uid="{01B12B81-AA67-4C73-A76E-FF463F543731}"/>
    <cellStyle name="Linked Cell 30 2 2 12 2 2" xfId="31185" xr:uid="{31271DEA-2470-4F1B-8A3C-59A4362AA808}"/>
    <cellStyle name="Linked Cell 30 2 2 12 3" xfId="31186" xr:uid="{62A32924-9211-417D-8C06-91C455FD3AA2}"/>
    <cellStyle name="Linked Cell 30 2 2 13" xfId="31187" xr:uid="{68A44774-73F9-4051-9E7C-81C429DAD305}"/>
    <cellStyle name="Linked Cell 30 2 2 13 2" xfId="31188" xr:uid="{A2432674-8FCE-4BCA-AD61-DEAEB8FD35D6}"/>
    <cellStyle name="Linked Cell 30 2 2 14" xfId="31189" xr:uid="{A9E21A9D-2975-457D-AF0F-081351488E5F}"/>
    <cellStyle name="Linked Cell 30 2 2 2" xfId="31190" xr:uid="{D426F73C-8B89-4369-A7EF-811E0709B449}"/>
    <cellStyle name="Linked Cell 30 2 2 2 10" xfId="31191" xr:uid="{A7687075-1D89-42CA-9730-889577E689FC}"/>
    <cellStyle name="Linked Cell 30 2 2 2 10 2" xfId="31192" xr:uid="{D322FA25-C1CD-4701-A38C-C4100BBFB50F}"/>
    <cellStyle name="Linked Cell 30 2 2 2 10 2 2" xfId="31193" xr:uid="{50F4B4C6-C9F6-4A95-8359-AEE807D6A557}"/>
    <cellStyle name="Linked Cell 30 2 2 2 10 3" xfId="31194" xr:uid="{EC02AA03-0910-4C89-8DCF-D6CCB6AF5E87}"/>
    <cellStyle name="Linked Cell 30 2 2 2 11" xfId="31195" xr:uid="{5205192F-15B5-412A-A9B3-A7313FEF9F51}"/>
    <cellStyle name="Linked Cell 30 2 2 2 11 2" xfId="31196" xr:uid="{7AD9CE19-918A-4B5D-8799-3C522DDB36CC}"/>
    <cellStyle name="Linked Cell 30 2 2 2 11 2 2" xfId="31197" xr:uid="{D92C0A39-AB2E-4680-A37E-1FEF245E7569}"/>
    <cellStyle name="Linked Cell 30 2 2 2 11 3" xfId="31198" xr:uid="{3CA323B8-9579-42B7-9124-6460B9E40357}"/>
    <cellStyle name="Linked Cell 30 2 2 2 12" xfId="31199" xr:uid="{021594CC-FDB2-409F-8DAF-02FE53FEF062}"/>
    <cellStyle name="Linked Cell 30 2 2 2 12 2" xfId="31200" xr:uid="{02D7ABBC-E765-4EEF-89DD-A685FB7EEFD9}"/>
    <cellStyle name="Linked Cell 30 2 2 2 13" xfId="31201" xr:uid="{37E3331C-7903-4751-A419-BF03C5A59FA9}"/>
    <cellStyle name="Linked Cell 30 2 2 2 2" xfId="31202" xr:uid="{7D6F2F30-4F1E-4809-B3CF-F868F4B3CE13}"/>
    <cellStyle name="Linked Cell 30 2 2 2 2 10" xfId="31203" xr:uid="{5D2A97FB-3BC0-4298-984E-F4735473E4EB}"/>
    <cellStyle name="Linked Cell 30 2 2 2 2 10 2" xfId="31204" xr:uid="{9DBD4DCA-9E48-45E8-B573-7D43FF6F4DC8}"/>
    <cellStyle name="Linked Cell 30 2 2 2 2 10 2 2" xfId="31205" xr:uid="{C4988D7E-ECBA-4153-B89E-144FA0B17EBF}"/>
    <cellStyle name="Linked Cell 30 2 2 2 2 10 3" xfId="31206" xr:uid="{293D49BF-C3B7-4A5E-B1E6-5FFD5AD54D6C}"/>
    <cellStyle name="Linked Cell 30 2 2 2 2 11" xfId="31207" xr:uid="{DDD6BA38-35CE-430B-8B64-A1528DE86B95}"/>
    <cellStyle name="Linked Cell 30 2 2 2 2 11 2" xfId="31208" xr:uid="{DEF879BB-99FA-4E8F-A7C5-021B5B31D370}"/>
    <cellStyle name="Linked Cell 30 2 2 2 2 12" xfId="31209" xr:uid="{52503DE1-861B-4F06-B41A-750966E1B301}"/>
    <cellStyle name="Linked Cell 30 2 2 2 2 2" xfId="31210" xr:uid="{39FF6876-8A08-4CDE-AAC7-83462A4DE252}"/>
    <cellStyle name="Linked Cell 30 2 2 2 2 2 2" xfId="31211" xr:uid="{9C2C09ED-2AD1-4D37-9B54-EB1842285003}"/>
    <cellStyle name="Linked Cell 30 2 2 2 2 2 2 2" xfId="31212" xr:uid="{7E0460EF-FC46-4896-9E63-427C5F85DF9B}"/>
    <cellStyle name="Linked Cell 30 2 2 2 2 2 3" xfId="31213" xr:uid="{9A3BC916-574B-4A74-B688-B22D456BEA28}"/>
    <cellStyle name="Linked Cell 30 2 2 2 2 3" xfId="31214" xr:uid="{8C8AD48D-76E1-4B40-909E-BED9874AA360}"/>
    <cellStyle name="Linked Cell 30 2 2 2 2 3 2" xfId="31215" xr:uid="{D17F7A05-E35D-45EF-A509-85FFEB8741E2}"/>
    <cellStyle name="Linked Cell 30 2 2 2 2 3 2 2" xfId="31216" xr:uid="{3695EB82-43C0-4242-B5F4-CEF09FD8BBBD}"/>
    <cellStyle name="Linked Cell 30 2 2 2 2 3 3" xfId="31217" xr:uid="{3E262A99-706E-4AF6-BF7D-B6C787667112}"/>
    <cellStyle name="Linked Cell 30 2 2 2 2 4" xfId="31218" xr:uid="{5DF7959A-5A2B-4A15-A012-D9466E478F26}"/>
    <cellStyle name="Linked Cell 30 2 2 2 2 4 2" xfId="31219" xr:uid="{BA9361E7-4C59-43FF-9CAA-597A15B7C935}"/>
    <cellStyle name="Linked Cell 30 2 2 2 2 4 2 2" xfId="31220" xr:uid="{4789F962-FB6A-4591-99F8-FB4DB34AB6AF}"/>
    <cellStyle name="Linked Cell 30 2 2 2 2 4 3" xfId="31221" xr:uid="{56DDE8CD-62CE-485F-82D8-F9D5974D829E}"/>
    <cellStyle name="Linked Cell 30 2 2 2 2 5" xfId="31222" xr:uid="{1E7C6865-4E28-4AC5-8DEB-0EB6F358E175}"/>
    <cellStyle name="Linked Cell 30 2 2 2 2 5 2" xfId="31223" xr:uid="{6145222A-2E7E-4331-B964-543D2A9C6F02}"/>
    <cellStyle name="Linked Cell 30 2 2 2 2 5 2 2" xfId="31224" xr:uid="{60715710-55A2-4260-A47C-ACCEF8A68B31}"/>
    <cellStyle name="Linked Cell 30 2 2 2 2 5 3" xfId="31225" xr:uid="{FC29AD62-CD00-4DE6-9520-790002356628}"/>
    <cellStyle name="Linked Cell 30 2 2 2 2 6" xfId="31226" xr:uid="{97F00046-F058-48A2-8E64-5EB3983FBF43}"/>
    <cellStyle name="Linked Cell 30 2 2 2 2 6 2" xfId="31227" xr:uid="{16844B2F-7C9E-46C1-9F10-60588458A76F}"/>
    <cellStyle name="Linked Cell 30 2 2 2 2 6 2 2" xfId="31228" xr:uid="{7A13C307-338E-46AD-97E0-34CC1D95EB72}"/>
    <cellStyle name="Linked Cell 30 2 2 2 2 6 3" xfId="31229" xr:uid="{8B72907E-DE5D-4E58-A0BE-7747F265A301}"/>
    <cellStyle name="Linked Cell 30 2 2 2 2 7" xfId="31230" xr:uid="{6324E3BB-F141-4744-88DC-9F41ED44106C}"/>
    <cellStyle name="Linked Cell 30 2 2 2 2 7 2" xfId="31231" xr:uid="{68FD1D1B-66E8-4B9A-B926-6DC1A22AB598}"/>
    <cellStyle name="Linked Cell 30 2 2 2 2 7 2 2" xfId="31232" xr:uid="{807FB786-CB8C-4FCE-8972-A1E32922F670}"/>
    <cellStyle name="Linked Cell 30 2 2 2 2 7 3" xfId="31233" xr:uid="{0D7CF62B-6FD2-4AA0-8091-CDDD26DEBAFA}"/>
    <cellStyle name="Linked Cell 30 2 2 2 2 8" xfId="31234" xr:uid="{E4EC1A74-4530-4625-9C8D-154DA666A01B}"/>
    <cellStyle name="Linked Cell 30 2 2 2 2 8 2" xfId="31235" xr:uid="{20A6C74A-A5A9-4256-83B9-CB5C09027754}"/>
    <cellStyle name="Linked Cell 30 2 2 2 2 8 2 2" xfId="31236" xr:uid="{1BE2E010-89AF-4638-92CF-25857C1F1DD0}"/>
    <cellStyle name="Linked Cell 30 2 2 2 2 8 3" xfId="31237" xr:uid="{BB5C2A09-9C6B-4B26-A67F-4625DA1537C1}"/>
    <cellStyle name="Linked Cell 30 2 2 2 2 9" xfId="31238" xr:uid="{76AD9337-E83B-4AEC-959E-10BB0C5AE466}"/>
    <cellStyle name="Linked Cell 30 2 2 2 2 9 2" xfId="31239" xr:uid="{BB8AB912-E220-4BCC-89E5-B1793A3A8600}"/>
    <cellStyle name="Linked Cell 30 2 2 2 2 9 2 2" xfId="31240" xr:uid="{53EA407A-9B3C-4364-BD0B-944261D40D46}"/>
    <cellStyle name="Linked Cell 30 2 2 2 2 9 3" xfId="31241" xr:uid="{A53A8078-CE44-4C74-B7EF-7912379AF219}"/>
    <cellStyle name="Linked Cell 30 2 2 2 3" xfId="31242" xr:uid="{0EE06E6C-AFDE-4720-8002-94B3A918C426}"/>
    <cellStyle name="Linked Cell 30 2 2 2 3 10" xfId="31243" xr:uid="{ACD8A58F-2398-4DAA-9CD8-11E00933E26C}"/>
    <cellStyle name="Linked Cell 30 2 2 2 3 10 2" xfId="31244" xr:uid="{68F6ACF8-A867-4523-8108-E73A218FEE68}"/>
    <cellStyle name="Linked Cell 30 2 2 2 3 11" xfId="31245" xr:uid="{7897124E-23B9-48B0-8CF4-7C040C5AC4C7}"/>
    <cellStyle name="Linked Cell 30 2 2 2 3 2" xfId="31246" xr:uid="{862B277B-098B-4E24-BAFE-2D25272BA1AF}"/>
    <cellStyle name="Linked Cell 30 2 2 2 3 2 2" xfId="31247" xr:uid="{49A80A42-5F13-4A93-8432-5F28C8F6F4C0}"/>
    <cellStyle name="Linked Cell 30 2 2 2 3 2 2 2" xfId="31248" xr:uid="{1691A360-9E3E-4CDD-80CB-CE6FD73D362B}"/>
    <cellStyle name="Linked Cell 30 2 2 2 3 2 3" xfId="31249" xr:uid="{B55BF9F9-9783-4299-8143-D7D3D863197F}"/>
    <cellStyle name="Linked Cell 30 2 2 2 3 3" xfId="31250" xr:uid="{A408F7D4-61E8-4A8E-B633-B8968A493C81}"/>
    <cellStyle name="Linked Cell 30 2 2 2 3 3 2" xfId="31251" xr:uid="{E81502E8-412A-4875-A215-7F379360912C}"/>
    <cellStyle name="Linked Cell 30 2 2 2 3 3 2 2" xfId="31252" xr:uid="{61E9B4A0-DB3D-4D87-A66C-88190F2EC37F}"/>
    <cellStyle name="Linked Cell 30 2 2 2 3 3 3" xfId="31253" xr:uid="{4C88FAB1-4236-4454-B866-A828518C77B6}"/>
    <cellStyle name="Linked Cell 30 2 2 2 3 4" xfId="31254" xr:uid="{9ABF6CEF-267D-4688-9FEC-91AB17C21608}"/>
    <cellStyle name="Linked Cell 30 2 2 2 3 4 2" xfId="31255" xr:uid="{49A4AB27-5499-42E9-B7BB-66E223254844}"/>
    <cellStyle name="Linked Cell 30 2 2 2 3 4 2 2" xfId="31256" xr:uid="{21D48897-4764-476F-9032-B98AB3005646}"/>
    <cellStyle name="Linked Cell 30 2 2 2 3 4 3" xfId="31257" xr:uid="{2B8AB00D-4750-45D5-8D58-4738BB5B7A2B}"/>
    <cellStyle name="Linked Cell 30 2 2 2 3 5" xfId="31258" xr:uid="{0505D0CD-E93A-442E-B9A0-DF7BCD19EBE9}"/>
    <cellStyle name="Linked Cell 30 2 2 2 3 5 2" xfId="31259" xr:uid="{FFFFEB12-041B-4D95-833C-6F844E8C6CEC}"/>
    <cellStyle name="Linked Cell 30 2 2 2 3 5 2 2" xfId="31260" xr:uid="{DC758870-7F55-456C-9F8F-1714E9B6C09F}"/>
    <cellStyle name="Linked Cell 30 2 2 2 3 5 3" xfId="31261" xr:uid="{A4A429D1-12B7-45E9-9C9A-250D07FD62BD}"/>
    <cellStyle name="Linked Cell 30 2 2 2 3 6" xfId="31262" xr:uid="{8B304642-840B-4EA4-84D7-1BE5832CB825}"/>
    <cellStyle name="Linked Cell 30 2 2 2 3 6 2" xfId="31263" xr:uid="{503074CA-CD2E-4AD3-939D-C199224F775C}"/>
    <cellStyle name="Linked Cell 30 2 2 2 3 6 2 2" xfId="31264" xr:uid="{DE5DC98A-D9CF-400D-B5CA-50EE5A1C7D85}"/>
    <cellStyle name="Linked Cell 30 2 2 2 3 6 3" xfId="31265" xr:uid="{DD5B8DAB-791C-4E62-BB4C-35598F998F0C}"/>
    <cellStyle name="Linked Cell 30 2 2 2 3 7" xfId="31266" xr:uid="{888D09FE-F412-4F92-8529-2ECF1CDECB3B}"/>
    <cellStyle name="Linked Cell 30 2 2 2 3 7 2" xfId="31267" xr:uid="{3CDAC5F6-0215-423B-AF29-A5F2156D9561}"/>
    <cellStyle name="Linked Cell 30 2 2 2 3 7 2 2" xfId="31268" xr:uid="{456BB471-4EB7-4812-B400-C0F03CBFD357}"/>
    <cellStyle name="Linked Cell 30 2 2 2 3 7 3" xfId="31269" xr:uid="{6879FAC6-57FD-407D-81DE-7F205A743787}"/>
    <cellStyle name="Linked Cell 30 2 2 2 3 8" xfId="31270" xr:uid="{B701F447-8E5B-4ABC-8D66-A97F3D79584B}"/>
    <cellStyle name="Linked Cell 30 2 2 2 3 8 2" xfId="31271" xr:uid="{1AD115E9-4B8C-4DC1-A055-3BA20DB93A86}"/>
    <cellStyle name="Linked Cell 30 2 2 2 3 8 2 2" xfId="31272" xr:uid="{097EFF10-6D76-4B3A-A8E5-63138DEB2B7A}"/>
    <cellStyle name="Linked Cell 30 2 2 2 3 8 3" xfId="31273" xr:uid="{D146FFC0-E795-46BE-A2EB-071A99CBC0CA}"/>
    <cellStyle name="Linked Cell 30 2 2 2 3 9" xfId="31274" xr:uid="{9FC634EF-3DCF-4F8F-BD1F-D6C2D2A7476A}"/>
    <cellStyle name="Linked Cell 30 2 2 2 3 9 2" xfId="31275" xr:uid="{4D494992-B193-44C1-BC09-04C5576A082E}"/>
    <cellStyle name="Linked Cell 30 2 2 2 3 9 2 2" xfId="31276" xr:uid="{E81CF301-01BB-42AC-905E-6D81686CA1F2}"/>
    <cellStyle name="Linked Cell 30 2 2 2 3 9 3" xfId="31277" xr:uid="{412FA4CD-935E-423D-8C9E-D6866360727D}"/>
    <cellStyle name="Linked Cell 30 2 2 2 4" xfId="31278" xr:uid="{BECF1675-826C-40D4-81D1-9BD4F93C2294}"/>
    <cellStyle name="Linked Cell 30 2 2 2 4 2" xfId="31279" xr:uid="{F54EF1EF-04E1-44E7-99FB-6A13F6E707DA}"/>
    <cellStyle name="Linked Cell 30 2 2 2 4 2 2" xfId="31280" xr:uid="{8BA4C882-3CD2-4289-8234-908274566DCD}"/>
    <cellStyle name="Linked Cell 30 2 2 2 4 3" xfId="31281" xr:uid="{C30818EB-AB24-4450-903E-8AAFCBA9AA80}"/>
    <cellStyle name="Linked Cell 30 2 2 2 5" xfId="31282" xr:uid="{AEE2F511-815B-403A-B7C6-90D78FFE81DE}"/>
    <cellStyle name="Linked Cell 30 2 2 2 5 2" xfId="31283" xr:uid="{E1B1F9F1-DECC-4B23-A974-AFFA7923B4DC}"/>
    <cellStyle name="Linked Cell 30 2 2 2 5 2 2" xfId="31284" xr:uid="{56940E3C-D12A-4A03-B958-664C87218D0E}"/>
    <cellStyle name="Linked Cell 30 2 2 2 5 3" xfId="31285" xr:uid="{9AD763EF-B5AC-41BB-8889-9A017164713D}"/>
    <cellStyle name="Linked Cell 30 2 2 2 6" xfId="31286" xr:uid="{26889007-28E4-4273-A89A-1D56D2043054}"/>
    <cellStyle name="Linked Cell 30 2 2 2 6 2" xfId="31287" xr:uid="{8EF7BEA8-33F0-424A-BDEE-C264EFFA686F}"/>
    <cellStyle name="Linked Cell 30 2 2 2 6 2 2" xfId="31288" xr:uid="{E1EEA401-81E4-41DB-A961-EF62D2451CD5}"/>
    <cellStyle name="Linked Cell 30 2 2 2 6 3" xfId="31289" xr:uid="{64ED87B9-BD2A-4D1A-BB04-FB4075F4FC21}"/>
    <cellStyle name="Linked Cell 30 2 2 2 7" xfId="31290" xr:uid="{23E4FE93-DFEB-48C4-AD7E-B2B03F7E76B0}"/>
    <cellStyle name="Linked Cell 30 2 2 2 7 2" xfId="31291" xr:uid="{F450A58D-E70D-433C-95BE-2C643ADF7F8A}"/>
    <cellStyle name="Linked Cell 30 2 2 2 7 2 2" xfId="31292" xr:uid="{D7ED77F6-D471-45B5-9350-E0F83092CE17}"/>
    <cellStyle name="Linked Cell 30 2 2 2 7 3" xfId="31293" xr:uid="{9845DE79-9129-45AC-BD16-0BD7AC49BEA0}"/>
    <cellStyle name="Linked Cell 30 2 2 2 8" xfId="31294" xr:uid="{6B90331D-09C9-40BD-A4EA-7AEB8ACA91D4}"/>
    <cellStyle name="Linked Cell 30 2 2 2 8 2" xfId="31295" xr:uid="{365FD414-7914-42EB-AA7E-8070DE8FDA38}"/>
    <cellStyle name="Linked Cell 30 2 2 2 8 2 2" xfId="31296" xr:uid="{5F5A85C6-3340-4A86-82C2-1F1C3EA5692B}"/>
    <cellStyle name="Linked Cell 30 2 2 2 8 3" xfId="31297" xr:uid="{2AC45659-F1B3-46E7-A6DA-9D1552FD6B60}"/>
    <cellStyle name="Linked Cell 30 2 2 2 9" xfId="31298" xr:uid="{5E2006D9-0C7B-4F3A-951A-4B64512D2BCC}"/>
    <cellStyle name="Linked Cell 30 2 2 2 9 2" xfId="31299" xr:uid="{0F741A10-677B-4354-9ED7-C8D960BF9F04}"/>
    <cellStyle name="Linked Cell 30 2 2 2 9 2 2" xfId="31300" xr:uid="{D9251B73-DCBB-4FA7-ABA8-B5DB69363476}"/>
    <cellStyle name="Linked Cell 30 2 2 2 9 3" xfId="31301" xr:uid="{10661C89-9FA0-4D28-BEEB-B38E1F257460}"/>
    <cellStyle name="Linked Cell 30 2 2 3" xfId="31302" xr:uid="{AE3EC1DE-D8F7-488D-8593-64DF5DE03B80}"/>
    <cellStyle name="Linked Cell 30 2 2 3 10" xfId="31303" xr:uid="{E035BBA9-FFDB-4158-8BB4-C5DBF0D22E85}"/>
    <cellStyle name="Linked Cell 30 2 2 3 10 2" xfId="31304" xr:uid="{D69D0FB5-9CB1-4D1B-8D87-979EFEE21241}"/>
    <cellStyle name="Linked Cell 30 2 2 3 10 2 2" xfId="31305" xr:uid="{A4F4072A-BA9A-435B-8C6A-EB511F84A07B}"/>
    <cellStyle name="Linked Cell 30 2 2 3 10 3" xfId="31306" xr:uid="{AAA200EC-FF63-451E-B6E8-5CC85CE6F04D}"/>
    <cellStyle name="Linked Cell 30 2 2 3 11" xfId="31307" xr:uid="{ACDC03A2-A6F5-42B5-A3E0-49DEC2F8E384}"/>
    <cellStyle name="Linked Cell 30 2 2 3 11 2" xfId="31308" xr:uid="{F22DB172-7294-4D99-98BF-28C28A048334}"/>
    <cellStyle name="Linked Cell 30 2 2 3 12" xfId="31309" xr:uid="{18235F9E-6E8E-424B-8E02-4496D1EE1FAD}"/>
    <cellStyle name="Linked Cell 30 2 2 3 2" xfId="31310" xr:uid="{4E5834F4-9243-4128-A3ED-8452D11E7109}"/>
    <cellStyle name="Linked Cell 30 2 2 3 2 10" xfId="31311" xr:uid="{A8A80ECC-C4B1-4536-BB24-294FE5707397}"/>
    <cellStyle name="Linked Cell 30 2 2 3 2 10 2" xfId="31312" xr:uid="{EA7EC775-BBBE-4F5F-92FB-B41951EF619B}"/>
    <cellStyle name="Linked Cell 30 2 2 3 2 11" xfId="31313" xr:uid="{78E05409-8440-4A7A-BB4E-5254A7686FDD}"/>
    <cellStyle name="Linked Cell 30 2 2 3 2 2" xfId="31314" xr:uid="{843DB70E-A068-46F1-81E4-8F498BCFD659}"/>
    <cellStyle name="Linked Cell 30 2 2 3 2 2 2" xfId="31315" xr:uid="{926C62BF-373F-4E2F-B8E5-A7C453D49F3B}"/>
    <cellStyle name="Linked Cell 30 2 2 3 2 2 2 2" xfId="31316" xr:uid="{06ABF1FC-4C41-4C1A-86C0-71355CFA82EF}"/>
    <cellStyle name="Linked Cell 30 2 2 3 2 2 3" xfId="31317" xr:uid="{AF28F9C5-808E-4768-8D84-64EFAC2FA773}"/>
    <cellStyle name="Linked Cell 30 2 2 3 2 3" xfId="31318" xr:uid="{6FE4D773-456D-482C-9A13-E2B6EB742159}"/>
    <cellStyle name="Linked Cell 30 2 2 3 2 3 2" xfId="31319" xr:uid="{0F129D1F-445C-43EC-9F06-78C1ACDDD995}"/>
    <cellStyle name="Linked Cell 30 2 2 3 2 3 2 2" xfId="31320" xr:uid="{41366532-27AF-4284-BCF4-DEBB9AEB1CCD}"/>
    <cellStyle name="Linked Cell 30 2 2 3 2 3 3" xfId="31321" xr:uid="{D1B0926B-4736-4BF6-96AB-CE37BDF791D9}"/>
    <cellStyle name="Linked Cell 30 2 2 3 2 4" xfId="31322" xr:uid="{27D05724-638D-414D-9494-08F013ADA623}"/>
    <cellStyle name="Linked Cell 30 2 2 3 2 4 2" xfId="31323" xr:uid="{C8FAAC56-C1D5-47E0-A5EC-B468F08BC7EE}"/>
    <cellStyle name="Linked Cell 30 2 2 3 2 4 2 2" xfId="31324" xr:uid="{890CEED7-BBEF-42B7-8CE8-6E6FE90324ED}"/>
    <cellStyle name="Linked Cell 30 2 2 3 2 4 3" xfId="31325" xr:uid="{B8F6F460-90E6-45E3-9CD2-4604BDF416CD}"/>
    <cellStyle name="Linked Cell 30 2 2 3 2 5" xfId="31326" xr:uid="{515462AD-F281-4063-9CE7-4D5080426CDC}"/>
    <cellStyle name="Linked Cell 30 2 2 3 2 5 2" xfId="31327" xr:uid="{49464C14-3C12-4A92-97A7-7DEA3D6AC682}"/>
    <cellStyle name="Linked Cell 30 2 2 3 2 5 2 2" xfId="31328" xr:uid="{AB165526-EF84-4808-AD8B-3FE572C2CF37}"/>
    <cellStyle name="Linked Cell 30 2 2 3 2 5 3" xfId="31329" xr:uid="{BCFA4D38-B90A-4C4D-9B06-708B2DF47F4F}"/>
    <cellStyle name="Linked Cell 30 2 2 3 2 6" xfId="31330" xr:uid="{3DCD843C-BCD9-4B1E-80F1-5E03A7223E56}"/>
    <cellStyle name="Linked Cell 30 2 2 3 2 6 2" xfId="31331" xr:uid="{43CD3ED7-B7F3-465D-8A93-2DC3E8DB2BAF}"/>
    <cellStyle name="Linked Cell 30 2 2 3 2 6 2 2" xfId="31332" xr:uid="{DC61B411-59C2-4A70-B7B7-B78041C9E0D8}"/>
    <cellStyle name="Linked Cell 30 2 2 3 2 6 3" xfId="31333" xr:uid="{6F40277A-6007-4666-9C82-EDCF6719461E}"/>
    <cellStyle name="Linked Cell 30 2 2 3 2 7" xfId="31334" xr:uid="{06B1A5E5-F13D-472A-A05F-25DC7EEDDDDB}"/>
    <cellStyle name="Linked Cell 30 2 2 3 2 7 2" xfId="31335" xr:uid="{3BD485A0-26C5-43D2-994C-3723C47ED8C1}"/>
    <cellStyle name="Linked Cell 30 2 2 3 2 7 2 2" xfId="31336" xr:uid="{B3F57991-3BB4-415C-A847-646A27AEFEEB}"/>
    <cellStyle name="Linked Cell 30 2 2 3 2 7 3" xfId="31337" xr:uid="{8066DB8D-6563-4DA4-9B29-312C94233E28}"/>
    <cellStyle name="Linked Cell 30 2 2 3 2 8" xfId="31338" xr:uid="{476A2EFE-0A31-475D-9E60-19373AFCFFF2}"/>
    <cellStyle name="Linked Cell 30 2 2 3 2 8 2" xfId="31339" xr:uid="{1B05A511-F860-4CC7-885E-315EA307C424}"/>
    <cellStyle name="Linked Cell 30 2 2 3 2 8 2 2" xfId="31340" xr:uid="{C339FF10-AFD7-47A0-BCE4-481382327C7D}"/>
    <cellStyle name="Linked Cell 30 2 2 3 2 8 3" xfId="31341" xr:uid="{D0379D2B-4CE5-464C-948F-1E1B1BB62EA4}"/>
    <cellStyle name="Linked Cell 30 2 2 3 2 9" xfId="31342" xr:uid="{FC5F502F-D867-4D19-919A-348F5F3D6AF6}"/>
    <cellStyle name="Linked Cell 30 2 2 3 2 9 2" xfId="31343" xr:uid="{487F0C9A-E170-4FC0-A9FD-75D81E2DACEF}"/>
    <cellStyle name="Linked Cell 30 2 2 3 2 9 2 2" xfId="31344" xr:uid="{CA809B41-426F-4B9F-9A94-462AF05CDE22}"/>
    <cellStyle name="Linked Cell 30 2 2 3 2 9 3" xfId="31345" xr:uid="{2D342867-8448-4A38-AAD6-5C2BB2272382}"/>
    <cellStyle name="Linked Cell 30 2 2 3 3" xfId="31346" xr:uid="{7908BED4-A043-4CEF-A88B-7DCE5393BE65}"/>
    <cellStyle name="Linked Cell 30 2 2 3 3 2" xfId="31347" xr:uid="{1526445C-D0B1-4FA0-A479-5ED669A0A913}"/>
    <cellStyle name="Linked Cell 30 2 2 3 3 2 2" xfId="31348" xr:uid="{90089204-E72C-40A8-9C64-104671234687}"/>
    <cellStyle name="Linked Cell 30 2 2 3 3 3" xfId="31349" xr:uid="{68E199B9-8AB7-4231-85ED-65C05C3FE7CD}"/>
    <cellStyle name="Linked Cell 30 2 2 3 4" xfId="31350" xr:uid="{435C5606-C783-461E-AAD7-E0F2B235C8D0}"/>
    <cellStyle name="Linked Cell 30 2 2 3 4 2" xfId="31351" xr:uid="{4E95FDC4-5C91-48DF-8AB9-A2B6EA85D43D}"/>
    <cellStyle name="Linked Cell 30 2 2 3 4 2 2" xfId="31352" xr:uid="{9CD2E5A7-845A-4705-8E59-B3319EDF258B}"/>
    <cellStyle name="Linked Cell 30 2 2 3 4 3" xfId="31353" xr:uid="{AE63623B-DB97-4E99-8537-94AAED6F17BE}"/>
    <cellStyle name="Linked Cell 30 2 2 3 5" xfId="31354" xr:uid="{4C9233DC-6729-4A72-B96A-AEA044D0008D}"/>
    <cellStyle name="Linked Cell 30 2 2 3 5 2" xfId="31355" xr:uid="{E7E41507-0ACC-436D-A4C5-16E9BFB82A1D}"/>
    <cellStyle name="Linked Cell 30 2 2 3 5 2 2" xfId="31356" xr:uid="{8E23D0E2-DA26-40F5-9883-EE82B220331B}"/>
    <cellStyle name="Linked Cell 30 2 2 3 5 3" xfId="31357" xr:uid="{BDD43DA2-8D2B-4198-9ED4-F63A4DD8ECFF}"/>
    <cellStyle name="Linked Cell 30 2 2 3 6" xfId="31358" xr:uid="{0A12160F-0409-4E79-99D9-9993CD9B0ADB}"/>
    <cellStyle name="Linked Cell 30 2 2 3 6 2" xfId="31359" xr:uid="{C274ABBA-8307-4941-B832-EDEAC9070650}"/>
    <cellStyle name="Linked Cell 30 2 2 3 6 2 2" xfId="31360" xr:uid="{9CD26860-9540-4287-A01D-D1446FD4D548}"/>
    <cellStyle name="Linked Cell 30 2 2 3 6 3" xfId="31361" xr:uid="{163C98F7-9515-4035-9115-7C4C6492D736}"/>
    <cellStyle name="Linked Cell 30 2 2 3 7" xfId="31362" xr:uid="{3BF740D8-DCB4-40D8-8C72-B26B2AAFE769}"/>
    <cellStyle name="Linked Cell 30 2 2 3 7 2" xfId="31363" xr:uid="{0B6F77C8-BBF9-44A0-873E-7B7CE36627CE}"/>
    <cellStyle name="Linked Cell 30 2 2 3 7 2 2" xfId="31364" xr:uid="{61E9F0AB-8C00-4186-A099-A22C12DEEA6D}"/>
    <cellStyle name="Linked Cell 30 2 2 3 7 3" xfId="31365" xr:uid="{B5100066-6190-4554-997E-FBECF00EC4F4}"/>
    <cellStyle name="Linked Cell 30 2 2 3 8" xfId="31366" xr:uid="{99B23885-055F-43DE-93B5-71C3BAB5D3E4}"/>
    <cellStyle name="Linked Cell 30 2 2 3 8 2" xfId="31367" xr:uid="{272F8004-FC5D-4888-8FD3-570469FD3B3A}"/>
    <cellStyle name="Linked Cell 30 2 2 3 8 2 2" xfId="31368" xr:uid="{6AE91728-7526-4BF4-8E5C-A6C34D6F26A9}"/>
    <cellStyle name="Linked Cell 30 2 2 3 8 3" xfId="31369" xr:uid="{CF746062-7A33-416B-8F8C-24A840799976}"/>
    <cellStyle name="Linked Cell 30 2 2 3 9" xfId="31370" xr:uid="{896726EC-E6D8-4DB6-A031-33B3F6158D3F}"/>
    <cellStyle name="Linked Cell 30 2 2 3 9 2" xfId="31371" xr:uid="{3A30418A-02A1-40DC-88B9-F5ACD77604E3}"/>
    <cellStyle name="Linked Cell 30 2 2 3 9 2 2" xfId="31372" xr:uid="{D9051F5A-1A0A-4D6F-A9A7-7ED7FCC9B56F}"/>
    <cellStyle name="Linked Cell 30 2 2 3 9 3" xfId="31373" xr:uid="{F92F1ABE-C773-4EFE-BB51-499D12A9B5A7}"/>
    <cellStyle name="Linked Cell 30 2 2 4" xfId="31374" xr:uid="{F9D5ACD5-0C14-41C3-A7EC-FFC023D0FFC8}"/>
    <cellStyle name="Linked Cell 30 2 2 4 10" xfId="31375" xr:uid="{B8F6058B-676C-4EC3-9E3B-41989AA7CFD3}"/>
    <cellStyle name="Linked Cell 30 2 2 4 10 2" xfId="31376" xr:uid="{1790FEB0-9BBC-4814-8D32-F2A949B952B8}"/>
    <cellStyle name="Linked Cell 30 2 2 4 11" xfId="31377" xr:uid="{5D2E922F-F9CC-4C35-9F73-616607370661}"/>
    <cellStyle name="Linked Cell 30 2 2 4 2" xfId="31378" xr:uid="{7DC2364C-FA3D-499F-A3C0-4CDA9AB5CCC6}"/>
    <cellStyle name="Linked Cell 30 2 2 4 2 2" xfId="31379" xr:uid="{F759BCCB-738B-443F-A93B-32B32FE9EB89}"/>
    <cellStyle name="Linked Cell 30 2 2 4 2 2 2" xfId="31380" xr:uid="{84F31044-B8C9-433F-81DE-B927C041D77D}"/>
    <cellStyle name="Linked Cell 30 2 2 4 2 3" xfId="31381" xr:uid="{2840010E-3262-447C-B19B-FBFB3BFECA64}"/>
    <cellStyle name="Linked Cell 30 2 2 4 3" xfId="31382" xr:uid="{88D72B4A-A7A6-4B69-9556-C59C9C63054C}"/>
    <cellStyle name="Linked Cell 30 2 2 4 3 2" xfId="31383" xr:uid="{7D402BBF-887A-4D27-ADAA-C7FC31617EA7}"/>
    <cellStyle name="Linked Cell 30 2 2 4 3 2 2" xfId="31384" xr:uid="{8C516909-2962-4126-9DEE-13D8B4B4110B}"/>
    <cellStyle name="Linked Cell 30 2 2 4 3 3" xfId="31385" xr:uid="{5A015C09-EC60-449A-8E9A-ADBB1A539427}"/>
    <cellStyle name="Linked Cell 30 2 2 4 4" xfId="31386" xr:uid="{9E5715AE-9DBD-4064-9BFC-D1CD02DB8782}"/>
    <cellStyle name="Linked Cell 30 2 2 4 4 2" xfId="31387" xr:uid="{EC0C6BD6-B1B8-4D68-BFB7-B46BC94C1553}"/>
    <cellStyle name="Linked Cell 30 2 2 4 4 2 2" xfId="31388" xr:uid="{67C2CD19-CD50-40D1-8831-E02F7BEF2EEC}"/>
    <cellStyle name="Linked Cell 30 2 2 4 4 3" xfId="31389" xr:uid="{6B9A3545-C7C7-4F8E-A008-C6612AB4A914}"/>
    <cellStyle name="Linked Cell 30 2 2 4 5" xfId="31390" xr:uid="{0C664915-8825-46F4-A3BD-46D3A3865FC2}"/>
    <cellStyle name="Linked Cell 30 2 2 4 5 2" xfId="31391" xr:uid="{0C083827-BE4C-4CDE-909C-1D7B1431981A}"/>
    <cellStyle name="Linked Cell 30 2 2 4 5 2 2" xfId="31392" xr:uid="{7F9092C0-B3EF-4A68-AAB8-A10ECE1C7CEA}"/>
    <cellStyle name="Linked Cell 30 2 2 4 5 3" xfId="31393" xr:uid="{59E91A6B-C222-4A3F-9EF8-0D499625E883}"/>
    <cellStyle name="Linked Cell 30 2 2 4 6" xfId="31394" xr:uid="{EC1CD69A-8310-46BC-BDA3-5DBCB521B1F9}"/>
    <cellStyle name="Linked Cell 30 2 2 4 6 2" xfId="31395" xr:uid="{33EEB201-128D-4FBA-9996-57C5418428BF}"/>
    <cellStyle name="Linked Cell 30 2 2 4 6 2 2" xfId="31396" xr:uid="{6CAD3890-C7DF-4C35-ABE1-405F41FAD9DC}"/>
    <cellStyle name="Linked Cell 30 2 2 4 6 3" xfId="31397" xr:uid="{D6C034AA-CB5B-4495-9F46-CFA19F9CC670}"/>
    <cellStyle name="Linked Cell 30 2 2 4 7" xfId="31398" xr:uid="{CADBC5E9-E7CA-4E2E-9C06-431B678E6630}"/>
    <cellStyle name="Linked Cell 30 2 2 4 7 2" xfId="31399" xr:uid="{25E6DCC5-60F1-4687-A700-BF9BC5A96770}"/>
    <cellStyle name="Linked Cell 30 2 2 4 7 2 2" xfId="31400" xr:uid="{964B710D-AC47-4674-8C1A-F7B757B5EC61}"/>
    <cellStyle name="Linked Cell 30 2 2 4 7 3" xfId="31401" xr:uid="{812B8A65-393C-4904-AE1F-5D1FFB4DA1DC}"/>
    <cellStyle name="Linked Cell 30 2 2 4 8" xfId="31402" xr:uid="{D4BB4BF1-2800-4E99-82C9-260140DC4C9C}"/>
    <cellStyle name="Linked Cell 30 2 2 4 8 2" xfId="31403" xr:uid="{EB6526C4-656C-42A4-9081-574F6D86F300}"/>
    <cellStyle name="Linked Cell 30 2 2 4 8 2 2" xfId="31404" xr:uid="{0EED4C97-A588-48FC-95ED-7B708BE27FB5}"/>
    <cellStyle name="Linked Cell 30 2 2 4 8 3" xfId="31405" xr:uid="{7FF786BD-2B54-44B4-A4AF-85FAEC1084CB}"/>
    <cellStyle name="Linked Cell 30 2 2 4 9" xfId="31406" xr:uid="{88CE0709-BE3D-410D-8F39-21B65016B047}"/>
    <cellStyle name="Linked Cell 30 2 2 4 9 2" xfId="31407" xr:uid="{577D4FD8-1CE6-4E52-A08A-F9A7C97E63E3}"/>
    <cellStyle name="Linked Cell 30 2 2 4 9 2 2" xfId="31408" xr:uid="{1F60751B-1DA4-4ADC-83D0-5D4330601D8E}"/>
    <cellStyle name="Linked Cell 30 2 2 4 9 3" xfId="31409" xr:uid="{140EE354-4278-4A34-9609-99887960886C}"/>
    <cellStyle name="Linked Cell 30 2 2 5" xfId="31410" xr:uid="{ED791F7F-A3B5-4F86-95C2-00D158A5F7A9}"/>
    <cellStyle name="Linked Cell 30 2 2 5 2" xfId="31411" xr:uid="{1EA62E33-33DA-457F-B84E-9EF8ADB42187}"/>
    <cellStyle name="Linked Cell 30 2 2 5 2 2" xfId="31412" xr:uid="{54F0C099-1307-42B3-BBF2-E53B8F926036}"/>
    <cellStyle name="Linked Cell 30 2 2 5 3" xfId="31413" xr:uid="{52811D6D-92DF-4DE6-888F-EF1759169BCB}"/>
    <cellStyle name="Linked Cell 30 2 2 6" xfId="31414" xr:uid="{BD2983C8-B9F3-404F-A156-1911F25EC315}"/>
    <cellStyle name="Linked Cell 30 2 2 6 2" xfId="31415" xr:uid="{C95C7529-9C6A-4B89-90C8-A897C917BAF4}"/>
    <cellStyle name="Linked Cell 30 2 2 6 2 2" xfId="31416" xr:uid="{D962D893-D4EC-49B2-8367-1B8EB3CE93EE}"/>
    <cellStyle name="Linked Cell 30 2 2 6 3" xfId="31417" xr:uid="{56514A8D-FC0D-46D3-9EA9-2068F3991E1E}"/>
    <cellStyle name="Linked Cell 30 2 2 7" xfId="31418" xr:uid="{06A6D6E6-3A34-4D63-A56A-D1A666AFAE1D}"/>
    <cellStyle name="Linked Cell 30 2 2 7 2" xfId="31419" xr:uid="{76DFF635-A38E-43C3-845D-D1819158B903}"/>
    <cellStyle name="Linked Cell 30 2 2 7 2 2" xfId="31420" xr:uid="{748A4BD7-7142-4D36-9846-ADB2D0616D77}"/>
    <cellStyle name="Linked Cell 30 2 2 7 3" xfId="31421" xr:uid="{BCCE8F44-9D8C-495F-A693-ACF3C00F13A4}"/>
    <cellStyle name="Linked Cell 30 2 2 8" xfId="31422" xr:uid="{C12AE037-34D5-45FC-98B7-71EE1337C472}"/>
    <cellStyle name="Linked Cell 30 2 2 8 2" xfId="31423" xr:uid="{562B0E98-B170-4B7C-B582-D6E3B8F1B328}"/>
    <cellStyle name="Linked Cell 30 2 2 8 2 2" xfId="31424" xr:uid="{7C6068DD-356E-409D-86D9-3BD7D8B84153}"/>
    <cellStyle name="Linked Cell 30 2 2 8 3" xfId="31425" xr:uid="{E9068F67-E58B-4BED-87FB-753C9071741D}"/>
    <cellStyle name="Linked Cell 30 2 2 9" xfId="31426" xr:uid="{8A156969-8E61-4E65-9D25-E099DCD7FFCD}"/>
    <cellStyle name="Linked Cell 30 2 2 9 2" xfId="31427" xr:uid="{57A00771-40C4-4828-801E-FB61502A0D9A}"/>
    <cellStyle name="Linked Cell 30 2 2 9 2 2" xfId="31428" xr:uid="{F11A22EC-1C8F-4795-8F27-3629C495FDC2}"/>
    <cellStyle name="Linked Cell 30 2 2 9 3" xfId="31429" xr:uid="{32F62629-772F-4B42-B737-7BFE14E4D731}"/>
    <cellStyle name="Linked Cell 30 2 3" xfId="31430" xr:uid="{D49E2BA9-50F2-4529-8184-7C1102805226}"/>
    <cellStyle name="Linked Cell 30 2 3 10" xfId="31431" xr:uid="{820D2C2A-A821-49AD-AFFE-BF9B6043A935}"/>
    <cellStyle name="Linked Cell 30 2 3 10 2" xfId="31432" xr:uid="{864CB9AE-7111-4D23-9DD3-5627107F48A0}"/>
    <cellStyle name="Linked Cell 30 2 3 10 2 2" xfId="31433" xr:uid="{13915FC1-707E-419E-94C8-244103004279}"/>
    <cellStyle name="Linked Cell 30 2 3 10 3" xfId="31434" xr:uid="{5D34394F-3700-4EBE-A6A9-1ED795CE0735}"/>
    <cellStyle name="Linked Cell 30 2 3 11" xfId="31435" xr:uid="{AA5B05A8-8130-4398-A867-1FE4B1CF5360}"/>
    <cellStyle name="Linked Cell 30 2 3 11 2" xfId="31436" xr:uid="{EA63E827-02D2-40A5-ABB9-401D39D2A401}"/>
    <cellStyle name="Linked Cell 30 2 3 11 2 2" xfId="31437" xr:uid="{F0ADF90D-C6EA-45CA-BE65-1FE96E321795}"/>
    <cellStyle name="Linked Cell 30 2 3 11 3" xfId="31438" xr:uid="{3E0707F8-0DF4-4BDC-BA59-530001623F88}"/>
    <cellStyle name="Linked Cell 30 2 3 12" xfId="31439" xr:uid="{A6655EE4-83EB-48FA-8AA4-21714D009EE3}"/>
    <cellStyle name="Linked Cell 30 2 3 12 2" xfId="31440" xr:uid="{18A93995-FDCD-4538-B117-A970E8E2C4E6}"/>
    <cellStyle name="Linked Cell 30 2 3 13" xfId="31441" xr:uid="{44D426D0-71C3-42CC-803B-F460FDD01CD8}"/>
    <cellStyle name="Linked Cell 30 2 3 2" xfId="31442" xr:uid="{342074BC-BF14-4044-97BC-681BD024C8A8}"/>
    <cellStyle name="Linked Cell 30 2 3 2 10" xfId="31443" xr:uid="{46075946-31F8-4A45-B0E4-3480A2253DEF}"/>
    <cellStyle name="Linked Cell 30 2 3 2 10 2" xfId="31444" xr:uid="{23D7728A-1959-441A-A5A8-43407532C990}"/>
    <cellStyle name="Linked Cell 30 2 3 2 10 2 2" xfId="31445" xr:uid="{A3CDAE33-D8F7-4BBE-B9A3-4FF848EE030D}"/>
    <cellStyle name="Linked Cell 30 2 3 2 10 3" xfId="31446" xr:uid="{3375BBF4-C3E3-4AA4-A83B-E225B951CE39}"/>
    <cellStyle name="Linked Cell 30 2 3 2 11" xfId="31447" xr:uid="{2DD911B2-6971-4165-8328-5531B8E8ABF6}"/>
    <cellStyle name="Linked Cell 30 2 3 2 11 2" xfId="31448" xr:uid="{727695A3-BF67-4193-8762-23E6D04EC4E4}"/>
    <cellStyle name="Linked Cell 30 2 3 2 12" xfId="31449" xr:uid="{CBA20256-D381-40A6-A5C7-9A0EC72D1BD8}"/>
    <cellStyle name="Linked Cell 30 2 3 2 2" xfId="31450" xr:uid="{4B425F45-0F3B-4919-AA35-36080E0B5EA5}"/>
    <cellStyle name="Linked Cell 30 2 3 2 2 2" xfId="31451" xr:uid="{47773FD8-4BB4-4E05-A2BF-FE0356EB0575}"/>
    <cellStyle name="Linked Cell 30 2 3 2 2 2 2" xfId="31452" xr:uid="{E8D10D4F-1C1A-4881-9301-5A832E020813}"/>
    <cellStyle name="Linked Cell 30 2 3 2 2 3" xfId="31453" xr:uid="{8553C1B6-1BEF-42A6-A10D-445B00738E08}"/>
    <cellStyle name="Linked Cell 30 2 3 2 3" xfId="31454" xr:uid="{A682A55A-37D3-4D79-A430-E929FF8930FC}"/>
    <cellStyle name="Linked Cell 30 2 3 2 3 2" xfId="31455" xr:uid="{96494D65-AC0F-4373-9674-14BAD3D5C4D2}"/>
    <cellStyle name="Linked Cell 30 2 3 2 3 2 2" xfId="31456" xr:uid="{EDD6C9D9-2117-48B3-A04F-7FB114D324CF}"/>
    <cellStyle name="Linked Cell 30 2 3 2 3 3" xfId="31457" xr:uid="{BB4A1BC3-CF7E-44A4-AC64-40740FD5151B}"/>
    <cellStyle name="Linked Cell 30 2 3 2 4" xfId="31458" xr:uid="{FF22CA37-86AB-4FF4-A043-F312752C6B70}"/>
    <cellStyle name="Linked Cell 30 2 3 2 4 2" xfId="31459" xr:uid="{DFDB63B9-0725-437D-94BF-101F3B19D5F6}"/>
    <cellStyle name="Linked Cell 30 2 3 2 4 2 2" xfId="31460" xr:uid="{B1F611E8-0AE3-4571-9833-1E9EB7F5D6FF}"/>
    <cellStyle name="Linked Cell 30 2 3 2 4 3" xfId="31461" xr:uid="{7B5135E5-72A7-4C6B-92C8-20FAA68633A0}"/>
    <cellStyle name="Linked Cell 30 2 3 2 5" xfId="31462" xr:uid="{4946AA55-BA09-44B9-9B17-47BB807419B0}"/>
    <cellStyle name="Linked Cell 30 2 3 2 5 2" xfId="31463" xr:uid="{BFF572DE-9352-470B-9D1C-DB0D5535FD23}"/>
    <cellStyle name="Linked Cell 30 2 3 2 5 2 2" xfId="31464" xr:uid="{367F927F-BCA4-4291-B3BB-3D781B503945}"/>
    <cellStyle name="Linked Cell 30 2 3 2 5 3" xfId="31465" xr:uid="{9A4D8665-CC75-4C2E-A832-90D9F7EFC2F9}"/>
    <cellStyle name="Linked Cell 30 2 3 2 6" xfId="31466" xr:uid="{341D23E1-23A9-43B8-BF0C-A42789AE8656}"/>
    <cellStyle name="Linked Cell 30 2 3 2 6 2" xfId="31467" xr:uid="{BFCC90CE-34C5-4756-97DC-F2C3D6098C67}"/>
    <cellStyle name="Linked Cell 30 2 3 2 6 2 2" xfId="31468" xr:uid="{DD4DC52E-68AF-4E6D-AD54-D5F7C9C2AF6D}"/>
    <cellStyle name="Linked Cell 30 2 3 2 6 3" xfId="31469" xr:uid="{8F4E8B08-587A-49AE-9056-A981B531167B}"/>
    <cellStyle name="Linked Cell 30 2 3 2 7" xfId="31470" xr:uid="{927F3318-47C1-45C1-BF84-8F7E5CF46504}"/>
    <cellStyle name="Linked Cell 30 2 3 2 7 2" xfId="31471" xr:uid="{1E2C8E6A-F0D6-4B7A-88FC-A97AA2498930}"/>
    <cellStyle name="Linked Cell 30 2 3 2 7 2 2" xfId="31472" xr:uid="{5B39CFBA-38DC-47AE-A7E4-11D2C2D2A47F}"/>
    <cellStyle name="Linked Cell 30 2 3 2 7 3" xfId="31473" xr:uid="{353B83EB-98A5-4A55-BE1C-5581EE901898}"/>
    <cellStyle name="Linked Cell 30 2 3 2 8" xfId="31474" xr:uid="{91AA169B-5230-44ED-A046-A995380F988A}"/>
    <cellStyle name="Linked Cell 30 2 3 2 8 2" xfId="31475" xr:uid="{D0F7E97D-DE3E-4DC0-BA22-7C85CDCDE154}"/>
    <cellStyle name="Linked Cell 30 2 3 2 8 2 2" xfId="31476" xr:uid="{1F6F429F-1174-4E82-8DC6-8BD0E64BA552}"/>
    <cellStyle name="Linked Cell 30 2 3 2 8 3" xfId="31477" xr:uid="{F9044890-AF22-4996-8E0E-3347454E02BA}"/>
    <cellStyle name="Linked Cell 30 2 3 2 9" xfId="31478" xr:uid="{F2DDF5C5-8469-47B4-A02C-25DD5B370022}"/>
    <cellStyle name="Linked Cell 30 2 3 2 9 2" xfId="31479" xr:uid="{44AD5155-E839-472A-A916-4D3AB41A203A}"/>
    <cellStyle name="Linked Cell 30 2 3 2 9 2 2" xfId="31480" xr:uid="{85EB89F7-FE0C-436B-BBBF-BE82B7C1E64F}"/>
    <cellStyle name="Linked Cell 30 2 3 2 9 3" xfId="31481" xr:uid="{2E6CFE39-5084-472B-B6B1-F0179684D688}"/>
    <cellStyle name="Linked Cell 30 2 3 3" xfId="31482" xr:uid="{057A9E5F-CF31-4ACB-86AF-9FC7A65D33CC}"/>
    <cellStyle name="Linked Cell 30 2 3 3 10" xfId="31483" xr:uid="{36559708-37A3-4304-9028-DD8770F7832C}"/>
    <cellStyle name="Linked Cell 30 2 3 3 10 2" xfId="31484" xr:uid="{41BCE5AD-C047-480F-AADE-64A8098D7675}"/>
    <cellStyle name="Linked Cell 30 2 3 3 11" xfId="31485" xr:uid="{9B645B38-FC31-44A5-B44C-B0E41195FB88}"/>
    <cellStyle name="Linked Cell 30 2 3 3 2" xfId="31486" xr:uid="{8192D90F-1C06-47AF-BF11-F4C425414E30}"/>
    <cellStyle name="Linked Cell 30 2 3 3 2 2" xfId="31487" xr:uid="{19AF7AD3-9662-4D1C-8AD8-D9C57F5008B2}"/>
    <cellStyle name="Linked Cell 30 2 3 3 2 2 2" xfId="31488" xr:uid="{D0886B79-32C8-47D5-877C-5E0DA7003F61}"/>
    <cellStyle name="Linked Cell 30 2 3 3 2 3" xfId="31489" xr:uid="{4F81B529-82F2-4D4C-8C8B-E0B552AF7481}"/>
    <cellStyle name="Linked Cell 30 2 3 3 3" xfId="31490" xr:uid="{BA9755D0-5BB6-4F57-B692-9E3E0EB99E37}"/>
    <cellStyle name="Linked Cell 30 2 3 3 3 2" xfId="31491" xr:uid="{D6FADDDC-88AE-4EBF-90F4-1B4621C7462B}"/>
    <cellStyle name="Linked Cell 30 2 3 3 3 2 2" xfId="31492" xr:uid="{E1995AA6-F1FB-4FBB-ADE6-F3D2D95B00FD}"/>
    <cellStyle name="Linked Cell 30 2 3 3 3 3" xfId="31493" xr:uid="{D90DE079-48FA-4CEC-919B-D32E8125F174}"/>
    <cellStyle name="Linked Cell 30 2 3 3 4" xfId="31494" xr:uid="{F19EC374-A8DB-4A6F-B487-F4B8CA04DB16}"/>
    <cellStyle name="Linked Cell 30 2 3 3 4 2" xfId="31495" xr:uid="{E2D643BA-896A-4694-A333-BF4451BCBB1B}"/>
    <cellStyle name="Linked Cell 30 2 3 3 4 2 2" xfId="31496" xr:uid="{566BF7E9-C417-4429-8AE7-642E6E48A20F}"/>
    <cellStyle name="Linked Cell 30 2 3 3 4 3" xfId="31497" xr:uid="{44B016DC-20B2-4762-935C-E901849DCC1D}"/>
    <cellStyle name="Linked Cell 30 2 3 3 5" xfId="31498" xr:uid="{69F19672-EFE2-4C00-B06A-8EC09779F6D8}"/>
    <cellStyle name="Linked Cell 30 2 3 3 5 2" xfId="31499" xr:uid="{39E5F043-48CB-4B8E-9C87-7FC532DD4872}"/>
    <cellStyle name="Linked Cell 30 2 3 3 5 2 2" xfId="31500" xr:uid="{8FF3723F-0C5B-4284-B175-47A4F12742FF}"/>
    <cellStyle name="Linked Cell 30 2 3 3 5 3" xfId="31501" xr:uid="{CDC345B6-6CA0-4E03-B833-8E76F89827B5}"/>
    <cellStyle name="Linked Cell 30 2 3 3 6" xfId="31502" xr:uid="{085290E3-C850-43C5-81A6-3FB495EFE4E4}"/>
    <cellStyle name="Linked Cell 30 2 3 3 6 2" xfId="31503" xr:uid="{F1023039-DA2D-4B0D-B930-C936825B17EB}"/>
    <cellStyle name="Linked Cell 30 2 3 3 6 2 2" xfId="31504" xr:uid="{87D3FE93-6202-4270-AEC5-E2EFFF1C5AE5}"/>
    <cellStyle name="Linked Cell 30 2 3 3 6 3" xfId="31505" xr:uid="{19FF173C-2857-4B0E-A417-398EB5C26D37}"/>
    <cellStyle name="Linked Cell 30 2 3 3 7" xfId="31506" xr:uid="{A99BB9CB-2DEE-49F4-BA43-00566F2923A1}"/>
    <cellStyle name="Linked Cell 30 2 3 3 7 2" xfId="31507" xr:uid="{63EB019E-BC25-4760-9E23-17655850700E}"/>
    <cellStyle name="Linked Cell 30 2 3 3 7 2 2" xfId="31508" xr:uid="{BE0AA9B0-9614-4CB4-8FA3-87F4F1A1A44A}"/>
    <cellStyle name="Linked Cell 30 2 3 3 7 3" xfId="31509" xr:uid="{7B0409EE-62F7-49CB-A51B-D0C6C859609D}"/>
    <cellStyle name="Linked Cell 30 2 3 3 8" xfId="31510" xr:uid="{19FF0EDE-D35A-47D7-9D31-CDB2165A1F4C}"/>
    <cellStyle name="Linked Cell 30 2 3 3 8 2" xfId="31511" xr:uid="{C4E95A93-B868-48D9-8296-2B47A38E5CDB}"/>
    <cellStyle name="Linked Cell 30 2 3 3 8 2 2" xfId="31512" xr:uid="{25A2F7F5-1647-4AE5-996A-08F18E30FF1D}"/>
    <cellStyle name="Linked Cell 30 2 3 3 8 3" xfId="31513" xr:uid="{4FCAC8F0-0D82-4533-9BB0-82858CE48201}"/>
    <cellStyle name="Linked Cell 30 2 3 3 9" xfId="31514" xr:uid="{A6E67D2D-46E2-46E3-966D-AA98F82BFDDB}"/>
    <cellStyle name="Linked Cell 30 2 3 3 9 2" xfId="31515" xr:uid="{2508F5CF-06C6-4B73-B60A-20ADCA8E984E}"/>
    <cellStyle name="Linked Cell 30 2 3 3 9 2 2" xfId="31516" xr:uid="{A7CAE290-8B43-45C6-A4F5-1A435951245C}"/>
    <cellStyle name="Linked Cell 30 2 3 3 9 3" xfId="31517" xr:uid="{AA74C6DB-9006-4CEF-9B79-1279DAD7E777}"/>
    <cellStyle name="Linked Cell 30 2 3 4" xfId="31518" xr:uid="{33047244-2D4F-42C1-9DB9-0662B6964B45}"/>
    <cellStyle name="Linked Cell 30 2 3 4 2" xfId="31519" xr:uid="{7DBBEDF8-24BF-48B9-B3AC-6955E52104A8}"/>
    <cellStyle name="Linked Cell 30 2 3 4 2 2" xfId="31520" xr:uid="{8414C245-AE77-4882-9C77-0D987898BDA3}"/>
    <cellStyle name="Linked Cell 30 2 3 4 3" xfId="31521" xr:uid="{D148033D-70D6-42A6-A763-0A9807D54BA4}"/>
    <cellStyle name="Linked Cell 30 2 3 5" xfId="31522" xr:uid="{BE6AFE5D-933A-417C-BC2A-6BC62359FFA6}"/>
    <cellStyle name="Linked Cell 30 2 3 5 2" xfId="31523" xr:uid="{477C396A-19B6-420F-9088-84434675B7EA}"/>
    <cellStyle name="Linked Cell 30 2 3 5 2 2" xfId="31524" xr:uid="{6682F416-EC61-4C28-89EA-FEAAB382C509}"/>
    <cellStyle name="Linked Cell 30 2 3 5 3" xfId="31525" xr:uid="{36A721B2-1F1D-4E3B-90B7-D9456E46F9C1}"/>
    <cellStyle name="Linked Cell 30 2 3 6" xfId="31526" xr:uid="{EBD8A6C1-8903-4961-A4A1-6CDA76AEFE60}"/>
    <cellStyle name="Linked Cell 30 2 3 6 2" xfId="31527" xr:uid="{CB5FD066-D6C8-46CE-BEB8-9BD313720576}"/>
    <cellStyle name="Linked Cell 30 2 3 6 2 2" xfId="31528" xr:uid="{BCE1AC89-9856-407F-A6CD-0246F1529CE1}"/>
    <cellStyle name="Linked Cell 30 2 3 6 3" xfId="31529" xr:uid="{52DB04BB-1042-49AB-AAF0-AD2EDC790B2D}"/>
    <cellStyle name="Linked Cell 30 2 3 7" xfId="31530" xr:uid="{B1D1A44B-D937-499C-909C-4BFE3B4E0166}"/>
    <cellStyle name="Linked Cell 30 2 3 7 2" xfId="31531" xr:uid="{1A7171BB-5DE7-433B-B1CD-32B05714EB4A}"/>
    <cellStyle name="Linked Cell 30 2 3 7 2 2" xfId="31532" xr:uid="{A3776555-4111-4030-BE6B-825BC029DAF7}"/>
    <cellStyle name="Linked Cell 30 2 3 7 3" xfId="31533" xr:uid="{7F8A11BF-247D-40B1-B53C-19D5BEEBC6E0}"/>
    <cellStyle name="Linked Cell 30 2 3 8" xfId="31534" xr:uid="{138F63AA-FBB7-423F-BE16-1799CA657969}"/>
    <cellStyle name="Linked Cell 30 2 3 8 2" xfId="31535" xr:uid="{19C882D3-A6BE-44E0-8AB8-2F456800D88C}"/>
    <cellStyle name="Linked Cell 30 2 3 8 2 2" xfId="31536" xr:uid="{9808B02B-310F-4B00-81B2-7AD15794CE11}"/>
    <cellStyle name="Linked Cell 30 2 3 8 3" xfId="31537" xr:uid="{E659AE4B-407D-4095-9BFE-929A16997C7B}"/>
    <cellStyle name="Linked Cell 30 2 3 9" xfId="31538" xr:uid="{D164A036-F8F2-4C17-A0F1-D1D74E8D02CD}"/>
    <cellStyle name="Linked Cell 30 2 3 9 2" xfId="31539" xr:uid="{CF4DE20A-D0BF-4C78-828A-F41394C95B46}"/>
    <cellStyle name="Linked Cell 30 2 3 9 2 2" xfId="31540" xr:uid="{1ED03F0E-5B3D-4660-BDF0-209501CD571F}"/>
    <cellStyle name="Linked Cell 30 2 3 9 3" xfId="31541" xr:uid="{303F86C5-2670-410F-89D6-E93990035671}"/>
    <cellStyle name="Linked Cell 30 2 4" xfId="31542" xr:uid="{502F43DA-EE6E-4C60-9510-3A5D56AC5C0E}"/>
    <cellStyle name="Linked Cell 30 2 4 10" xfId="31543" xr:uid="{F132E200-74E1-4501-9B3A-8F6BB7456637}"/>
    <cellStyle name="Linked Cell 30 2 4 10 2" xfId="31544" xr:uid="{3105289E-63AD-4B20-B29D-1F5D4FEB5A64}"/>
    <cellStyle name="Linked Cell 30 2 4 10 2 2" xfId="31545" xr:uid="{2B445B72-03BF-4322-B38B-BBA9F05771C2}"/>
    <cellStyle name="Linked Cell 30 2 4 10 3" xfId="31546" xr:uid="{4233FC2B-B6D0-43F8-953E-7FBDC3178E53}"/>
    <cellStyle name="Linked Cell 30 2 4 11" xfId="31547" xr:uid="{BB963BE4-94A8-483C-BABE-46A8F50A0488}"/>
    <cellStyle name="Linked Cell 30 2 4 11 2" xfId="31548" xr:uid="{BC397F9C-CE60-4355-8449-3E51BBD8FEAE}"/>
    <cellStyle name="Linked Cell 30 2 4 12" xfId="31549" xr:uid="{E2104379-0ADB-4D25-A788-2348C8202B38}"/>
    <cellStyle name="Linked Cell 30 2 4 2" xfId="31550" xr:uid="{10600325-1A2E-4373-835B-60F4FE0E6436}"/>
    <cellStyle name="Linked Cell 30 2 4 2 10" xfId="31551" xr:uid="{D147ABD4-666E-482D-9F3A-7790A000A101}"/>
    <cellStyle name="Linked Cell 30 2 4 2 10 2" xfId="31552" xr:uid="{9AD0C03B-BEEA-426B-BA17-159D300C0D72}"/>
    <cellStyle name="Linked Cell 30 2 4 2 11" xfId="31553" xr:uid="{E271AFE9-BD6B-407F-BFBD-EB5C6824CC10}"/>
    <cellStyle name="Linked Cell 30 2 4 2 2" xfId="31554" xr:uid="{8D9C764B-2101-4062-9E93-550B04FC5023}"/>
    <cellStyle name="Linked Cell 30 2 4 2 2 2" xfId="31555" xr:uid="{9A4396F6-669E-4834-86E1-A1383D3C058B}"/>
    <cellStyle name="Linked Cell 30 2 4 2 2 2 2" xfId="31556" xr:uid="{C9FCE7BB-7C17-4FF9-9C47-C8838FCD632F}"/>
    <cellStyle name="Linked Cell 30 2 4 2 2 3" xfId="31557" xr:uid="{B3A3D43D-9F48-4A37-92A9-BF76E1B93950}"/>
    <cellStyle name="Linked Cell 30 2 4 2 3" xfId="31558" xr:uid="{E7959866-323B-4FCB-BA82-9F680C238472}"/>
    <cellStyle name="Linked Cell 30 2 4 2 3 2" xfId="31559" xr:uid="{6D94193B-EB2E-431C-A8F9-096E347B38C5}"/>
    <cellStyle name="Linked Cell 30 2 4 2 3 2 2" xfId="31560" xr:uid="{5CE6E3F1-234A-41EF-B48D-CDDBDDA398A1}"/>
    <cellStyle name="Linked Cell 30 2 4 2 3 3" xfId="31561" xr:uid="{104605AC-9894-4213-90B4-6B891293D48C}"/>
    <cellStyle name="Linked Cell 30 2 4 2 4" xfId="31562" xr:uid="{035B050D-6FEC-4C26-8926-87DDE3ECECBA}"/>
    <cellStyle name="Linked Cell 30 2 4 2 4 2" xfId="31563" xr:uid="{A10FC152-E56D-44B3-8D3D-2547340B3A10}"/>
    <cellStyle name="Linked Cell 30 2 4 2 4 2 2" xfId="31564" xr:uid="{16466810-33DE-47A8-A16B-9E40166CDED1}"/>
    <cellStyle name="Linked Cell 30 2 4 2 4 3" xfId="31565" xr:uid="{9D34D8B4-084B-4139-B686-87DFB8137D53}"/>
    <cellStyle name="Linked Cell 30 2 4 2 5" xfId="31566" xr:uid="{98C09D21-21C3-471E-B340-896BE97A2857}"/>
    <cellStyle name="Linked Cell 30 2 4 2 5 2" xfId="31567" xr:uid="{4F5F9CD9-C553-4B09-A371-2224BA76827F}"/>
    <cellStyle name="Linked Cell 30 2 4 2 5 2 2" xfId="31568" xr:uid="{E7167EF0-EBA9-4AA6-A454-9076C3681AF7}"/>
    <cellStyle name="Linked Cell 30 2 4 2 5 3" xfId="31569" xr:uid="{8D77BC04-66BC-4DA5-BC6F-7A69B91B7634}"/>
    <cellStyle name="Linked Cell 30 2 4 2 6" xfId="31570" xr:uid="{E5BBA3BD-345E-4AA0-B1AD-C8AE499FB430}"/>
    <cellStyle name="Linked Cell 30 2 4 2 6 2" xfId="31571" xr:uid="{5123287A-674C-4A4D-89D1-B44ED74A1C04}"/>
    <cellStyle name="Linked Cell 30 2 4 2 6 2 2" xfId="31572" xr:uid="{9B808B7D-D042-484B-AD96-80B6829DCE5F}"/>
    <cellStyle name="Linked Cell 30 2 4 2 6 3" xfId="31573" xr:uid="{797B4AA1-6DB7-4E60-BDAE-D2F6C5986B7A}"/>
    <cellStyle name="Linked Cell 30 2 4 2 7" xfId="31574" xr:uid="{3D34E36E-DA4E-4552-A461-0BD50990FFF6}"/>
    <cellStyle name="Linked Cell 30 2 4 2 7 2" xfId="31575" xr:uid="{C3139B57-FF2C-4469-AD14-3056AF8BD57D}"/>
    <cellStyle name="Linked Cell 30 2 4 2 7 2 2" xfId="31576" xr:uid="{2F179D59-8ACD-401F-A84D-7EF0C0D9496D}"/>
    <cellStyle name="Linked Cell 30 2 4 2 7 3" xfId="31577" xr:uid="{6EAAEA99-644B-4D92-8D3B-6F86A8337561}"/>
    <cellStyle name="Linked Cell 30 2 4 2 8" xfId="31578" xr:uid="{C30C363D-0A76-4365-B27F-9A796ED4D84F}"/>
    <cellStyle name="Linked Cell 30 2 4 2 8 2" xfId="31579" xr:uid="{04F76329-1273-4C70-917E-D17AA5C75A22}"/>
    <cellStyle name="Linked Cell 30 2 4 2 8 2 2" xfId="31580" xr:uid="{CCA460DB-1730-4F8F-B56D-4C71B8793BC0}"/>
    <cellStyle name="Linked Cell 30 2 4 2 8 3" xfId="31581" xr:uid="{26F1B769-4360-4A2D-8D52-DD2A38E4C0A6}"/>
    <cellStyle name="Linked Cell 30 2 4 2 9" xfId="31582" xr:uid="{C8CFECD9-E380-4AF2-AA6E-81B1F12381DE}"/>
    <cellStyle name="Linked Cell 30 2 4 2 9 2" xfId="31583" xr:uid="{55256680-0AF3-4B08-BAE4-67942E780497}"/>
    <cellStyle name="Linked Cell 30 2 4 2 9 2 2" xfId="31584" xr:uid="{21E592F6-99F5-46E8-9B2F-C1B43F13CF83}"/>
    <cellStyle name="Linked Cell 30 2 4 2 9 3" xfId="31585" xr:uid="{51F43D84-E77A-4086-84E6-C2F09D4F69B4}"/>
    <cellStyle name="Linked Cell 30 2 4 3" xfId="31586" xr:uid="{25B286BD-7A64-468C-BC48-F200546D4D09}"/>
    <cellStyle name="Linked Cell 30 2 4 3 2" xfId="31587" xr:uid="{4185C4BE-23E7-4136-8EF1-4F7E59927DB1}"/>
    <cellStyle name="Linked Cell 30 2 4 3 2 2" xfId="31588" xr:uid="{E80A4726-0379-4DE6-AF64-28EE6E3261D3}"/>
    <cellStyle name="Linked Cell 30 2 4 3 3" xfId="31589" xr:uid="{92520E19-B0DC-46D6-83C9-7E09CDD4CC5D}"/>
    <cellStyle name="Linked Cell 30 2 4 4" xfId="31590" xr:uid="{34545761-04F1-42A5-BA72-171E747BEC16}"/>
    <cellStyle name="Linked Cell 30 2 4 4 2" xfId="31591" xr:uid="{30ACD6CC-C937-4D27-994C-6BF786A975FE}"/>
    <cellStyle name="Linked Cell 30 2 4 4 2 2" xfId="31592" xr:uid="{1A9179CC-182C-48BE-A4AD-023AB22940A9}"/>
    <cellStyle name="Linked Cell 30 2 4 4 3" xfId="31593" xr:uid="{E447E9D1-FA50-4938-84C9-4AE071AE8063}"/>
    <cellStyle name="Linked Cell 30 2 4 5" xfId="31594" xr:uid="{737F49D4-DBB1-4F18-8B82-97E1E90E1BBA}"/>
    <cellStyle name="Linked Cell 30 2 4 5 2" xfId="31595" xr:uid="{6B066502-EBEC-48C8-9CA1-8DEFD1AF6000}"/>
    <cellStyle name="Linked Cell 30 2 4 5 2 2" xfId="31596" xr:uid="{9B9E1018-5F39-459F-94BB-80F3213309E9}"/>
    <cellStyle name="Linked Cell 30 2 4 5 3" xfId="31597" xr:uid="{E02497E3-AF85-4E1A-8FA6-DF45DA1BF053}"/>
    <cellStyle name="Linked Cell 30 2 4 6" xfId="31598" xr:uid="{C8D67430-3C63-4EE6-B764-45832E3B2197}"/>
    <cellStyle name="Linked Cell 30 2 4 6 2" xfId="31599" xr:uid="{26117A4E-9978-4E40-83C4-B87C8C745BF4}"/>
    <cellStyle name="Linked Cell 30 2 4 6 2 2" xfId="31600" xr:uid="{ECE684EA-CD99-419C-914E-0546BF6D2296}"/>
    <cellStyle name="Linked Cell 30 2 4 6 3" xfId="31601" xr:uid="{F696F34B-A993-435A-AC02-0E5A0DCBABB4}"/>
    <cellStyle name="Linked Cell 30 2 4 7" xfId="31602" xr:uid="{1933DC68-E106-4ABA-B4DD-BC3EA725908D}"/>
    <cellStyle name="Linked Cell 30 2 4 7 2" xfId="31603" xr:uid="{E281CF5D-7AEC-4E6E-B78C-573EFCECB111}"/>
    <cellStyle name="Linked Cell 30 2 4 7 2 2" xfId="31604" xr:uid="{0F97BAD4-9726-4596-A4BC-09A88EAB88FE}"/>
    <cellStyle name="Linked Cell 30 2 4 7 3" xfId="31605" xr:uid="{474CC205-F5FC-447D-9E13-1D5497345397}"/>
    <cellStyle name="Linked Cell 30 2 4 8" xfId="31606" xr:uid="{2A3E0A3A-9E50-4C9D-AA99-72B3F1BC665E}"/>
    <cellStyle name="Linked Cell 30 2 4 8 2" xfId="31607" xr:uid="{D498E58D-5641-4B8F-8F5B-79E221759429}"/>
    <cellStyle name="Linked Cell 30 2 4 8 2 2" xfId="31608" xr:uid="{586A6F8F-C5C3-4426-8086-FB92EC240219}"/>
    <cellStyle name="Linked Cell 30 2 4 8 3" xfId="31609" xr:uid="{0ABC1405-5A62-4100-A21E-54B96F49327A}"/>
    <cellStyle name="Linked Cell 30 2 4 9" xfId="31610" xr:uid="{4F7BD3B4-BEEB-4351-84B5-833ABC04CCA6}"/>
    <cellStyle name="Linked Cell 30 2 4 9 2" xfId="31611" xr:uid="{1369D23E-1A5F-4A56-B225-3D51C0E13298}"/>
    <cellStyle name="Linked Cell 30 2 4 9 2 2" xfId="31612" xr:uid="{D68E444E-837C-49DB-8AB1-AAA3474F947A}"/>
    <cellStyle name="Linked Cell 30 2 4 9 3" xfId="31613" xr:uid="{10802C92-BF10-4AA3-99EB-F77C2F221041}"/>
    <cellStyle name="Linked Cell 30 2 5" xfId="31614" xr:uid="{199EC50C-CC7B-47BD-BA68-4573E79CD658}"/>
    <cellStyle name="Linked Cell 30 2 5 10" xfId="31615" xr:uid="{76FCFBD1-B620-4A08-9A3D-7D83A8FABFF2}"/>
    <cellStyle name="Linked Cell 30 2 5 10 2" xfId="31616" xr:uid="{5F6BE5FE-DE65-4CEB-B356-1274BA65286F}"/>
    <cellStyle name="Linked Cell 30 2 5 11" xfId="31617" xr:uid="{CD69B4D6-8B07-4039-B153-23F6549A2A94}"/>
    <cellStyle name="Linked Cell 30 2 5 2" xfId="31618" xr:uid="{DA5690FE-1916-4A87-8C1A-B2AC34E16CB7}"/>
    <cellStyle name="Linked Cell 30 2 5 2 2" xfId="31619" xr:uid="{43D0AF75-63BE-4A38-BB8E-09A1C7F42C65}"/>
    <cellStyle name="Linked Cell 30 2 5 2 2 2" xfId="31620" xr:uid="{1571923B-8DDA-4B83-9942-8785D4BFDF4C}"/>
    <cellStyle name="Linked Cell 30 2 5 2 3" xfId="31621" xr:uid="{1860E243-CB9B-4D8E-BAEC-085C2289A03E}"/>
    <cellStyle name="Linked Cell 30 2 5 3" xfId="31622" xr:uid="{F113D09D-5547-49ED-ABAB-568319775B62}"/>
    <cellStyle name="Linked Cell 30 2 5 3 2" xfId="31623" xr:uid="{06122B14-CFB2-451B-A84F-CE8598F533D8}"/>
    <cellStyle name="Linked Cell 30 2 5 3 2 2" xfId="31624" xr:uid="{15D851B0-5443-44E3-A736-3CCADA7C9884}"/>
    <cellStyle name="Linked Cell 30 2 5 3 3" xfId="31625" xr:uid="{6FC3551C-611D-4C63-9A11-08F2680CAC8F}"/>
    <cellStyle name="Linked Cell 30 2 5 4" xfId="31626" xr:uid="{254B34D3-48A2-4BFD-A3A2-42EDECB8AD15}"/>
    <cellStyle name="Linked Cell 30 2 5 4 2" xfId="31627" xr:uid="{2C668914-5048-48C0-987E-DE5D352D252C}"/>
    <cellStyle name="Linked Cell 30 2 5 4 2 2" xfId="31628" xr:uid="{997A4C4E-581F-4EFB-B99A-B7F4A390DC54}"/>
    <cellStyle name="Linked Cell 30 2 5 4 3" xfId="31629" xr:uid="{3823BD28-C63B-4CCF-AA85-FEBB84E6EE27}"/>
    <cellStyle name="Linked Cell 30 2 5 5" xfId="31630" xr:uid="{E64E16A2-5405-47D1-9765-B75426A17C59}"/>
    <cellStyle name="Linked Cell 30 2 5 5 2" xfId="31631" xr:uid="{8B853BED-2518-4CFD-8B9C-2E73B743A8EF}"/>
    <cellStyle name="Linked Cell 30 2 5 5 2 2" xfId="31632" xr:uid="{41B0BCE2-7AE3-40DB-8F9B-FB43BFA709B1}"/>
    <cellStyle name="Linked Cell 30 2 5 5 3" xfId="31633" xr:uid="{8E8D0460-6224-48C0-91C3-C2074757ED96}"/>
    <cellStyle name="Linked Cell 30 2 5 6" xfId="31634" xr:uid="{5B3312C5-76A1-422E-84A7-AE1FBAFCDAD3}"/>
    <cellStyle name="Linked Cell 30 2 5 6 2" xfId="31635" xr:uid="{ADE64C52-44D3-4140-98B5-CA207BB72734}"/>
    <cellStyle name="Linked Cell 30 2 5 6 2 2" xfId="31636" xr:uid="{68538FBC-201A-4178-A8FC-3B555697A3F4}"/>
    <cellStyle name="Linked Cell 30 2 5 6 3" xfId="31637" xr:uid="{8302774D-CC63-487C-8D44-2BE5EA2F25D1}"/>
    <cellStyle name="Linked Cell 30 2 5 7" xfId="31638" xr:uid="{3BB2EA02-35CA-4DDB-82C4-AFF50A973455}"/>
    <cellStyle name="Linked Cell 30 2 5 7 2" xfId="31639" xr:uid="{BDECE634-5EA1-4D2C-A2CF-E010FD85E6D5}"/>
    <cellStyle name="Linked Cell 30 2 5 7 2 2" xfId="31640" xr:uid="{547DADC0-FDED-437E-AA55-4AB180F1DAD8}"/>
    <cellStyle name="Linked Cell 30 2 5 7 3" xfId="31641" xr:uid="{7218D842-093B-4C6C-A7F3-B31474D0FA1C}"/>
    <cellStyle name="Linked Cell 30 2 5 8" xfId="31642" xr:uid="{EE67602E-C97D-430E-A3BB-86FFE657091C}"/>
    <cellStyle name="Linked Cell 30 2 5 8 2" xfId="31643" xr:uid="{13B8D1EB-9B01-42FD-86FB-54B1DB7923DC}"/>
    <cellStyle name="Linked Cell 30 2 5 8 2 2" xfId="31644" xr:uid="{B14C1DDC-A80A-4CFA-8F13-8A4B8CD20B53}"/>
    <cellStyle name="Linked Cell 30 2 5 8 3" xfId="31645" xr:uid="{C4ED861C-4161-4D04-88DB-81A9763732F1}"/>
    <cellStyle name="Linked Cell 30 2 5 9" xfId="31646" xr:uid="{20E918C6-B2CD-4A0D-9068-25ED603E2947}"/>
    <cellStyle name="Linked Cell 30 2 5 9 2" xfId="31647" xr:uid="{D17C09D4-5793-4E60-A4D9-DDBF2AAB7963}"/>
    <cellStyle name="Linked Cell 30 2 5 9 2 2" xfId="31648" xr:uid="{BBF930A8-A2A4-46B6-A23E-76C93512A20E}"/>
    <cellStyle name="Linked Cell 30 2 5 9 3" xfId="31649" xr:uid="{90AE4494-818D-43D2-A24E-E5A3C430C2D2}"/>
    <cellStyle name="Linked Cell 30 2 6" xfId="31650" xr:uid="{47B2F4BD-0B4E-4412-BBCD-E375E98BC741}"/>
    <cellStyle name="Linked Cell 30 2 6 2" xfId="31651" xr:uid="{05BDABF3-8C03-4241-BFE2-6BBB230172EA}"/>
    <cellStyle name="Linked Cell 30 2 6 2 2" xfId="31652" xr:uid="{D1F235A3-C592-4475-8953-768E3FF4859B}"/>
    <cellStyle name="Linked Cell 30 2 6 3" xfId="31653" xr:uid="{AF96799F-141C-4A4C-A55D-EFFB6B2A085F}"/>
    <cellStyle name="Linked Cell 30 2 7" xfId="31654" xr:uid="{DA8CCACC-3006-492D-B900-5423C2470D2A}"/>
    <cellStyle name="Linked Cell 30 2 7 2" xfId="31655" xr:uid="{27A21A5E-BFAA-4A56-A886-547270E13855}"/>
    <cellStyle name="Linked Cell 30 2 7 2 2" xfId="31656" xr:uid="{95BB0CCB-1EDD-44F5-939C-CDF6693EED05}"/>
    <cellStyle name="Linked Cell 30 2 7 3" xfId="31657" xr:uid="{6763F1C5-C222-4B22-9A1A-63FE37A2BF05}"/>
    <cellStyle name="Linked Cell 30 2 8" xfId="31658" xr:uid="{9D37FA46-E41E-4F39-B750-63EB83D6675A}"/>
    <cellStyle name="Linked Cell 30 2 8 2" xfId="31659" xr:uid="{5F9862C6-306E-401A-89D1-C3E5E2336892}"/>
    <cellStyle name="Linked Cell 30 2 8 2 2" xfId="31660" xr:uid="{D612CCFB-3C42-4E76-BE47-AF6BFCCDAAD3}"/>
    <cellStyle name="Linked Cell 30 2 8 3" xfId="31661" xr:uid="{8760C793-FC0D-4F1D-AA5C-0B296F4D1A7B}"/>
    <cellStyle name="Linked Cell 30 2 9" xfId="31662" xr:uid="{2183857F-6CC8-4982-A784-198BFD3BFE13}"/>
    <cellStyle name="Linked Cell 30 2 9 2" xfId="31663" xr:uid="{621696E4-4E09-4993-BFE5-4E1F05029783}"/>
    <cellStyle name="Linked Cell 30 2 9 2 2" xfId="31664" xr:uid="{7A1AA994-45E6-4DF7-91AB-1620B03D67B5}"/>
    <cellStyle name="Linked Cell 30 2 9 3" xfId="31665" xr:uid="{C552E0BA-A0FD-4F5C-8F27-CE521B5B5B3A}"/>
    <cellStyle name="Linked Cell 30 3" xfId="31666" xr:uid="{58E1B072-9222-4A9F-BE8A-69A6E702B4FF}"/>
    <cellStyle name="Linked Cell 30 3 10" xfId="31667" xr:uid="{1537540C-170D-40BB-B572-C8E2558E33D8}"/>
    <cellStyle name="Linked Cell 30 3 10 2" xfId="31668" xr:uid="{218BD533-4754-4DBC-8C6E-9E04210E86C9}"/>
    <cellStyle name="Linked Cell 30 3 10 2 2" xfId="31669" xr:uid="{9372ECBC-BCA1-4C5D-B8BA-CABD581820F8}"/>
    <cellStyle name="Linked Cell 30 3 10 3" xfId="31670" xr:uid="{2DCA0997-0BB3-4DC3-94FD-32E9EF864DF0}"/>
    <cellStyle name="Linked Cell 30 3 11" xfId="31671" xr:uid="{2C80DF38-AD67-4F41-987E-7E2C6BDDC628}"/>
    <cellStyle name="Linked Cell 30 3 11 2" xfId="31672" xr:uid="{305A2BE9-974C-468D-BADE-388B96BCB406}"/>
    <cellStyle name="Linked Cell 30 3 11 2 2" xfId="31673" xr:uid="{A746A276-F12A-48D8-B354-59F100CAA198}"/>
    <cellStyle name="Linked Cell 30 3 11 3" xfId="31674" xr:uid="{2970A8A0-D729-4205-BEF8-D4EEFDD3BC6B}"/>
    <cellStyle name="Linked Cell 30 3 12" xfId="31675" xr:uid="{E0A6288D-DB29-4C3F-B645-A4859A6EE735}"/>
    <cellStyle name="Linked Cell 30 3 12 2" xfId="31676" xr:uid="{481B8C3C-E7DB-46EE-BB90-0E6C4B52CC30}"/>
    <cellStyle name="Linked Cell 30 3 12 2 2" xfId="31677" xr:uid="{92096E07-CE27-45DE-8904-EA7D9F52BD9D}"/>
    <cellStyle name="Linked Cell 30 3 12 3" xfId="31678" xr:uid="{2FA96493-C273-4B94-9CBE-9FAC0C7C5FE1}"/>
    <cellStyle name="Linked Cell 30 3 13" xfId="31679" xr:uid="{5F27496C-E416-4B23-B900-D0949515DD58}"/>
    <cellStyle name="Linked Cell 30 3 13 2" xfId="31680" xr:uid="{83FFC98B-AE81-4C51-BA1F-939CEFE7EF95}"/>
    <cellStyle name="Linked Cell 30 3 14" xfId="31681" xr:uid="{DEE19284-C6CD-4D53-B7D3-AE6E1506E192}"/>
    <cellStyle name="Linked Cell 30 3 2" xfId="31682" xr:uid="{8455B6FB-D643-4255-9B56-00452049948C}"/>
    <cellStyle name="Linked Cell 30 3 2 10" xfId="31683" xr:uid="{207839FF-FE9F-4869-9362-B10AC0C25E67}"/>
    <cellStyle name="Linked Cell 30 3 2 10 2" xfId="31684" xr:uid="{98C956B2-1A19-4035-B8ED-370861778167}"/>
    <cellStyle name="Linked Cell 30 3 2 10 2 2" xfId="31685" xr:uid="{C94F2DCF-7648-416B-9AC4-57DEACBA3DAB}"/>
    <cellStyle name="Linked Cell 30 3 2 10 3" xfId="31686" xr:uid="{B4C32001-146B-498B-A3AC-4C9A4A8A2C28}"/>
    <cellStyle name="Linked Cell 30 3 2 11" xfId="31687" xr:uid="{2C7BF8E3-3307-4CEE-999C-7CF427810BC8}"/>
    <cellStyle name="Linked Cell 30 3 2 11 2" xfId="31688" xr:uid="{C70FEBD1-F7F2-4046-9E01-8C0A9661B85C}"/>
    <cellStyle name="Linked Cell 30 3 2 11 2 2" xfId="31689" xr:uid="{7E9345A7-1386-4E10-BBCF-83978F00F3D2}"/>
    <cellStyle name="Linked Cell 30 3 2 11 3" xfId="31690" xr:uid="{D240BBA6-F6F3-421F-9819-48EE199ED434}"/>
    <cellStyle name="Linked Cell 30 3 2 12" xfId="31691" xr:uid="{4BBF51A9-3273-4943-BD65-2A51097366D9}"/>
    <cellStyle name="Linked Cell 30 3 2 12 2" xfId="31692" xr:uid="{E360732D-01C0-4C81-8FEA-C5E1CE22AD23}"/>
    <cellStyle name="Linked Cell 30 3 2 13" xfId="31693" xr:uid="{2E02D6B9-7548-40B0-88E4-44D8D96E81F6}"/>
    <cellStyle name="Linked Cell 30 3 2 2" xfId="31694" xr:uid="{3DD8606A-0F52-48FD-9502-141DAC79321F}"/>
    <cellStyle name="Linked Cell 30 3 2 2 10" xfId="31695" xr:uid="{EA735569-D917-4471-83F9-96E275409BAB}"/>
    <cellStyle name="Linked Cell 30 3 2 2 10 2" xfId="31696" xr:uid="{891B0D26-95C9-44CC-B308-A1FBE3DFFFC3}"/>
    <cellStyle name="Linked Cell 30 3 2 2 10 2 2" xfId="31697" xr:uid="{FFF9169E-607E-4DDB-9728-E849A2F9A067}"/>
    <cellStyle name="Linked Cell 30 3 2 2 10 3" xfId="31698" xr:uid="{EB33101E-4FC7-411A-96AA-5F9788D8983A}"/>
    <cellStyle name="Linked Cell 30 3 2 2 11" xfId="31699" xr:uid="{EA845D3B-0429-4B99-A869-E34836781207}"/>
    <cellStyle name="Linked Cell 30 3 2 2 11 2" xfId="31700" xr:uid="{261FE6DA-7A86-4809-A2BC-C563E84F2C8E}"/>
    <cellStyle name="Linked Cell 30 3 2 2 12" xfId="31701" xr:uid="{2FD6D5DE-ECE7-4862-A935-EBC3C3EF0965}"/>
    <cellStyle name="Linked Cell 30 3 2 2 2" xfId="31702" xr:uid="{C914E767-4B4A-4C67-8D8A-CB965857165D}"/>
    <cellStyle name="Linked Cell 30 3 2 2 2 2" xfId="31703" xr:uid="{32F56D2B-C183-4A75-9CB2-3AF1E31C25F7}"/>
    <cellStyle name="Linked Cell 30 3 2 2 2 2 2" xfId="31704" xr:uid="{D1E5C3C1-15CB-4E45-8EBB-84D368795932}"/>
    <cellStyle name="Linked Cell 30 3 2 2 2 3" xfId="31705" xr:uid="{C4BD95F6-F904-4E46-A943-04B5A0D1E4EE}"/>
    <cellStyle name="Linked Cell 30 3 2 2 3" xfId="31706" xr:uid="{69B1F2C9-65AC-4908-A480-10ED57A83A0C}"/>
    <cellStyle name="Linked Cell 30 3 2 2 3 2" xfId="31707" xr:uid="{BE543E56-F3AC-4423-890E-0D869FB4460A}"/>
    <cellStyle name="Linked Cell 30 3 2 2 3 2 2" xfId="31708" xr:uid="{60779482-BFF0-49FD-9D3F-E8737AC6D2F6}"/>
    <cellStyle name="Linked Cell 30 3 2 2 3 3" xfId="31709" xr:uid="{AAAD6974-286B-417D-8501-36E4B2221948}"/>
    <cellStyle name="Linked Cell 30 3 2 2 4" xfId="31710" xr:uid="{AC127E80-EFD4-4AB4-8022-F58D5FFCF055}"/>
    <cellStyle name="Linked Cell 30 3 2 2 4 2" xfId="31711" xr:uid="{71EB19EE-7870-450B-B84D-2A26B7CBB604}"/>
    <cellStyle name="Linked Cell 30 3 2 2 4 2 2" xfId="31712" xr:uid="{8215D5F7-4C65-47D5-AE28-BEA8FA6AF655}"/>
    <cellStyle name="Linked Cell 30 3 2 2 4 3" xfId="31713" xr:uid="{B32D2974-91A2-4922-B925-0663DC5A1488}"/>
    <cellStyle name="Linked Cell 30 3 2 2 5" xfId="31714" xr:uid="{48987B2A-E1FA-4ECD-88B7-6680752E6027}"/>
    <cellStyle name="Linked Cell 30 3 2 2 5 2" xfId="31715" xr:uid="{C960CE0A-FEBA-4562-97A0-E10FE1611211}"/>
    <cellStyle name="Linked Cell 30 3 2 2 5 2 2" xfId="31716" xr:uid="{93CEB045-5F4E-43E1-9284-488E50C21FA4}"/>
    <cellStyle name="Linked Cell 30 3 2 2 5 3" xfId="31717" xr:uid="{812CADB3-DD87-4B84-B703-EDD3B2B61051}"/>
    <cellStyle name="Linked Cell 30 3 2 2 6" xfId="31718" xr:uid="{E16D3D91-FADB-4898-92EB-CA6935607BF2}"/>
    <cellStyle name="Linked Cell 30 3 2 2 6 2" xfId="31719" xr:uid="{7D91D141-1FF7-44C7-98E4-58E61B19696A}"/>
    <cellStyle name="Linked Cell 30 3 2 2 6 2 2" xfId="31720" xr:uid="{02541F0F-6C80-483D-A40E-4966E2F774F9}"/>
    <cellStyle name="Linked Cell 30 3 2 2 6 3" xfId="31721" xr:uid="{B40D86B0-A52C-4020-B6B1-3A9A94CA8A10}"/>
    <cellStyle name="Linked Cell 30 3 2 2 7" xfId="31722" xr:uid="{57903102-0CF5-4D46-9F3B-FFAC38B224C4}"/>
    <cellStyle name="Linked Cell 30 3 2 2 7 2" xfId="31723" xr:uid="{190A0E82-2829-4D90-A52C-D417811D19CA}"/>
    <cellStyle name="Linked Cell 30 3 2 2 7 2 2" xfId="31724" xr:uid="{842F928C-42E0-4009-AF79-654ADFA44552}"/>
    <cellStyle name="Linked Cell 30 3 2 2 7 3" xfId="31725" xr:uid="{8FB6CC36-A26F-4F6D-A7C8-8A4FCCA1B6B6}"/>
    <cellStyle name="Linked Cell 30 3 2 2 8" xfId="31726" xr:uid="{99A19A1A-C701-4371-AF75-334D0158FB38}"/>
    <cellStyle name="Linked Cell 30 3 2 2 8 2" xfId="31727" xr:uid="{FD1B75B2-9235-4B8C-BA0B-9838C9AA4152}"/>
    <cellStyle name="Linked Cell 30 3 2 2 8 2 2" xfId="31728" xr:uid="{F3779BB4-64D9-489B-B43F-D64B1DDA7748}"/>
    <cellStyle name="Linked Cell 30 3 2 2 8 3" xfId="31729" xr:uid="{8E2116A2-C503-4BE8-ADDF-7A5D1E2AD59A}"/>
    <cellStyle name="Linked Cell 30 3 2 2 9" xfId="31730" xr:uid="{A2C3311E-4338-4FFC-9E8D-5674D0FCA0C3}"/>
    <cellStyle name="Linked Cell 30 3 2 2 9 2" xfId="31731" xr:uid="{76B08B3A-5C2E-4E39-BB49-74D0AA8EB6D7}"/>
    <cellStyle name="Linked Cell 30 3 2 2 9 2 2" xfId="31732" xr:uid="{DA52BE2A-A84E-402C-9915-AFC2E883453B}"/>
    <cellStyle name="Linked Cell 30 3 2 2 9 3" xfId="31733" xr:uid="{DF74E9CA-76F8-40AE-A2F2-A163A13716BF}"/>
    <cellStyle name="Linked Cell 30 3 2 3" xfId="31734" xr:uid="{8B803AF3-3707-43B9-89AD-97E3DD5A7B44}"/>
    <cellStyle name="Linked Cell 30 3 2 3 10" xfId="31735" xr:uid="{09DE2A12-1D62-4F85-B4A9-3EFB80329496}"/>
    <cellStyle name="Linked Cell 30 3 2 3 10 2" xfId="31736" xr:uid="{A31B06E6-9B55-46B6-9350-4E1B264267A5}"/>
    <cellStyle name="Linked Cell 30 3 2 3 11" xfId="31737" xr:uid="{8F32D8FB-75B5-46FD-8013-BD955C6F9477}"/>
    <cellStyle name="Linked Cell 30 3 2 3 2" xfId="31738" xr:uid="{480C0139-4554-4EB4-B9A6-0B7F4083E2A4}"/>
    <cellStyle name="Linked Cell 30 3 2 3 2 2" xfId="31739" xr:uid="{7DF95B6A-306D-481E-9BE5-0AF8E17EA722}"/>
    <cellStyle name="Linked Cell 30 3 2 3 2 2 2" xfId="31740" xr:uid="{7E1E450F-A2AD-4894-B02C-02E7B46D8666}"/>
    <cellStyle name="Linked Cell 30 3 2 3 2 3" xfId="31741" xr:uid="{4D10A05B-ABEE-4E68-A772-2E0357A01020}"/>
    <cellStyle name="Linked Cell 30 3 2 3 3" xfId="31742" xr:uid="{92EE930A-EA35-4769-99FB-55A109D3C408}"/>
    <cellStyle name="Linked Cell 30 3 2 3 3 2" xfId="31743" xr:uid="{A9B4823C-A846-4B1F-BE4D-964E3A43C7F2}"/>
    <cellStyle name="Linked Cell 30 3 2 3 3 2 2" xfId="31744" xr:uid="{9CD5EA65-9AEA-4A5B-91B9-71B0604A7DF0}"/>
    <cellStyle name="Linked Cell 30 3 2 3 3 3" xfId="31745" xr:uid="{B63408BD-D093-45B2-90AF-53BB0C44C247}"/>
    <cellStyle name="Linked Cell 30 3 2 3 4" xfId="31746" xr:uid="{3ED24304-3830-4242-91C5-632CF39CF55E}"/>
    <cellStyle name="Linked Cell 30 3 2 3 4 2" xfId="31747" xr:uid="{BD4E0573-A5B4-4EBF-B15B-E89FB6443B90}"/>
    <cellStyle name="Linked Cell 30 3 2 3 4 2 2" xfId="31748" xr:uid="{64FCB21F-826A-4D3A-97B3-94BBA06227B5}"/>
    <cellStyle name="Linked Cell 30 3 2 3 4 3" xfId="31749" xr:uid="{9C56B909-361A-46F0-9D69-DB42E83D2C7D}"/>
    <cellStyle name="Linked Cell 30 3 2 3 5" xfId="31750" xr:uid="{5DB528D5-0908-4FEB-B609-CBC02F5F1287}"/>
    <cellStyle name="Linked Cell 30 3 2 3 5 2" xfId="31751" xr:uid="{F1D3E31D-A465-4FDB-9F9C-667B6BF50F4E}"/>
    <cellStyle name="Linked Cell 30 3 2 3 5 2 2" xfId="31752" xr:uid="{E5DE4A13-D2F9-43A8-B64D-DE0C0DB48207}"/>
    <cellStyle name="Linked Cell 30 3 2 3 5 3" xfId="31753" xr:uid="{E960EC62-DF24-41C5-98C1-5639CEDA0105}"/>
    <cellStyle name="Linked Cell 30 3 2 3 6" xfId="31754" xr:uid="{888BE2B9-A2DD-42FD-9F9F-A7FE428BC1C8}"/>
    <cellStyle name="Linked Cell 30 3 2 3 6 2" xfId="31755" xr:uid="{3C91A494-64B8-402D-ADF0-3EB730DD7E30}"/>
    <cellStyle name="Linked Cell 30 3 2 3 6 2 2" xfId="31756" xr:uid="{1E4C89AB-3C49-4DB3-A555-43DDE28591D9}"/>
    <cellStyle name="Linked Cell 30 3 2 3 6 3" xfId="31757" xr:uid="{0A7F5883-431F-478A-B2FC-79403567DBF0}"/>
    <cellStyle name="Linked Cell 30 3 2 3 7" xfId="31758" xr:uid="{91D62CF8-E224-48AF-9D3E-9499B0E221A8}"/>
    <cellStyle name="Linked Cell 30 3 2 3 7 2" xfId="31759" xr:uid="{B7483DDE-AAA0-4EFE-861B-CA5C222A05C4}"/>
    <cellStyle name="Linked Cell 30 3 2 3 7 2 2" xfId="31760" xr:uid="{8F332415-BBA1-4DD2-968A-D0A25A5C655A}"/>
    <cellStyle name="Linked Cell 30 3 2 3 7 3" xfId="31761" xr:uid="{E2709E7D-92B5-45ED-8E3D-106B6AAAC254}"/>
    <cellStyle name="Linked Cell 30 3 2 3 8" xfId="31762" xr:uid="{3D2E38B6-1E6B-49A0-919A-41A89528F06D}"/>
    <cellStyle name="Linked Cell 30 3 2 3 8 2" xfId="31763" xr:uid="{3B4846FB-C945-4508-8337-A6FB1B2E6A8D}"/>
    <cellStyle name="Linked Cell 30 3 2 3 8 2 2" xfId="31764" xr:uid="{60303D36-F307-4C3B-B08F-7CB7830F985D}"/>
    <cellStyle name="Linked Cell 30 3 2 3 8 3" xfId="31765" xr:uid="{8A163381-8D1B-4607-B75F-6A5EE2F61B9C}"/>
    <cellStyle name="Linked Cell 30 3 2 3 9" xfId="31766" xr:uid="{87291EFB-55F2-4269-A25F-9515D4642A39}"/>
    <cellStyle name="Linked Cell 30 3 2 3 9 2" xfId="31767" xr:uid="{CD46FBD1-1E39-4942-BE33-C5524BF38CA9}"/>
    <cellStyle name="Linked Cell 30 3 2 3 9 2 2" xfId="31768" xr:uid="{C5AA82C7-9A18-4A32-A878-808461D09FD8}"/>
    <cellStyle name="Linked Cell 30 3 2 3 9 3" xfId="31769" xr:uid="{9D3E2AF8-BFC7-41E9-980B-992721B72817}"/>
    <cellStyle name="Linked Cell 30 3 2 4" xfId="31770" xr:uid="{C24555CE-61B6-42CF-ADCA-BA693A8A6C98}"/>
    <cellStyle name="Linked Cell 30 3 2 4 2" xfId="31771" xr:uid="{02906C8A-3A94-4FE0-A547-A129CC240517}"/>
    <cellStyle name="Linked Cell 30 3 2 4 2 2" xfId="31772" xr:uid="{4C9E19BA-1750-4367-9DF7-01668074D6F8}"/>
    <cellStyle name="Linked Cell 30 3 2 4 3" xfId="31773" xr:uid="{B2D570ED-C326-4600-9A95-9C5644D98114}"/>
    <cellStyle name="Linked Cell 30 3 2 5" xfId="31774" xr:uid="{87E42E39-EC53-4248-9B87-A281A314C120}"/>
    <cellStyle name="Linked Cell 30 3 2 5 2" xfId="31775" xr:uid="{ACDEE59C-D586-4C5A-9366-70565209005A}"/>
    <cellStyle name="Linked Cell 30 3 2 5 2 2" xfId="31776" xr:uid="{A22DA1BC-CEEA-47F8-948F-8F0F9C8EC821}"/>
    <cellStyle name="Linked Cell 30 3 2 5 3" xfId="31777" xr:uid="{DE0FAB16-9DE0-4A35-ACCE-6CF3AD0A8D5B}"/>
    <cellStyle name="Linked Cell 30 3 2 6" xfId="31778" xr:uid="{8BA0FE14-4C4E-44A2-81E6-602ACFC99B97}"/>
    <cellStyle name="Linked Cell 30 3 2 6 2" xfId="31779" xr:uid="{A23625F6-AFB6-479D-A75F-2C8FB16142A9}"/>
    <cellStyle name="Linked Cell 30 3 2 6 2 2" xfId="31780" xr:uid="{302D1DA5-7675-4B07-B02E-4E6275CB1753}"/>
    <cellStyle name="Linked Cell 30 3 2 6 3" xfId="31781" xr:uid="{C55F598A-61FE-4C1F-A10A-E401DE636FCA}"/>
    <cellStyle name="Linked Cell 30 3 2 7" xfId="31782" xr:uid="{4E452F2C-1D54-4C74-86B4-F3456E8E0998}"/>
    <cellStyle name="Linked Cell 30 3 2 7 2" xfId="31783" xr:uid="{0A46FC57-B11C-407C-BC85-1899A76A8C9B}"/>
    <cellStyle name="Linked Cell 30 3 2 7 2 2" xfId="31784" xr:uid="{8FE5654B-40FB-4217-83CF-5E45CB92ADF9}"/>
    <cellStyle name="Linked Cell 30 3 2 7 3" xfId="31785" xr:uid="{0971DCD5-A3A7-4A60-94D2-69C2A7240889}"/>
    <cellStyle name="Linked Cell 30 3 2 8" xfId="31786" xr:uid="{205AA01F-0C4C-407B-8116-637E5E572220}"/>
    <cellStyle name="Linked Cell 30 3 2 8 2" xfId="31787" xr:uid="{B5C19ABE-EAE5-4F36-8BC6-1E79D3E65DE0}"/>
    <cellStyle name="Linked Cell 30 3 2 8 2 2" xfId="31788" xr:uid="{8FA6E075-6E65-46DF-AD6B-C49EE7AE2DF6}"/>
    <cellStyle name="Linked Cell 30 3 2 8 3" xfId="31789" xr:uid="{44A8CED9-DFC6-478D-ACA1-BEC3AA5A560E}"/>
    <cellStyle name="Linked Cell 30 3 2 9" xfId="31790" xr:uid="{DEBEEBC5-52B3-4A18-B1E7-E022E1A70E94}"/>
    <cellStyle name="Linked Cell 30 3 2 9 2" xfId="31791" xr:uid="{20161BF1-D839-4E3E-B639-2E687DD362E0}"/>
    <cellStyle name="Linked Cell 30 3 2 9 2 2" xfId="31792" xr:uid="{1DF7EDF0-35C4-4A0B-9E04-1F7D454C6999}"/>
    <cellStyle name="Linked Cell 30 3 2 9 3" xfId="31793" xr:uid="{D519207A-0F34-49AB-A1A5-9BB4996B7807}"/>
    <cellStyle name="Linked Cell 30 3 3" xfId="31794" xr:uid="{9D60DEFD-FAD3-4A91-A641-65F64470652B}"/>
    <cellStyle name="Linked Cell 30 3 3 10" xfId="31795" xr:uid="{1E2774C6-14C8-4D72-93DB-B1600B7C5B34}"/>
    <cellStyle name="Linked Cell 30 3 3 10 2" xfId="31796" xr:uid="{BC49DD9B-64D5-4CC1-88B4-6DE45168458E}"/>
    <cellStyle name="Linked Cell 30 3 3 10 2 2" xfId="31797" xr:uid="{04AC55F7-0E0F-4A52-B021-90FFCBE143CB}"/>
    <cellStyle name="Linked Cell 30 3 3 10 3" xfId="31798" xr:uid="{73487253-B9EF-4957-A755-F0EE917845D1}"/>
    <cellStyle name="Linked Cell 30 3 3 11" xfId="31799" xr:uid="{74238384-0297-467A-B08C-ECA7F520487D}"/>
    <cellStyle name="Linked Cell 30 3 3 11 2" xfId="31800" xr:uid="{78E1BCAD-9156-453B-8E44-23E9DA8186E0}"/>
    <cellStyle name="Linked Cell 30 3 3 12" xfId="31801" xr:uid="{A8FA8C5A-FCB4-471C-BF61-45B7CCE67C8C}"/>
    <cellStyle name="Linked Cell 30 3 3 2" xfId="31802" xr:uid="{F5E7F3A8-7197-4176-BB9B-27075C28AC4E}"/>
    <cellStyle name="Linked Cell 30 3 3 2 10" xfId="31803" xr:uid="{8C9322AF-C6E1-4659-9BB4-06643EEFAD62}"/>
    <cellStyle name="Linked Cell 30 3 3 2 10 2" xfId="31804" xr:uid="{D86CC0CF-712E-438C-B17B-3DF41B39FE7C}"/>
    <cellStyle name="Linked Cell 30 3 3 2 11" xfId="31805" xr:uid="{FDE55C3B-6AA5-4DD4-874B-C61008658C6B}"/>
    <cellStyle name="Linked Cell 30 3 3 2 2" xfId="31806" xr:uid="{ABC627A5-255F-4510-A19E-B64F79023E6A}"/>
    <cellStyle name="Linked Cell 30 3 3 2 2 2" xfId="31807" xr:uid="{9F3D9B2B-8743-4E02-BF7B-89BE5409E865}"/>
    <cellStyle name="Linked Cell 30 3 3 2 2 2 2" xfId="31808" xr:uid="{37A0E33E-4AD8-41D9-917B-EDF8E48104C8}"/>
    <cellStyle name="Linked Cell 30 3 3 2 2 3" xfId="31809" xr:uid="{E9220B78-0054-4AF4-8B98-42EAB61E4093}"/>
    <cellStyle name="Linked Cell 30 3 3 2 3" xfId="31810" xr:uid="{3AB9FBA1-F13B-470B-B7E6-1F2CC6416592}"/>
    <cellStyle name="Linked Cell 30 3 3 2 3 2" xfId="31811" xr:uid="{878D25AA-54E0-45AB-A6FD-AD8ABAF5B5CB}"/>
    <cellStyle name="Linked Cell 30 3 3 2 3 2 2" xfId="31812" xr:uid="{631370D8-FC54-4A61-91B7-BFCA61419E4A}"/>
    <cellStyle name="Linked Cell 30 3 3 2 3 3" xfId="31813" xr:uid="{AC50DE00-9638-4903-A8D1-20C4BE183800}"/>
    <cellStyle name="Linked Cell 30 3 3 2 4" xfId="31814" xr:uid="{1C81B5D3-9F76-493D-BE0E-C895C11C5075}"/>
    <cellStyle name="Linked Cell 30 3 3 2 4 2" xfId="31815" xr:uid="{C05DBA14-01DC-4A51-AE97-2E5FC47760F7}"/>
    <cellStyle name="Linked Cell 30 3 3 2 4 2 2" xfId="31816" xr:uid="{F5CB6C66-D1D0-4253-BE09-B26DDC2EECCB}"/>
    <cellStyle name="Linked Cell 30 3 3 2 4 3" xfId="31817" xr:uid="{92D6947C-F755-436E-9AA5-C83811CD4F96}"/>
    <cellStyle name="Linked Cell 30 3 3 2 5" xfId="31818" xr:uid="{0EF81EA8-3FF1-42AE-917A-FA01B527AF13}"/>
    <cellStyle name="Linked Cell 30 3 3 2 5 2" xfId="31819" xr:uid="{CAD9FE31-312E-42AD-8874-B6471CA6DBAE}"/>
    <cellStyle name="Linked Cell 30 3 3 2 5 2 2" xfId="31820" xr:uid="{AD228CDB-19A3-4478-8DF8-6A1C74BD37B6}"/>
    <cellStyle name="Linked Cell 30 3 3 2 5 3" xfId="31821" xr:uid="{48AB8370-B9F3-4487-AA4D-49C9ACBD526B}"/>
    <cellStyle name="Linked Cell 30 3 3 2 6" xfId="31822" xr:uid="{2F057C99-9002-4E9D-847F-356302C84F87}"/>
    <cellStyle name="Linked Cell 30 3 3 2 6 2" xfId="31823" xr:uid="{6A4C328E-9B0F-4C2A-8694-6636A06A9C93}"/>
    <cellStyle name="Linked Cell 30 3 3 2 6 2 2" xfId="31824" xr:uid="{1E66BC1E-483B-4063-ADC3-64C7C7FD980B}"/>
    <cellStyle name="Linked Cell 30 3 3 2 6 3" xfId="31825" xr:uid="{F197B19A-74D3-4C7F-BD47-B9AD61E7CAAA}"/>
    <cellStyle name="Linked Cell 30 3 3 2 7" xfId="31826" xr:uid="{94ED6F40-6566-448F-B052-D0ACD1EADFF4}"/>
    <cellStyle name="Linked Cell 30 3 3 2 7 2" xfId="31827" xr:uid="{50744E08-465C-400F-BB8E-F319E2EFF271}"/>
    <cellStyle name="Linked Cell 30 3 3 2 7 2 2" xfId="31828" xr:uid="{6B02CC6C-F3B8-4BB5-B590-1C79C50B8049}"/>
    <cellStyle name="Linked Cell 30 3 3 2 7 3" xfId="31829" xr:uid="{E3C87090-AB74-4D3A-8D46-FD97619C069E}"/>
    <cellStyle name="Linked Cell 30 3 3 2 8" xfId="31830" xr:uid="{C0A2FCAB-3A30-497E-B731-2BA0D62578B0}"/>
    <cellStyle name="Linked Cell 30 3 3 2 8 2" xfId="31831" xr:uid="{7E05ED38-0048-4832-AA6B-A776B369E46F}"/>
    <cellStyle name="Linked Cell 30 3 3 2 8 2 2" xfId="31832" xr:uid="{3C6D1A24-189A-436A-B1AF-51C91D78E131}"/>
    <cellStyle name="Linked Cell 30 3 3 2 8 3" xfId="31833" xr:uid="{56F3E566-C614-44CE-A75C-298F34CDFCBE}"/>
    <cellStyle name="Linked Cell 30 3 3 2 9" xfId="31834" xr:uid="{CEE2FF42-E32B-49C5-AAFD-A338804C9C38}"/>
    <cellStyle name="Linked Cell 30 3 3 2 9 2" xfId="31835" xr:uid="{C18A5F96-EBEB-4272-8C8B-5E72F5D6E127}"/>
    <cellStyle name="Linked Cell 30 3 3 2 9 2 2" xfId="31836" xr:uid="{7F1F7658-A2C2-4A6A-AF68-F6E32A653A40}"/>
    <cellStyle name="Linked Cell 30 3 3 2 9 3" xfId="31837" xr:uid="{7EAFE674-C2AC-42D4-A5EE-4B96652995FF}"/>
    <cellStyle name="Linked Cell 30 3 3 3" xfId="31838" xr:uid="{B2D0EE32-8F2C-42A1-9F88-1F58A5E91B98}"/>
    <cellStyle name="Linked Cell 30 3 3 3 2" xfId="31839" xr:uid="{D8B377E2-78CC-400C-9AFC-E01275D22D83}"/>
    <cellStyle name="Linked Cell 30 3 3 3 2 2" xfId="31840" xr:uid="{0F864A14-6B9D-4E63-B80F-8BB41C671149}"/>
    <cellStyle name="Linked Cell 30 3 3 3 3" xfId="31841" xr:uid="{BD526381-3A58-4FAE-B426-1097D38FB314}"/>
    <cellStyle name="Linked Cell 30 3 3 4" xfId="31842" xr:uid="{1B7601AF-E0EA-4858-B18C-A655995DDBDA}"/>
    <cellStyle name="Linked Cell 30 3 3 4 2" xfId="31843" xr:uid="{D92886A1-9ECC-439B-BBB4-06B689601A7E}"/>
    <cellStyle name="Linked Cell 30 3 3 4 2 2" xfId="31844" xr:uid="{CFE619B2-27F5-418A-AD02-4B159D3D395D}"/>
    <cellStyle name="Linked Cell 30 3 3 4 3" xfId="31845" xr:uid="{CDB69124-C4CE-48EA-8177-C7F8BC7BF0AA}"/>
    <cellStyle name="Linked Cell 30 3 3 5" xfId="31846" xr:uid="{C25E012C-F23E-47EE-B06B-09CB9899B6F9}"/>
    <cellStyle name="Linked Cell 30 3 3 5 2" xfId="31847" xr:uid="{6BB3A727-45BA-4DEE-88EF-A6AEBD0ADB05}"/>
    <cellStyle name="Linked Cell 30 3 3 5 2 2" xfId="31848" xr:uid="{79E3D5FA-3560-42BB-B7C8-EDA9690876A3}"/>
    <cellStyle name="Linked Cell 30 3 3 5 3" xfId="31849" xr:uid="{1256D927-69D6-4F3A-B5BF-AE2B2EFED362}"/>
    <cellStyle name="Linked Cell 30 3 3 6" xfId="31850" xr:uid="{79E27F20-35CE-40C2-A181-C4005789EB6F}"/>
    <cellStyle name="Linked Cell 30 3 3 6 2" xfId="31851" xr:uid="{AF41EE73-2B9E-4752-9F84-E51219CAD702}"/>
    <cellStyle name="Linked Cell 30 3 3 6 2 2" xfId="31852" xr:uid="{7AB1AD90-B487-4E1F-9117-ABC2C0CD2450}"/>
    <cellStyle name="Linked Cell 30 3 3 6 3" xfId="31853" xr:uid="{1CEA2A7E-1A73-4236-B17A-676D0793B7F1}"/>
    <cellStyle name="Linked Cell 30 3 3 7" xfId="31854" xr:uid="{A36BF481-FE25-4BEA-815F-2DB2EDE236B6}"/>
    <cellStyle name="Linked Cell 30 3 3 7 2" xfId="31855" xr:uid="{82CEA397-5E5B-4746-93B4-A38B0C75A395}"/>
    <cellStyle name="Linked Cell 30 3 3 7 2 2" xfId="31856" xr:uid="{096AC1CC-6385-483B-94AC-0676FE8082D6}"/>
    <cellStyle name="Linked Cell 30 3 3 7 3" xfId="31857" xr:uid="{0655A494-BF6C-4A0F-95E5-DE7ED3C026D9}"/>
    <cellStyle name="Linked Cell 30 3 3 8" xfId="31858" xr:uid="{DC6413C1-4CED-4E42-A0B8-6913CBCBB249}"/>
    <cellStyle name="Linked Cell 30 3 3 8 2" xfId="31859" xr:uid="{4E240223-B446-451D-80FC-3EE8DF4413E4}"/>
    <cellStyle name="Linked Cell 30 3 3 8 2 2" xfId="31860" xr:uid="{1984D04A-B233-4095-97D5-7D0BCB715A95}"/>
    <cellStyle name="Linked Cell 30 3 3 8 3" xfId="31861" xr:uid="{0924AF61-A848-4D30-917B-8B2EE0C721BB}"/>
    <cellStyle name="Linked Cell 30 3 3 9" xfId="31862" xr:uid="{F0CAC085-ADE4-41C1-8396-3A7A097B7C58}"/>
    <cellStyle name="Linked Cell 30 3 3 9 2" xfId="31863" xr:uid="{71B5D043-0791-4766-BDCB-9EF44252677B}"/>
    <cellStyle name="Linked Cell 30 3 3 9 2 2" xfId="31864" xr:uid="{AD5B68CF-370A-4325-8E45-83152D7D1792}"/>
    <cellStyle name="Linked Cell 30 3 3 9 3" xfId="31865" xr:uid="{97E483E4-5106-46B0-8DBE-E6A467BD9B9C}"/>
    <cellStyle name="Linked Cell 30 3 4" xfId="31866" xr:uid="{6A7BD22A-EDEE-47E3-B02D-3EE830227208}"/>
    <cellStyle name="Linked Cell 30 3 4 10" xfId="31867" xr:uid="{99EC9E37-4F42-479A-8F9C-8D22450A0152}"/>
    <cellStyle name="Linked Cell 30 3 4 10 2" xfId="31868" xr:uid="{CE63BB3D-2A71-45A5-AC44-350FBCD7315A}"/>
    <cellStyle name="Linked Cell 30 3 4 11" xfId="31869" xr:uid="{4590656B-9C02-4580-BB68-36CA1C416D65}"/>
    <cellStyle name="Linked Cell 30 3 4 2" xfId="31870" xr:uid="{98D47BC5-34E2-48CA-9512-EB06348F89A2}"/>
    <cellStyle name="Linked Cell 30 3 4 2 2" xfId="31871" xr:uid="{840EEAED-B6C7-47AB-B72A-C7C15A26B469}"/>
    <cellStyle name="Linked Cell 30 3 4 2 2 2" xfId="31872" xr:uid="{30207BD9-62D2-4648-97E2-9A76E7F04033}"/>
    <cellStyle name="Linked Cell 30 3 4 2 3" xfId="31873" xr:uid="{385EB06F-F9D0-4503-B8CE-AFC6DD1CA6DE}"/>
    <cellStyle name="Linked Cell 30 3 4 3" xfId="31874" xr:uid="{E9DCAC45-4EC8-4A00-A23B-DBB07099E7C1}"/>
    <cellStyle name="Linked Cell 30 3 4 3 2" xfId="31875" xr:uid="{1235761A-0A47-49EF-AD6B-C70E6C117170}"/>
    <cellStyle name="Linked Cell 30 3 4 3 2 2" xfId="31876" xr:uid="{FA8B96BD-2143-4289-B2C9-B60ABB319B83}"/>
    <cellStyle name="Linked Cell 30 3 4 3 3" xfId="31877" xr:uid="{92B993B2-E620-464A-9823-2EFC38262D45}"/>
    <cellStyle name="Linked Cell 30 3 4 4" xfId="31878" xr:uid="{49F02AF4-5B0A-4F80-AF29-EA135FA76B30}"/>
    <cellStyle name="Linked Cell 30 3 4 4 2" xfId="31879" xr:uid="{CF7E5979-4746-430D-8CA6-A870FBD6DEDF}"/>
    <cellStyle name="Linked Cell 30 3 4 4 2 2" xfId="31880" xr:uid="{34875E52-4D0C-43BF-A532-8D6718193A6C}"/>
    <cellStyle name="Linked Cell 30 3 4 4 3" xfId="31881" xr:uid="{CDE0DE0D-2806-4149-BE05-3A4B126459B8}"/>
    <cellStyle name="Linked Cell 30 3 4 5" xfId="31882" xr:uid="{E361EA37-F17A-49A6-BD13-71F28F26C982}"/>
    <cellStyle name="Linked Cell 30 3 4 5 2" xfId="31883" xr:uid="{9AC44E45-CC71-4153-AAAB-553286A8DA4B}"/>
    <cellStyle name="Linked Cell 30 3 4 5 2 2" xfId="31884" xr:uid="{94CC8032-63E4-4461-9D86-818BEED90201}"/>
    <cellStyle name="Linked Cell 30 3 4 5 3" xfId="31885" xr:uid="{3420C76A-8080-43A6-B8F3-7D571E07AACB}"/>
    <cellStyle name="Linked Cell 30 3 4 6" xfId="31886" xr:uid="{0545039A-4AF1-431F-8150-41C3CC43A622}"/>
    <cellStyle name="Linked Cell 30 3 4 6 2" xfId="31887" xr:uid="{054FBD11-9ACB-4E62-A433-E5A161492D0C}"/>
    <cellStyle name="Linked Cell 30 3 4 6 2 2" xfId="31888" xr:uid="{BF55161F-4155-428E-AAD4-F4650EF937F1}"/>
    <cellStyle name="Linked Cell 30 3 4 6 3" xfId="31889" xr:uid="{34DD1C7A-4EEF-45FB-9CAF-B8F3DAB808B4}"/>
    <cellStyle name="Linked Cell 30 3 4 7" xfId="31890" xr:uid="{1CC00569-A49A-4BB2-8E8C-D6C059649725}"/>
    <cellStyle name="Linked Cell 30 3 4 7 2" xfId="31891" xr:uid="{DE5BBA51-FA0A-4FF9-A0AC-D1899CE1D417}"/>
    <cellStyle name="Linked Cell 30 3 4 7 2 2" xfId="31892" xr:uid="{C65B6AA7-B0FB-4805-807F-17CC0D472D3E}"/>
    <cellStyle name="Linked Cell 30 3 4 7 3" xfId="31893" xr:uid="{4D605A19-B47E-4AEB-87EF-721CDB0C6C16}"/>
    <cellStyle name="Linked Cell 30 3 4 8" xfId="31894" xr:uid="{075EE2AE-426E-4228-8522-EB5DCB2B290D}"/>
    <cellStyle name="Linked Cell 30 3 4 8 2" xfId="31895" xr:uid="{49CEE4CA-4203-4735-AD63-80B4C2716EAD}"/>
    <cellStyle name="Linked Cell 30 3 4 8 2 2" xfId="31896" xr:uid="{004B0680-DA26-4F1B-9A2B-9CBD9E43D6AA}"/>
    <cellStyle name="Linked Cell 30 3 4 8 3" xfId="31897" xr:uid="{A3FB85FD-B540-46ED-8918-0B158317B686}"/>
    <cellStyle name="Linked Cell 30 3 4 9" xfId="31898" xr:uid="{3C7DE8CC-8A0D-4ACD-B234-995C217FB446}"/>
    <cellStyle name="Linked Cell 30 3 4 9 2" xfId="31899" xr:uid="{ABC8241A-672D-40AF-BA97-D23B569C7742}"/>
    <cellStyle name="Linked Cell 30 3 4 9 2 2" xfId="31900" xr:uid="{9C0F154A-B43B-4C56-861F-617791ECB7A0}"/>
    <cellStyle name="Linked Cell 30 3 4 9 3" xfId="31901" xr:uid="{CA252884-81A2-47B9-817E-0C1DA2E387B9}"/>
    <cellStyle name="Linked Cell 30 3 5" xfId="31902" xr:uid="{4DD7E612-797A-403D-84F8-AE4111B0C413}"/>
    <cellStyle name="Linked Cell 30 3 5 2" xfId="31903" xr:uid="{1A978EAB-F9B7-4144-B826-D39843A7D77F}"/>
    <cellStyle name="Linked Cell 30 3 5 2 2" xfId="31904" xr:uid="{6D112980-425D-483D-B278-6C807BD05EE6}"/>
    <cellStyle name="Linked Cell 30 3 5 3" xfId="31905" xr:uid="{5A7C955F-5F80-4540-B758-FE56F38E2B6F}"/>
    <cellStyle name="Linked Cell 30 3 6" xfId="31906" xr:uid="{E654F56A-330D-44C6-B441-DD925345B845}"/>
    <cellStyle name="Linked Cell 30 3 6 2" xfId="31907" xr:uid="{A381B524-F7AB-4102-8B24-04239D12CE63}"/>
    <cellStyle name="Linked Cell 30 3 6 2 2" xfId="31908" xr:uid="{0D1973D0-9AB3-4F51-99A9-21C4336E8091}"/>
    <cellStyle name="Linked Cell 30 3 6 3" xfId="31909" xr:uid="{D8CDC9A6-465B-40E9-86D5-E7AE8610086F}"/>
    <cellStyle name="Linked Cell 30 3 7" xfId="31910" xr:uid="{FDF3F3AD-6985-41B8-8B12-B7B8242FBC37}"/>
    <cellStyle name="Linked Cell 30 3 7 2" xfId="31911" xr:uid="{58A8D8C1-B053-4B67-B531-DBCDC6EB6747}"/>
    <cellStyle name="Linked Cell 30 3 7 2 2" xfId="31912" xr:uid="{0CED3D17-8EA9-4005-BCAE-0FDA1ECDB9FD}"/>
    <cellStyle name="Linked Cell 30 3 7 3" xfId="31913" xr:uid="{8BBFBD4E-5F59-4804-81CD-04701E67E844}"/>
    <cellStyle name="Linked Cell 30 3 8" xfId="31914" xr:uid="{CB3ECD43-25DB-4B0B-A59C-93F3DA2C8D46}"/>
    <cellStyle name="Linked Cell 30 3 8 2" xfId="31915" xr:uid="{A3C7EB00-4BA0-4B2D-AE0C-1C3108B2F6DD}"/>
    <cellStyle name="Linked Cell 30 3 8 2 2" xfId="31916" xr:uid="{EF545E9C-A311-4E5E-BB17-695D3821FC68}"/>
    <cellStyle name="Linked Cell 30 3 8 3" xfId="31917" xr:uid="{42F2C355-2EBF-4DE1-B4D3-E4E7EC602C90}"/>
    <cellStyle name="Linked Cell 30 3 9" xfId="31918" xr:uid="{E688E8AE-34B3-4D71-BD54-386931CA1DBA}"/>
    <cellStyle name="Linked Cell 30 3 9 2" xfId="31919" xr:uid="{15B317E6-DAE0-4436-AA2F-52F9EC6B199C}"/>
    <cellStyle name="Linked Cell 30 3 9 2 2" xfId="31920" xr:uid="{43FCFA51-C575-42A9-AB84-0AC81B1111B6}"/>
    <cellStyle name="Linked Cell 30 3 9 3" xfId="31921" xr:uid="{E4A19E17-FFD7-4139-B9A1-F4F3565428B4}"/>
    <cellStyle name="Linked Cell 30 4" xfId="31922" xr:uid="{9642D2E8-5441-43DE-9E76-FB6B5439CFFC}"/>
    <cellStyle name="Linked Cell 30 4 10" xfId="31923" xr:uid="{F9364659-A6FE-4C2F-851A-AACD1CC7EE03}"/>
    <cellStyle name="Linked Cell 30 4 10 2" xfId="31924" xr:uid="{3B5D824D-9E35-403B-B76A-FA5D853C926B}"/>
    <cellStyle name="Linked Cell 30 4 10 2 2" xfId="31925" xr:uid="{A6C9C478-5E5A-4D59-BD41-655DBA977C9D}"/>
    <cellStyle name="Linked Cell 30 4 10 3" xfId="31926" xr:uid="{F7E80368-5218-4C28-949A-0DC823944DEC}"/>
    <cellStyle name="Linked Cell 30 4 11" xfId="31927" xr:uid="{CECEF49B-88B9-427B-822B-890471B0B4F4}"/>
    <cellStyle name="Linked Cell 30 4 11 2" xfId="31928" xr:uid="{4551F134-C44B-48D5-86D4-F4BC76985F11}"/>
    <cellStyle name="Linked Cell 30 4 11 2 2" xfId="31929" xr:uid="{A84E241C-DC62-498A-9DEA-ABD2B4543ABD}"/>
    <cellStyle name="Linked Cell 30 4 11 3" xfId="31930" xr:uid="{017DA75B-3270-4EA2-B5E7-8E3890301F29}"/>
    <cellStyle name="Linked Cell 30 4 12" xfId="31931" xr:uid="{92DF5991-928A-4EC4-94AA-D49877D06368}"/>
    <cellStyle name="Linked Cell 30 4 12 2" xfId="31932" xr:uid="{18F91C3C-6EE4-4587-B02C-272161D7CA05}"/>
    <cellStyle name="Linked Cell 30 4 13" xfId="31933" xr:uid="{CEF5D7DC-738B-4B30-ABA1-7D42ABDDC083}"/>
    <cellStyle name="Linked Cell 30 4 2" xfId="31934" xr:uid="{19C133EF-0E17-40D5-9DE9-91AD1F5444FF}"/>
    <cellStyle name="Linked Cell 30 4 2 10" xfId="31935" xr:uid="{3967A21B-18ED-4FE7-9E13-FFC0741EF2E8}"/>
    <cellStyle name="Linked Cell 30 4 2 10 2" xfId="31936" xr:uid="{FEDD1766-BBC2-45D9-B0E7-C98FE8BA9C96}"/>
    <cellStyle name="Linked Cell 30 4 2 10 2 2" xfId="31937" xr:uid="{5FBAFA2D-99F5-4D07-A1FF-E3C134004A9A}"/>
    <cellStyle name="Linked Cell 30 4 2 10 3" xfId="31938" xr:uid="{6E70DB1B-1290-4E5B-9B0B-96F6A2683CE5}"/>
    <cellStyle name="Linked Cell 30 4 2 11" xfId="31939" xr:uid="{121BDDFB-B5D4-4F17-B0CE-8EA4E7C448A1}"/>
    <cellStyle name="Linked Cell 30 4 2 11 2" xfId="31940" xr:uid="{3DAFE608-ECF1-4F3D-A112-0CCA495E3379}"/>
    <cellStyle name="Linked Cell 30 4 2 12" xfId="31941" xr:uid="{70514D7F-E57A-4FBA-903C-ACA4A43F3EB6}"/>
    <cellStyle name="Linked Cell 30 4 2 2" xfId="31942" xr:uid="{41B468E1-3006-4F23-8BC2-1627512976E5}"/>
    <cellStyle name="Linked Cell 30 4 2 2 2" xfId="31943" xr:uid="{E31C459F-0054-42BD-AF3F-A1A369A4E4CC}"/>
    <cellStyle name="Linked Cell 30 4 2 2 2 2" xfId="31944" xr:uid="{A32821A9-EFF5-4E65-8532-3FC3F7337988}"/>
    <cellStyle name="Linked Cell 30 4 2 2 3" xfId="31945" xr:uid="{3A873B51-9576-4CB2-9669-BCDDC9BB77F5}"/>
    <cellStyle name="Linked Cell 30 4 2 3" xfId="31946" xr:uid="{F8C340D9-22DB-45C8-8F23-0981CE3BD8BE}"/>
    <cellStyle name="Linked Cell 30 4 2 3 2" xfId="31947" xr:uid="{CC3F7BC7-162D-4E41-BA0E-A8621FAD57C1}"/>
    <cellStyle name="Linked Cell 30 4 2 3 2 2" xfId="31948" xr:uid="{B6C51443-9941-480F-8E04-9BF9F2087402}"/>
    <cellStyle name="Linked Cell 30 4 2 3 3" xfId="31949" xr:uid="{1CCF2B4B-7808-4C6F-AA2D-B2C51A71505C}"/>
    <cellStyle name="Linked Cell 30 4 2 4" xfId="31950" xr:uid="{EED8504E-CD0F-4C52-BFFE-223B61A4AB4E}"/>
    <cellStyle name="Linked Cell 30 4 2 4 2" xfId="31951" xr:uid="{E7F91636-FA0B-4AD8-9A13-C3184F74BBED}"/>
    <cellStyle name="Linked Cell 30 4 2 4 2 2" xfId="31952" xr:uid="{3077CBD1-B1A8-4D84-83D2-DD9096C69294}"/>
    <cellStyle name="Linked Cell 30 4 2 4 3" xfId="31953" xr:uid="{B79658FC-0DA6-4E6A-BC5B-1D41DCB6A229}"/>
    <cellStyle name="Linked Cell 30 4 2 5" xfId="31954" xr:uid="{BDAA194D-3FC9-4A92-8D10-4D25FE4BCE8F}"/>
    <cellStyle name="Linked Cell 30 4 2 5 2" xfId="31955" xr:uid="{AC63797F-E2D6-456F-B6C1-DFCC504A29E2}"/>
    <cellStyle name="Linked Cell 30 4 2 5 2 2" xfId="31956" xr:uid="{F8489898-70E5-47E7-BBD0-5602905D60D7}"/>
    <cellStyle name="Linked Cell 30 4 2 5 3" xfId="31957" xr:uid="{9D694184-4D70-4D9D-BC63-DC2782315C4E}"/>
    <cellStyle name="Linked Cell 30 4 2 6" xfId="31958" xr:uid="{94254120-46A6-4D0B-811B-BBE7D27CB0CA}"/>
    <cellStyle name="Linked Cell 30 4 2 6 2" xfId="31959" xr:uid="{A3E0B260-32EA-4169-AAE8-A8118E1655EF}"/>
    <cellStyle name="Linked Cell 30 4 2 6 2 2" xfId="31960" xr:uid="{5C1EBDE6-D225-401C-8014-4FDA9D4EC0C8}"/>
    <cellStyle name="Linked Cell 30 4 2 6 3" xfId="31961" xr:uid="{0EF52CA6-9D9B-4D82-9D72-8BF6B8A49290}"/>
    <cellStyle name="Linked Cell 30 4 2 7" xfId="31962" xr:uid="{DD07435C-373C-4336-83CB-47247525760C}"/>
    <cellStyle name="Linked Cell 30 4 2 7 2" xfId="31963" xr:uid="{990C11B1-C970-4C92-B5F6-919ACF392A92}"/>
    <cellStyle name="Linked Cell 30 4 2 7 2 2" xfId="31964" xr:uid="{EA8E5E79-9673-4C5D-B84C-889ADC839E6D}"/>
    <cellStyle name="Linked Cell 30 4 2 7 3" xfId="31965" xr:uid="{3F495521-2545-4FB6-9883-8D43CD934291}"/>
    <cellStyle name="Linked Cell 30 4 2 8" xfId="31966" xr:uid="{5093FD49-62FA-4CD4-84B8-3D9DD67340DD}"/>
    <cellStyle name="Linked Cell 30 4 2 8 2" xfId="31967" xr:uid="{26421E89-9CDE-45CD-BAD4-C8F1811F2312}"/>
    <cellStyle name="Linked Cell 30 4 2 8 2 2" xfId="31968" xr:uid="{4D838428-6180-4507-9D64-60B389284406}"/>
    <cellStyle name="Linked Cell 30 4 2 8 3" xfId="31969" xr:uid="{285FBCB0-A4CB-49FB-95D3-C00CEA4B40A2}"/>
    <cellStyle name="Linked Cell 30 4 2 9" xfId="31970" xr:uid="{F67B71AC-7E57-499B-89D3-E04A645FF54A}"/>
    <cellStyle name="Linked Cell 30 4 2 9 2" xfId="31971" xr:uid="{AA818EE3-3BB0-49DE-9C01-346D61EB845B}"/>
    <cellStyle name="Linked Cell 30 4 2 9 2 2" xfId="31972" xr:uid="{AEE07B36-2F4F-4994-99C3-7F8902C6DA92}"/>
    <cellStyle name="Linked Cell 30 4 2 9 3" xfId="31973" xr:uid="{9CBA8D4F-438B-4AFF-ABB3-69B374BBA920}"/>
    <cellStyle name="Linked Cell 30 4 3" xfId="31974" xr:uid="{BD6D1FB2-0167-452A-A4AA-5E768165080F}"/>
    <cellStyle name="Linked Cell 30 4 3 10" xfId="31975" xr:uid="{D0902201-B1D3-4F1C-BF4D-1D494C6C9721}"/>
    <cellStyle name="Linked Cell 30 4 3 10 2" xfId="31976" xr:uid="{CE735743-E6EC-49D7-A1FB-FA1D756098BD}"/>
    <cellStyle name="Linked Cell 30 4 3 11" xfId="31977" xr:uid="{A99302AA-6723-4464-BFB2-0EC4DA7147C2}"/>
    <cellStyle name="Linked Cell 30 4 3 2" xfId="31978" xr:uid="{F3320990-24EA-42DE-B88E-7FAFBB436E54}"/>
    <cellStyle name="Linked Cell 30 4 3 2 2" xfId="31979" xr:uid="{65E94CD3-CC7C-4B39-AD51-9A12DF3B0972}"/>
    <cellStyle name="Linked Cell 30 4 3 2 2 2" xfId="31980" xr:uid="{371DC9C5-7D68-4DA5-99D6-AC04DB5C1B0C}"/>
    <cellStyle name="Linked Cell 30 4 3 2 3" xfId="31981" xr:uid="{E538A160-234C-4270-B135-69B5CFBE69B0}"/>
    <cellStyle name="Linked Cell 30 4 3 3" xfId="31982" xr:uid="{AF7B22A9-10CA-4A71-B204-682914C86748}"/>
    <cellStyle name="Linked Cell 30 4 3 3 2" xfId="31983" xr:uid="{69D57204-BCCE-4C5F-81F1-D1878E0DA88A}"/>
    <cellStyle name="Linked Cell 30 4 3 3 2 2" xfId="31984" xr:uid="{3C5A0044-0379-4BA3-A822-398EB53643BE}"/>
    <cellStyle name="Linked Cell 30 4 3 3 3" xfId="31985" xr:uid="{6AD95B22-01F5-4724-9B82-9F0F5F6DB263}"/>
    <cellStyle name="Linked Cell 30 4 3 4" xfId="31986" xr:uid="{3E9AADA9-920C-46D6-B73A-77FFE233168F}"/>
    <cellStyle name="Linked Cell 30 4 3 4 2" xfId="31987" xr:uid="{DB7F6EFF-4B52-4C94-86E1-03D566B9AF9C}"/>
    <cellStyle name="Linked Cell 30 4 3 4 2 2" xfId="31988" xr:uid="{6F1E3230-32DC-4D00-A14C-F434BA5981E4}"/>
    <cellStyle name="Linked Cell 30 4 3 4 3" xfId="31989" xr:uid="{9C87D6DB-3B95-4FF4-84D6-88021203E36D}"/>
    <cellStyle name="Linked Cell 30 4 3 5" xfId="31990" xr:uid="{C60E90FF-C42A-4511-B97E-3F347164CF90}"/>
    <cellStyle name="Linked Cell 30 4 3 5 2" xfId="31991" xr:uid="{211BF547-8515-4407-8EB8-857EAA3ABE8C}"/>
    <cellStyle name="Linked Cell 30 4 3 5 2 2" xfId="31992" xr:uid="{46CDCEF5-5532-464C-AA48-EF02D413D4AD}"/>
    <cellStyle name="Linked Cell 30 4 3 5 3" xfId="31993" xr:uid="{00EB3460-61E1-4FA3-8E4E-E960A2FB469D}"/>
    <cellStyle name="Linked Cell 30 4 3 6" xfId="31994" xr:uid="{AB22CA26-D288-4972-920E-565CE593A062}"/>
    <cellStyle name="Linked Cell 30 4 3 6 2" xfId="31995" xr:uid="{046245A5-12CA-4B73-A6C8-39CC8F544198}"/>
    <cellStyle name="Linked Cell 30 4 3 6 2 2" xfId="31996" xr:uid="{32742766-A295-4D8E-A31D-D12C794E67EB}"/>
    <cellStyle name="Linked Cell 30 4 3 6 3" xfId="31997" xr:uid="{1EA2DFEE-CC6D-45F6-8A43-31F1919FD65B}"/>
    <cellStyle name="Linked Cell 30 4 3 7" xfId="31998" xr:uid="{D07B8E5B-50B1-4F5E-98B8-D42A812C8D73}"/>
    <cellStyle name="Linked Cell 30 4 3 7 2" xfId="31999" xr:uid="{E10C8E6F-6884-419C-A51D-417A3DFAB3B7}"/>
    <cellStyle name="Linked Cell 30 4 3 7 2 2" xfId="32000" xr:uid="{EEDD35FB-7F22-4B8B-BED4-445BE56FBE84}"/>
    <cellStyle name="Linked Cell 30 4 3 7 3" xfId="32001" xr:uid="{0BBA83EF-3776-404A-BC1F-1D35DA64C9A0}"/>
    <cellStyle name="Linked Cell 30 4 3 8" xfId="32002" xr:uid="{54BC0BD0-A786-495C-8E25-DDEB02CD786C}"/>
    <cellStyle name="Linked Cell 30 4 3 8 2" xfId="32003" xr:uid="{72CD6088-524F-4ACF-AC9B-5C0188C8ED23}"/>
    <cellStyle name="Linked Cell 30 4 3 8 2 2" xfId="32004" xr:uid="{BAFF2AAE-088C-484F-B82B-3207FBF55746}"/>
    <cellStyle name="Linked Cell 30 4 3 8 3" xfId="32005" xr:uid="{A8B7F2D9-20E0-4F86-BDEA-525A359E6B74}"/>
    <cellStyle name="Linked Cell 30 4 3 9" xfId="32006" xr:uid="{D559046A-746B-4122-9AAC-EA3CDCE0CF2C}"/>
    <cellStyle name="Linked Cell 30 4 3 9 2" xfId="32007" xr:uid="{EFBCC7DC-D779-45C6-8EC3-68BB6B2F577E}"/>
    <cellStyle name="Linked Cell 30 4 3 9 2 2" xfId="32008" xr:uid="{AD23023E-564F-48F2-B83C-423F84512F7A}"/>
    <cellStyle name="Linked Cell 30 4 3 9 3" xfId="32009" xr:uid="{65232F26-9AE5-405C-9532-AB8F000983C5}"/>
    <cellStyle name="Linked Cell 30 4 4" xfId="32010" xr:uid="{E8524EE1-BD0E-4A03-90B6-19E1F34904F8}"/>
    <cellStyle name="Linked Cell 30 4 4 2" xfId="32011" xr:uid="{24E867EF-7A81-403C-8F84-EC4C45089E84}"/>
    <cellStyle name="Linked Cell 30 4 4 2 2" xfId="32012" xr:uid="{FDDA24A2-F1FB-454B-92A7-ECDFA8B5FEC1}"/>
    <cellStyle name="Linked Cell 30 4 4 3" xfId="32013" xr:uid="{D0E014EC-EBB1-44A9-9DDA-87F71FD9EE5A}"/>
    <cellStyle name="Linked Cell 30 4 5" xfId="32014" xr:uid="{A146EF9B-22BE-402D-A3AE-98F4AE37937F}"/>
    <cellStyle name="Linked Cell 30 4 5 2" xfId="32015" xr:uid="{A5E091D4-D1C1-4742-8116-52951371E28E}"/>
    <cellStyle name="Linked Cell 30 4 5 2 2" xfId="32016" xr:uid="{6CD87239-789E-4985-874C-B7A51FB84441}"/>
    <cellStyle name="Linked Cell 30 4 5 3" xfId="32017" xr:uid="{6082EEDD-8519-4953-A482-DCB24D50A8B8}"/>
    <cellStyle name="Linked Cell 30 4 6" xfId="32018" xr:uid="{790808F3-8EB9-4DC5-823D-9A1A320764C6}"/>
    <cellStyle name="Linked Cell 30 4 6 2" xfId="32019" xr:uid="{91505DA2-9A2E-4F73-B67D-ECC6DDAD217D}"/>
    <cellStyle name="Linked Cell 30 4 6 2 2" xfId="32020" xr:uid="{C44E8A18-4038-4D89-ABD2-FA4EBB93D030}"/>
    <cellStyle name="Linked Cell 30 4 6 3" xfId="32021" xr:uid="{877C00C8-28AB-4969-86EC-3CD3D2B698E9}"/>
    <cellStyle name="Linked Cell 30 4 7" xfId="32022" xr:uid="{AA1089C7-644F-4F4E-BD2C-92F4713189C1}"/>
    <cellStyle name="Linked Cell 30 4 7 2" xfId="32023" xr:uid="{62B1E457-EE18-4145-AA0F-F7E1345BD591}"/>
    <cellStyle name="Linked Cell 30 4 7 2 2" xfId="32024" xr:uid="{8024E64E-A3E7-4353-BDDE-67E655A9D5C1}"/>
    <cellStyle name="Linked Cell 30 4 7 3" xfId="32025" xr:uid="{BF78B1C4-BC46-40E0-A674-93F62FD4FD90}"/>
    <cellStyle name="Linked Cell 30 4 8" xfId="32026" xr:uid="{16728E7D-0950-4C8A-BD9B-00FC6EA4EC48}"/>
    <cellStyle name="Linked Cell 30 4 8 2" xfId="32027" xr:uid="{03028A54-2990-4AA4-9689-4071469299F0}"/>
    <cellStyle name="Linked Cell 30 4 8 2 2" xfId="32028" xr:uid="{7FA935F2-CBCF-4BBB-96AF-4BD1EA536370}"/>
    <cellStyle name="Linked Cell 30 4 8 3" xfId="32029" xr:uid="{50F67C0E-0138-4BAC-A454-41EABB3DC52D}"/>
    <cellStyle name="Linked Cell 30 4 9" xfId="32030" xr:uid="{D31BFBB8-6BE2-4284-A36D-F8EC786DA75F}"/>
    <cellStyle name="Linked Cell 30 4 9 2" xfId="32031" xr:uid="{EA5DD32B-81BD-43E7-B2B9-3133687C6AC2}"/>
    <cellStyle name="Linked Cell 30 4 9 2 2" xfId="32032" xr:uid="{1C07A9B8-FE8B-49B8-A45D-2ADE2FF9241D}"/>
    <cellStyle name="Linked Cell 30 4 9 3" xfId="32033" xr:uid="{3EDC88F2-3950-48FE-A1AC-92256EECECEC}"/>
    <cellStyle name="Linked Cell 31" xfId="32034" xr:uid="{CA094095-A836-4649-8E09-1217A40FADAC}"/>
    <cellStyle name="Linked Cell 31 2" xfId="32035" xr:uid="{FFC41DCE-4A8F-4972-9A7F-EA2274B2506F}"/>
    <cellStyle name="Linked Cell 31 2 10" xfId="32036" xr:uid="{717B5B0D-EB9E-4A24-9E96-18A05B43EE74}"/>
    <cellStyle name="Linked Cell 31 2 10 2" xfId="32037" xr:uid="{E2E153FD-5935-423D-AA57-A257E6340226}"/>
    <cellStyle name="Linked Cell 31 2 10 2 2" xfId="32038" xr:uid="{5E92BB5A-6AA0-44DF-A2CC-34A3389CF5BD}"/>
    <cellStyle name="Linked Cell 31 2 10 3" xfId="32039" xr:uid="{88A21C91-9E23-4B8D-A354-AF919D1CFCAC}"/>
    <cellStyle name="Linked Cell 31 2 11" xfId="32040" xr:uid="{CED15A22-4428-4211-8208-8A614F564D43}"/>
    <cellStyle name="Linked Cell 31 2 11 2" xfId="32041" xr:uid="{45A718B0-0172-4602-A5CE-F868D2055D61}"/>
    <cellStyle name="Linked Cell 31 2 11 2 2" xfId="32042" xr:uid="{FA0899F6-3926-46D8-A584-4C8AE1315FB8}"/>
    <cellStyle name="Linked Cell 31 2 11 3" xfId="32043" xr:uid="{47164EFB-91E4-49A5-8405-2E9D422CA233}"/>
    <cellStyle name="Linked Cell 31 2 12" xfId="32044" xr:uid="{CB4E325C-7CB6-4C88-AE98-427949639A0E}"/>
    <cellStyle name="Linked Cell 31 2 12 2" xfId="32045" xr:uid="{548C897E-4015-4220-ACE3-CBF160BAF436}"/>
    <cellStyle name="Linked Cell 31 2 12 2 2" xfId="32046" xr:uid="{4D6D392C-50E3-40AC-9876-6A2BFFC58E8E}"/>
    <cellStyle name="Linked Cell 31 2 12 3" xfId="32047" xr:uid="{1274250A-F50E-4A3C-9B81-A2465C08DF3F}"/>
    <cellStyle name="Linked Cell 31 2 13" xfId="32048" xr:uid="{9D57A6BF-43E3-45B7-B8D7-CB34F0360613}"/>
    <cellStyle name="Linked Cell 31 2 13 2" xfId="32049" xr:uid="{8C3C52EE-E245-444A-910A-10B2D2EF7DDB}"/>
    <cellStyle name="Linked Cell 31 2 13 2 2" xfId="32050" xr:uid="{BF97D7D5-79A3-4022-9C1F-327EDB6712AA}"/>
    <cellStyle name="Linked Cell 31 2 13 3" xfId="32051" xr:uid="{1EA68916-99E0-46BD-A002-3206061B7FEF}"/>
    <cellStyle name="Linked Cell 31 2 14" xfId="32052" xr:uid="{0C3591C1-ECC0-4632-AE50-53B05784D7F2}"/>
    <cellStyle name="Linked Cell 31 2 14 2" xfId="32053" xr:uid="{3F8F57DD-FE44-4363-9C9B-6CE50615E495}"/>
    <cellStyle name="Linked Cell 31 2 15" xfId="32054" xr:uid="{F3FB673E-7C01-40DB-B22B-0B83049E246B}"/>
    <cellStyle name="Linked Cell 31 2 2" xfId="32055" xr:uid="{49E5F672-A526-4A2A-BF1C-4FFFBF5D74E5}"/>
    <cellStyle name="Linked Cell 31 2 2 10" xfId="32056" xr:uid="{AE84D3C5-855C-47DC-B388-291EAC6DA8F9}"/>
    <cellStyle name="Linked Cell 31 2 2 10 2" xfId="32057" xr:uid="{4AC198D7-B45D-4AC7-9499-D9651D9132E7}"/>
    <cellStyle name="Linked Cell 31 2 2 10 2 2" xfId="32058" xr:uid="{C288C746-F461-4B32-80A5-2F25B76424C0}"/>
    <cellStyle name="Linked Cell 31 2 2 10 3" xfId="32059" xr:uid="{157CB2E4-9D2C-4F1D-99A9-D48AC69E695F}"/>
    <cellStyle name="Linked Cell 31 2 2 11" xfId="32060" xr:uid="{A2548A45-4EA9-4539-998D-28420BB0B4CB}"/>
    <cellStyle name="Linked Cell 31 2 2 11 2" xfId="32061" xr:uid="{8B5B73D5-D820-4F07-8629-62C01D40312C}"/>
    <cellStyle name="Linked Cell 31 2 2 11 2 2" xfId="32062" xr:uid="{3B7EDE75-6EE8-4B7A-85B6-33D341C82056}"/>
    <cellStyle name="Linked Cell 31 2 2 11 3" xfId="32063" xr:uid="{F377138B-C7FE-4185-BC7C-3CA2B44344F2}"/>
    <cellStyle name="Linked Cell 31 2 2 12" xfId="32064" xr:uid="{6C367214-84F4-467B-B6CC-663453F90D28}"/>
    <cellStyle name="Linked Cell 31 2 2 12 2" xfId="32065" xr:uid="{038EC8F2-1702-40F6-87CC-EE7B5DDEEDA9}"/>
    <cellStyle name="Linked Cell 31 2 2 12 2 2" xfId="32066" xr:uid="{C8CBCB4C-0A98-4E4B-BF97-55DB01A5FE87}"/>
    <cellStyle name="Linked Cell 31 2 2 12 3" xfId="32067" xr:uid="{71DE5352-E053-4636-B8F2-007F9407BFC7}"/>
    <cellStyle name="Linked Cell 31 2 2 13" xfId="32068" xr:uid="{57F71957-0A3C-43FE-8730-F69A63F197A1}"/>
    <cellStyle name="Linked Cell 31 2 2 13 2" xfId="32069" xr:uid="{89B8C6C1-52E8-4388-9AFB-FCC33C0F6E10}"/>
    <cellStyle name="Linked Cell 31 2 2 14" xfId="32070" xr:uid="{644C396E-2823-4D2F-9765-9F33B893CEC3}"/>
    <cellStyle name="Linked Cell 31 2 2 2" xfId="32071" xr:uid="{17B4BD8B-C6A8-4998-9147-5A59C5B10D68}"/>
    <cellStyle name="Linked Cell 31 2 2 2 10" xfId="32072" xr:uid="{3E4A822F-67A0-432A-968F-AB983069E540}"/>
    <cellStyle name="Linked Cell 31 2 2 2 10 2" xfId="32073" xr:uid="{50160FB8-8F2A-4FA2-8B84-D232E9E4AFDB}"/>
    <cellStyle name="Linked Cell 31 2 2 2 10 2 2" xfId="32074" xr:uid="{650AD8DF-EF04-4120-A7B2-9D70FC5C3952}"/>
    <cellStyle name="Linked Cell 31 2 2 2 10 3" xfId="32075" xr:uid="{803D8A05-E43A-4FB9-93C7-23E2F1181C54}"/>
    <cellStyle name="Linked Cell 31 2 2 2 11" xfId="32076" xr:uid="{EC149C26-4F6C-480D-A31A-66C213DC0FA3}"/>
    <cellStyle name="Linked Cell 31 2 2 2 11 2" xfId="32077" xr:uid="{B51D1CFF-2D84-49FA-A068-11BB452A7EC6}"/>
    <cellStyle name="Linked Cell 31 2 2 2 11 2 2" xfId="32078" xr:uid="{FEE08D43-0433-47C4-A409-9E1B141EFCFF}"/>
    <cellStyle name="Linked Cell 31 2 2 2 11 3" xfId="32079" xr:uid="{7A2A6AC5-3C21-408F-B57F-1D07C020E7E0}"/>
    <cellStyle name="Linked Cell 31 2 2 2 12" xfId="32080" xr:uid="{D6FFAC99-6ADF-4EEA-A34E-9DED66A9D9D3}"/>
    <cellStyle name="Linked Cell 31 2 2 2 12 2" xfId="32081" xr:uid="{D6CA0D7E-38EC-44F6-82FE-D5F4E9063BF4}"/>
    <cellStyle name="Linked Cell 31 2 2 2 13" xfId="32082" xr:uid="{4F688E73-6112-4BC0-A600-DAF66070D104}"/>
    <cellStyle name="Linked Cell 31 2 2 2 2" xfId="32083" xr:uid="{8F88813F-B042-4527-B883-2423157B563F}"/>
    <cellStyle name="Linked Cell 31 2 2 2 2 10" xfId="32084" xr:uid="{B8374C0B-34C8-49B5-9804-B72BBAD0AC42}"/>
    <cellStyle name="Linked Cell 31 2 2 2 2 10 2" xfId="32085" xr:uid="{754C9CDE-644C-446D-9BD4-00B8C75DB541}"/>
    <cellStyle name="Linked Cell 31 2 2 2 2 10 2 2" xfId="32086" xr:uid="{F134F2BB-05C3-444D-9D31-F6BAD197907D}"/>
    <cellStyle name="Linked Cell 31 2 2 2 2 10 3" xfId="32087" xr:uid="{D86C2950-50F9-448B-A421-B64EB7FA8A9C}"/>
    <cellStyle name="Linked Cell 31 2 2 2 2 11" xfId="32088" xr:uid="{071AEA23-B91C-452E-BC4D-160C09935B0E}"/>
    <cellStyle name="Linked Cell 31 2 2 2 2 11 2" xfId="32089" xr:uid="{3ADB75C4-839A-4E70-AD86-102E56269F80}"/>
    <cellStyle name="Linked Cell 31 2 2 2 2 12" xfId="32090" xr:uid="{7EA14BE4-55C4-4EBB-A099-E320AC76274D}"/>
    <cellStyle name="Linked Cell 31 2 2 2 2 2" xfId="32091" xr:uid="{C3F81314-90BA-4612-96BB-A0FE7A8A06C4}"/>
    <cellStyle name="Linked Cell 31 2 2 2 2 2 2" xfId="32092" xr:uid="{CED1D617-0152-4B1C-92C1-79EE9C5BF55D}"/>
    <cellStyle name="Linked Cell 31 2 2 2 2 2 2 2" xfId="32093" xr:uid="{35037E5C-1BE9-4CBA-A878-0313A07E7A0E}"/>
    <cellStyle name="Linked Cell 31 2 2 2 2 2 3" xfId="32094" xr:uid="{60B5C5C7-76EE-4B4D-A89B-B7D8B6E64FC5}"/>
    <cellStyle name="Linked Cell 31 2 2 2 2 3" xfId="32095" xr:uid="{9810F204-7584-41F7-8535-255C3745EDF4}"/>
    <cellStyle name="Linked Cell 31 2 2 2 2 3 2" xfId="32096" xr:uid="{4E9CC466-82E7-4A0C-8F6D-A43A5D3E2703}"/>
    <cellStyle name="Linked Cell 31 2 2 2 2 3 2 2" xfId="32097" xr:uid="{C532AA1E-0D47-4838-A369-6A4BB5914E45}"/>
    <cellStyle name="Linked Cell 31 2 2 2 2 3 3" xfId="32098" xr:uid="{69D7759C-15B9-4722-A50F-40B91CAFE7E7}"/>
    <cellStyle name="Linked Cell 31 2 2 2 2 4" xfId="32099" xr:uid="{F495F4DE-EDEA-412B-8D56-B9F06B4CC672}"/>
    <cellStyle name="Linked Cell 31 2 2 2 2 4 2" xfId="32100" xr:uid="{85954879-0A97-4E74-B71A-0D5574CC7FAE}"/>
    <cellStyle name="Linked Cell 31 2 2 2 2 4 2 2" xfId="32101" xr:uid="{F13F966F-AA40-4941-B0F9-840481535BEF}"/>
    <cellStyle name="Linked Cell 31 2 2 2 2 4 3" xfId="32102" xr:uid="{6D0A92EE-7122-46F2-B2B5-E9AA413185C7}"/>
    <cellStyle name="Linked Cell 31 2 2 2 2 5" xfId="32103" xr:uid="{ACE8599F-E71F-41B7-BDEA-C504C0B3D42F}"/>
    <cellStyle name="Linked Cell 31 2 2 2 2 5 2" xfId="32104" xr:uid="{ABB8AB5D-F104-4FF5-86CC-024474783420}"/>
    <cellStyle name="Linked Cell 31 2 2 2 2 5 2 2" xfId="32105" xr:uid="{58D8FA17-36E3-43AE-BFDD-48EDBCE655FE}"/>
    <cellStyle name="Linked Cell 31 2 2 2 2 5 3" xfId="32106" xr:uid="{8254E317-A305-487B-8EE1-47B89A901809}"/>
    <cellStyle name="Linked Cell 31 2 2 2 2 6" xfId="32107" xr:uid="{5A64FEA1-4BE0-47FD-8ED6-63F8FD5F0C65}"/>
    <cellStyle name="Linked Cell 31 2 2 2 2 6 2" xfId="32108" xr:uid="{95C03674-B7F2-45F3-8B59-DC6B23577286}"/>
    <cellStyle name="Linked Cell 31 2 2 2 2 6 2 2" xfId="32109" xr:uid="{00873124-D719-4C34-943D-CD00018B5E8A}"/>
    <cellStyle name="Linked Cell 31 2 2 2 2 6 3" xfId="32110" xr:uid="{485803B2-C7AB-4C01-B10B-254C0153102D}"/>
    <cellStyle name="Linked Cell 31 2 2 2 2 7" xfId="32111" xr:uid="{99D10661-2A6F-44E8-8C07-A5F26690662B}"/>
    <cellStyle name="Linked Cell 31 2 2 2 2 7 2" xfId="32112" xr:uid="{33EAC911-7484-49E7-AB0A-087C091DDC97}"/>
    <cellStyle name="Linked Cell 31 2 2 2 2 7 2 2" xfId="32113" xr:uid="{DD32E3DA-4F19-458A-95CA-E70DF0D9F9F7}"/>
    <cellStyle name="Linked Cell 31 2 2 2 2 7 3" xfId="32114" xr:uid="{63509C49-D112-49E7-9D85-4BC288832F56}"/>
    <cellStyle name="Linked Cell 31 2 2 2 2 8" xfId="32115" xr:uid="{46BA602F-EE8E-4A4F-B0DB-1DDBEB181282}"/>
    <cellStyle name="Linked Cell 31 2 2 2 2 8 2" xfId="32116" xr:uid="{2E7EFF7B-B18C-435F-A74B-9B840BECB978}"/>
    <cellStyle name="Linked Cell 31 2 2 2 2 8 2 2" xfId="32117" xr:uid="{0A77C5EC-8F0C-4A5D-88B3-7F95189D53F6}"/>
    <cellStyle name="Linked Cell 31 2 2 2 2 8 3" xfId="32118" xr:uid="{ACDC0341-E3FF-46F3-B327-EFA85B61F99D}"/>
    <cellStyle name="Linked Cell 31 2 2 2 2 9" xfId="32119" xr:uid="{F63DAD05-0371-4E85-AD30-DEA95833E1A8}"/>
    <cellStyle name="Linked Cell 31 2 2 2 2 9 2" xfId="32120" xr:uid="{80935B8C-3AAD-48C7-9EEF-644D54AD7C99}"/>
    <cellStyle name="Linked Cell 31 2 2 2 2 9 2 2" xfId="32121" xr:uid="{07A1FE99-D014-4364-8CB6-BBBDB11EE052}"/>
    <cellStyle name="Linked Cell 31 2 2 2 2 9 3" xfId="32122" xr:uid="{258D87A4-0503-48C9-B2D4-8D4833EDB1FC}"/>
    <cellStyle name="Linked Cell 31 2 2 2 3" xfId="32123" xr:uid="{EEC53AB3-9BD7-4543-B396-48D89432ACB2}"/>
    <cellStyle name="Linked Cell 31 2 2 2 3 10" xfId="32124" xr:uid="{FB405CFB-163F-4AD8-9818-E7E401EAB75C}"/>
    <cellStyle name="Linked Cell 31 2 2 2 3 10 2" xfId="32125" xr:uid="{FAB4B22D-1FBC-4D93-9902-E24F57908C0E}"/>
    <cellStyle name="Linked Cell 31 2 2 2 3 11" xfId="32126" xr:uid="{60EA29A9-8F1C-45AE-AC54-067666EEE075}"/>
    <cellStyle name="Linked Cell 31 2 2 2 3 2" xfId="32127" xr:uid="{3412845C-A8AE-4BDA-A7B5-08CAA21ACBF7}"/>
    <cellStyle name="Linked Cell 31 2 2 2 3 2 2" xfId="32128" xr:uid="{EB75DAF3-E68B-49FA-86C8-17C0BC38F7B4}"/>
    <cellStyle name="Linked Cell 31 2 2 2 3 2 2 2" xfId="32129" xr:uid="{784858FB-2E51-4D76-AAD9-FCC9851A56F3}"/>
    <cellStyle name="Linked Cell 31 2 2 2 3 2 3" xfId="32130" xr:uid="{4D0C090B-138F-4DF2-99F7-B1EB19E5BF76}"/>
    <cellStyle name="Linked Cell 31 2 2 2 3 3" xfId="32131" xr:uid="{794489AB-7E03-49A5-BBF0-0FEEF8369C7B}"/>
    <cellStyle name="Linked Cell 31 2 2 2 3 3 2" xfId="32132" xr:uid="{637225F8-7E93-4B95-B30A-1DD8C09759A7}"/>
    <cellStyle name="Linked Cell 31 2 2 2 3 3 2 2" xfId="32133" xr:uid="{AE67CB59-306D-457D-A383-745547390B5F}"/>
    <cellStyle name="Linked Cell 31 2 2 2 3 3 3" xfId="32134" xr:uid="{912AAEC3-4F07-41CD-B21D-C4411D99D73A}"/>
    <cellStyle name="Linked Cell 31 2 2 2 3 4" xfId="32135" xr:uid="{4044B2AF-F650-4550-B5F0-7EC36F8F0449}"/>
    <cellStyle name="Linked Cell 31 2 2 2 3 4 2" xfId="32136" xr:uid="{57375A15-A91D-44CE-9FE1-743C55D15235}"/>
    <cellStyle name="Linked Cell 31 2 2 2 3 4 2 2" xfId="32137" xr:uid="{D6414223-6CB8-4F5E-9039-91086CA2BB43}"/>
    <cellStyle name="Linked Cell 31 2 2 2 3 4 3" xfId="32138" xr:uid="{B7040BBF-7C44-4506-9597-9B2721333969}"/>
    <cellStyle name="Linked Cell 31 2 2 2 3 5" xfId="32139" xr:uid="{766A78C3-9A6C-47C4-815D-922D4EA346C0}"/>
    <cellStyle name="Linked Cell 31 2 2 2 3 5 2" xfId="32140" xr:uid="{4644CD3E-E32D-482C-9802-D835845AF5CE}"/>
    <cellStyle name="Linked Cell 31 2 2 2 3 5 2 2" xfId="32141" xr:uid="{128ACD31-73D8-44F5-B237-BDF6CE1B9597}"/>
    <cellStyle name="Linked Cell 31 2 2 2 3 5 3" xfId="32142" xr:uid="{8B9E27C8-215B-4F50-A074-1A754A66819F}"/>
    <cellStyle name="Linked Cell 31 2 2 2 3 6" xfId="32143" xr:uid="{28ECADCC-F330-45A7-8CB3-C168C51432F8}"/>
    <cellStyle name="Linked Cell 31 2 2 2 3 6 2" xfId="32144" xr:uid="{4D45BB64-B5AB-416D-9328-197C00881F9A}"/>
    <cellStyle name="Linked Cell 31 2 2 2 3 6 2 2" xfId="32145" xr:uid="{C0C4D04E-4B15-40A3-B179-28742F0454EE}"/>
    <cellStyle name="Linked Cell 31 2 2 2 3 6 3" xfId="32146" xr:uid="{BB20DBEE-1BD8-43BE-A9C2-318C6ACE8BE4}"/>
    <cellStyle name="Linked Cell 31 2 2 2 3 7" xfId="32147" xr:uid="{F3DDC896-7837-47A2-8BC3-62324C53050D}"/>
    <cellStyle name="Linked Cell 31 2 2 2 3 7 2" xfId="32148" xr:uid="{1B40380F-F5AF-4242-947F-82C5F17253D8}"/>
    <cellStyle name="Linked Cell 31 2 2 2 3 7 2 2" xfId="32149" xr:uid="{52084BDE-96B0-4975-A87F-07A239E6CE1F}"/>
    <cellStyle name="Linked Cell 31 2 2 2 3 7 3" xfId="32150" xr:uid="{9A761345-05AF-4C69-BC0C-257FBF877F3B}"/>
    <cellStyle name="Linked Cell 31 2 2 2 3 8" xfId="32151" xr:uid="{664EA41D-0555-4CC1-9FAB-157F6CF0DAD1}"/>
    <cellStyle name="Linked Cell 31 2 2 2 3 8 2" xfId="32152" xr:uid="{F92D202E-3D56-4FBE-B7DB-30374CAF370D}"/>
    <cellStyle name="Linked Cell 31 2 2 2 3 8 2 2" xfId="32153" xr:uid="{17ADA130-4E18-452A-8356-900AD6E5A5E8}"/>
    <cellStyle name="Linked Cell 31 2 2 2 3 8 3" xfId="32154" xr:uid="{0BD17158-5B17-4F76-AA42-5EBD9C296C2F}"/>
    <cellStyle name="Linked Cell 31 2 2 2 3 9" xfId="32155" xr:uid="{E6CA1CBA-0BC0-49BC-A455-E270AEA89517}"/>
    <cellStyle name="Linked Cell 31 2 2 2 3 9 2" xfId="32156" xr:uid="{E633D4FE-80F1-4DA6-B662-55CD76737BF1}"/>
    <cellStyle name="Linked Cell 31 2 2 2 3 9 2 2" xfId="32157" xr:uid="{5CA870CE-BD93-479B-B5E1-85DBB01E0D94}"/>
    <cellStyle name="Linked Cell 31 2 2 2 3 9 3" xfId="32158" xr:uid="{A17836FC-495F-4BA8-9689-E34A49A0F498}"/>
    <cellStyle name="Linked Cell 31 2 2 2 4" xfId="32159" xr:uid="{E9B4E0ED-3ACA-4B08-BC70-ACDD27324F83}"/>
    <cellStyle name="Linked Cell 31 2 2 2 4 2" xfId="32160" xr:uid="{FA123C95-A1CB-42DC-826E-6AF13E5BE131}"/>
    <cellStyle name="Linked Cell 31 2 2 2 4 2 2" xfId="32161" xr:uid="{F430A6F8-8A9B-4A67-8D25-BC2B57D059AA}"/>
    <cellStyle name="Linked Cell 31 2 2 2 4 3" xfId="32162" xr:uid="{96182412-B47F-4B05-9859-4F70C57B8AA4}"/>
    <cellStyle name="Linked Cell 31 2 2 2 5" xfId="32163" xr:uid="{A7ADFA20-603B-476F-AA36-83836F1241F1}"/>
    <cellStyle name="Linked Cell 31 2 2 2 5 2" xfId="32164" xr:uid="{025640E2-C738-4D84-91AF-FC59C8DD143A}"/>
    <cellStyle name="Linked Cell 31 2 2 2 5 2 2" xfId="32165" xr:uid="{58FB823E-6811-4B82-8FAF-C0B71534AC26}"/>
    <cellStyle name="Linked Cell 31 2 2 2 5 3" xfId="32166" xr:uid="{3B16A04D-AAF1-48BB-B90A-F064959E7C75}"/>
    <cellStyle name="Linked Cell 31 2 2 2 6" xfId="32167" xr:uid="{0617AF3A-1FAC-4F8E-AFB0-2F9C9FED9849}"/>
    <cellStyle name="Linked Cell 31 2 2 2 6 2" xfId="32168" xr:uid="{F70B0C74-4DC5-47E4-AF27-35E2F3DC1228}"/>
    <cellStyle name="Linked Cell 31 2 2 2 6 2 2" xfId="32169" xr:uid="{6448673E-F44A-4E44-B542-B451EEE1B952}"/>
    <cellStyle name="Linked Cell 31 2 2 2 6 3" xfId="32170" xr:uid="{070C580F-113E-4ED1-B4AE-53D5EC4255D1}"/>
    <cellStyle name="Linked Cell 31 2 2 2 7" xfId="32171" xr:uid="{3B2C5B49-B977-4558-8E77-2546A2A23B36}"/>
    <cellStyle name="Linked Cell 31 2 2 2 7 2" xfId="32172" xr:uid="{07340853-411A-4247-9E4D-522BC89267CC}"/>
    <cellStyle name="Linked Cell 31 2 2 2 7 2 2" xfId="32173" xr:uid="{7CD2E9A9-DEA8-4C77-A0C4-D6E00920EC79}"/>
    <cellStyle name="Linked Cell 31 2 2 2 7 3" xfId="32174" xr:uid="{D80BE29A-D08F-49D1-94D2-9348BB18A8ED}"/>
    <cellStyle name="Linked Cell 31 2 2 2 8" xfId="32175" xr:uid="{A8102B06-F3FF-45A2-879A-C5AA51C40147}"/>
    <cellStyle name="Linked Cell 31 2 2 2 8 2" xfId="32176" xr:uid="{9E700AE5-3519-4B33-A12C-91B3398AE28B}"/>
    <cellStyle name="Linked Cell 31 2 2 2 8 2 2" xfId="32177" xr:uid="{26432A40-15F5-434C-BB0D-6A6F2C2C05FD}"/>
    <cellStyle name="Linked Cell 31 2 2 2 8 3" xfId="32178" xr:uid="{EBFEE770-D206-44B0-9E64-1CC56996BD27}"/>
    <cellStyle name="Linked Cell 31 2 2 2 9" xfId="32179" xr:uid="{F0C3576D-8F39-434C-B41F-A5DDB851DC91}"/>
    <cellStyle name="Linked Cell 31 2 2 2 9 2" xfId="32180" xr:uid="{0B8C3966-443D-47B8-8EFD-BCF44CA2415B}"/>
    <cellStyle name="Linked Cell 31 2 2 2 9 2 2" xfId="32181" xr:uid="{82499C37-77F8-417D-89C4-84A3B0D967AC}"/>
    <cellStyle name="Linked Cell 31 2 2 2 9 3" xfId="32182" xr:uid="{D74B635C-724E-4A15-9A83-B5E5C0E59D3D}"/>
    <cellStyle name="Linked Cell 31 2 2 3" xfId="32183" xr:uid="{572EA007-741E-4C74-8F98-904B93CC88DB}"/>
    <cellStyle name="Linked Cell 31 2 2 3 10" xfId="32184" xr:uid="{EAC97510-832B-4C12-B1D5-A5466C778532}"/>
    <cellStyle name="Linked Cell 31 2 2 3 10 2" xfId="32185" xr:uid="{7D066CDE-F93D-4BF8-8980-8AE28D1FFD46}"/>
    <cellStyle name="Linked Cell 31 2 2 3 10 2 2" xfId="32186" xr:uid="{8C75FC4C-D468-4003-A6F9-C0A9A65DDD11}"/>
    <cellStyle name="Linked Cell 31 2 2 3 10 3" xfId="32187" xr:uid="{EC14FFC2-882A-4B16-8E2F-0F278F66BB2E}"/>
    <cellStyle name="Linked Cell 31 2 2 3 11" xfId="32188" xr:uid="{9A4F37CF-B645-404A-B548-4B894E3B6882}"/>
    <cellStyle name="Linked Cell 31 2 2 3 11 2" xfId="32189" xr:uid="{43C2BA69-8BB7-4460-BF04-FECCE2DBF05A}"/>
    <cellStyle name="Linked Cell 31 2 2 3 12" xfId="32190" xr:uid="{E4111AF2-9113-4CDD-BCCF-1FBBF443B366}"/>
    <cellStyle name="Linked Cell 31 2 2 3 2" xfId="32191" xr:uid="{0A88558A-BA76-467D-AD73-0A2ED8628D2B}"/>
    <cellStyle name="Linked Cell 31 2 2 3 2 10" xfId="32192" xr:uid="{54EED206-625C-49CA-9507-171FEC5EB04C}"/>
    <cellStyle name="Linked Cell 31 2 2 3 2 10 2" xfId="32193" xr:uid="{7966871E-07BF-437F-9359-697F87EB3BF8}"/>
    <cellStyle name="Linked Cell 31 2 2 3 2 11" xfId="32194" xr:uid="{45971D3C-1729-402A-8F71-D66BB6608033}"/>
    <cellStyle name="Linked Cell 31 2 2 3 2 2" xfId="32195" xr:uid="{A190F14F-AB3D-4DD6-9F95-3633B00F30BF}"/>
    <cellStyle name="Linked Cell 31 2 2 3 2 2 2" xfId="32196" xr:uid="{CE7A5279-0EC5-4B67-90D1-93106892CF83}"/>
    <cellStyle name="Linked Cell 31 2 2 3 2 2 2 2" xfId="32197" xr:uid="{FE3A8140-F4FD-40D8-B845-DA2C24491AF6}"/>
    <cellStyle name="Linked Cell 31 2 2 3 2 2 3" xfId="32198" xr:uid="{9B7E680D-00D8-4E3D-925C-7106D9110F51}"/>
    <cellStyle name="Linked Cell 31 2 2 3 2 3" xfId="32199" xr:uid="{A066F740-55B9-4D34-90AF-8A50FE85F900}"/>
    <cellStyle name="Linked Cell 31 2 2 3 2 3 2" xfId="32200" xr:uid="{439AF2E7-E74F-4C5A-BFCF-0ECCFAEB6AF1}"/>
    <cellStyle name="Linked Cell 31 2 2 3 2 3 2 2" xfId="32201" xr:uid="{36581B5B-DAE3-42A6-A53E-BD789562ADEF}"/>
    <cellStyle name="Linked Cell 31 2 2 3 2 3 3" xfId="32202" xr:uid="{63E84B52-B065-431F-9A19-5FCC6417FDC6}"/>
    <cellStyle name="Linked Cell 31 2 2 3 2 4" xfId="32203" xr:uid="{48261BAC-24AF-4B00-A6D8-74FF0AFF4083}"/>
    <cellStyle name="Linked Cell 31 2 2 3 2 4 2" xfId="32204" xr:uid="{2C629C6D-CACD-4A3D-98F5-5FAEBF22CB60}"/>
    <cellStyle name="Linked Cell 31 2 2 3 2 4 2 2" xfId="32205" xr:uid="{C0842EA9-5C82-42E0-87E0-1108B2620689}"/>
    <cellStyle name="Linked Cell 31 2 2 3 2 4 3" xfId="32206" xr:uid="{AAB6550C-7A98-46DF-B5FE-EEB6A927CC65}"/>
    <cellStyle name="Linked Cell 31 2 2 3 2 5" xfId="32207" xr:uid="{05D37D7C-4619-4F19-BC3B-319883A50221}"/>
    <cellStyle name="Linked Cell 31 2 2 3 2 5 2" xfId="32208" xr:uid="{EAA9AFFE-3719-4656-B6CC-9F4F51979199}"/>
    <cellStyle name="Linked Cell 31 2 2 3 2 5 2 2" xfId="32209" xr:uid="{B528F167-1837-4631-A6E3-7F3585FE1851}"/>
    <cellStyle name="Linked Cell 31 2 2 3 2 5 3" xfId="32210" xr:uid="{D24D58FD-334D-4802-BF17-44D93800BE8E}"/>
    <cellStyle name="Linked Cell 31 2 2 3 2 6" xfId="32211" xr:uid="{3A2EB5F4-5BE3-417D-BE52-8CCE5708E634}"/>
    <cellStyle name="Linked Cell 31 2 2 3 2 6 2" xfId="32212" xr:uid="{8DC31814-4AF9-4EC9-B320-8F50D875DA6C}"/>
    <cellStyle name="Linked Cell 31 2 2 3 2 6 2 2" xfId="32213" xr:uid="{44D5FD5A-2DD3-427B-B191-D2230038B970}"/>
    <cellStyle name="Linked Cell 31 2 2 3 2 6 3" xfId="32214" xr:uid="{8DA17DA4-CFCC-4F0E-8432-E58173E97EF3}"/>
    <cellStyle name="Linked Cell 31 2 2 3 2 7" xfId="32215" xr:uid="{8687D68B-481B-4EBB-9D4A-A080AF91C4E7}"/>
    <cellStyle name="Linked Cell 31 2 2 3 2 7 2" xfId="32216" xr:uid="{6FE8F761-C40B-4C23-8B29-1FA7132D1845}"/>
    <cellStyle name="Linked Cell 31 2 2 3 2 7 2 2" xfId="32217" xr:uid="{48EDF850-0828-4826-A82F-81D34FA5EBE7}"/>
    <cellStyle name="Linked Cell 31 2 2 3 2 7 3" xfId="32218" xr:uid="{094936E4-DEF0-4577-B583-25EA92F6A7B0}"/>
    <cellStyle name="Linked Cell 31 2 2 3 2 8" xfId="32219" xr:uid="{37B8DBF4-AA1F-49EC-80B5-282756B0807D}"/>
    <cellStyle name="Linked Cell 31 2 2 3 2 8 2" xfId="32220" xr:uid="{4D1AF1A1-5B51-4186-9E7C-7BD69281B07A}"/>
    <cellStyle name="Linked Cell 31 2 2 3 2 8 2 2" xfId="32221" xr:uid="{EB3639A5-D663-4FFE-830D-872B21BCC63E}"/>
    <cellStyle name="Linked Cell 31 2 2 3 2 8 3" xfId="32222" xr:uid="{D96779AA-5156-4848-ACEE-80633FF54D73}"/>
    <cellStyle name="Linked Cell 31 2 2 3 2 9" xfId="32223" xr:uid="{0CE16DD1-4B48-49DC-9FAF-ED83F1404844}"/>
    <cellStyle name="Linked Cell 31 2 2 3 2 9 2" xfId="32224" xr:uid="{B7B26B1C-D9A3-4A67-8B97-1A439336A2C6}"/>
    <cellStyle name="Linked Cell 31 2 2 3 2 9 2 2" xfId="32225" xr:uid="{14D64D16-5D9C-421B-A4B5-C91E1447FB1E}"/>
    <cellStyle name="Linked Cell 31 2 2 3 2 9 3" xfId="32226" xr:uid="{D127272B-B546-425C-9447-B1F72743B68B}"/>
    <cellStyle name="Linked Cell 31 2 2 3 3" xfId="32227" xr:uid="{C8042C43-C8A9-44D4-A655-FCC946F4D48B}"/>
    <cellStyle name="Linked Cell 31 2 2 3 3 2" xfId="32228" xr:uid="{104FF19B-4B20-4B0A-8AE2-17DF928241A3}"/>
    <cellStyle name="Linked Cell 31 2 2 3 3 2 2" xfId="32229" xr:uid="{B6AB1AD2-9D71-438F-AED1-3B32C0595EF5}"/>
    <cellStyle name="Linked Cell 31 2 2 3 3 3" xfId="32230" xr:uid="{E06096A8-258F-4FB7-A33C-C57B76A3C3B8}"/>
    <cellStyle name="Linked Cell 31 2 2 3 4" xfId="32231" xr:uid="{33AA582C-6897-465C-8CBF-0BECA62CEA10}"/>
    <cellStyle name="Linked Cell 31 2 2 3 4 2" xfId="32232" xr:uid="{1A7B2349-0CB0-40D2-A76F-23A5C9DDBCFD}"/>
    <cellStyle name="Linked Cell 31 2 2 3 4 2 2" xfId="32233" xr:uid="{8AB11728-79BD-4379-9AE3-F98D744DA4AA}"/>
    <cellStyle name="Linked Cell 31 2 2 3 4 3" xfId="32234" xr:uid="{671C26EF-3036-4698-89D7-5C838B4C05D5}"/>
    <cellStyle name="Linked Cell 31 2 2 3 5" xfId="32235" xr:uid="{D3031353-7A34-4381-8B77-4B966E60BA56}"/>
    <cellStyle name="Linked Cell 31 2 2 3 5 2" xfId="32236" xr:uid="{D87A486C-98EC-4076-B8BD-259A23F42A8A}"/>
    <cellStyle name="Linked Cell 31 2 2 3 5 2 2" xfId="32237" xr:uid="{BB47ED17-831B-4BB8-93F4-B8994D09BC40}"/>
    <cellStyle name="Linked Cell 31 2 2 3 5 3" xfId="32238" xr:uid="{03BDF764-5574-4219-8241-5CADC42DE70A}"/>
    <cellStyle name="Linked Cell 31 2 2 3 6" xfId="32239" xr:uid="{3CDCD53F-59E3-4D19-97A3-00E8C9DD4F9D}"/>
    <cellStyle name="Linked Cell 31 2 2 3 6 2" xfId="32240" xr:uid="{8EEFD843-183A-4DEB-9100-11DA780F0083}"/>
    <cellStyle name="Linked Cell 31 2 2 3 6 2 2" xfId="32241" xr:uid="{2CCF06BC-108F-45DA-8BD7-4FA3C5D76D33}"/>
    <cellStyle name="Linked Cell 31 2 2 3 6 3" xfId="32242" xr:uid="{6514DF1F-4819-4B6D-82BC-3BEBDF3B9B8B}"/>
    <cellStyle name="Linked Cell 31 2 2 3 7" xfId="32243" xr:uid="{EDD9067F-9F38-44EC-8ADB-B6DFC8E69DD3}"/>
    <cellStyle name="Linked Cell 31 2 2 3 7 2" xfId="32244" xr:uid="{FD16984F-7DC1-43D4-B498-B0592514D9F0}"/>
    <cellStyle name="Linked Cell 31 2 2 3 7 2 2" xfId="32245" xr:uid="{9B0AA612-F422-485C-B19A-DD492B858956}"/>
    <cellStyle name="Linked Cell 31 2 2 3 7 3" xfId="32246" xr:uid="{0B430A79-2E93-4827-B6FF-7F842C77B239}"/>
    <cellStyle name="Linked Cell 31 2 2 3 8" xfId="32247" xr:uid="{179C303D-1EB2-4788-95FE-D3B2FA3F16EE}"/>
    <cellStyle name="Linked Cell 31 2 2 3 8 2" xfId="32248" xr:uid="{93B8D39D-D38C-41A2-A7C7-922D6DCE8F90}"/>
    <cellStyle name="Linked Cell 31 2 2 3 8 2 2" xfId="32249" xr:uid="{BA58DFF1-359F-4D07-99B9-A9E48DB05463}"/>
    <cellStyle name="Linked Cell 31 2 2 3 8 3" xfId="32250" xr:uid="{56902D06-571F-490F-8265-3E915B351C2D}"/>
    <cellStyle name="Linked Cell 31 2 2 3 9" xfId="32251" xr:uid="{5D797A96-8043-4E1D-8DC2-6CE807F59E02}"/>
    <cellStyle name="Linked Cell 31 2 2 3 9 2" xfId="32252" xr:uid="{2E1D722C-CC39-498C-8AFD-5F3090F335FE}"/>
    <cellStyle name="Linked Cell 31 2 2 3 9 2 2" xfId="32253" xr:uid="{D72CA4C4-E09C-42C1-A031-437C7F524576}"/>
    <cellStyle name="Linked Cell 31 2 2 3 9 3" xfId="32254" xr:uid="{00E525ED-DDA8-4BDC-A7BB-F2A1C615DAD0}"/>
    <cellStyle name="Linked Cell 31 2 2 4" xfId="32255" xr:uid="{1EE2C461-B03A-4BEF-AF86-09F4F763FDEB}"/>
    <cellStyle name="Linked Cell 31 2 2 4 10" xfId="32256" xr:uid="{1AF0BFAA-F0DB-4FC4-B5E0-3A53B985B5FA}"/>
    <cellStyle name="Linked Cell 31 2 2 4 10 2" xfId="32257" xr:uid="{19FCA949-7924-49F9-9BE4-5CC35E03E40A}"/>
    <cellStyle name="Linked Cell 31 2 2 4 11" xfId="32258" xr:uid="{D4113F08-4918-4B9A-B9DD-93C9AFB17D79}"/>
    <cellStyle name="Linked Cell 31 2 2 4 2" xfId="32259" xr:uid="{719E06C4-5D15-4029-BE4B-FD6F55D65961}"/>
    <cellStyle name="Linked Cell 31 2 2 4 2 2" xfId="32260" xr:uid="{CCFCBBDF-B200-4A16-A759-AC758C77F293}"/>
    <cellStyle name="Linked Cell 31 2 2 4 2 2 2" xfId="32261" xr:uid="{E6E85BB6-E6DB-4164-ABB3-19BFD8E3197A}"/>
    <cellStyle name="Linked Cell 31 2 2 4 2 3" xfId="32262" xr:uid="{9E8A2033-CD87-4D63-9C18-C77751A26728}"/>
    <cellStyle name="Linked Cell 31 2 2 4 3" xfId="32263" xr:uid="{1A39F04A-0BAD-46E2-8B2A-EDBB18753955}"/>
    <cellStyle name="Linked Cell 31 2 2 4 3 2" xfId="32264" xr:uid="{28984AAF-0407-4DC2-9DCA-A86EAB8F943F}"/>
    <cellStyle name="Linked Cell 31 2 2 4 3 2 2" xfId="32265" xr:uid="{86BB5AE5-8E34-4323-9446-AA4F43160494}"/>
    <cellStyle name="Linked Cell 31 2 2 4 3 3" xfId="32266" xr:uid="{7D3BA6B5-A18E-4498-A3E8-B2DF815C3D8D}"/>
    <cellStyle name="Linked Cell 31 2 2 4 4" xfId="32267" xr:uid="{6E9BDC86-4993-45B8-95EB-684A0DBA7D29}"/>
    <cellStyle name="Linked Cell 31 2 2 4 4 2" xfId="32268" xr:uid="{0EBA2457-1BAD-40B0-87AE-E6AA51576100}"/>
    <cellStyle name="Linked Cell 31 2 2 4 4 2 2" xfId="32269" xr:uid="{B39419AF-E75D-4DF2-8C54-7AD078493BFF}"/>
    <cellStyle name="Linked Cell 31 2 2 4 4 3" xfId="32270" xr:uid="{F5238ACD-D3CB-4083-BD2E-2F8B26DE6D28}"/>
    <cellStyle name="Linked Cell 31 2 2 4 5" xfId="32271" xr:uid="{2D1CDD85-1D37-449D-A1D9-20FB3445A265}"/>
    <cellStyle name="Linked Cell 31 2 2 4 5 2" xfId="32272" xr:uid="{576D7AAD-F1A1-497D-93EB-6CAB555EAC6A}"/>
    <cellStyle name="Linked Cell 31 2 2 4 5 2 2" xfId="32273" xr:uid="{BE989430-54CD-40CF-885E-1370DA1433F6}"/>
    <cellStyle name="Linked Cell 31 2 2 4 5 3" xfId="32274" xr:uid="{64250A02-9F43-42DA-A5BF-0F9CEE4C7478}"/>
    <cellStyle name="Linked Cell 31 2 2 4 6" xfId="32275" xr:uid="{D63F8BD4-0FB6-43AF-90B6-FDA9A2A500E5}"/>
    <cellStyle name="Linked Cell 31 2 2 4 6 2" xfId="32276" xr:uid="{5317D2D3-E8D8-4BF9-A95D-975F6D7FA36C}"/>
    <cellStyle name="Linked Cell 31 2 2 4 6 2 2" xfId="32277" xr:uid="{B9AD5355-52AE-4323-8FFF-19C08261FA17}"/>
    <cellStyle name="Linked Cell 31 2 2 4 6 3" xfId="32278" xr:uid="{2CFDD79F-CB90-49E9-861A-2D8EEC5FC053}"/>
    <cellStyle name="Linked Cell 31 2 2 4 7" xfId="32279" xr:uid="{E1AE9130-2EA8-4E89-823F-8FC7CF6478FC}"/>
    <cellStyle name="Linked Cell 31 2 2 4 7 2" xfId="32280" xr:uid="{3A065D41-238C-455E-9695-F234DDD5C10D}"/>
    <cellStyle name="Linked Cell 31 2 2 4 7 2 2" xfId="32281" xr:uid="{A6981B0B-E3C2-4F28-BD2E-C3DF97D4D968}"/>
    <cellStyle name="Linked Cell 31 2 2 4 7 3" xfId="32282" xr:uid="{C8FEB6A8-94D6-4420-8F73-A83B418F400D}"/>
    <cellStyle name="Linked Cell 31 2 2 4 8" xfId="32283" xr:uid="{E1867AB8-0107-49E1-8EEA-E4C591D7A153}"/>
    <cellStyle name="Linked Cell 31 2 2 4 8 2" xfId="32284" xr:uid="{0E6B9D35-BDB9-44FD-90F0-74D31FA89D60}"/>
    <cellStyle name="Linked Cell 31 2 2 4 8 2 2" xfId="32285" xr:uid="{DF52DD72-7DE1-4B66-84FF-E5CC79E660CB}"/>
    <cellStyle name="Linked Cell 31 2 2 4 8 3" xfId="32286" xr:uid="{EA28487E-BB4A-459B-9EAB-28025A6FD02B}"/>
    <cellStyle name="Linked Cell 31 2 2 4 9" xfId="32287" xr:uid="{EC22F674-4851-4071-90A2-002830D6EC34}"/>
    <cellStyle name="Linked Cell 31 2 2 4 9 2" xfId="32288" xr:uid="{CC2ED3DA-0924-414D-8AEF-87169439BA5A}"/>
    <cellStyle name="Linked Cell 31 2 2 4 9 2 2" xfId="32289" xr:uid="{079E7124-6144-4419-AA76-39D2B243A155}"/>
    <cellStyle name="Linked Cell 31 2 2 4 9 3" xfId="32290" xr:uid="{F2D88FA7-A61F-440F-90EA-E9570DA95160}"/>
    <cellStyle name="Linked Cell 31 2 2 5" xfId="32291" xr:uid="{5D66ACDF-1E72-4EB5-B38D-C47385369AF6}"/>
    <cellStyle name="Linked Cell 31 2 2 5 2" xfId="32292" xr:uid="{F720A9DF-C885-4721-B75B-61F89C16B577}"/>
    <cellStyle name="Linked Cell 31 2 2 5 2 2" xfId="32293" xr:uid="{0C7296F0-A44F-4CED-99DB-BB587213ABB3}"/>
    <cellStyle name="Linked Cell 31 2 2 5 3" xfId="32294" xr:uid="{788EE025-0077-4EF4-ACC1-272F5538B057}"/>
    <cellStyle name="Linked Cell 31 2 2 6" xfId="32295" xr:uid="{17E9580B-8A88-41D7-BE4C-6D61604C249F}"/>
    <cellStyle name="Linked Cell 31 2 2 6 2" xfId="32296" xr:uid="{51A90F3C-29F5-4EF6-9EA5-2407C5ED4B38}"/>
    <cellStyle name="Linked Cell 31 2 2 6 2 2" xfId="32297" xr:uid="{943DDD29-8636-4A1F-95DB-4232D1A58E43}"/>
    <cellStyle name="Linked Cell 31 2 2 6 3" xfId="32298" xr:uid="{30DDDE8E-6F33-40E8-BAE5-3727ABEA7E2B}"/>
    <cellStyle name="Linked Cell 31 2 2 7" xfId="32299" xr:uid="{C18C2AA2-17D7-49BE-B0F1-FDE65EAA60EB}"/>
    <cellStyle name="Linked Cell 31 2 2 7 2" xfId="32300" xr:uid="{5AED9D34-5BC2-4AF1-A33F-95F678DB1807}"/>
    <cellStyle name="Linked Cell 31 2 2 7 2 2" xfId="32301" xr:uid="{FC7B8FA0-859D-4E63-81F1-ACFFBF09B732}"/>
    <cellStyle name="Linked Cell 31 2 2 7 3" xfId="32302" xr:uid="{EC1B9757-AD81-47B8-815E-FB3A9BEB5527}"/>
    <cellStyle name="Linked Cell 31 2 2 8" xfId="32303" xr:uid="{E9B84BB3-5089-44B4-B2AA-345975B334DF}"/>
    <cellStyle name="Linked Cell 31 2 2 8 2" xfId="32304" xr:uid="{D4EA6D69-18F0-4571-B0ED-36C1F3095135}"/>
    <cellStyle name="Linked Cell 31 2 2 8 2 2" xfId="32305" xr:uid="{9B6543FF-C7A4-417C-8179-BF9D0B9C0D5C}"/>
    <cellStyle name="Linked Cell 31 2 2 8 3" xfId="32306" xr:uid="{8B3A00F2-0DFB-48C6-BDFB-1F6C00246F73}"/>
    <cellStyle name="Linked Cell 31 2 2 9" xfId="32307" xr:uid="{8B6792DE-1E47-412C-A024-5DF456ECB0E5}"/>
    <cellStyle name="Linked Cell 31 2 2 9 2" xfId="32308" xr:uid="{44516A1C-A187-4910-AAEB-3CFC71F61649}"/>
    <cellStyle name="Linked Cell 31 2 2 9 2 2" xfId="32309" xr:uid="{4846BD3D-DA02-49C2-A939-BDA0178F30B3}"/>
    <cellStyle name="Linked Cell 31 2 2 9 3" xfId="32310" xr:uid="{4A1C9F89-6FE4-4133-B553-EB7CFDEDBAEB}"/>
    <cellStyle name="Linked Cell 31 2 3" xfId="32311" xr:uid="{A8EB7C01-9DC6-412B-BF1F-D5DE83B19902}"/>
    <cellStyle name="Linked Cell 31 2 3 10" xfId="32312" xr:uid="{156B8EFA-DFA4-4CC9-8193-0A7F603B556F}"/>
    <cellStyle name="Linked Cell 31 2 3 10 2" xfId="32313" xr:uid="{906442BF-45FF-4EDB-9DDA-A26411389625}"/>
    <cellStyle name="Linked Cell 31 2 3 10 2 2" xfId="32314" xr:uid="{B2AF6045-B89A-46DC-8032-CCF3D36289E3}"/>
    <cellStyle name="Linked Cell 31 2 3 10 3" xfId="32315" xr:uid="{4D934CC0-2AF4-4570-9671-EE34DCD9205C}"/>
    <cellStyle name="Linked Cell 31 2 3 11" xfId="32316" xr:uid="{E7559E4C-7813-4257-8E1B-A4E9A55789E9}"/>
    <cellStyle name="Linked Cell 31 2 3 11 2" xfId="32317" xr:uid="{2334D029-7EEC-4B58-9F04-1359A1370BC2}"/>
    <cellStyle name="Linked Cell 31 2 3 11 2 2" xfId="32318" xr:uid="{9BB8DDF4-EB66-49E0-AB2F-36BF605B6C28}"/>
    <cellStyle name="Linked Cell 31 2 3 11 3" xfId="32319" xr:uid="{8DDCF63C-73B3-47CA-BE29-EBF74859B66C}"/>
    <cellStyle name="Linked Cell 31 2 3 12" xfId="32320" xr:uid="{AE45EC2E-BD99-42D2-B4BC-22964592F02A}"/>
    <cellStyle name="Linked Cell 31 2 3 12 2" xfId="32321" xr:uid="{55C2D713-7CD0-4014-B80F-1F330D92DCB7}"/>
    <cellStyle name="Linked Cell 31 2 3 13" xfId="32322" xr:uid="{9B6A97DF-F9F3-4E55-84C9-9B71396E0CB0}"/>
    <cellStyle name="Linked Cell 31 2 3 2" xfId="32323" xr:uid="{50CCD2AB-F46D-4143-A3F2-9CF28651FE2C}"/>
    <cellStyle name="Linked Cell 31 2 3 2 10" xfId="32324" xr:uid="{A74C445A-9CE3-49E4-9296-6B40A8AD2D7B}"/>
    <cellStyle name="Linked Cell 31 2 3 2 10 2" xfId="32325" xr:uid="{3337D9FF-F55D-40F6-83B1-64BC8FBFA63C}"/>
    <cellStyle name="Linked Cell 31 2 3 2 10 2 2" xfId="32326" xr:uid="{B475D881-DE62-443E-94D6-4564ABAAB13F}"/>
    <cellStyle name="Linked Cell 31 2 3 2 10 3" xfId="32327" xr:uid="{98D0962F-9392-42A8-BDF3-0EA5D432C607}"/>
    <cellStyle name="Linked Cell 31 2 3 2 11" xfId="32328" xr:uid="{FA7FEEED-F173-4B0F-BBEC-038E81A42F61}"/>
    <cellStyle name="Linked Cell 31 2 3 2 11 2" xfId="32329" xr:uid="{6C105003-4DC1-4820-ADC8-6997470DD5CE}"/>
    <cellStyle name="Linked Cell 31 2 3 2 12" xfId="32330" xr:uid="{EFD44E6F-7A28-486D-B941-6AD295A11428}"/>
    <cellStyle name="Linked Cell 31 2 3 2 2" xfId="32331" xr:uid="{638E966C-FA71-4E48-8730-A63A2774D4A9}"/>
    <cellStyle name="Linked Cell 31 2 3 2 2 2" xfId="32332" xr:uid="{7866EB01-A6AB-4DBC-BD33-E50F470FF8F7}"/>
    <cellStyle name="Linked Cell 31 2 3 2 2 2 2" xfId="32333" xr:uid="{640E9939-6219-42E0-8F02-D204A7B2D5BE}"/>
    <cellStyle name="Linked Cell 31 2 3 2 2 3" xfId="32334" xr:uid="{920BB599-E548-46DC-8021-4A056A77F6CB}"/>
    <cellStyle name="Linked Cell 31 2 3 2 3" xfId="32335" xr:uid="{219DDA70-54BC-408B-9294-414FDBC99193}"/>
    <cellStyle name="Linked Cell 31 2 3 2 3 2" xfId="32336" xr:uid="{223D4EF3-3B2B-4CE4-AA44-8EAEE39DF141}"/>
    <cellStyle name="Linked Cell 31 2 3 2 3 2 2" xfId="32337" xr:uid="{E82FC7C1-1B27-458F-B66F-27AEDA98B850}"/>
    <cellStyle name="Linked Cell 31 2 3 2 3 3" xfId="32338" xr:uid="{9588D5EE-3F7E-4D55-8A71-4EFB7A2BCA97}"/>
    <cellStyle name="Linked Cell 31 2 3 2 4" xfId="32339" xr:uid="{24389A11-BD75-49F0-A39F-B9010AF2DE88}"/>
    <cellStyle name="Linked Cell 31 2 3 2 4 2" xfId="32340" xr:uid="{9CAE83CC-4189-41EA-BB7E-65D6FDE92173}"/>
    <cellStyle name="Linked Cell 31 2 3 2 4 2 2" xfId="32341" xr:uid="{BBF34CF4-C139-43B4-8028-4FD787A8B897}"/>
    <cellStyle name="Linked Cell 31 2 3 2 4 3" xfId="32342" xr:uid="{C786AB47-603B-4013-BCFC-EFE3CDFF3291}"/>
    <cellStyle name="Linked Cell 31 2 3 2 5" xfId="32343" xr:uid="{C19422C7-0869-4EE5-B3AA-2864869AFB46}"/>
    <cellStyle name="Linked Cell 31 2 3 2 5 2" xfId="32344" xr:uid="{05056987-DB7D-406B-A64F-949C800381D2}"/>
    <cellStyle name="Linked Cell 31 2 3 2 5 2 2" xfId="32345" xr:uid="{8BDDDA7A-5639-425B-B7F2-A7AB2856E0C6}"/>
    <cellStyle name="Linked Cell 31 2 3 2 5 3" xfId="32346" xr:uid="{69114A0E-9B26-4957-B51E-05A622ECE4E8}"/>
    <cellStyle name="Linked Cell 31 2 3 2 6" xfId="32347" xr:uid="{946BAF31-8AAC-48FC-8044-67B331EEF9F1}"/>
    <cellStyle name="Linked Cell 31 2 3 2 6 2" xfId="32348" xr:uid="{F108FF20-13F1-40F2-AF6C-C3E4BB4A65DE}"/>
    <cellStyle name="Linked Cell 31 2 3 2 6 2 2" xfId="32349" xr:uid="{AA7E1720-32A0-42B9-B80B-D7211C8A8459}"/>
    <cellStyle name="Linked Cell 31 2 3 2 6 3" xfId="32350" xr:uid="{89DFC642-06F3-4879-BA08-A716202C7323}"/>
    <cellStyle name="Linked Cell 31 2 3 2 7" xfId="32351" xr:uid="{AE049DE7-62FE-4E72-A461-5607E06F52B5}"/>
    <cellStyle name="Linked Cell 31 2 3 2 7 2" xfId="32352" xr:uid="{3E43378F-B2B0-4AE2-8256-B64D752E97B2}"/>
    <cellStyle name="Linked Cell 31 2 3 2 7 2 2" xfId="32353" xr:uid="{017C0E9F-1713-4FBB-9E8B-30257CA77A14}"/>
    <cellStyle name="Linked Cell 31 2 3 2 7 3" xfId="32354" xr:uid="{641D8FFD-0BB5-4017-B808-2EC9FB296123}"/>
    <cellStyle name="Linked Cell 31 2 3 2 8" xfId="32355" xr:uid="{823237CD-AB1C-471A-97FF-1ECB7A6ACB2A}"/>
    <cellStyle name="Linked Cell 31 2 3 2 8 2" xfId="32356" xr:uid="{E802BC56-8AA6-4EF8-9FF8-345D04ADE679}"/>
    <cellStyle name="Linked Cell 31 2 3 2 8 2 2" xfId="32357" xr:uid="{171FC10E-4618-4262-A59C-0A5C605A76BE}"/>
    <cellStyle name="Linked Cell 31 2 3 2 8 3" xfId="32358" xr:uid="{DC992648-056A-41A4-8790-2AA7C395E0F8}"/>
    <cellStyle name="Linked Cell 31 2 3 2 9" xfId="32359" xr:uid="{1817242E-62B1-44FC-A525-7B2CA6E389D3}"/>
    <cellStyle name="Linked Cell 31 2 3 2 9 2" xfId="32360" xr:uid="{003AFB9C-F379-4476-B27F-3A261C6C5217}"/>
    <cellStyle name="Linked Cell 31 2 3 2 9 2 2" xfId="32361" xr:uid="{DBBD17CD-3547-4F3E-B3AA-399F1235A76B}"/>
    <cellStyle name="Linked Cell 31 2 3 2 9 3" xfId="32362" xr:uid="{5DC77023-454D-42DE-8DEE-442CF68C68B9}"/>
    <cellStyle name="Linked Cell 31 2 3 3" xfId="32363" xr:uid="{400AD0F2-02B1-48C6-AF2F-5907B3BBBCCF}"/>
    <cellStyle name="Linked Cell 31 2 3 3 10" xfId="32364" xr:uid="{D220E1AB-A449-4005-A48C-23443AC3E49A}"/>
    <cellStyle name="Linked Cell 31 2 3 3 10 2" xfId="32365" xr:uid="{B931A031-7347-49E6-A15B-58F593A5E1B2}"/>
    <cellStyle name="Linked Cell 31 2 3 3 11" xfId="32366" xr:uid="{A8CF076A-0E40-4D54-8579-95F116476361}"/>
    <cellStyle name="Linked Cell 31 2 3 3 2" xfId="32367" xr:uid="{A2867421-EAE0-4058-A2CD-7CB00245903D}"/>
    <cellStyle name="Linked Cell 31 2 3 3 2 2" xfId="32368" xr:uid="{457910E2-F3E2-4F78-936E-54987C883923}"/>
    <cellStyle name="Linked Cell 31 2 3 3 2 2 2" xfId="32369" xr:uid="{838EC8FD-D28D-4C6A-B7A3-C285575D6D96}"/>
    <cellStyle name="Linked Cell 31 2 3 3 2 3" xfId="32370" xr:uid="{335416FC-F158-4BFA-BEF2-485A7730B493}"/>
    <cellStyle name="Linked Cell 31 2 3 3 3" xfId="32371" xr:uid="{0EDE2115-5B80-4A73-93E1-DB76CAB8CA2D}"/>
    <cellStyle name="Linked Cell 31 2 3 3 3 2" xfId="32372" xr:uid="{C47E034F-8AA1-4DEF-A75E-9124E6172F6A}"/>
    <cellStyle name="Linked Cell 31 2 3 3 3 2 2" xfId="32373" xr:uid="{7E92A288-BBF7-4D03-AD32-2F4561BBAB0C}"/>
    <cellStyle name="Linked Cell 31 2 3 3 3 3" xfId="32374" xr:uid="{E58A943D-D0B2-4346-827B-94520F6D982E}"/>
    <cellStyle name="Linked Cell 31 2 3 3 4" xfId="32375" xr:uid="{0ABCB01B-921A-40DE-A0CC-B61A0D7C4DFB}"/>
    <cellStyle name="Linked Cell 31 2 3 3 4 2" xfId="32376" xr:uid="{22B32715-0C5A-4541-A700-E1CF3006977A}"/>
    <cellStyle name="Linked Cell 31 2 3 3 4 2 2" xfId="32377" xr:uid="{84AFC93C-A8C8-44E2-BE7B-98133D41EE9F}"/>
    <cellStyle name="Linked Cell 31 2 3 3 4 3" xfId="32378" xr:uid="{7D463A7A-C9E9-47BF-B9A9-88C77CBD08AC}"/>
    <cellStyle name="Linked Cell 31 2 3 3 5" xfId="32379" xr:uid="{20B3A1C6-F0DA-4C6D-BF77-EA719DBF28E1}"/>
    <cellStyle name="Linked Cell 31 2 3 3 5 2" xfId="32380" xr:uid="{44267C66-9A8A-47E8-8798-CBDEF320839C}"/>
    <cellStyle name="Linked Cell 31 2 3 3 5 2 2" xfId="32381" xr:uid="{15A1504F-6D9E-41F6-9FFE-627EE66FB522}"/>
    <cellStyle name="Linked Cell 31 2 3 3 5 3" xfId="32382" xr:uid="{6802928D-56B6-42A4-B4FE-8324F034DD5C}"/>
    <cellStyle name="Linked Cell 31 2 3 3 6" xfId="32383" xr:uid="{7187D3C8-0378-48CC-A8FE-6F2042E30378}"/>
    <cellStyle name="Linked Cell 31 2 3 3 6 2" xfId="32384" xr:uid="{21C7D3AC-5A37-4EDB-AD8B-37A00C2FF355}"/>
    <cellStyle name="Linked Cell 31 2 3 3 6 2 2" xfId="32385" xr:uid="{04507AE5-B2B4-41D7-A42B-ABBEE4794AF6}"/>
    <cellStyle name="Linked Cell 31 2 3 3 6 3" xfId="32386" xr:uid="{EC55DAED-82B1-4E3A-A020-559A32640F5B}"/>
    <cellStyle name="Linked Cell 31 2 3 3 7" xfId="32387" xr:uid="{27CC3A7E-24F5-4D4E-935B-C324319855AE}"/>
    <cellStyle name="Linked Cell 31 2 3 3 7 2" xfId="32388" xr:uid="{61A37493-0626-408D-BD10-53B9F4291581}"/>
    <cellStyle name="Linked Cell 31 2 3 3 7 2 2" xfId="32389" xr:uid="{AE1813B3-8A49-412F-A89E-5E3880143700}"/>
    <cellStyle name="Linked Cell 31 2 3 3 7 3" xfId="32390" xr:uid="{39F6C0AB-3B2C-4BBD-900E-431CDA16CCC7}"/>
    <cellStyle name="Linked Cell 31 2 3 3 8" xfId="32391" xr:uid="{092ADC66-3FAF-437F-A942-0DDF4F2A1BE2}"/>
    <cellStyle name="Linked Cell 31 2 3 3 8 2" xfId="32392" xr:uid="{7686C19A-19EF-4BE7-A2DE-D9EDA4D78B4E}"/>
    <cellStyle name="Linked Cell 31 2 3 3 8 2 2" xfId="32393" xr:uid="{375B979D-BAF9-472F-BF8E-2163EF182C9F}"/>
    <cellStyle name="Linked Cell 31 2 3 3 8 3" xfId="32394" xr:uid="{42A07F03-99C5-4A15-9D58-5388B677B8AF}"/>
    <cellStyle name="Linked Cell 31 2 3 3 9" xfId="32395" xr:uid="{E51D444C-F9FD-4E9E-A43A-EA8F02D601EC}"/>
    <cellStyle name="Linked Cell 31 2 3 3 9 2" xfId="32396" xr:uid="{FF547E34-4FB9-4E5B-8C84-094D14ACD23C}"/>
    <cellStyle name="Linked Cell 31 2 3 3 9 2 2" xfId="32397" xr:uid="{3D8E1CBA-443C-47A2-8862-BB448CD2E39E}"/>
    <cellStyle name="Linked Cell 31 2 3 3 9 3" xfId="32398" xr:uid="{26116EDA-2EF4-421F-A8D7-2F0813C5A2A8}"/>
    <cellStyle name="Linked Cell 31 2 3 4" xfId="32399" xr:uid="{794E8778-133F-43B9-A0F9-B03C731A5818}"/>
    <cellStyle name="Linked Cell 31 2 3 4 2" xfId="32400" xr:uid="{E6911C83-7EF0-4CEF-A80E-9E118901AE5B}"/>
    <cellStyle name="Linked Cell 31 2 3 4 2 2" xfId="32401" xr:uid="{96DDEEFA-766D-420F-A07B-081984374DBC}"/>
    <cellStyle name="Linked Cell 31 2 3 4 3" xfId="32402" xr:uid="{E85B1BFE-BB57-43CA-A0D1-5A4EC3DE1090}"/>
    <cellStyle name="Linked Cell 31 2 3 5" xfId="32403" xr:uid="{1B6FC247-40DE-48A7-B306-CDAAD968440A}"/>
    <cellStyle name="Linked Cell 31 2 3 5 2" xfId="32404" xr:uid="{3F3FD862-496C-4759-9DDD-A60816F67DE0}"/>
    <cellStyle name="Linked Cell 31 2 3 5 2 2" xfId="32405" xr:uid="{69FE11F9-1E4C-47C7-A5AF-6080EAC74E82}"/>
    <cellStyle name="Linked Cell 31 2 3 5 3" xfId="32406" xr:uid="{C2ED9147-2CA0-44A2-932B-E4A4DA017FB4}"/>
    <cellStyle name="Linked Cell 31 2 3 6" xfId="32407" xr:uid="{AA0E4C14-533E-4D4F-BC22-90D770A20915}"/>
    <cellStyle name="Linked Cell 31 2 3 6 2" xfId="32408" xr:uid="{B24A68CA-C9D3-45DD-858D-EF617D2A49C1}"/>
    <cellStyle name="Linked Cell 31 2 3 6 2 2" xfId="32409" xr:uid="{453B5577-4B16-48C8-9785-E338074DC8BF}"/>
    <cellStyle name="Linked Cell 31 2 3 6 3" xfId="32410" xr:uid="{0EB31658-B5E9-4C07-934D-2181306504AC}"/>
    <cellStyle name="Linked Cell 31 2 3 7" xfId="32411" xr:uid="{B798EF90-B49C-4B90-929C-289BEA449A61}"/>
    <cellStyle name="Linked Cell 31 2 3 7 2" xfId="32412" xr:uid="{47B2CFD9-710C-4303-8B47-A88FB88B1878}"/>
    <cellStyle name="Linked Cell 31 2 3 7 2 2" xfId="32413" xr:uid="{2CCCA495-30F9-4773-9D78-EA38A5153107}"/>
    <cellStyle name="Linked Cell 31 2 3 7 3" xfId="32414" xr:uid="{EC6674E9-5760-4936-A4C6-6DE9AF7D6894}"/>
    <cellStyle name="Linked Cell 31 2 3 8" xfId="32415" xr:uid="{CA552FC9-2416-4610-9D09-B46F5FD78644}"/>
    <cellStyle name="Linked Cell 31 2 3 8 2" xfId="32416" xr:uid="{2FBE8C85-FA1F-42A9-96A1-60FFD0541B10}"/>
    <cellStyle name="Linked Cell 31 2 3 8 2 2" xfId="32417" xr:uid="{E5B86EF4-E0F9-4397-9B95-CC6177EF3B5E}"/>
    <cellStyle name="Linked Cell 31 2 3 8 3" xfId="32418" xr:uid="{6A024688-4B67-48C3-97EC-B6162AF4C8EE}"/>
    <cellStyle name="Linked Cell 31 2 3 9" xfId="32419" xr:uid="{4F7789CA-1E93-40E0-8938-2C498848410C}"/>
    <cellStyle name="Linked Cell 31 2 3 9 2" xfId="32420" xr:uid="{64F5E1D3-A741-4749-A854-4FFED927C8E8}"/>
    <cellStyle name="Linked Cell 31 2 3 9 2 2" xfId="32421" xr:uid="{F971F546-1749-40F0-BBBD-395BBE6AA096}"/>
    <cellStyle name="Linked Cell 31 2 3 9 3" xfId="32422" xr:uid="{E64B4890-9A8E-4E4E-A064-0EA9AE0A3475}"/>
    <cellStyle name="Linked Cell 31 2 4" xfId="32423" xr:uid="{B845F6FF-23AB-4895-BF71-4D0AC5B2967E}"/>
    <cellStyle name="Linked Cell 31 2 4 10" xfId="32424" xr:uid="{B3B17FE3-1167-468C-B05B-35BCEB21EEB8}"/>
    <cellStyle name="Linked Cell 31 2 4 10 2" xfId="32425" xr:uid="{4BDE0B5A-85CC-4448-9AC6-3CBFE7E1AC7A}"/>
    <cellStyle name="Linked Cell 31 2 4 10 2 2" xfId="32426" xr:uid="{4D9D44A9-24F0-4DCB-9ECA-B1AA07C2E59F}"/>
    <cellStyle name="Linked Cell 31 2 4 10 3" xfId="32427" xr:uid="{86F3607C-7C7A-4EB8-BF77-04AB6FB295DF}"/>
    <cellStyle name="Linked Cell 31 2 4 11" xfId="32428" xr:uid="{0A702826-D2A1-44E3-88A5-EA7DBAEE1D60}"/>
    <cellStyle name="Linked Cell 31 2 4 11 2" xfId="32429" xr:uid="{4CA16397-5C92-4C12-9668-F344C3E3C6BA}"/>
    <cellStyle name="Linked Cell 31 2 4 12" xfId="32430" xr:uid="{367DCF4E-34B7-4A06-8487-2F0E3A9376EC}"/>
    <cellStyle name="Linked Cell 31 2 4 2" xfId="32431" xr:uid="{EE001F84-8D62-48A9-A27B-4AA2C3BFF13E}"/>
    <cellStyle name="Linked Cell 31 2 4 2 10" xfId="32432" xr:uid="{2CE524EE-7FF7-43BF-8F63-3DC2C0D325D9}"/>
    <cellStyle name="Linked Cell 31 2 4 2 10 2" xfId="32433" xr:uid="{89F84F80-02A2-431E-9976-F8DA1B7B17CE}"/>
    <cellStyle name="Linked Cell 31 2 4 2 11" xfId="32434" xr:uid="{5E3602C9-47BC-417C-BCF2-BC94AB766193}"/>
    <cellStyle name="Linked Cell 31 2 4 2 2" xfId="32435" xr:uid="{ED8676CC-BCF0-48BC-8E40-9F031226725D}"/>
    <cellStyle name="Linked Cell 31 2 4 2 2 2" xfId="32436" xr:uid="{5E13E9F1-FF5D-48D1-BEDA-EE7D4F5F44D2}"/>
    <cellStyle name="Linked Cell 31 2 4 2 2 2 2" xfId="32437" xr:uid="{C57F0485-5E99-4D23-9B51-1D5B1E686754}"/>
    <cellStyle name="Linked Cell 31 2 4 2 2 3" xfId="32438" xr:uid="{2C623733-60AC-4FA4-ACF6-3864E63EF7D7}"/>
    <cellStyle name="Linked Cell 31 2 4 2 3" xfId="32439" xr:uid="{CAE7F6A4-DFDB-48B5-9B23-38FC255E344C}"/>
    <cellStyle name="Linked Cell 31 2 4 2 3 2" xfId="32440" xr:uid="{0787B6AF-7F82-454E-8B4F-6A87E496C4EB}"/>
    <cellStyle name="Linked Cell 31 2 4 2 3 2 2" xfId="32441" xr:uid="{0E1DAC4D-0665-4334-9EAA-755FF44656FE}"/>
    <cellStyle name="Linked Cell 31 2 4 2 3 3" xfId="32442" xr:uid="{0C390A80-8972-484E-ADAA-F90700FC4AA4}"/>
    <cellStyle name="Linked Cell 31 2 4 2 4" xfId="32443" xr:uid="{4FEAAE4A-3D14-4215-9A8F-BBF12F8432F2}"/>
    <cellStyle name="Linked Cell 31 2 4 2 4 2" xfId="32444" xr:uid="{B1DF4DD9-DAF5-4336-AA86-FE6E64891615}"/>
    <cellStyle name="Linked Cell 31 2 4 2 4 2 2" xfId="32445" xr:uid="{FF526167-DD67-45B2-A888-4CBED9265521}"/>
    <cellStyle name="Linked Cell 31 2 4 2 4 3" xfId="32446" xr:uid="{2BF9FE52-AAE5-4893-99ED-49B9B7AF632E}"/>
    <cellStyle name="Linked Cell 31 2 4 2 5" xfId="32447" xr:uid="{12C45BE0-0B20-45B5-A94D-8C32980D2965}"/>
    <cellStyle name="Linked Cell 31 2 4 2 5 2" xfId="32448" xr:uid="{943AF039-658E-4432-80A2-1285B311327B}"/>
    <cellStyle name="Linked Cell 31 2 4 2 5 2 2" xfId="32449" xr:uid="{2FD85C29-67C2-4EBB-A2A6-37C0977D055E}"/>
    <cellStyle name="Linked Cell 31 2 4 2 5 3" xfId="32450" xr:uid="{5E5EAE2D-6814-4FFC-B350-4B8679208238}"/>
    <cellStyle name="Linked Cell 31 2 4 2 6" xfId="32451" xr:uid="{36BD1F46-4221-4E9F-8B01-A72F317EDD91}"/>
    <cellStyle name="Linked Cell 31 2 4 2 6 2" xfId="32452" xr:uid="{AA3C9E55-404F-4EA5-828F-EB3624E80FB8}"/>
    <cellStyle name="Linked Cell 31 2 4 2 6 2 2" xfId="32453" xr:uid="{425D27EE-E983-4754-8118-E0DCCB9F1087}"/>
    <cellStyle name="Linked Cell 31 2 4 2 6 3" xfId="32454" xr:uid="{BBDF19FB-BBDF-422C-B11B-EFAA96178A3D}"/>
    <cellStyle name="Linked Cell 31 2 4 2 7" xfId="32455" xr:uid="{42173D5D-05FC-4106-9943-CC8568A7EB9F}"/>
    <cellStyle name="Linked Cell 31 2 4 2 7 2" xfId="32456" xr:uid="{8EFD59B9-1B0D-4588-939B-53A3B2BDA34A}"/>
    <cellStyle name="Linked Cell 31 2 4 2 7 2 2" xfId="32457" xr:uid="{84E61B85-5E2D-4906-8AF8-58F3074A1207}"/>
    <cellStyle name="Linked Cell 31 2 4 2 7 3" xfId="32458" xr:uid="{8711EC90-2B7F-4D6F-BB66-5AA48634F76F}"/>
    <cellStyle name="Linked Cell 31 2 4 2 8" xfId="32459" xr:uid="{4FCBBA47-F551-4EE4-AD51-1DCBA723AE5D}"/>
    <cellStyle name="Linked Cell 31 2 4 2 8 2" xfId="32460" xr:uid="{612D4A6C-FA98-4A47-946A-D8D617AF7767}"/>
    <cellStyle name="Linked Cell 31 2 4 2 8 2 2" xfId="32461" xr:uid="{772D70EE-BF37-4CF8-A517-7DF15EA9E7B8}"/>
    <cellStyle name="Linked Cell 31 2 4 2 8 3" xfId="32462" xr:uid="{A92BFE61-56F7-4E6B-A67C-94A46DED392B}"/>
    <cellStyle name="Linked Cell 31 2 4 2 9" xfId="32463" xr:uid="{7ED0AA26-A05E-451E-B0AF-69A9B44D41F7}"/>
    <cellStyle name="Linked Cell 31 2 4 2 9 2" xfId="32464" xr:uid="{64DCC582-F689-49C2-B754-9FF4B98AD6BB}"/>
    <cellStyle name="Linked Cell 31 2 4 2 9 2 2" xfId="32465" xr:uid="{0431BED7-3959-43EF-A29D-403D2E2A0051}"/>
    <cellStyle name="Linked Cell 31 2 4 2 9 3" xfId="32466" xr:uid="{099D1F56-E3ED-4B61-85E1-8F01A8055B5C}"/>
    <cellStyle name="Linked Cell 31 2 4 3" xfId="32467" xr:uid="{85514844-A330-41D6-A855-FE7B6C9E746A}"/>
    <cellStyle name="Linked Cell 31 2 4 3 2" xfId="32468" xr:uid="{EA9C689A-6300-499A-95AD-39B69453A8F8}"/>
    <cellStyle name="Linked Cell 31 2 4 3 2 2" xfId="32469" xr:uid="{5A9108B8-D9A2-47E0-B574-1C5CAA098E78}"/>
    <cellStyle name="Linked Cell 31 2 4 3 3" xfId="32470" xr:uid="{9DB82EA3-346B-4A31-B280-DBE72F0A7BE5}"/>
    <cellStyle name="Linked Cell 31 2 4 4" xfId="32471" xr:uid="{913F8F91-46F6-4810-B64F-18FEEB809D51}"/>
    <cellStyle name="Linked Cell 31 2 4 4 2" xfId="32472" xr:uid="{D4041DA2-2631-4D35-BE17-9E1F883E311E}"/>
    <cellStyle name="Linked Cell 31 2 4 4 2 2" xfId="32473" xr:uid="{B153C219-8E8F-4FC8-B546-9770B625A17E}"/>
    <cellStyle name="Linked Cell 31 2 4 4 3" xfId="32474" xr:uid="{CF094386-843F-4831-915F-A0F597EAC4AE}"/>
    <cellStyle name="Linked Cell 31 2 4 5" xfId="32475" xr:uid="{8A8534EB-AA25-4874-80F9-7839BB2705CF}"/>
    <cellStyle name="Linked Cell 31 2 4 5 2" xfId="32476" xr:uid="{55C53A92-2A57-46D2-AAF2-22586421574D}"/>
    <cellStyle name="Linked Cell 31 2 4 5 2 2" xfId="32477" xr:uid="{FC761114-D643-4E66-9993-A58559142EC4}"/>
    <cellStyle name="Linked Cell 31 2 4 5 3" xfId="32478" xr:uid="{80E3AD1B-AF13-420A-8EF2-4F5FE5CFBCB7}"/>
    <cellStyle name="Linked Cell 31 2 4 6" xfId="32479" xr:uid="{AD0B5510-0B41-4C27-AE41-A0055D11A57A}"/>
    <cellStyle name="Linked Cell 31 2 4 6 2" xfId="32480" xr:uid="{A6E9B552-172F-42D8-88D8-F74CD5895A16}"/>
    <cellStyle name="Linked Cell 31 2 4 6 2 2" xfId="32481" xr:uid="{F1D2BB92-595F-423F-981A-08E7F087323C}"/>
    <cellStyle name="Linked Cell 31 2 4 6 3" xfId="32482" xr:uid="{382C3CFC-DCF6-40F7-ADB3-91A243DBC637}"/>
    <cellStyle name="Linked Cell 31 2 4 7" xfId="32483" xr:uid="{0DE00467-4DA7-4142-B5FD-963E43824E72}"/>
    <cellStyle name="Linked Cell 31 2 4 7 2" xfId="32484" xr:uid="{628A05FC-713F-4BFC-9A59-46AAD4F2AA1A}"/>
    <cellStyle name="Linked Cell 31 2 4 7 2 2" xfId="32485" xr:uid="{0114C38C-85D6-4904-A300-347353CAC551}"/>
    <cellStyle name="Linked Cell 31 2 4 7 3" xfId="32486" xr:uid="{E43EE676-BB8F-441E-9450-51E307599264}"/>
    <cellStyle name="Linked Cell 31 2 4 8" xfId="32487" xr:uid="{51942E51-7226-4A3B-A613-52725653B345}"/>
    <cellStyle name="Linked Cell 31 2 4 8 2" xfId="32488" xr:uid="{0CD7D3E2-91C5-4B03-8E64-84D155B9EF6E}"/>
    <cellStyle name="Linked Cell 31 2 4 8 2 2" xfId="32489" xr:uid="{554927CC-F865-49E1-A669-959396017A68}"/>
    <cellStyle name="Linked Cell 31 2 4 8 3" xfId="32490" xr:uid="{CEDC9DE7-EDD2-4ECB-9AF4-DB5D34C51DB9}"/>
    <cellStyle name="Linked Cell 31 2 4 9" xfId="32491" xr:uid="{F7015BC3-8DB4-4D45-AFA4-65954CAE4EB4}"/>
    <cellStyle name="Linked Cell 31 2 4 9 2" xfId="32492" xr:uid="{759D97CD-E4BB-4065-AB89-1739A918BC6A}"/>
    <cellStyle name="Linked Cell 31 2 4 9 2 2" xfId="32493" xr:uid="{01E16D17-007F-44F7-941F-A02AE079BC16}"/>
    <cellStyle name="Linked Cell 31 2 4 9 3" xfId="32494" xr:uid="{3003390C-47DF-4B87-8663-F6DD2B06C1F0}"/>
    <cellStyle name="Linked Cell 31 2 5" xfId="32495" xr:uid="{836B60E8-25CE-46B7-BFB8-F9F68001F99B}"/>
    <cellStyle name="Linked Cell 31 2 5 10" xfId="32496" xr:uid="{35E67959-32FE-4DC3-A075-AC20C825F4B7}"/>
    <cellStyle name="Linked Cell 31 2 5 10 2" xfId="32497" xr:uid="{EB274B7C-8871-4BD8-A1A8-4D0BA401F0AE}"/>
    <cellStyle name="Linked Cell 31 2 5 11" xfId="32498" xr:uid="{CB936B5F-F95C-455C-9E4C-1D8400C5E78A}"/>
    <cellStyle name="Linked Cell 31 2 5 2" xfId="32499" xr:uid="{C2FFA955-279A-4952-B008-65930FDE2485}"/>
    <cellStyle name="Linked Cell 31 2 5 2 2" xfId="32500" xr:uid="{DD47534E-4C81-4ED2-A9B9-D1506248B078}"/>
    <cellStyle name="Linked Cell 31 2 5 2 2 2" xfId="32501" xr:uid="{D0B691D5-D5BC-47D4-918D-5C9ACC32EE4D}"/>
    <cellStyle name="Linked Cell 31 2 5 2 3" xfId="32502" xr:uid="{717BE4A2-5A65-4806-8BE1-46D27AD219A1}"/>
    <cellStyle name="Linked Cell 31 2 5 3" xfId="32503" xr:uid="{640633EB-6A13-4ED8-8AD7-2858199B43A1}"/>
    <cellStyle name="Linked Cell 31 2 5 3 2" xfId="32504" xr:uid="{D1818EAF-C114-45D0-980E-93D528BCA826}"/>
    <cellStyle name="Linked Cell 31 2 5 3 2 2" xfId="32505" xr:uid="{1F13832C-985D-45EA-BB88-6C69E321F02B}"/>
    <cellStyle name="Linked Cell 31 2 5 3 3" xfId="32506" xr:uid="{75E710D2-9FEE-4A79-B183-D195F347EDC5}"/>
    <cellStyle name="Linked Cell 31 2 5 4" xfId="32507" xr:uid="{A8559D11-A01A-4E54-86EE-2D2031E1F925}"/>
    <cellStyle name="Linked Cell 31 2 5 4 2" xfId="32508" xr:uid="{7A1D7EB0-E5B0-44A8-B07C-9FBD3CB78931}"/>
    <cellStyle name="Linked Cell 31 2 5 4 2 2" xfId="32509" xr:uid="{61998F56-3BB7-4A60-A3FE-0D911123D521}"/>
    <cellStyle name="Linked Cell 31 2 5 4 3" xfId="32510" xr:uid="{7F0AF138-7CF9-415D-83EB-04EAFE25A25B}"/>
    <cellStyle name="Linked Cell 31 2 5 5" xfId="32511" xr:uid="{78330E6C-7CFB-4F33-B659-FCDBC54AF0EB}"/>
    <cellStyle name="Linked Cell 31 2 5 5 2" xfId="32512" xr:uid="{1AC59955-4151-464E-ABCC-92C6EBB4D3E4}"/>
    <cellStyle name="Linked Cell 31 2 5 5 2 2" xfId="32513" xr:uid="{A9D7D209-9A63-44AF-9491-CE3A517B12ED}"/>
    <cellStyle name="Linked Cell 31 2 5 5 3" xfId="32514" xr:uid="{59F49912-EA83-4883-95A6-90E196FBA0DB}"/>
    <cellStyle name="Linked Cell 31 2 5 6" xfId="32515" xr:uid="{F9515E45-57CA-44D3-9ADC-5FAA7B9731AA}"/>
    <cellStyle name="Linked Cell 31 2 5 6 2" xfId="32516" xr:uid="{BFDFE146-912B-4252-9406-E07A08175A71}"/>
    <cellStyle name="Linked Cell 31 2 5 6 2 2" xfId="32517" xr:uid="{136F0B17-76BF-4772-BF12-E04967C1C8CC}"/>
    <cellStyle name="Linked Cell 31 2 5 6 3" xfId="32518" xr:uid="{61A0F64E-4744-43E2-9399-458212F3C9EC}"/>
    <cellStyle name="Linked Cell 31 2 5 7" xfId="32519" xr:uid="{40A6E043-CB61-4C2E-B1AE-8F34DAA28FAA}"/>
    <cellStyle name="Linked Cell 31 2 5 7 2" xfId="32520" xr:uid="{C51D85C2-6E49-4629-9D1B-E2ABDD452B58}"/>
    <cellStyle name="Linked Cell 31 2 5 7 2 2" xfId="32521" xr:uid="{2AA850D4-CEA2-4E1A-ADA3-DD66898EBD85}"/>
    <cellStyle name="Linked Cell 31 2 5 7 3" xfId="32522" xr:uid="{F7371368-104E-4BA3-B045-F4F5BBCAC74D}"/>
    <cellStyle name="Linked Cell 31 2 5 8" xfId="32523" xr:uid="{F80205EC-34C8-47F2-B911-A1A27F357EDE}"/>
    <cellStyle name="Linked Cell 31 2 5 8 2" xfId="32524" xr:uid="{5390976E-EE01-4DBF-9445-5F0C60DBDADA}"/>
    <cellStyle name="Linked Cell 31 2 5 8 2 2" xfId="32525" xr:uid="{5BEF4959-9DAE-417A-BF23-975F075EC60C}"/>
    <cellStyle name="Linked Cell 31 2 5 8 3" xfId="32526" xr:uid="{AFB92E74-522C-4A4B-A3B0-C18A6AA90BD5}"/>
    <cellStyle name="Linked Cell 31 2 5 9" xfId="32527" xr:uid="{11D9DE95-4723-4087-9F98-8B590CEE4136}"/>
    <cellStyle name="Linked Cell 31 2 5 9 2" xfId="32528" xr:uid="{1B7D1AB1-858E-477E-8C71-40B836F00A37}"/>
    <cellStyle name="Linked Cell 31 2 5 9 2 2" xfId="32529" xr:uid="{E3DA84C6-AF9A-46D9-810A-475F3423F0E0}"/>
    <cellStyle name="Linked Cell 31 2 5 9 3" xfId="32530" xr:uid="{0A72CCAA-8C51-4FFE-A82F-D220D8B0BD28}"/>
    <cellStyle name="Linked Cell 31 2 6" xfId="32531" xr:uid="{27922A38-825E-44EA-808C-4772B445BF81}"/>
    <cellStyle name="Linked Cell 31 2 6 2" xfId="32532" xr:uid="{EFC51B73-E5B5-4530-BB21-40192C85357A}"/>
    <cellStyle name="Linked Cell 31 2 6 2 2" xfId="32533" xr:uid="{87A6C558-1087-4A4D-8695-9002F63838AB}"/>
    <cellStyle name="Linked Cell 31 2 6 3" xfId="32534" xr:uid="{739F3002-0082-4693-999C-55ED4DF7CF5C}"/>
    <cellStyle name="Linked Cell 31 2 7" xfId="32535" xr:uid="{A323BC73-0DDA-4CE6-9732-1B81B5B58D70}"/>
    <cellStyle name="Linked Cell 31 2 7 2" xfId="32536" xr:uid="{4C5EDD2A-38C6-40CC-943E-9DD25D79AF2C}"/>
    <cellStyle name="Linked Cell 31 2 7 2 2" xfId="32537" xr:uid="{6811077F-57F1-4009-AB9F-7D4112A3971A}"/>
    <cellStyle name="Linked Cell 31 2 7 3" xfId="32538" xr:uid="{8206BF82-620E-4A03-AC51-3F901CBFB23B}"/>
    <cellStyle name="Linked Cell 31 2 8" xfId="32539" xr:uid="{F978697E-D5E0-42C5-9CEB-627FE30FA84B}"/>
    <cellStyle name="Linked Cell 31 2 8 2" xfId="32540" xr:uid="{673AAA0F-2D8C-4A88-9D97-18DE7FBDCABA}"/>
    <cellStyle name="Linked Cell 31 2 8 2 2" xfId="32541" xr:uid="{9FAF34B7-B98F-4F56-9E65-0C354780E4F7}"/>
    <cellStyle name="Linked Cell 31 2 8 3" xfId="32542" xr:uid="{909020E8-5312-4DCE-8B5E-4AC4589DBB35}"/>
    <cellStyle name="Linked Cell 31 2 9" xfId="32543" xr:uid="{7A133298-0F5B-4B80-ADB8-0406B942888F}"/>
    <cellStyle name="Linked Cell 31 2 9 2" xfId="32544" xr:uid="{98A056B7-3D8C-4736-B32A-36A7629DF1B7}"/>
    <cellStyle name="Linked Cell 31 2 9 2 2" xfId="32545" xr:uid="{E0D87699-BE63-4D0E-8DB5-686172A7B52D}"/>
    <cellStyle name="Linked Cell 31 2 9 3" xfId="32546" xr:uid="{847C88DD-139D-4CCA-9F17-1E2242F03BB0}"/>
    <cellStyle name="Linked Cell 31 3" xfId="32547" xr:uid="{E5DC99E2-EC7E-4065-BF5C-A6140773E03A}"/>
    <cellStyle name="Linked Cell 31 3 10" xfId="32548" xr:uid="{A9025CCD-A408-4D43-93FA-C434C87FBF0C}"/>
    <cellStyle name="Linked Cell 31 3 10 2" xfId="32549" xr:uid="{23214712-361C-4B42-AA8E-A46CF1BA86E5}"/>
    <cellStyle name="Linked Cell 31 3 10 2 2" xfId="32550" xr:uid="{C38C53A3-8830-4E68-849A-490936CA60EC}"/>
    <cellStyle name="Linked Cell 31 3 10 3" xfId="32551" xr:uid="{428B09C3-1701-418F-8011-4397149F6E38}"/>
    <cellStyle name="Linked Cell 31 3 11" xfId="32552" xr:uid="{62F07E3A-A6EC-489B-8A76-DD8B167B343F}"/>
    <cellStyle name="Linked Cell 31 3 11 2" xfId="32553" xr:uid="{60502182-2389-4099-998A-CF7F7B1EE92B}"/>
    <cellStyle name="Linked Cell 31 3 11 2 2" xfId="32554" xr:uid="{05FCA4CF-87CD-477B-9910-0E1F92E0E824}"/>
    <cellStyle name="Linked Cell 31 3 11 3" xfId="32555" xr:uid="{9127E25B-5F6B-4820-9248-FB1E87CCBF8C}"/>
    <cellStyle name="Linked Cell 31 3 12" xfId="32556" xr:uid="{9594D936-A455-4682-99C0-B8F67AA36320}"/>
    <cellStyle name="Linked Cell 31 3 12 2" xfId="32557" xr:uid="{45EDD82C-9F89-4756-8EE5-FF347A2F2366}"/>
    <cellStyle name="Linked Cell 31 3 12 2 2" xfId="32558" xr:uid="{98352805-E1E6-4D91-9383-F2BE68EB0FC7}"/>
    <cellStyle name="Linked Cell 31 3 12 3" xfId="32559" xr:uid="{8DD55A24-AAB5-4A12-89FF-532D797C2F1F}"/>
    <cellStyle name="Linked Cell 31 3 13" xfId="32560" xr:uid="{81D218BD-FBCF-40C7-90B1-3ED82C1D22D5}"/>
    <cellStyle name="Linked Cell 31 3 13 2" xfId="32561" xr:uid="{8A55E2B9-761D-4221-9835-6CB1F9D3332E}"/>
    <cellStyle name="Linked Cell 31 3 14" xfId="32562" xr:uid="{5A341B39-2BD9-49A1-97C8-F63A4D884C67}"/>
    <cellStyle name="Linked Cell 31 3 2" xfId="32563" xr:uid="{15192A42-6BB8-4485-8E86-F0338360E572}"/>
    <cellStyle name="Linked Cell 31 3 2 10" xfId="32564" xr:uid="{B56AD39C-6378-4A46-9D6B-1149C567E7BA}"/>
    <cellStyle name="Linked Cell 31 3 2 10 2" xfId="32565" xr:uid="{9B779EEA-7A9D-4E38-83F7-02191378A3CA}"/>
    <cellStyle name="Linked Cell 31 3 2 10 2 2" xfId="32566" xr:uid="{26946B87-DFB7-42B7-AB96-EC3BA312C49C}"/>
    <cellStyle name="Linked Cell 31 3 2 10 3" xfId="32567" xr:uid="{24EC7F7E-5E5C-4CF2-98BB-242E25BD7D8A}"/>
    <cellStyle name="Linked Cell 31 3 2 11" xfId="32568" xr:uid="{E57876B0-716E-4ACE-876D-9F68C3807CBB}"/>
    <cellStyle name="Linked Cell 31 3 2 11 2" xfId="32569" xr:uid="{C6F1FC05-A2B5-4E75-9495-2500F350D442}"/>
    <cellStyle name="Linked Cell 31 3 2 11 2 2" xfId="32570" xr:uid="{083BC4FC-B958-4688-B1D7-E79E29DBFCA1}"/>
    <cellStyle name="Linked Cell 31 3 2 11 3" xfId="32571" xr:uid="{8452AD3E-2D7B-4B91-9328-E79076C6AB4A}"/>
    <cellStyle name="Linked Cell 31 3 2 12" xfId="32572" xr:uid="{786CF18E-5D45-4627-B37C-B766E32BC699}"/>
    <cellStyle name="Linked Cell 31 3 2 12 2" xfId="32573" xr:uid="{46C7B642-181D-4419-95BE-044F73D1193E}"/>
    <cellStyle name="Linked Cell 31 3 2 13" xfId="32574" xr:uid="{D0C0B832-1191-4EDF-854B-14CF2D5C5A02}"/>
    <cellStyle name="Linked Cell 31 3 2 2" xfId="32575" xr:uid="{E5E7AC98-1DD7-463F-B513-226E2053555B}"/>
    <cellStyle name="Linked Cell 31 3 2 2 10" xfId="32576" xr:uid="{2BA04C69-D6EF-46FE-848F-88F38BCC782F}"/>
    <cellStyle name="Linked Cell 31 3 2 2 10 2" xfId="32577" xr:uid="{272DA26C-AF6B-49F0-82D8-CE40DE0A7277}"/>
    <cellStyle name="Linked Cell 31 3 2 2 10 2 2" xfId="32578" xr:uid="{0AE48283-7DDF-41E4-BA28-2DFE02B7AAF5}"/>
    <cellStyle name="Linked Cell 31 3 2 2 10 3" xfId="32579" xr:uid="{1ABB0A7E-5A60-4B9E-9234-94061FEEFDBD}"/>
    <cellStyle name="Linked Cell 31 3 2 2 11" xfId="32580" xr:uid="{59B919EA-8500-40C2-B1FA-5520FB81DC08}"/>
    <cellStyle name="Linked Cell 31 3 2 2 11 2" xfId="32581" xr:uid="{40E6062D-AF25-48E7-A665-B758122EDED2}"/>
    <cellStyle name="Linked Cell 31 3 2 2 12" xfId="32582" xr:uid="{FBED1980-BBC2-424E-A9C2-144B41A3D73E}"/>
    <cellStyle name="Linked Cell 31 3 2 2 2" xfId="32583" xr:uid="{85C621D2-F1E8-431B-AD09-1C784309DF71}"/>
    <cellStyle name="Linked Cell 31 3 2 2 2 2" xfId="32584" xr:uid="{E3E6D480-280E-4974-B4FF-C387C3A2E1B9}"/>
    <cellStyle name="Linked Cell 31 3 2 2 2 2 2" xfId="32585" xr:uid="{4325A22B-61A3-4B2D-B5A4-9BB58EF9C182}"/>
    <cellStyle name="Linked Cell 31 3 2 2 2 3" xfId="32586" xr:uid="{FED85C9C-4A38-4887-A3A3-48CDCBFA51A3}"/>
    <cellStyle name="Linked Cell 31 3 2 2 3" xfId="32587" xr:uid="{83710116-7612-41AD-844C-D75E2452A172}"/>
    <cellStyle name="Linked Cell 31 3 2 2 3 2" xfId="32588" xr:uid="{B7779555-785B-4640-B08E-B48D69390FF0}"/>
    <cellStyle name="Linked Cell 31 3 2 2 3 2 2" xfId="32589" xr:uid="{EDA92BFB-A783-4B1A-A675-F4A723E91C43}"/>
    <cellStyle name="Linked Cell 31 3 2 2 3 3" xfId="32590" xr:uid="{0A64F75F-139D-457D-9B01-5007C5025ED4}"/>
    <cellStyle name="Linked Cell 31 3 2 2 4" xfId="32591" xr:uid="{56720FED-4B65-4490-B4BA-1128C4A61D3E}"/>
    <cellStyle name="Linked Cell 31 3 2 2 4 2" xfId="32592" xr:uid="{0A85541A-FFED-45FE-98A1-C2B9C553C3CA}"/>
    <cellStyle name="Linked Cell 31 3 2 2 4 2 2" xfId="32593" xr:uid="{1D7EB2B0-E9EF-418A-9519-685B7B67FD17}"/>
    <cellStyle name="Linked Cell 31 3 2 2 4 3" xfId="32594" xr:uid="{27E905DB-0AAB-43DF-A763-1F8CB1C4ADB2}"/>
    <cellStyle name="Linked Cell 31 3 2 2 5" xfId="32595" xr:uid="{18D5EE2F-8ABB-459E-A48C-3497F9EC41BC}"/>
    <cellStyle name="Linked Cell 31 3 2 2 5 2" xfId="32596" xr:uid="{9174EE5B-1476-4E89-8FDD-D7569198F325}"/>
    <cellStyle name="Linked Cell 31 3 2 2 5 2 2" xfId="32597" xr:uid="{9681EAF5-0950-4BD6-82F2-5D5C08292B85}"/>
    <cellStyle name="Linked Cell 31 3 2 2 5 3" xfId="32598" xr:uid="{50C72768-5E6C-4EB3-BC4E-FEA3332AC55E}"/>
    <cellStyle name="Linked Cell 31 3 2 2 6" xfId="32599" xr:uid="{CD03742D-9C02-44E4-85EE-7086EECB7332}"/>
    <cellStyle name="Linked Cell 31 3 2 2 6 2" xfId="32600" xr:uid="{186ACB97-5C86-4276-8E5A-B00E0C0D8ACF}"/>
    <cellStyle name="Linked Cell 31 3 2 2 6 2 2" xfId="32601" xr:uid="{0D45A932-B025-44C9-9823-BAE53F3C2D04}"/>
    <cellStyle name="Linked Cell 31 3 2 2 6 3" xfId="32602" xr:uid="{A620E059-E819-46DD-AFEB-494E1941667F}"/>
    <cellStyle name="Linked Cell 31 3 2 2 7" xfId="32603" xr:uid="{D86E7EFD-A597-4B2C-98B2-38C093AA35BA}"/>
    <cellStyle name="Linked Cell 31 3 2 2 7 2" xfId="32604" xr:uid="{FB44F481-B830-495B-91A4-10F76FA3130B}"/>
    <cellStyle name="Linked Cell 31 3 2 2 7 2 2" xfId="32605" xr:uid="{3BD5F45A-6247-4CBC-8BCB-E98B5C0BA180}"/>
    <cellStyle name="Linked Cell 31 3 2 2 7 3" xfId="32606" xr:uid="{E6109078-E409-4A08-8507-9A5B0B91B231}"/>
    <cellStyle name="Linked Cell 31 3 2 2 8" xfId="32607" xr:uid="{8D6CA0B6-9939-4B28-B886-B86ACDE68CAD}"/>
    <cellStyle name="Linked Cell 31 3 2 2 8 2" xfId="32608" xr:uid="{81BF7057-9D37-4A97-B8CD-7B11691366A8}"/>
    <cellStyle name="Linked Cell 31 3 2 2 8 2 2" xfId="32609" xr:uid="{92511E66-5BEC-447A-8082-1DDC4DD12ED1}"/>
    <cellStyle name="Linked Cell 31 3 2 2 8 3" xfId="32610" xr:uid="{100C5F8C-8BFD-4A61-9FCE-BE39D84746F8}"/>
    <cellStyle name="Linked Cell 31 3 2 2 9" xfId="32611" xr:uid="{E126AD00-4883-4289-96AB-EA64E8E5A96D}"/>
    <cellStyle name="Linked Cell 31 3 2 2 9 2" xfId="32612" xr:uid="{9D718424-6D97-4286-A583-114300C93988}"/>
    <cellStyle name="Linked Cell 31 3 2 2 9 2 2" xfId="32613" xr:uid="{0A5B0AC8-CF2B-48B4-9173-5D4870ED47DC}"/>
    <cellStyle name="Linked Cell 31 3 2 2 9 3" xfId="32614" xr:uid="{8BC6DA8B-5182-49DC-B448-E920FF009CEE}"/>
    <cellStyle name="Linked Cell 31 3 2 3" xfId="32615" xr:uid="{A7E5D16C-83D9-4206-9F75-78A0BEAC41C3}"/>
    <cellStyle name="Linked Cell 31 3 2 3 10" xfId="32616" xr:uid="{DFCA84F2-0819-489B-AD69-A2CFBDFEBB94}"/>
    <cellStyle name="Linked Cell 31 3 2 3 10 2" xfId="32617" xr:uid="{9D05B23A-1154-409D-A1D2-0B59D015A9CF}"/>
    <cellStyle name="Linked Cell 31 3 2 3 11" xfId="32618" xr:uid="{3BA5B293-1AEB-4D9F-A225-D4B2C35BAF99}"/>
    <cellStyle name="Linked Cell 31 3 2 3 2" xfId="32619" xr:uid="{90A00C66-B04B-4EC1-AF44-3763AE405161}"/>
    <cellStyle name="Linked Cell 31 3 2 3 2 2" xfId="32620" xr:uid="{32D60EA7-D091-4C6D-8C3C-625F33E35A85}"/>
    <cellStyle name="Linked Cell 31 3 2 3 2 2 2" xfId="32621" xr:uid="{01D0EE81-E0F8-44CD-863A-F9E24056BE26}"/>
    <cellStyle name="Linked Cell 31 3 2 3 2 3" xfId="32622" xr:uid="{1A79085A-08E9-4EAE-889F-F802956E3D84}"/>
    <cellStyle name="Linked Cell 31 3 2 3 3" xfId="32623" xr:uid="{33B03558-C23F-4F68-B91C-686DBFD89838}"/>
    <cellStyle name="Linked Cell 31 3 2 3 3 2" xfId="32624" xr:uid="{9352BB0D-9100-4FC6-B37A-69400A28CF69}"/>
    <cellStyle name="Linked Cell 31 3 2 3 3 2 2" xfId="32625" xr:uid="{47B6AA90-472F-4827-BD2A-D3B594BFCE1E}"/>
    <cellStyle name="Linked Cell 31 3 2 3 3 3" xfId="32626" xr:uid="{63302C95-39D8-4D0E-9C6B-8EE7AB655D35}"/>
    <cellStyle name="Linked Cell 31 3 2 3 4" xfId="32627" xr:uid="{EE7345D7-8FD6-4665-B8E6-DD2C89A59B9C}"/>
    <cellStyle name="Linked Cell 31 3 2 3 4 2" xfId="32628" xr:uid="{9B373686-BEE2-4A2D-AB06-7A9F45515F45}"/>
    <cellStyle name="Linked Cell 31 3 2 3 4 2 2" xfId="32629" xr:uid="{F46EED60-CD19-4508-A479-0AB8C354D1D6}"/>
    <cellStyle name="Linked Cell 31 3 2 3 4 3" xfId="32630" xr:uid="{3F237D6C-F6AE-4052-B5E7-828E2005B935}"/>
    <cellStyle name="Linked Cell 31 3 2 3 5" xfId="32631" xr:uid="{60B5653E-C647-46C9-B334-A3D3B107D20A}"/>
    <cellStyle name="Linked Cell 31 3 2 3 5 2" xfId="32632" xr:uid="{510D7617-A138-431C-84DA-E68FA4E71EA7}"/>
    <cellStyle name="Linked Cell 31 3 2 3 5 2 2" xfId="32633" xr:uid="{E1A846FA-D211-4647-993F-1F9D5E991B23}"/>
    <cellStyle name="Linked Cell 31 3 2 3 5 3" xfId="32634" xr:uid="{E55803EE-9DCB-459B-B9C7-852F8AE9B90E}"/>
    <cellStyle name="Linked Cell 31 3 2 3 6" xfId="32635" xr:uid="{EF77995A-D9BB-449F-AE46-FFBE256C48BF}"/>
    <cellStyle name="Linked Cell 31 3 2 3 6 2" xfId="32636" xr:uid="{5391E1CF-9105-44F3-A8C8-A86FA739C585}"/>
    <cellStyle name="Linked Cell 31 3 2 3 6 2 2" xfId="32637" xr:uid="{EBC77539-827B-4070-95A0-0D9EBF85772B}"/>
    <cellStyle name="Linked Cell 31 3 2 3 6 3" xfId="32638" xr:uid="{990E69BC-CDA5-4CE8-9854-BD46F404BBA6}"/>
    <cellStyle name="Linked Cell 31 3 2 3 7" xfId="32639" xr:uid="{F4D666C2-CE23-46E1-80F9-B4155FBABE57}"/>
    <cellStyle name="Linked Cell 31 3 2 3 7 2" xfId="32640" xr:uid="{F99EFC34-4D41-44A3-836A-4EEE319DC3F3}"/>
    <cellStyle name="Linked Cell 31 3 2 3 7 2 2" xfId="32641" xr:uid="{3E4A5878-870E-4003-A0E6-9BA9819E3A49}"/>
    <cellStyle name="Linked Cell 31 3 2 3 7 3" xfId="32642" xr:uid="{CCECBE88-363E-4476-A58D-5D091F8CAC2D}"/>
    <cellStyle name="Linked Cell 31 3 2 3 8" xfId="32643" xr:uid="{017F1373-9468-4E1C-83BC-0D0EB9712666}"/>
    <cellStyle name="Linked Cell 31 3 2 3 8 2" xfId="32644" xr:uid="{2FCC95C8-A3A3-462A-8B68-22462B670EEE}"/>
    <cellStyle name="Linked Cell 31 3 2 3 8 2 2" xfId="32645" xr:uid="{DB6EB7A0-01BD-4601-95E3-71651D383CAF}"/>
    <cellStyle name="Linked Cell 31 3 2 3 8 3" xfId="32646" xr:uid="{BEDF10A2-5E76-46B9-94C4-060D366A2473}"/>
    <cellStyle name="Linked Cell 31 3 2 3 9" xfId="32647" xr:uid="{348595C1-66B7-473D-96A5-B7652796F9BA}"/>
    <cellStyle name="Linked Cell 31 3 2 3 9 2" xfId="32648" xr:uid="{0ECC2A28-B16B-4C36-947C-BE95E7C885DE}"/>
    <cellStyle name="Linked Cell 31 3 2 3 9 2 2" xfId="32649" xr:uid="{157D988E-F8FF-4A5A-989D-59BD4AB6199E}"/>
    <cellStyle name="Linked Cell 31 3 2 3 9 3" xfId="32650" xr:uid="{382F2484-5F72-4043-A7F1-32450E2C072A}"/>
    <cellStyle name="Linked Cell 31 3 2 4" xfId="32651" xr:uid="{6C3D4DB2-D6E1-4A73-83AD-741B3A3BEE86}"/>
    <cellStyle name="Linked Cell 31 3 2 4 2" xfId="32652" xr:uid="{5ECDBE45-06E6-4329-8372-D079EE3C4906}"/>
    <cellStyle name="Linked Cell 31 3 2 4 2 2" xfId="32653" xr:uid="{EE5EB5F0-B92F-4A65-96B3-67FCDE5CFAFA}"/>
    <cellStyle name="Linked Cell 31 3 2 4 3" xfId="32654" xr:uid="{47553CE5-BB51-4192-BFFE-0938EB09CDDD}"/>
    <cellStyle name="Linked Cell 31 3 2 5" xfId="32655" xr:uid="{B4C02B39-A8AF-4209-A910-DB2865376409}"/>
    <cellStyle name="Linked Cell 31 3 2 5 2" xfId="32656" xr:uid="{D9FC1FA0-A5D1-4E07-A3CF-F9C7191670C4}"/>
    <cellStyle name="Linked Cell 31 3 2 5 2 2" xfId="32657" xr:uid="{0B38C3D5-884B-4E6B-9C93-C6C68B31D2AB}"/>
    <cellStyle name="Linked Cell 31 3 2 5 3" xfId="32658" xr:uid="{8B99F3BC-8B83-4F61-AC01-4DCE1B76AB6C}"/>
    <cellStyle name="Linked Cell 31 3 2 6" xfId="32659" xr:uid="{601AA88D-D50A-41DE-8197-FCC45E961C0E}"/>
    <cellStyle name="Linked Cell 31 3 2 6 2" xfId="32660" xr:uid="{42B99B1C-CB70-47FC-84C8-ECC6312BEADF}"/>
    <cellStyle name="Linked Cell 31 3 2 6 2 2" xfId="32661" xr:uid="{A8009818-76DA-4C00-B17E-BAA168CA7272}"/>
    <cellStyle name="Linked Cell 31 3 2 6 3" xfId="32662" xr:uid="{783C55CC-59B7-4538-8D28-96DC535DF22F}"/>
    <cellStyle name="Linked Cell 31 3 2 7" xfId="32663" xr:uid="{CBF227C3-6008-4118-A2FE-06F3CF1CF64E}"/>
    <cellStyle name="Linked Cell 31 3 2 7 2" xfId="32664" xr:uid="{4223918D-6B55-4F58-9544-4512AD5D0B6F}"/>
    <cellStyle name="Linked Cell 31 3 2 7 2 2" xfId="32665" xr:uid="{7FF34B8A-CF6A-489A-B231-1C83B7E1B2BA}"/>
    <cellStyle name="Linked Cell 31 3 2 7 3" xfId="32666" xr:uid="{998EDC1E-CA38-46CA-A55D-148BFBA062CD}"/>
    <cellStyle name="Linked Cell 31 3 2 8" xfId="32667" xr:uid="{8DB5AA8C-B275-4FF0-A13E-0FC1FBCA2691}"/>
    <cellStyle name="Linked Cell 31 3 2 8 2" xfId="32668" xr:uid="{1E6A31A3-FBA6-408F-9055-C32D3C585FDA}"/>
    <cellStyle name="Linked Cell 31 3 2 8 2 2" xfId="32669" xr:uid="{BF0E9E87-DBAF-43C6-96C2-AD559994468D}"/>
    <cellStyle name="Linked Cell 31 3 2 8 3" xfId="32670" xr:uid="{6862B37E-262A-4A38-BDF6-4D70485849A1}"/>
    <cellStyle name="Linked Cell 31 3 2 9" xfId="32671" xr:uid="{654D3E2C-5411-4032-A81A-30C61576BAB8}"/>
    <cellStyle name="Linked Cell 31 3 2 9 2" xfId="32672" xr:uid="{E863DC3A-3EDE-4B7E-89C1-56BA2433AB8E}"/>
    <cellStyle name="Linked Cell 31 3 2 9 2 2" xfId="32673" xr:uid="{84D09D2D-489C-466C-804F-9B4F84F7ADF3}"/>
    <cellStyle name="Linked Cell 31 3 2 9 3" xfId="32674" xr:uid="{872A1556-688E-4319-9B2B-144E3364E890}"/>
    <cellStyle name="Linked Cell 31 3 3" xfId="32675" xr:uid="{678D0968-B889-427E-B96F-809D9052B317}"/>
    <cellStyle name="Linked Cell 31 3 3 10" xfId="32676" xr:uid="{24D20785-71DE-424A-8CEB-0F8AABAED954}"/>
    <cellStyle name="Linked Cell 31 3 3 10 2" xfId="32677" xr:uid="{F2D33183-5CD8-4281-AE76-C921839465ED}"/>
    <cellStyle name="Linked Cell 31 3 3 10 2 2" xfId="32678" xr:uid="{6174085D-F013-48F2-AD96-4E6D2761BC55}"/>
    <cellStyle name="Linked Cell 31 3 3 10 3" xfId="32679" xr:uid="{A5C645E1-F4E5-4F62-9AF9-ABB6A0D36FD0}"/>
    <cellStyle name="Linked Cell 31 3 3 11" xfId="32680" xr:uid="{0570253F-0999-4C1D-A5CC-49F33B8B7671}"/>
    <cellStyle name="Linked Cell 31 3 3 11 2" xfId="32681" xr:uid="{DF512430-D67C-401F-8511-5F0009F847CB}"/>
    <cellStyle name="Linked Cell 31 3 3 12" xfId="32682" xr:uid="{5CD30C70-E456-4E02-AEA7-E317B5760DE3}"/>
    <cellStyle name="Linked Cell 31 3 3 2" xfId="32683" xr:uid="{0609B15D-3C1D-4002-9332-5879D1A27F79}"/>
    <cellStyle name="Linked Cell 31 3 3 2 10" xfId="32684" xr:uid="{42E9A182-30C2-46CD-99B3-CE466BE9C7BF}"/>
    <cellStyle name="Linked Cell 31 3 3 2 10 2" xfId="32685" xr:uid="{A86E542C-C702-4E63-B18E-33C5238CFACC}"/>
    <cellStyle name="Linked Cell 31 3 3 2 11" xfId="32686" xr:uid="{789611C6-8009-47AD-BB09-53D4801D4D00}"/>
    <cellStyle name="Linked Cell 31 3 3 2 2" xfId="32687" xr:uid="{9C73823C-D22A-4EC2-923F-C8A015774D28}"/>
    <cellStyle name="Linked Cell 31 3 3 2 2 2" xfId="32688" xr:uid="{75742096-E9FA-4473-B3E0-052D3B5CCADB}"/>
    <cellStyle name="Linked Cell 31 3 3 2 2 2 2" xfId="32689" xr:uid="{198CBF54-0B44-4F24-AF37-7E658F5B537C}"/>
    <cellStyle name="Linked Cell 31 3 3 2 2 3" xfId="32690" xr:uid="{68A1E847-E99F-47E8-B4B5-22426476FEA0}"/>
    <cellStyle name="Linked Cell 31 3 3 2 3" xfId="32691" xr:uid="{BDF636BB-8C80-4185-AA03-17FDBED8B072}"/>
    <cellStyle name="Linked Cell 31 3 3 2 3 2" xfId="32692" xr:uid="{C58BA843-5310-4C2A-8173-BA065EDAEB52}"/>
    <cellStyle name="Linked Cell 31 3 3 2 3 2 2" xfId="32693" xr:uid="{F4601093-AE41-4E1F-8551-2D8B698A4284}"/>
    <cellStyle name="Linked Cell 31 3 3 2 3 3" xfId="32694" xr:uid="{1E427093-B1E2-4481-BE63-19D285BC73A9}"/>
    <cellStyle name="Linked Cell 31 3 3 2 4" xfId="32695" xr:uid="{2CB56C9D-6A0D-48CC-A44B-2297774B1FEF}"/>
    <cellStyle name="Linked Cell 31 3 3 2 4 2" xfId="32696" xr:uid="{3D804BC5-12AA-4282-A7A5-C25C602EC4BE}"/>
    <cellStyle name="Linked Cell 31 3 3 2 4 2 2" xfId="32697" xr:uid="{AAD94D9B-932C-4000-87EA-B69354459EBA}"/>
    <cellStyle name="Linked Cell 31 3 3 2 4 3" xfId="32698" xr:uid="{B85FAD41-C9F5-4187-9202-E4859FE84655}"/>
    <cellStyle name="Linked Cell 31 3 3 2 5" xfId="32699" xr:uid="{AA867E34-014A-4F5D-BABF-F65A66D1F97A}"/>
    <cellStyle name="Linked Cell 31 3 3 2 5 2" xfId="32700" xr:uid="{0B430500-90C2-4263-BCBC-D70866D273B3}"/>
    <cellStyle name="Linked Cell 31 3 3 2 5 2 2" xfId="32701" xr:uid="{8AE33688-FF2C-488A-B88E-C17ECF34561F}"/>
    <cellStyle name="Linked Cell 31 3 3 2 5 3" xfId="32702" xr:uid="{FD2BB99E-7A1B-44F4-9760-93B368793663}"/>
    <cellStyle name="Linked Cell 31 3 3 2 6" xfId="32703" xr:uid="{16F1861E-6378-439C-B887-737517827250}"/>
    <cellStyle name="Linked Cell 31 3 3 2 6 2" xfId="32704" xr:uid="{FBCF7B05-2971-4EF9-A432-C9330048A096}"/>
    <cellStyle name="Linked Cell 31 3 3 2 6 2 2" xfId="32705" xr:uid="{8D7560A6-51D0-42A9-9C0F-1706A4BF1690}"/>
    <cellStyle name="Linked Cell 31 3 3 2 6 3" xfId="32706" xr:uid="{5EF19474-BEC9-44BA-A450-B23B9DB786F6}"/>
    <cellStyle name="Linked Cell 31 3 3 2 7" xfId="32707" xr:uid="{7E272604-08CD-4E69-BFCE-B2651820325C}"/>
    <cellStyle name="Linked Cell 31 3 3 2 7 2" xfId="32708" xr:uid="{AF41A979-A071-4510-84EF-AFA12701B670}"/>
    <cellStyle name="Linked Cell 31 3 3 2 7 2 2" xfId="32709" xr:uid="{89BF173D-8CB0-4333-A5D5-58891A05F6E4}"/>
    <cellStyle name="Linked Cell 31 3 3 2 7 3" xfId="32710" xr:uid="{5DE2C613-5A49-41EA-B028-8A48C3203D00}"/>
    <cellStyle name="Linked Cell 31 3 3 2 8" xfId="32711" xr:uid="{ECF1C4DD-B2A6-4F4B-B091-6088C405EBBF}"/>
    <cellStyle name="Linked Cell 31 3 3 2 8 2" xfId="32712" xr:uid="{82ACE8C2-ED6E-4EEF-85E3-720A84CDAC79}"/>
    <cellStyle name="Linked Cell 31 3 3 2 8 2 2" xfId="32713" xr:uid="{8FA907A1-CEA6-4A5F-9C2F-A1A0396F6988}"/>
    <cellStyle name="Linked Cell 31 3 3 2 8 3" xfId="32714" xr:uid="{7733CFFC-1D3D-495D-981A-EFB6403304E2}"/>
    <cellStyle name="Linked Cell 31 3 3 2 9" xfId="32715" xr:uid="{01366CA8-DD43-4BD8-B7F4-DE13D1B46C8F}"/>
    <cellStyle name="Linked Cell 31 3 3 2 9 2" xfId="32716" xr:uid="{004E912D-579C-422E-BAFA-0C8ED961F0A9}"/>
    <cellStyle name="Linked Cell 31 3 3 2 9 2 2" xfId="32717" xr:uid="{4225C911-2EB5-4A95-9F8A-074AC14E588B}"/>
    <cellStyle name="Linked Cell 31 3 3 2 9 3" xfId="32718" xr:uid="{588F551F-ECE8-4D62-9407-5A81A9C67518}"/>
    <cellStyle name="Linked Cell 31 3 3 3" xfId="32719" xr:uid="{D37F8B07-4D98-485C-9BB0-92B0F90B3F51}"/>
    <cellStyle name="Linked Cell 31 3 3 3 2" xfId="32720" xr:uid="{A224D62D-EE54-46E8-A703-0A5819570013}"/>
    <cellStyle name="Linked Cell 31 3 3 3 2 2" xfId="32721" xr:uid="{309DCA95-C967-486B-8EAC-BBB3B62FE471}"/>
    <cellStyle name="Linked Cell 31 3 3 3 3" xfId="32722" xr:uid="{52D7188E-9A3E-4FA8-8D75-9F7C3F86FDEB}"/>
    <cellStyle name="Linked Cell 31 3 3 4" xfId="32723" xr:uid="{B08C2BC1-4E1E-43DD-B6E3-329B8276D2F3}"/>
    <cellStyle name="Linked Cell 31 3 3 4 2" xfId="32724" xr:uid="{2D131355-D093-4F4E-8E7C-5CA82963ABAF}"/>
    <cellStyle name="Linked Cell 31 3 3 4 2 2" xfId="32725" xr:uid="{0169B537-2ED0-47A7-8451-4E96386DF776}"/>
    <cellStyle name="Linked Cell 31 3 3 4 3" xfId="32726" xr:uid="{DBB93B49-6A20-4D14-9D7C-C1D01BB4DC9E}"/>
    <cellStyle name="Linked Cell 31 3 3 5" xfId="32727" xr:uid="{F380BA4F-8D2B-4C71-A00B-E9452998E4F0}"/>
    <cellStyle name="Linked Cell 31 3 3 5 2" xfId="32728" xr:uid="{B0F38665-E721-4BCE-9382-EDD3655B62C9}"/>
    <cellStyle name="Linked Cell 31 3 3 5 2 2" xfId="32729" xr:uid="{BA46DE08-1090-4E54-82C0-012CCF588E01}"/>
    <cellStyle name="Linked Cell 31 3 3 5 3" xfId="32730" xr:uid="{AB76BDF7-21C9-4466-89FC-289E8D011E6A}"/>
    <cellStyle name="Linked Cell 31 3 3 6" xfId="32731" xr:uid="{8FBD0879-DD82-4A21-AB2F-5BB3503A984F}"/>
    <cellStyle name="Linked Cell 31 3 3 6 2" xfId="32732" xr:uid="{4E760BB7-EED8-4CC6-A20F-1F49C482F75C}"/>
    <cellStyle name="Linked Cell 31 3 3 6 2 2" xfId="32733" xr:uid="{23AC27DA-B626-4630-B62A-6BE64F83C835}"/>
    <cellStyle name="Linked Cell 31 3 3 6 3" xfId="32734" xr:uid="{3CE5A88C-6B18-4856-BAA2-55F3F82926F5}"/>
    <cellStyle name="Linked Cell 31 3 3 7" xfId="32735" xr:uid="{347C34E7-149F-44AB-A34A-2C9185DD7AEA}"/>
    <cellStyle name="Linked Cell 31 3 3 7 2" xfId="32736" xr:uid="{AF2E4EF3-8DB4-44F6-A6D6-0FCD0F865E51}"/>
    <cellStyle name="Linked Cell 31 3 3 7 2 2" xfId="32737" xr:uid="{18E86657-4BD2-4D5A-83E1-A9CC900E4047}"/>
    <cellStyle name="Linked Cell 31 3 3 7 3" xfId="32738" xr:uid="{9D0DBFFE-DA32-4A84-AB03-E076E7F795F5}"/>
    <cellStyle name="Linked Cell 31 3 3 8" xfId="32739" xr:uid="{793145B5-A69A-4A3D-9C4A-49A831B9725D}"/>
    <cellStyle name="Linked Cell 31 3 3 8 2" xfId="32740" xr:uid="{E8077E90-4700-4D03-84C0-B0CC64E81A78}"/>
    <cellStyle name="Linked Cell 31 3 3 8 2 2" xfId="32741" xr:uid="{0EBC8E17-558D-45C7-8ED0-C89D14A19D8A}"/>
    <cellStyle name="Linked Cell 31 3 3 8 3" xfId="32742" xr:uid="{0E10892C-86D5-48EF-85A9-36B4735B7C6B}"/>
    <cellStyle name="Linked Cell 31 3 3 9" xfId="32743" xr:uid="{C33D71F8-C5F9-43AE-856F-38B7097132CB}"/>
    <cellStyle name="Linked Cell 31 3 3 9 2" xfId="32744" xr:uid="{76A9E6FD-3BEE-4BB2-89E1-4B3976F24C98}"/>
    <cellStyle name="Linked Cell 31 3 3 9 2 2" xfId="32745" xr:uid="{D9ACFE27-AC5C-4620-BB4D-EA12643CA9EC}"/>
    <cellStyle name="Linked Cell 31 3 3 9 3" xfId="32746" xr:uid="{0727D3EB-2C3A-4F48-A931-382FF262B63B}"/>
    <cellStyle name="Linked Cell 31 3 4" xfId="32747" xr:uid="{42706D7D-6FF5-41B8-9854-E356826A6083}"/>
    <cellStyle name="Linked Cell 31 3 4 10" xfId="32748" xr:uid="{DD26DB63-DE87-4A23-B26E-019A7203DEAD}"/>
    <cellStyle name="Linked Cell 31 3 4 10 2" xfId="32749" xr:uid="{E9191F38-E8A4-4801-B1B6-3F062D4A2BBF}"/>
    <cellStyle name="Linked Cell 31 3 4 11" xfId="32750" xr:uid="{AFB5E5E5-8930-4C5B-801D-C7518498A84C}"/>
    <cellStyle name="Linked Cell 31 3 4 2" xfId="32751" xr:uid="{DFE93A51-CBD2-49DF-AFF1-1BB0525120C7}"/>
    <cellStyle name="Linked Cell 31 3 4 2 2" xfId="32752" xr:uid="{A84B1136-4C24-4ED8-BBE2-5A34B7BC6FA0}"/>
    <cellStyle name="Linked Cell 31 3 4 2 2 2" xfId="32753" xr:uid="{FAF4BFF6-2A44-4CA8-B5FA-EE987EA0BD4B}"/>
    <cellStyle name="Linked Cell 31 3 4 2 3" xfId="32754" xr:uid="{2CF4F2CF-593C-4874-A3E4-75D950364A9B}"/>
    <cellStyle name="Linked Cell 31 3 4 3" xfId="32755" xr:uid="{916C0711-3D40-4536-8F89-2F0A8ED5B62A}"/>
    <cellStyle name="Linked Cell 31 3 4 3 2" xfId="32756" xr:uid="{1678C474-3972-4DFA-B510-28DF7A431726}"/>
    <cellStyle name="Linked Cell 31 3 4 3 2 2" xfId="32757" xr:uid="{BACC3B81-46E8-406F-B664-2C4DA2305EEA}"/>
    <cellStyle name="Linked Cell 31 3 4 3 3" xfId="32758" xr:uid="{9F436FAD-4E1E-44FB-B69F-FA28818A5A64}"/>
    <cellStyle name="Linked Cell 31 3 4 4" xfId="32759" xr:uid="{998E03D9-B403-4DFC-B1C1-2444EF8DAC96}"/>
    <cellStyle name="Linked Cell 31 3 4 4 2" xfId="32760" xr:uid="{03F046BD-B5B5-4744-9202-B7069685A5AB}"/>
    <cellStyle name="Linked Cell 31 3 4 4 2 2" xfId="32761" xr:uid="{9C2FDC7D-E0E8-4DA5-A9CA-B163790E4420}"/>
    <cellStyle name="Linked Cell 31 3 4 4 3" xfId="32762" xr:uid="{7EEA6259-655D-4450-B890-459FF7FDFB22}"/>
    <cellStyle name="Linked Cell 31 3 4 5" xfId="32763" xr:uid="{7DFB56D1-C290-45C6-84DC-955273B7B6B5}"/>
    <cellStyle name="Linked Cell 31 3 4 5 2" xfId="32764" xr:uid="{84D65511-C164-4F68-A301-9357C56600E0}"/>
    <cellStyle name="Linked Cell 31 3 4 5 2 2" xfId="32765" xr:uid="{71A15E5E-11F2-48D4-AD3C-D623031557C8}"/>
    <cellStyle name="Linked Cell 31 3 4 5 3" xfId="32766" xr:uid="{8FD48A21-85B2-46AA-BAAC-A8E14FC0C479}"/>
    <cellStyle name="Linked Cell 31 3 4 6" xfId="32767" xr:uid="{465C72DA-268E-4E04-B053-399A2BD9C6ED}"/>
    <cellStyle name="Linked Cell 31 3 4 6 2" xfId="32768" xr:uid="{24EA98E4-BFDD-4ADE-8C1A-163C9ADD1210}"/>
    <cellStyle name="Linked Cell 31 3 4 6 2 2" xfId="32769" xr:uid="{EC156C2E-2EDA-4BCC-9447-C52C98E7418D}"/>
    <cellStyle name="Linked Cell 31 3 4 6 3" xfId="32770" xr:uid="{A252604A-6867-47D0-A9D3-75A11A360961}"/>
    <cellStyle name="Linked Cell 31 3 4 7" xfId="32771" xr:uid="{EB0035E4-E6BE-4ED8-B9C1-0490A45C3365}"/>
    <cellStyle name="Linked Cell 31 3 4 7 2" xfId="32772" xr:uid="{7B6ACFD1-FE74-4618-BB90-A677C8D2DE27}"/>
    <cellStyle name="Linked Cell 31 3 4 7 2 2" xfId="32773" xr:uid="{AAA95EAC-D5C4-40D4-A49D-472D01A9103B}"/>
    <cellStyle name="Linked Cell 31 3 4 7 3" xfId="32774" xr:uid="{27C9494F-9CC0-4444-8CD8-5C74805B3BE9}"/>
    <cellStyle name="Linked Cell 31 3 4 8" xfId="32775" xr:uid="{92714C8C-D313-4704-84AA-55ED0303E61E}"/>
    <cellStyle name="Linked Cell 31 3 4 8 2" xfId="32776" xr:uid="{F438E4F5-E85E-4EA4-B345-2410D87FCF3D}"/>
    <cellStyle name="Linked Cell 31 3 4 8 2 2" xfId="32777" xr:uid="{76173A29-634E-4058-89C0-BFCA6E67A644}"/>
    <cellStyle name="Linked Cell 31 3 4 8 3" xfId="32778" xr:uid="{587E3E0F-C762-4C64-A6C4-24911E8FB0DA}"/>
    <cellStyle name="Linked Cell 31 3 4 9" xfId="32779" xr:uid="{72BAF88B-45D3-4A92-9A47-5B1BB571583A}"/>
    <cellStyle name="Linked Cell 31 3 4 9 2" xfId="32780" xr:uid="{8121B9EE-CDC5-4C83-8E0B-B05A4068FF76}"/>
    <cellStyle name="Linked Cell 31 3 4 9 2 2" xfId="32781" xr:uid="{6FC4C2CF-9C34-4B67-81A4-5E1C4C1DF563}"/>
    <cellStyle name="Linked Cell 31 3 4 9 3" xfId="32782" xr:uid="{0E3AF53C-B986-437A-83FD-7C7DBA986F78}"/>
    <cellStyle name="Linked Cell 31 3 5" xfId="32783" xr:uid="{85432BB2-2D04-4FF2-87AB-4F8D9CD217F1}"/>
    <cellStyle name="Linked Cell 31 3 5 2" xfId="32784" xr:uid="{28A9CCF6-9D49-45F4-B510-CA8B22BBF8BF}"/>
    <cellStyle name="Linked Cell 31 3 5 2 2" xfId="32785" xr:uid="{33B8D96B-625F-418B-B821-A4079CD28378}"/>
    <cellStyle name="Linked Cell 31 3 5 3" xfId="32786" xr:uid="{582EAA3C-DAB8-444E-9D8D-215006A54198}"/>
    <cellStyle name="Linked Cell 31 3 6" xfId="32787" xr:uid="{B3BCCDA7-FC68-4B1C-89B9-A933DEBF356A}"/>
    <cellStyle name="Linked Cell 31 3 6 2" xfId="32788" xr:uid="{32847810-A9D6-48CD-B23E-FFF67991EF44}"/>
    <cellStyle name="Linked Cell 31 3 6 2 2" xfId="32789" xr:uid="{34BFF516-49BD-4102-99A3-71725E63EBEF}"/>
    <cellStyle name="Linked Cell 31 3 6 3" xfId="32790" xr:uid="{FA620FA2-30FD-4569-A26C-5B0F1EB01182}"/>
    <cellStyle name="Linked Cell 31 3 7" xfId="32791" xr:uid="{AC1E6E06-8C1B-42A6-B6BC-F193559E85B4}"/>
    <cellStyle name="Linked Cell 31 3 7 2" xfId="32792" xr:uid="{9682709B-B061-48B1-A659-1C36ACF5A108}"/>
    <cellStyle name="Linked Cell 31 3 7 2 2" xfId="32793" xr:uid="{A179B7C0-0457-4D0A-9A66-B7D75F680291}"/>
    <cellStyle name="Linked Cell 31 3 7 3" xfId="32794" xr:uid="{0DBFED06-742B-4BC8-8E46-738A3524BEBC}"/>
    <cellStyle name="Linked Cell 31 3 8" xfId="32795" xr:uid="{E12ECB9A-7EAB-4A2D-B457-5203983F630C}"/>
    <cellStyle name="Linked Cell 31 3 8 2" xfId="32796" xr:uid="{2DEDDB1D-2ADB-4448-9A3A-15AE62551830}"/>
    <cellStyle name="Linked Cell 31 3 8 2 2" xfId="32797" xr:uid="{A1D61A2D-D2BB-4F27-BDC0-E6735728836F}"/>
    <cellStyle name="Linked Cell 31 3 8 3" xfId="32798" xr:uid="{CEE20A10-84B0-4958-B699-E358435D0BE5}"/>
    <cellStyle name="Linked Cell 31 3 9" xfId="32799" xr:uid="{7C93F959-DFE7-40F1-90C1-684EF3BBCD5D}"/>
    <cellStyle name="Linked Cell 31 3 9 2" xfId="32800" xr:uid="{8EA088B1-1919-491D-A757-134A4D73D346}"/>
    <cellStyle name="Linked Cell 31 3 9 2 2" xfId="32801" xr:uid="{7D96C78E-6A52-48F2-A67C-DE57A6FE1AED}"/>
    <cellStyle name="Linked Cell 31 3 9 3" xfId="32802" xr:uid="{A9EB1725-9899-4E0F-9F0F-2306A8447290}"/>
    <cellStyle name="Linked Cell 31 4" xfId="32803" xr:uid="{055D01B9-57DD-402B-9087-F8531D7E27EB}"/>
    <cellStyle name="Linked Cell 31 4 10" xfId="32804" xr:uid="{32680315-641F-485E-8F57-77562FCE3BCC}"/>
    <cellStyle name="Linked Cell 31 4 10 2" xfId="32805" xr:uid="{71D1194E-5D47-4779-82A7-3F0D9F26AE49}"/>
    <cellStyle name="Linked Cell 31 4 10 2 2" xfId="32806" xr:uid="{220BCB89-C860-4177-A937-F2AE563E7A26}"/>
    <cellStyle name="Linked Cell 31 4 10 3" xfId="32807" xr:uid="{99CDF5BD-1259-4E48-ABB3-FD0CC7E5CD95}"/>
    <cellStyle name="Linked Cell 31 4 11" xfId="32808" xr:uid="{98C02701-FC58-4DAB-90C4-8D4F17983F9D}"/>
    <cellStyle name="Linked Cell 31 4 11 2" xfId="32809" xr:uid="{31F591C1-6F9F-431B-A2E6-76C0FD079FF3}"/>
    <cellStyle name="Linked Cell 31 4 11 2 2" xfId="32810" xr:uid="{E18DB945-030D-47B9-A6A9-5E1B435E4007}"/>
    <cellStyle name="Linked Cell 31 4 11 3" xfId="32811" xr:uid="{F0220CDA-63A3-4590-A97E-A2C12DFC95BF}"/>
    <cellStyle name="Linked Cell 31 4 12" xfId="32812" xr:uid="{FDAE29FF-206D-4BB6-A30B-6C47238B0BF1}"/>
    <cellStyle name="Linked Cell 31 4 12 2" xfId="32813" xr:uid="{F65CD8CB-EEC9-485A-85AE-4C77CFFD09EF}"/>
    <cellStyle name="Linked Cell 31 4 13" xfId="32814" xr:uid="{D289920C-10E5-4382-B29A-CEE3F135C130}"/>
    <cellStyle name="Linked Cell 31 4 2" xfId="32815" xr:uid="{EAD4CEB6-FEF6-4A73-A779-35EB1F0CE982}"/>
    <cellStyle name="Linked Cell 31 4 2 10" xfId="32816" xr:uid="{AF5E8A45-FC5B-4EAE-983E-B315B760B9B6}"/>
    <cellStyle name="Linked Cell 31 4 2 10 2" xfId="32817" xr:uid="{DD1A3022-8CE9-437F-93B5-F46D0E750889}"/>
    <cellStyle name="Linked Cell 31 4 2 10 2 2" xfId="32818" xr:uid="{2BD67687-916E-4020-9A5D-C7E3FAF37CCE}"/>
    <cellStyle name="Linked Cell 31 4 2 10 3" xfId="32819" xr:uid="{402CF22F-55A9-4039-84FE-1C9E01F430A5}"/>
    <cellStyle name="Linked Cell 31 4 2 11" xfId="32820" xr:uid="{116C2116-354E-479B-BA41-B9F8521CEE6B}"/>
    <cellStyle name="Linked Cell 31 4 2 11 2" xfId="32821" xr:uid="{E75C62BA-E8C6-4E89-A4C6-D5692FBB703C}"/>
    <cellStyle name="Linked Cell 31 4 2 12" xfId="32822" xr:uid="{8FCF6771-D4A0-41AB-94B6-F669C6F5F757}"/>
    <cellStyle name="Linked Cell 31 4 2 2" xfId="32823" xr:uid="{F18F5118-118E-4E40-A2DB-0E59AA8EF178}"/>
    <cellStyle name="Linked Cell 31 4 2 2 2" xfId="32824" xr:uid="{E919C336-3314-487D-857E-24D70B984C95}"/>
    <cellStyle name="Linked Cell 31 4 2 2 2 2" xfId="32825" xr:uid="{34FDC235-D5E5-47E2-B002-5D70DA515378}"/>
    <cellStyle name="Linked Cell 31 4 2 2 3" xfId="32826" xr:uid="{3BD15B54-4CEC-4CB0-A964-8DB9E7FB9FF6}"/>
    <cellStyle name="Linked Cell 31 4 2 3" xfId="32827" xr:uid="{439978FB-F517-44B0-8913-7391E86C34E9}"/>
    <cellStyle name="Linked Cell 31 4 2 3 2" xfId="32828" xr:uid="{F67E04A2-6764-46B5-B831-0D2F18B24741}"/>
    <cellStyle name="Linked Cell 31 4 2 3 2 2" xfId="32829" xr:uid="{D3D89369-4212-4DA2-B267-F1532FEF542A}"/>
    <cellStyle name="Linked Cell 31 4 2 3 3" xfId="32830" xr:uid="{55C2F410-FF19-4B89-8606-76C1F69C0030}"/>
    <cellStyle name="Linked Cell 31 4 2 4" xfId="32831" xr:uid="{DE4BA2CC-823D-4028-A7D3-CED187C78B7B}"/>
    <cellStyle name="Linked Cell 31 4 2 4 2" xfId="32832" xr:uid="{BB992A6F-F647-4606-A729-CF5EFC998676}"/>
    <cellStyle name="Linked Cell 31 4 2 4 2 2" xfId="32833" xr:uid="{031117CC-68DE-4948-9245-7A5CD63E5AED}"/>
    <cellStyle name="Linked Cell 31 4 2 4 3" xfId="32834" xr:uid="{AC79A4FA-8659-438E-91E7-8F06FE417004}"/>
    <cellStyle name="Linked Cell 31 4 2 5" xfId="32835" xr:uid="{BA74D9F2-7C3B-4CDD-93D0-0ABAF4982A54}"/>
    <cellStyle name="Linked Cell 31 4 2 5 2" xfId="32836" xr:uid="{DD6F69ED-D5B3-4290-BEB0-86765FA4A187}"/>
    <cellStyle name="Linked Cell 31 4 2 5 2 2" xfId="32837" xr:uid="{4EAA4100-EC6E-4E9F-A16C-E73E604D0D6D}"/>
    <cellStyle name="Linked Cell 31 4 2 5 3" xfId="32838" xr:uid="{5469D298-790C-4B76-AA3A-48D4D5C761D3}"/>
    <cellStyle name="Linked Cell 31 4 2 6" xfId="32839" xr:uid="{9450524D-C0E3-4198-92BF-7C4E9F25A254}"/>
    <cellStyle name="Linked Cell 31 4 2 6 2" xfId="32840" xr:uid="{4B6293CE-5DAA-495B-A8DD-AC70F5D916D1}"/>
    <cellStyle name="Linked Cell 31 4 2 6 2 2" xfId="32841" xr:uid="{5B51812C-EFCC-486D-A043-DD65E4CB4A4C}"/>
    <cellStyle name="Linked Cell 31 4 2 6 3" xfId="32842" xr:uid="{C8BBCF11-86F2-44CA-A2C8-9B4196482096}"/>
    <cellStyle name="Linked Cell 31 4 2 7" xfId="32843" xr:uid="{17E66A78-4AC3-4D06-92BC-645595EBB2AB}"/>
    <cellStyle name="Linked Cell 31 4 2 7 2" xfId="32844" xr:uid="{BF90768D-2840-42B4-8F20-099E267BA991}"/>
    <cellStyle name="Linked Cell 31 4 2 7 2 2" xfId="32845" xr:uid="{0AFF1273-C9D6-4663-A197-1BB492B8EAD5}"/>
    <cellStyle name="Linked Cell 31 4 2 7 3" xfId="32846" xr:uid="{E41E3F11-1E90-4D36-8B37-EF35A29E6C9F}"/>
    <cellStyle name="Linked Cell 31 4 2 8" xfId="32847" xr:uid="{298851F4-5EEC-4710-8DB9-0F6D4A710F54}"/>
    <cellStyle name="Linked Cell 31 4 2 8 2" xfId="32848" xr:uid="{CC00FE13-CB4F-4DCE-A53E-4722C4123158}"/>
    <cellStyle name="Linked Cell 31 4 2 8 2 2" xfId="32849" xr:uid="{283BB4EA-AA49-4BDA-A623-C8FCCC6A0E66}"/>
    <cellStyle name="Linked Cell 31 4 2 8 3" xfId="32850" xr:uid="{D86162D8-6556-4687-910C-97A3CDB87B22}"/>
    <cellStyle name="Linked Cell 31 4 2 9" xfId="32851" xr:uid="{D1A34E49-632B-4469-A898-36842D7C1C9B}"/>
    <cellStyle name="Linked Cell 31 4 2 9 2" xfId="32852" xr:uid="{BFC3B8FA-C138-4798-8F83-E81B07D577EF}"/>
    <cellStyle name="Linked Cell 31 4 2 9 2 2" xfId="32853" xr:uid="{10C19737-5ACE-4B40-8689-0CADC8767129}"/>
    <cellStyle name="Linked Cell 31 4 2 9 3" xfId="32854" xr:uid="{9467D158-143A-43C5-928C-2D08E9CD2230}"/>
    <cellStyle name="Linked Cell 31 4 3" xfId="32855" xr:uid="{E393818D-67F6-4833-A885-9D31B4457623}"/>
    <cellStyle name="Linked Cell 31 4 3 10" xfId="32856" xr:uid="{9413DC28-F9C9-4859-AAD3-E9F7F766CA4F}"/>
    <cellStyle name="Linked Cell 31 4 3 10 2" xfId="32857" xr:uid="{0BC03940-A862-4B7A-834E-C2C417A270DB}"/>
    <cellStyle name="Linked Cell 31 4 3 11" xfId="32858" xr:uid="{F6B6BC3F-FB19-40BE-95AB-1B12B345666A}"/>
    <cellStyle name="Linked Cell 31 4 3 2" xfId="32859" xr:uid="{2B5BF9C1-AF71-4F27-BC07-8200E1F3BEB1}"/>
    <cellStyle name="Linked Cell 31 4 3 2 2" xfId="32860" xr:uid="{9C89E112-C165-45B5-8F82-9DBE43069C58}"/>
    <cellStyle name="Linked Cell 31 4 3 2 2 2" xfId="32861" xr:uid="{B7F8BA5A-CB4C-459A-BD79-0958EA1A7533}"/>
    <cellStyle name="Linked Cell 31 4 3 2 3" xfId="32862" xr:uid="{0BBA9D95-2CD2-4ED7-8CE0-8DAC3C5CC7F8}"/>
    <cellStyle name="Linked Cell 31 4 3 3" xfId="32863" xr:uid="{0CD68A16-7CA8-4F9F-A383-D0E953712389}"/>
    <cellStyle name="Linked Cell 31 4 3 3 2" xfId="32864" xr:uid="{7ED97118-E505-47EE-9E73-59FDBCE76475}"/>
    <cellStyle name="Linked Cell 31 4 3 3 2 2" xfId="32865" xr:uid="{A13CA9AB-7691-4B17-8A8C-A5E8B5EA5109}"/>
    <cellStyle name="Linked Cell 31 4 3 3 3" xfId="32866" xr:uid="{664EDE7B-59CE-443D-AD25-3C112D7B6B36}"/>
    <cellStyle name="Linked Cell 31 4 3 4" xfId="32867" xr:uid="{EB9E6AFA-3D43-4070-B36A-5AF15B585480}"/>
    <cellStyle name="Linked Cell 31 4 3 4 2" xfId="32868" xr:uid="{9E72A1AE-AE6A-4996-B502-EDF5B8B5AC4B}"/>
    <cellStyle name="Linked Cell 31 4 3 4 2 2" xfId="32869" xr:uid="{BB231EE2-1283-4B5A-A31B-B0BE3047552E}"/>
    <cellStyle name="Linked Cell 31 4 3 4 3" xfId="32870" xr:uid="{0F8DC025-4760-4DB2-AAA5-EE4F9BFB9B5B}"/>
    <cellStyle name="Linked Cell 31 4 3 5" xfId="32871" xr:uid="{22A6D07C-479F-4D9B-BC69-FF3DE1D7DF0F}"/>
    <cellStyle name="Linked Cell 31 4 3 5 2" xfId="32872" xr:uid="{E6537CAD-6753-44A7-8040-DDFC8D904803}"/>
    <cellStyle name="Linked Cell 31 4 3 5 2 2" xfId="32873" xr:uid="{603F122A-9116-40DD-96AB-D909A4E62415}"/>
    <cellStyle name="Linked Cell 31 4 3 5 3" xfId="32874" xr:uid="{6C677959-8C89-46D9-8760-B7FAE551D76A}"/>
    <cellStyle name="Linked Cell 31 4 3 6" xfId="32875" xr:uid="{D9718550-13C4-44D6-AC10-8DB3572954B8}"/>
    <cellStyle name="Linked Cell 31 4 3 6 2" xfId="32876" xr:uid="{69C41305-29DA-4FB8-BFAB-2E92C98ADC5A}"/>
    <cellStyle name="Linked Cell 31 4 3 6 2 2" xfId="32877" xr:uid="{D2A6CDEA-D4A0-4164-9D04-8C048F65AA1A}"/>
    <cellStyle name="Linked Cell 31 4 3 6 3" xfId="32878" xr:uid="{41C9B576-E9AB-4C49-A8F4-3E52C1DC16B7}"/>
    <cellStyle name="Linked Cell 31 4 3 7" xfId="32879" xr:uid="{DC3D3281-0AA9-4847-A9C9-FC6AAB1E2BAF}"/>
    <cellStyle name="Linked Cell 31 4 3 7 2" xfId="32880" xr:uid="{02F05719-6FFF-497A-BEA8-71631120DE99}"/>
    <cellStyle name="Linked Cell 31 4 3 7 2 2" xfId="32881" xr:uid="{8649C6B0-547D-4237-BFF2-29B4A1A7315E}"/>
    <cellStyle name="Linked Cell 31 4 3 7 3" xfId="32882" xr:uid="{E3981FE1-7C8E-402B-ABC3-87CB574B0AC2}"/>
    <cellStyle name="Linked Cell 31 4 3 8" xfId="32883" xr:uid="{26818204-ED79-4BAC-B1B9-1C39A0D7B200}"/>
    <cellStyle name="Linked Cell 31 4 3 8 2" xfId="32884" xr:uid="{F887EE28-8903-45D9-929A-B9CED9ABD931}"/>
    <cellStyle name="Linked Cell 31 4 3 8 2 2" xfId="32885" xr:uid="{7EC30D30-E9A5-4C2B-BC5C-04001A2FEC89}"/>
    <cellStyle name="Linked Cell 31 4 3 8 3" xfId="32886" xr:uid="{B5916C54-5FA4-4640-B0D9-6925B907F416}"/>
    <cellStyle name="Linked Cell 31 4 3 9" xfId="32887" xr:uid="{5BB1E4BC-04BC-4329-B451-7F99A3CD854E}"/>
    <cellStyle name="Linked Cell 31 4 3 9 2" xfId="32888" xr:uid="{008CA1DA-E3E8-4D80-92AA-1B18C92FFDD8}"/>
    <cellStyle name="Linked Cell 31 4 3 9 2 2" xfId="32889" xr:uid="{EFE02158-CDA8-42BC-87EE-DC18E08737C1}"/>
    <cellStyle name="Linked Cell 31 4 3 9 3" xfId="32890" xr:uid="{982C2ACF-CD9F-4CB4-A7C0-D3E13AFF773D}"/>
    <cellStyle name="Linked Cell 31 4 4" xfId="32891" xr:uid="{E23E6BE4-5103-4C64-B802-4C71480F8935}"/>
    <cellStyle name="Linked Cell 31 4 4 2" xfId="32892" xr:uid="{BD77727B-BB14-4099-96EA-5941BFB2B099}"/>
    <cellStyle name="Linked Cell 31 4 4 2 2" xfId="32893" xr:uid="{E091FC1A-19B6-417E-9DD5-FDDF11E5E72D}"/>
    <cellStyle name="Linked Cell 31 4 4 3" xfId="32894" xr:uid="{A9C1A851-3225-4BA5-AFE9-03D0FA21F849}"/>
    <cellStyle name="Linked Cell 31 4 5" xfId="32895" xr:uid="{40768075-16D8-4153-89F5-5195EEBE2817}"/>
    <cellStyle name="Linked Cell 31 4 5 2" xfId="32896" xr:uid="{F894DE4E-DD16-45B9-822E-47C2B74E9FE3}"/>
    <cellStyle name="Linked Cell 31 4 5 2 2" xfId="32897" xr:uid="{671F58D8-C2FF-4316-A7CD-7B10EEA43239}"/>
    <cellStyle name="Linked Cell 31 4 5 3" xfId="32898" xr:uid="{092A44A7-A58D-4B56-BE1B-EE68D721AF5B}"/>
    <cellStyle name="Linked Cell 31 4 6" xfId="32899" xr:uid="{F28AC411-98FB-4890-A66C-C5905FB03297}"/>
    <cellStyle name="Linked Cell 31 4 6 2" xfId="32900" xr:uid="{B5FD1252-0758-40A2-BF0E-922AE9190A65}"/>
    <cellStyle name="Linked Cell 31 4 6 2 2" xfId="32901" xr:uid="{EF44B936-35D4-4BA1-814D-5FDB6543F400}"/>
    <cellStyle name="Linked Cell 31 4 6 3" xfId="32902" xr:uid="{36CCC264-E387-418B-842D-6D1248C85749}"/>
    <cellStyle name="Linked Cell 31 4 7" xfId="32903" xr:uid="{33F42FFC-43D2-4394-95E3-598766362755}"/>
    <cellStyle name="Linked Cell 31 4 7 2" xfId="32904" xr:uid="{50BE37A9-9DA7-496F-81CD-068EB22129FF}"/>
    <cellStyle name="Linked Cell 31 4 7 2 2" xfId="32905" xr:uid="{2808A237-D0CC-438A-877B-286E406D1B83}"/>
    <cellStyle name="Linked Cell 31 4 7 3" xfId="32906" xr:uid="{09B8BD06-4165-4241-83DC-6B13A704FDC2}"/>
    <cellStyle name="Linked Cell 31 4 8" xfId="32907" xr:uid="{5BE4ED0E-9F36-44A0-9136-22C5E159CC6A}"/>
    <cellStyle name="Linked Cell 31 4 8 2" xfId="32908" xr:uid="{BC3AB255-ACD2-41E4-8057-B5E1D5B1B08E}"/>
    <cellStyle name="Linked Cell 31 4 8 2 2" xfId="32909" xr:uid="{9E2ECE31-5A4D-487E-9E3A-1662E814AA06}"/>
    <cellStyle name="Linked Cell 31 4 8 3" xfId="32910" xr:uid="{31ECC0F1-7D12-4F5B-8011-F23D7555EBFD}"/>
    <cellStyle name="Linked Cell 31 4 9" xfId="32911" xr:uid="{3C773B96-FF1C-4252-8504-C17D7A944338}"/>
    <cellStyle name="Linked Cell 31 4 9 2" xfId="32912" xr:uid="{9DC68602-0EA7-4A0D-A9D5-79B8AE6012FF}"/>
    <cellStyle name="Linked Cell 31 4 9 2 2" xfId="32913" xr:uid="{42FCA8FC-537A-4283-999E-8489C4C850F9}"/>
    <cellStyle name="Linked Cell 31 4 9 3" xfId="32914" xr:uid="{851FFCB1-8C7E-47B7-A2D8-C4172F787C72}"/>
    <cellStyle name="Linked Cell 32" xfId="32915" xr:uid="{67298EBE-B83B-4682-9BC4-3FBFECCE25FE}"/>
    <cellStyle name="Linked Cell 32 2" xfId="32916" xr:uid="{4A1F899D-D108-4894-B96C-28BE297C972A}"/>
    <cellStyle name="Linked Cell 32 2 10" xfId="32917" xr:uid="{2A00A09C-A422-4B42-8528-21BA21383452}"/>
    <cellStyle name="Linked Cell 32 2 10 2" xfId="32918" xr:uid="{12733C26-DDB4-434D-802E-408A75E9A0F8}"/>
    <cellStyle name="Linked Cell 32 2 10 2 2" xfId="32919" xr:uid="{CF3A70B9-B6CC-4912-9101-62840EBF4157}"/>
    <cellStyle name="Linked Cell 32 2 10 3" xfId="32920" xr:uid="{517F7EF6-482A-4751-BAD8-0FE0A1A1186F}"/>
    <cellStyle name="Linked Cell 32 2 11" xfId="32921" xr:uid="{0C1C2D1F-0FCB-4D7F-AE54-0D1F38EEE929}"/>
    <cellStyle name="Linked Cell 32 2 11 2" xfId="32922" xr:uid="{3C7D7186-FB70-457D-9353-B8C34F48DCB7}"/>
    <cellStyle name="Linked Cell 32 2 11 2 2" xfId="32923" xr:uid="{3F2B6D91-CA2A-4628-840C-A4305E6C6D26}"/>
    <cellStyle name="Linked Cell 32 2 11 3" xfId="32924" xr:uid="{88F8842B-B880-46E3-B4D3-C38B62B94859}"/>
    <cellStyle name="Linked Cell 32 2 12" xfId="32925" xr:uid="{2F407E59-5E08-496D-AEF3-3D54D4E080FE}"/>
    <cellStyle name="Linked Cell 32 2 12 2" xfId="32926" xr:uid="{31C19895-F866-451B-966D-B805D636D01C}"/>
    <cellStyle name="Linked Cell 32 2 12 2 2" xfId="32927" xr:uid="{81B0544B-145B-49AB-886B-9F990E88744F}"/>
    <cellStyle name="Linked Cell 32 2 12 3" xfId="32928" xr:uid="{D458A3BF-9197-444B-A111-A4E6EB767E33}"/>
    <cellStyle name="Linked Cell 32 2 13" xfId="32929" xr:uid="{A2BDB197-9E27-4DB5-8F09-9456F7C7A4B0}"/>
    <cellStyle name="Linked Cell 32 2 13 2" xfId="32930" xr:uid="{083B5E8C-D2D3-461A-9CF4-BD9AF3EFB801}"/>
    <cellStyle name="Linked Cell 32 2 13 2 2" xfId="32931" xr:uid="{6414BD67-8AD4-485E-9106-BEF1DDCF8768}"/>
    <cellStyle name="Linked Cell 32 2 13 3" xfId="32932" xr:uid="{7176DC4F-B63D-4306-A97E-6D1DC0BE23EB}"/>
    <cellStyle name="Linked Cell 32 2 14" xfId="32933" xr:uid="{D362491C-00BD-4A68-991E-11FD6573EEEF}"/>
    <cellStyle name="Linked Cell 32 2 14 2" xfId="32934" xr:uid="{CB9EF4BD-C920-4BBF-9152-A26F241B0477}"/>
    <cellStyle name="Linked Cell 32 2 15" xfId="32935" xr:uid="{A5B4F8F6-CB15-4259-8587-ECA2BDF66073}"/>
    <cellStyle name="Linked Cell 32 2 2" xfId="32936" xr:uid="{4587AB40-168E-465B-BCBB-97758A4B9085}"/>
    <cellStyle name="Linked Cell 32 2 2 10" xfId="32937" xr:uid="{56BF4F14-575A-484B-B655-B7B335C457BE}"/>
    <cellStyle name="Linked Cell 32 2 2 10 2" xfId="32938" xr:uid="{507B6A05-CF18-48D9-9775-CF396A73D63F}"/>
    <cellStyle name="Linked Cell 32 2 2 10 2 2" xfId="32939" xr:uid="{110BF670-55C2-4215-A939-1A6463B959D3}"/>
    <cellStyle name="Linked Cell 32 2 2 10 3" xfId="32940" xr:uid="{169E621A-2035-44E2-9AD1-386BD272A42C}"/>
    <cellStyle name="Linked Cell 32 2 2 11" xfId="32941" xr:uid="{051505B2-8733-4AAF-8F95-6F32C4FC40B3}"/>
    <cellStyle name="Linked Cell 32 2 2 11 2" xfId="32942" xr:uid="{6F31150D-729D-4060-8AE3-1321CC3502BF}"/>
    <cellStyle name="Linked Cell 32 2 2 11 2 2" xfId="32943" xr:uid="{BDE86203-D63E-41FF-94A9-8130C7917E11}"/>
    <cellStyle name="Linked Cell 32 2 2 11 3" xfId="32944" xr:uid="{D326B786-39BE-412E-8640-5E48EAC77C96}"/>
    <cellStyle name="Linked Cell 32 2 2 12" xfId="32945" xr:uid="{64BBAE4F-EFBF-41F7-ADCC-48C01D078B34}"/>
    <cellStyle name="Linked Cell 32 2 2 12 2" xfId="32946" xr:uid="{A394E241-A0CC-4C6C-BADA-57F8DF7C97F4}"/>
    <cellStyle name="Linked Cell 32 2 2 12 2 2" xfId="32947" xr:uid="{3690FE5D-738E-4216-B151-59A2B86F3FDA}"/>
    <cellStyle name="Linked Cell 32 2 2 12 3" xfId="32948" xr:uid="{4F49C624-A6AB-4D63-B011-5CFD006F9227}"/>
    <cellStyle name="Linked Cell 32 2 2 13" xfId="32949" xr:uid="{C4177F37-3803-4D1E-890C-59D9D45E7717}"/>
    <cellStyle name="Linked Cell 32 2 2 13 2" xfId="32950" xr:uid="{9D149610-A131-4971-8A56-EDB7878F7C1B}"/>
    <cellStyle name="Linked Cell 32 2 2 14" xfId="32951" xr:uid="{6A6BBA60-EB5A-4E6C-906A-81B8BFBBD922}"/>
    <cellStyle name="Linked Cell 32 2 2 2" xfId="32952" xr:uid="{8A5F45F6-3846-487E-A8F5-040733FF5A81}"/>
    <cellStyle name="Linked Cell 32 2 2 2 10" xfId="32953" xr:uid="{5343F084-0839-48E3-AD57-FBC247AAFE08}"/>
    <cellStyle name="Linked Cell 32 2 2 2 10 2" xfId="32954" xr:uid="{259CDE19-3BDD-48DD-A68E-CF91E77F6E64}"/>
    <cellStyle name="Linked Cell 32 2 2 2 10 2 2" xfId="32955" xr:uid="{3793BB81-F064-454B-AC05-245B0ECE0538}"/>
    <cellStyle name="Linked Cell 32 2 2 2 10 3" xfId="32956" xr:uid="{DAB8DF44-672F-461C-8618-F1908E4B07E8}"/>
    <cellStyle name="Linked Cell 32 2 2 2 11" xfId="32957" xr:uid="{D5136C80-4895-4062-A3FD-3323B3E27187}"/>
    <cellStyle name="Linked Cell 32 2 2 2 11 2" xfId="32958" xr:uid="{F1B3964F-DDB9-4536-BC30-45D9BABC1996}"/>
    <cellStyle name="Linked Cell 32 2 2 2 11 2 2" xfId="32959" xr:uid="{D9DED67F-086A-4498-9E68-AF6F9A47C77C}"/>
    <cellStyle name="Linked Cell 32 2 2 2 11 3" xfId="32960" xr:uid="{2BF2B7CA-8B66-4AD1-8E1F-32C56F6B1594}"/>
    <cellStyle name="Linked Cell 32 2 2 2 12" xfId="32961" xr:uid="{F8D30654-5772-4335-A81C-D30262B176DD}"/>
    <cellStyle name="Linked Cell 32 2 2 2 12 2" xfId="32962" xr:uid="{F0052EE4-CE7F-4793-8A7C-767A50E4B12D}"/>
    <cellStyle name="Linked Cell 32 2 2 2 13" xfId="32963" xr:uid="{EE483685-1E89-4E31-83E5-266336DF8AD7}"/>
    <cellStyle name="Linked Cell 32 2 2 2 2" xfId="32964" xr:uid="{C88348A3-C239-46CC-B8F7-A64BFC06E0BF}"/>
    <cellStyle name="Linked Cell 32 2 2 2 2 10" xfId="32965" xr:uid="{D311348F-E133-4977-B70C-F46917752E69}"/>
    <cellStyle name="Linked Cell 32 2 2 2 2 10 2" xfId="32966" xr:uid="{D7AC8BB6-5AEB-4480-9F35-F20ED2300EA4}"/>
    <cellStyle name="Linked Cell 32 2 2 2 2 10 2 2" xfId="32967" xr:uid="{2020E192-EB14-41B8-8CF8-C434C7233473}"/>
    <cellStyle name="Linked Cell 32 2 2 2 2 10 3" xfId="32968" xr:uid="{6AC0CA55-1AC7-4A4C-B027-8C51D7EF7B87}"/>
    <cellStyle name="Linked Cell 32 2 2 2 2 11" xfId="32969" xr:uid="{F4B8E8E7-391B-4F42-86A2-C89BD0119BC2}"/>
    <cellStyle name="Linked Cell 32 2 2 2 2 11 2" xfId="32970" xr:uid="{C1461CB1-08CA-4B75-AEE4-18EE98A3B070}"/>
    <cellStyle name="Linked Cell 32 2 2 2 2 12" xfId="32971" xr:uid="{F2192C81-9240-4091-BD8E-0DE6C10A1DA8}"/>
    <cellStyle name="Linked Cell 32 2 2 2 2 2" xfId="32972" xr:uid="{6AAA0056-69E5-433B-A833-929E7A44F2D2}"/>
    <cellStyle name="Linked Cell 32 2 2 2 2 2 2" xfId="32973" xr:uid="{0F08CF7E-ECB9-4E7A-B2C9-357F6ACD2073}"/>
    <cellStyle name="Linked Cell 32 2 2 2 2 2 2 2" xfId="32974" xr:uid="{745E66D4-0DA3-40D0-BD3D-720F32CFF01B}"/>
    <cellStyle name="Linked Cell 32 2 2 2 2 2 3" xfId="32975" xr:uid="{0E29216D-F5E3-4C96-B98E-649AC0685FF1}"/>
    <cellStyle name="Linked Cell 32 2 2 2 2 3" xfId="32976" xr:uid="{0120FE2E-969A-47E4-981E-603E59A42C44}"/>
    <cellStyle name="Linked Cell 32 2 2 2 2 3 2" xfId="32977" xr:uid="{125BB2B4-C09B-4C5C-B20D-742BF3412917}"/>
    <cellStyle name="Linked Cell 32 2 2 2 2 3 2 2" xfId="32978" xr:uid="{347F8144-07E6-4D11-A8D4-C59CDDDA2747}"/>
    <cellStyle name="Linked Cell 32 2 2 2 2 3 3" xfId="32979" xr:uid="{CDABE437-C5BF-454B-A22B-A00C7A9775EF}"/>
    <cellStyle name="Linked Cell 32 2 2 2 2 4" xfId="32980" xr:uid="{B534F8C1-EDC0-42FC-9E4B-A4623417CA76}"/>
    <cellStyle name="Linked Cell 32 2 2 2 2 4 2" xfId="32981" xr:uid="{6AA421EB-1832-499F-98E4-49DE9B9D1889}"/>
    <cellStyle name="Linked Cell 32 2 2 2 2 4 2 2" xfId="32982" xr:uid="{19C823A6-2763-4232-AE98-DA956CD30B96}"/>
    <cellStyle name="Linked Cell 32 2 2 2 2 4 3" xfId="32983" xr:uid="{11AB3686-4403-4622-90FE-F25B34EF5E8B}"/>
    <cellStyle name="Linked Cell 32 2 2 2 2 5" xfId="32984" xr:uid="{05A1D578-FC0F-4DE6-A705-DBB141174B04}"/>
    <cellStyle name="Linked Cell 32 2 2 2 2 5 2" xfId="32985" xr:uid="{8A9C3931-746C-4CFC-ABF2-4123B47C8C9D}"/>
    <cellStyle name="Linked Cell 32 2 2 2 2 5 2 2" xfId="32986" xr:uid="{41579418-DA68-494C-B656-323B38FEF563}"/>
    <cellStyle name="Linked Cell 32 2 2 2 2 5 3" xfId="32987" xr:uid="{A9A20317-05D0-488F-9668-5D417B875D29}"/>
    <cellStyle name="Linked Cell 32 2 2 2 2 6" xfId="32988" xr:uid="{1826F1F0-E104-419B-B615-26386ECF9FD0}"/>
    <cellStyle name="Linked Cell 32 2 2 2 2 6 2" xfId="32989" xr:uid="{806236A8-DAFF-48D7-A0B9-9E77428163F3}"/>
    <cellStyle name="Linked Cell 32 2 2 2 2 6 2 2" xfId="32990" xr:uid="{85779977-8B36-46F2-8A01-3E6848CF539A}"/>
    <cellStyle name="Linked Cell 32 2 2 2 2 6 3" xfId="32991" xr:uid="{49826DC4-E4DB-44E3-82E3-DD71A3EA61ED}"/>
    <cellStyle name="Linked Cell 32 2 2 2 2 7" xfId="32992" xr:uid="{DC9B6B88-FDA7-4E71-A932-08D39B0633A5}"/>
    <cellStyle name="Linked Cell 32 2 2 2 2 7 2" xfId="32993" xr:uid="{9AAFE21D-035E-43F4-9B06-EA28CB6E3F72}"/>
    <cellStyle name="Linked Cell 32 2 2 2 2 7 2 2" xfId="32994" xr:uid="{2B1452C5-ABB2-437F-8A51-41E5381550EA}"/>
    <cellStyle name="Linked Cell 32 2 2 2 2 7 3" xfId="32995" xr:uid="{4FBEA571-AEE2-4F53-8ABC-F1E5BC687732}"/>
    <cellStyle name="Linked Cell 32 2 2 2 2 8" xfId="32996" xr:uid="{19709FEB-3836-4F86-9F90-6674BFFDB3F3}"/>
    <cellStyle name="Linked Cell 32 2 2 2 2 8 2" xfId="32997" xr:uid="{2DA137A0-5FE7-4300-B42F-4300415AD5B6}"/>
    <cellStyle name="Linked Cell 32 2 2 2 2 8 2 2" xfId="32998" xr:uid="{9B1FBB1B-ED3F-4F2C-BCF0-947B77FD3480}"/>
    <cellStyle name="Linked Cell 32 2 2 2 2 8 3" xfId="32999" xr:uid="{D2848079-A4ED-4DCC-8FE7-408864120F44}"/>
    <cellStyle name="Linked Cell 32 2 2 2 2 9" xfId="33000" xr:uid="{2EB86A82-BCB4-4476-A058-DAB43B3CD735}"/>
    <cellStyle name="Linked Cell 32 2 2 2 2 9 2" xfId="33001" xr:uid="{61CE8779-3CCE-4A58-882F-754C7BA442FE}"/>
    <cellStyle name="Linked Cell 32 2 2 2 2 9 2 2" xfId="33002" xr:uid="{9FBAED8B-4A1D-4AE4-AA6E-D9B91D39F46A}"/>
    <cellStyle name="Linked Cell 32 2 2 2 2 9 3" xfId="33003" xr:uid="{87E7E5A1-5E24-4970-8A81-2CA9DE2AF2FB}"/>
    <cellStyle name="Linked Cell 32 2 2 2 3" xfId="33004" xr:uid="{28BBD731-EF00-4E20-A662-7AF1FD1055E6}"/>
    <cellStyle name="Linked Cell 32 2 2 2 3 10" xfId="33005" xr:uid="{A9440B0C-00BB-4EDE-80A8-863279E48DCB}"/>
    <cellStyle name="Linked Cell 32 2 2 2 3 10 2" xfId="33006" xr:uid="{D4980E2B-74F5-4EAF-81F5-38990C09ED41}"/>
    <cellStyle name="Linked Cell 32 2 2 2 3 11" xfId="33007" xr:uid="{8230DC41-9E3E-4230-B9FC-AC47DE86BF8B}"/>
    <cellStyle name="Linked Cell 32 2 2 2 3 2" xfId="33008" xr:uid="{8E76E4EA-BD56-4F9F-91E0-4F18EE199CD1}"/>
    <cellStyle name="Linked Cell 32 2 2 2 3 2 2" xfId="33009" xr:uid="{B34B1DBE-B692-41A2-95DC-D3E38F737934}"/>
    <cellStyle name="Linked Cell 32 2 2 2 3 2 2 2" xfId="33010" xr:uid="{98B8AD98-4000-43C9-BB14-13C41DD9A95D}"/>
    <cellStyle name="Linked Cell 32 2 2 2 3 2 3" xfId="33011" xr:uid="{148AC354-2656-47B3-A7B2-3E6D6B893B60}"/>
    <cellStyle name="Linked Cell 32 2 2 2 3 3" xfId="33012" xr:uid="{6DB88146-4D82-4D98-BE41-186D6839E968}"/>
    <cellStyle name="Linked Cell 32 2 2 2 3 3 2" xfId="33013" xr:uid="{E011975E-5E0E-4E7C-B386-AB1C84F6D7C5}"/>
    <cellStyle name="Linked Cell 32 2 2 2 3 3 2 2" xfId="33014" xr:uid="{CCAE1E83-3E7F-4A72-970D-2AB04540402D}"/>
    <cellStyle name="Linked Cell 32 2 2 2 3 3 3" xfId="33015" xr:uid="{9A866691-FD7E-4315-A9EA-ED7656AFE88E}"/>
    <cellStyle name="Linked Cell 32 2 2 2 3 4" xfId="33016" xr:uid="{CAD9C9ED-62FF-4C5B-BC58-28B9EEC021DB}"/>
    <cellStyle name="Linked Cell 32 2 2 2 3 4 2" xfId="33017" xr:uid="{CEFD9DDC-8FA7-4DDD-8778-B3C73FD531E9}"/>
    <cellStyle name="Linked Cell 32 2 2 2 3 4 2 2" xfId="33018" xr:uid="{0889223C-18C5-4C0B-978C-75FE46BCA4B5}"/>
    <cellStyle name="Linked Cell 32 2 2 2 3 4 3" xfId="33019" xr:uid="{37F653E4-9853-408A-903B-A77EAA82C180}"/>
    <cellStyle name="Linked Cell 32 2 2 2 3 5" xfId="33020" xr:uid="{0D42BD25-DBD6-48CA-8D29-239543FF5841}"/>
    <cellStyle name="Linked Cell 32 2 2 2 3 5 2" xfId="33021" xr:uid="{724B2DC9-561A-43FA-AEDF-625980C41DC3}"/>
    <cellStyle name="Linked Cell 32 2 2 2 3 5 2 2" xfId="33022" xr:uid="{609F539C-13CC-4735-AE15-F09CFB2761EC}"/>
    <cellStyle name="Linked Cell 32 2 2 2 3 5 3" xfId="33023" xr:uid="{9E79B11B-6E90-4662-8CE5-20CD00A833E1}"/>
    <cellStyle name="Linked Cell 32 2 2 2 3 6" xfId="33024" xr:uid="{4ED319BB-D43A-4C96-AF64-C75241FA30C7}"/>
    <cellStyle name="Linked Cell 32 2 2 2 3 6 2" xfId="33025" xr:uid="{1E80A944-C1A9-497A-B05C-70806D51C5B2}"/>
    <cellStyle name="Linked Cell 32 2 2 2 3 6 2 2" xfId="33026" xr:uid="{DEB5D158-90C0-421D-8C4C-722F89F57590}"/>
    <cellStyle name="Linked Cell 32 2 2 2 3 6 3" xfId="33027" xr:uid="{6A3452CC-6AFA-4544-A152-53C2D2DC618B}"/>
    <cellStyle name="Linked Cell 32 2 2 2 3 7" xfId="33028" xr:uid="{963BF995-07E8-4C51-9F47-A3494644D438}"/>
    <cellStyle name="Linked Cell 32 2 2 2 3 7 2" xfId="33029" xr:uid="{65C278C6-7300-4721-8EA5-63CE3FF27EC3}"/>
    <cellStyle name="Linked Cell 32 2 2 2 3 7 2 2" xfId="33030" xr:uid="{C8401120-961C-4872-8B6F-71177303BA0D}"/>
    <cellStyle name="Linked Cell 32 2 2 2 3 7 3" xfId="33031" xr:uid="{914349B2-AF8C-42ED-8A16-E955E2D389E4}"/>
    <cellStyle name="Linked Cell 32 2 2 2 3 8" xfId="33032" xr:uid="{B2193F82-0635-4ED3-97CC-9259E54DFC75}"/>
    <cellStyle name="Linked Cell 32 2 2 2 3 8 2" xfId="33033" xr:uid="{05A1C68C-C1C4-48DF-BFA7-B25F13E3562A}"/>
    <cellStyle name="Linked Cell 32 2 2 2 3 8 2 2" xfId="33034" xr:uid="{5C8217A7-9DA1-4323-8ED7-705B05A2D1C4}"/>
    <cellStyle name="Linked Cell 32 2 2 2 3 8 3" xfId="33035" xr:uid="{EBF6542B-22B0-4798-8D79-A43F1C6C4FC1}"/>
    <cellStyle name="Linked Cell 32 2 2 2 3 9" xfId="33036" xr:uid="{CB3BD798-6298-4F08-9AB7-AFD1376A446E}"/>
    <cellStyle name="Linked Cell 32 2 2 2 3 9 2" xfId="33037" xr:uid="{92418B2F-9E1E-4C08-AEAA-E08FE267D81E}"/>
    <cellStyle name="Linked Cell 32 2 2 2 3 9 2 2" xfId="33038" xr:uid="{40E67A01-ACC7-4270-BB21-89FF2C92B89B}"/>
    <cellStyle name="Linked Cell 32 2 2 2 3 9 3" xfId="33039" xr:uid="{3D71978D-B2F4-40B8-87B4-02ABC42AA383}"/>
    <cellStyle name="Linked Cell 32 2 2 2 4" xfId="33040" xr:uid="{030FDD28-398C-4F94-8C08-B9E4E0587FE4}"/>
    <cellStyle name="Linked Cell 32 2 2 2 4 2" xfId="33041" xr:uid="{4ED15293-F043-4BC3-865F-074EA5465B51}"/>
    <cellStyle name="Linked Cell 32 2 2 2 4 2 2" xfId="33042" xr:uid="{181E2E6D-B485-4020-B29B-20FDD0C8B797}"/>
    <cellStyle name="Linked Cell 32 2 2 2 4 3" xfId="33043" xr:uid="{EC52770B-BF88-487E-A125-4DAA1A110D3D}"/>
    <cellStyle name="Linked Cell 32 2 2 2 5" xfId="33044" xr:uid="{4AAB656D-3750-42F6-A331-CD2226B93A5C}"/>
    <cellStyle name="Linked Cell 32 2 2 2 5 2" xfId="33045" xr:uid="{7C38304F-7DED-4DFE-9972-ECE942F3BAEB}"/>
    <cellStyle name="Linked Cell 32 2 2 2 5 2 2" xfId="33046" xr:uid="{5655871F-233D-4159-B6F7-3D08A2290C87}"/>
    <cellStyle name="Linked Cell 32 2 2 2 5 3" xfId="33047" xr:uid="{8F1E0792-DFF1-49FE-8980-14B55E15B3AA}"/>
    <cellStyle name="Linked Cell 32 2 2 2 6" xfId="33048" xr:uid="{433467A9-2B08-4D3E-B5D8-75B92D1A0608}"/>
    <cellStyle name="Linked Cell 32 2 2 2 6 2" xfId="33049" xr:uid="{11BFC117-F31D-4362-AD41-603D8FB774E1}"/>
    <cellStyle name="Linked Cell 32 2 2 2 6 2 2" xfId="33050" xr:uid="{1E48A17F-A51E-4684-971B-53E521AA9178}"/>
    <cellStyle name="Linked Cell 32 2 2 2 6 3" xfId="33051" xr:uid="{C3DA8352-AC61-49BC-9ED8-3D871235BC62}"/>
    <cellStyle name="Linked Cell 32 2 2 2 7" xfId="33052" xr:uid="{2985214D-4EF0-421E-AEBA-8630B86B3D59}"/>
    <cellStyle name="Linked Cell 32 2 2 2 7 2" xfId="33053" xr:uid="{8DC41672-3073-48C8-A06E-26613638B2AE}"/>
    <cellStyle name="Linked Cell 32 2 2 2 7 2 2" xfId="33054" xr:uid="{F69DFCD5-648F-4DEB-9537-6789EE90025E}"/>
    <cellStyle name="Linked Cell 32 2 2 2 7 3" xfId="33055" xr:uid="{C96D873A-CE52-49C6-87FF-C264DFCC2098}"/>
    <cellStyle name="Linked Cell 32 2 2 2 8" xfId="33056" xr:uid="{DA3940F9-4C58-469D-A864-35C3AB4A5B4A}"/>
    <cellStyle name="Linked Cell 32 2 2 2 8 2" xfId="33057" xr:uid="{DE44ABB1-3D74-4549-BBC1-03B8221D6A2C}"/>
    <cellStyle name="Linked Cell 32 2 2 2 8 2 2" xfId="33058" xr:uid="{879B2E7F-A0F3-4A59-89C5-4951BBF0E277}"/>
    <cellStyle name="Linked Cell 32 2 2 2 8 3" xfId="33059" xr:uid="{B8B2F6F2-6BE6-4C06-A407-5366E0999FCE}"/>
    <cellStyle name="Linked Cell 32 2 2 2 9" xfId="33060" xr:uid="{871404AA-1226-4993-9054-DC95871E9995}"/>
    <cellStyle name="Linked Cell 32 2 2 2 9 2" xfId="33061" xr:uid="{D08B64C3-D87B-4CA7-BA3C-0823B7F4FD7E}"/>
    <cellStyle name="Linked Cell 32 2 2 2 9 2 2" xfId="33062" xr:uid="{4C03E217-D387-41B1-891E-5946FFFF723A}"/>
    <cellStyle name="Linked Cell 32 2 2 2 9 3" xfId="33063" xr:uid="{E17E20D4-DC09-4E1D-BDBE-B7E3297EBC2F}"/>
    <cellStyle name="Linked Cell 32 2 2 3" xfId="33064" xr:uid="{9F5403CB-A482-41C4-B3CE-E6F333AE4C74}"/>
    <cellStyle name="Linked Cell 32 2 2 3 10" xfId="33065" xr:uid="{4021B04F-1CAF-4F0E-BF97-99D06C96810C}"/>
    <cellStyle name="Linked Cell 32 2 2 3 10 2" xfId="33066" xr:uid="{A8A64797-D10B-4187-9B8E-5CFBC99170B1}"/>
    <cellStyle name="Linked Cell 32 2 2 3 10 2 2" xfId="33067" xr:uid="{F1F312D3-BA36-41BD-8758-4B50A3BA9E59}"/>
    <cellStyle name="Linked Cell 32 2 2 3 10 3" xfId="33068" xr:uid="{57719B81-76E8-4C3C-906E-8870D5E7A0A8}"/>
    <cellStyle name="Linked Cell 32 2 2 3 11" xfId="33069" xr:uid="{FAB96DF9-1A0E-4D1E-955B-D17571EEEBE8}"/>
    <cellStyle name="Linked Cell 32 2 2 3 11 2" xfId="33070" xr:uid="{0FA17A65-EAF6-4B08-A80F-0D0513888311}"/>
    <cellStyle name="Linked Cell 32 2 2 3 12" xfId="33071" xr:uid="{7BFF3105-D138-4C64-89E5-76232A5C777C}"/>
    <cellStyle name="Linked Cell 32 2 2 3 2" xfId="33072" xr:uid="{E1505D41-BAB3-4953-83F4-156E6A30BB4F}"/>
    <cellStyle name="Linked Cell 32 2 2 3 2 10" xfId="33073" xr:uid="{BF1015F3-2060-4CE1-8196-4B5CE3AD2E4C}"/>
    <cellStyle name="Linked Cell 32 2 2 3 2 10 2" xfId="33074" xr:uid="{D031141D-92A1-4374-AED7-363032032AAD}"/>
    <cellStyle name="Linked Cell 32 2 2 3 2 11" xfId="33075" xr:uid="{201342CC-877B-4ACE-9847-9DBF3A62D854}"/>
    <cellStyle name="Linked Cell 32 2 2 3 2 2" xfId="33076" xr:uid="{34CFF0E4-D6BE-4242-9D6B-9B0A165DC874}"/>
    <cellStyle name="Linked Cell 32 2 2 3 2 2 2" xfId="33077" xr:uid="{C0789649-BA06-4066-903D-2BB61059D389}"/>
    <cellStyle name="Linked Cell 32 2 2 3 2 2 2 2" xfId="33078" xr:uid="{47AFDA31-B7C7-4EDD-9851-3B568C43C33D}"/>
    <cellStyle name="Linked Cell 32 2 2 3 2 2 3" xfId="33079" xr:uid="{EC00685C-1CE0-4A61-8E23-043CCE782DA9}"/>
    <cellStyle name="Linked Cell 32 2 2 3 2 3" xfId="33080" xr:uid="{29446226-6355-46FE-8ADF-21D765AB35AA}"/>
    <cellStyle name="Linked Cell 32 2 2 3 2 3 2" xfId="33081" xr:uid="{B668B5E3-3BA0-4572-8CC8-7B0F3F42F47E}"/>
    <cellStyle name="Linked Cell 32 2 2 3 2 3 2 2" xfId="33082" xr:uid="{28525B8E-2B04-4BB0-8260-99148CC3135A}"/>
    <cellStyle name="Linked Cell 32 2 2 3 2 3 3" xfId="33083" xr:uid="{23468CB5-CD8A-49CE-8946-6F44090892CB}"/>
    <cellStyle name="Linked Cell 32 2 2 3 2 4" xfId="33084" xr:uid="{AAF5945C-ECC4-4931-9F02-17ADFCFB1745}"/>
    <cellStyle name="Linked Cell 32 2 2 3 2 4 2" xfId="33085" xr:uid="{459C2F44-6CCD-4270-9BD1-3BD2ECF09789}"/>
    <cellStyle name="Linked Cell 32 2 2 3 2 4 2 2" xfId="33086" xr:uid="{F35D7A53-9CC5-43E6-96E0-FB8F01CA7178}"/>
    <cellStyle name="Linked Cell 32 2 2 3 2 4 3" xfId="33087" xr:uid="{FD699F6B-B3F3-4B4D-AAD5-B2B5BDC192CB}"/>
    <cellStyle name="Linked Cell 32 2 2 3 2 5" xfId="33088" xr:uid="{7F9E5FBE-88CB-4962-BE30-50FA0DF70AB4}"/>
    <cellStyle name="Linked Cell 32 2 2 3 2 5 2" xfId="33089" xr:uid="{08C95AF4-5E1E-4600-AD73-A173F8603056}"/>
    <cellStyle name="Linked Cell 32 2 2 3 2 5 2 2" xfId="33090" xr:uid="{B436B37A-065D-48D2-9684-C7BFF8179DB0}"/>
    <cellStyle name="Linked Cell 32 2 2 3 2 5 3" xfId="33091" xr:uid="{92F2F202-C6D7-44D0-9A9E-B743CCA54555}"/>
    <cellStyle name="Linked Cell 32 2 2 3 2 6" xfId="33092" xr:uid="{F7A98A66-ED1A-4156-A702-8C33F9EA3D06}"/>
    <cellStyle name="Linked Cell 32 2 2 3 2 6 2" xfId="33093" xr:uid="{96C146DF-1E56-4486-92DA-75D86C829755}"/>
    <cellStyle name="Linked Cell 32 2 2 3 2 6 2 2" xfId="33094" xr:uid="{0A850269-D6FF-4853-8421-A9DBD0F2A349}"/>
    <cellStyle name="Linked Cell 32 2 2 3 2 6 3" xfId="33095" xr:uid="{79C44E0B-F8D8-4C83-8198-CF590BA481D3}"/>
    <cellStyle name="Linked Cell 32 2 2 3 2 7" xfId="33096" xr:uid="{96322FA7-DB90-45A8-A317-C9F6EF406A15}"/>
    <cellStyle name="Linked Cell 32 2 2 3 2 7 2" xfId="33097" xr:uid="{3043099B-10BC-4A62-B4FF-8DBB58004B7B}"/>
    <cellStyle name="Linked Cell 32 2 2 3 2 7 2 2" xfId="33098" xr:uid="{2AC27E6B-3D57-42DA-B43D-02A2B84677E8}"/>
    <cellStyle name="Linked Cell 32 2 2 3 2 7 3" xfId="33099" xr:uid="{E9499DEE-8EBA-447F-91A9-4F7A239F425B}"/>
    <cellStyle name="Linked Cell 32 2 2 3 2 8" xfId="33100" xr:uid="{E3AE3D14-1117-4CE3-8751-78DA443C19E4}"/>
    <cellStyle name="Linked Cell 32 2 2 3 2 8 2" xfId="33101" xr:uid="{23C39B1F-F752-4BA3-9DE1-BCDEA9ACA391}"/>
    <cellStyle name="Linked Cell 32 2 2 3 2 8 2 2" xfId="33102" xr:uid="{023A1E04-DD51-4371-9624-7F4F8FCC41BD}"/>
    <cellStyle name="Linked Cell 32 2 2 3 2 8 3" xfId="33103" xr:uid="{9C6386BF-7ACA-41CB-9CC4-53694A42F8C5}"/>
    <cellStyle name="Linked Cell 32 2 2 3 2 9" xfId="33104" xr:uid="{8E50165B-13E3-45FE-9BD1-F4B7B0C6AF4B}"/>
    <cellStyle name="Linked Cell 32 2 2 3 2 9 2" xfId="33105" xr:uid="{673D93EE-534A-4100-8DB2-686069882B61}"/>
    <cellStyle name="Linked Cell 32 2 2 3 2 9 2 2" xfId="33106" xr:uid="{74F4EA76-4BF6-44A1-BA53-8E686B24E9A4}"/>
    <cellStyle name="Linked Cell 32 2 2 3 2 9 3" xfId="33107" xr:uid="{52F275FE-3410-4970-91F1-322E596D8BAF}"/>
    <cellStyle name="Linked Cell 32 2 2 3 3" xfId="33108" xr:uid="{4A9B342F-BBD0-4664-A7D1-DCCEEC16A8D4}"/>
    <cellStyle name="Linked Cell 32 2 2 3 3 2" xfId="33109" xr:uid="{1E7A9A2A-8888-41E5-BC72-2158B3A05988}"/>
    <cellStyle name="Linked Cell 32 2 2 3 3 2 2" xfId="33110" xr:uid="{8852F643-C73A-4200-84EC-B8F342DE6771}"/>
    <cellStyle name="Linked Cell 32 2 2 3 3 3" xfId="33111" xr:uid="{E911DFBA-32B7-4820-8D42-2B623D3CDF37}"/>
    <cellStyle name="Linked Cell 32 2 2 3 4" xfId="33112" xr:uid="{D156B544-CEA3-4118-8992-F69B2462209F}"/>
    <cellStyle name="Linked Cell 32 2 2 3 4 2" xfId="33113" xr:uid="{867150CE-CB62-4AA9-B4C8-7B1A70FDEAD6}"/>
    <cellStyle name="Linked Cell 32 2 2 3 4 2 2" xfId="33114" xr:uid="{03F0B9E0-0098-40F1-8CC1-79B6FCBE6DD6}"/>
    <cellStyle name="Linked Cell 32 2 2 3 4 3" xfId="33115" xr:uid="{108CAC42-4B4D-41C8-BB87-122D6070A816}"/>
    <cellStyle name="Linked Cell 32 2 2 3 5" xfId="33116" xr:uid="{92548712-DF0B-451F-A98D-3A2CC25E87B7}"/>
    <cellStyle name="Linked Cell 32 2 2 3 5 2" xfId="33117" xr:uid="{D28A4BD2-8AA4-483D-A701-AE4476D17A82}"/>
    <cellStyle name="Linked Cell 32 2 2 3 5 2 2" xfId="33118" xr:uid="{43E6207D-6F86-4698-815A-00A9EB3B6424}"/>
    <cellStyle name="Linked Cell 32 2 2 3 5 3" xfId="33119" xr:uid="{CD7B4FBF-2B8A-48AA-82D2-7E0D4C1A3D8A}"/>
    <cellStyle name="Linked Cell 32 2 2 3 6" xfId="33120" xr:uid="{343A5BA3-BFF9-4ACB-A128-38611A0D81FC}"/>
    <cellStyle name="Linked Cell 32 2 2 3 6 2" xfId="33121" xr:uid="{B2953C6C-2751-44A8-8E43-F5C97633F12D}"/>
    <cellStyle name="Linked Cell 32 2 2 3 6 2 2" xfId="33122" xr:uid="{37285DF1-AFFA-482C-9209-4B4D08E61559}"/>
    <cellStyle name="Linked Cell 32 2 2 3 6 3" xfId="33123" xr:uid="{86E674BA-AF16-474D-8746-5F616F6BAE3F}"/>
    <cellStyle name="Linked Cell 32 2 2 3 7" xfId="33124" xr:uid="{F9B02B7A-BFE5-48AA-A622-5248EA92E6FF}"/>
    <cellStyle name="Linked Cell 32 2 2 3 7 2" xfId="33125" xr:uid="{5C7608F8-7105-4535-A8A9-8167498163DE}"/>
    <cellStyle name="Linked Cell 32 2 2 3 7 2 2" xfId="33126" xr:uid="{8EC433E2-0A5D-4B3E-829B-189DEA83B33A}"/>
    <cellStyle name="Linked Cell 32 2 2 3 7 3" xfId="33127" xr:uid="{9D129029-BF1C-4489-93F1-DCE7AB0E0B5E}"/>
    <cellStyle name="Linked Cell 32 2 2 3 8" xfId="33128" xr:uid="{C8EC5BD8-C9A9-4695-96EE-1E442AC6C1F1}"/>
    <cellStyle name="Linked Cell 32 2 2 3 8 2" xfId="33129" xr:uid="{7EEAA93B-6336-4284-991F-2BF7DFE8528D}"/>
    <cellStyle name="Linked Cell 32 2 2 3 8 2 2" xfId="33130" xr:uid="{1CDE6353-C268-48A7-915B-DF695B0CDD0F}"/>
    <cellStyle name="Linked Cell 32 2 2 3 8 3" xfId="33131" xr:uid="{B357B93D-23E6-49F2-9A42-5079704EEECD}"/>
    <cellStyle name="Linked Cell 32 2 2 3 9" xfId="33132" xr:uid="{9B5F98E1-9571-41CC-A915-BDB517CE0912}"/>
    <cellStyle name="Linked Cell 32 2 2 3 9 2" xfId="33133" xr:uid="{C4B18B51-06AE-409D-90B6-8CB2A0D67EF7}"/>
    <cellStyle name="Linked Cell 32 2 2 3 9 2 2" xfId="33134" xr:uid="{DDC15EE5-81A1-48E5-8FFF-CEA6CDB9672D}"/>
    <cellStyle name="Linked Cell 32 2 2 3 9 3" xfId="33135" xr:uid="{F2205FA5-5553-4BBD-907F-FE5CD539ABDE}"/>
    <cellStyle name="Linked Cell 32 2 2 4" xfId="33136" xr:uid="{8A6557A5-1FD7-4E9F-A78F-F62E38290CA6}"/>
    <cellStyle name="Linked Cell 32 2 2 4 10" xfId="33137" xr:uid="{73E75970-0D2D-4D16-9674-BECA11B7A1BC}"/>
    <cellStyle name="Linked Cell 32 2 2 4 10 2" xfId="33138" xr:uid="{5312CDC0-A678-4CE6-8FD3-2BD49C2BACC0}"/>
    <cellStyle name="Linked Cell 32 2 2 4 11" xfId="33139" xr:uid="{617EB312-CADD-4B05-AABC-A2B0F0F1983A}"/>
    <cellStyle name="Linked Cell 32 2 2 4 2" xfId="33140" xr:uid="{6D9E5E30-798D-4B26-B8BC-A150060DEECA}"/>
    <cellStyle name="Linked Cell 32 2 2 4 2 2" xfId="33141" xr:uid="{5F5D472C-431F-4187-B74C-8633F1DE856E}"/>
    <cellStyle name="Linked Cell 32 2 2 4 2 2 2" xfId="33142" xr:uid="{1DFCDCAF-61FB-4498-8454-3911E92D86D0}"/>
    <cellStyle name="Linked Cell 32 2 2 4 2 3" xfId="33143" xr:uid="{37039C64-279A-4906-876E-DD49EF10B4CA}"/>
    <cellStyle name="Linked Cell 32 2 2 4 3" xfId="33144" xr:uid="{C52358BA-662E-4C17-961E-2D9A435057DD}"/>
    <cellStyle name="Linked Cell 32 2 2 4 3 2" xfId="33145" xr:uid="{E19AA812-6A8F-40EB-960B-98230AC05049}"/>
    <cellStyle name="Linked Cell 32 2 2 4 3 2 2" xfId="33146" xr:uid="{75768F55-C088-4362-9EE3-A940CBC98072}"/>
    <cellStyle name="Linked Cell 32 2 2 4 3 3" xfId="33147" xr:uid="{426AE6E2-081C-4A37-AE7B-3D173589F9E2}"/>
    <cellStyle name="Linked Cell 32 2 2 4 4" xfId="33148" xr:uid="{EA96C89A-A9C6-4463-A75A-3658C18014F8}"/>
    <cellStyle name="Linked Cell 32 2 2 4 4 2" xfId="33149" xr:uid="{8914A9ED-2A99-4D50-A67A-092FE7D126A0}"/>
    <cellStyle name="Linked Cell 32 2 2 4 4 2 2" xfId="33150" xr:uid="{7F839334-C4DF-43DB-8A62-6EF5859D6B6C}"/>
    <cellStyle name="Linked Cell 32 2 2 4 4 3" xfId="33151" xr:uid="{C7C5074E-7536-4A24-9724-318B488940B2}"/>
    <cellStyle name="Linked Cell 32 2 2 4 5" xfId="33152" xr:uid="{8AA79687-AA91-4296-8456-D8EE711FAB38}"/>
    <cellStyle name="Linked Cell 32 2 2 4 5 2" xfId="33153" xr:uid="{B6BF1F8D-850C-4B58-8E13-ADEEF349E74B}"/>
    <cellStyle name="Linked Cell 32 2 2 4 5 2 2" xfId="33154" xr:uid="{6769A3FF-E863-42B7-9F76-BB49CD85BE22}"/>
    <cellStyle name="Linked Cell 32 2 2 4 5 3" xfId="33155" xr:uid="{6A9379A8-CAB9-434F-8D0A-E88715219011}"/>
    <cellStyle name="Linked Cell 32 2 2 4 6" xfId="33156" xr:uid="{78361173-A02B-4344-864F-7582D14716BC}"/>
    <cellStyle name="Linked Cell 32 2 2 4 6 2" xfId="33157" xr:uid="{E1294E25-DC9F-4917-9510-CE15EA309F80}"/>
    <cellStyle name="Linked Cell 32 2 2 4 6 2 2" xfId="33158" xr:uid="{2F742BF3-6221-4255-9774-A16E50F3DD31}"/>
    <cellStyle name="Linked Cell 32 2 2 4 6 3" xfId="33159" xr:uid="{26EAEAB7-93B7-4D3F-A85E-A3EAE33E19EB}"/>
    <cellStyle name="Linked Cell 32 2 2 4 7" xfId="33160" xr:uid="{8D6A162C-1A4B-4F85-AB39-A953F84191BA}"/>
    <cellStyle name="Linked Cell 32 2 2 4 7 2" xfId="33161" xr:uid="{8166B2AC-B249-45A4-B796-8012D1445A13}"/>
    <cellStyle name="Linked Cell 32 2 2 4 7 2 2" xfId="33162" xr:uid="{6C62C45E-AC9B-4E69-A6F9-05275459D4E7}"/>
    <cellStyle name="Linked Cell 32 2 2 4 7 3" xfId="33163" xr:uid="{4841358D-758D-488B-BB5B-05366FE9FEBC}"/>
    <cellStyle name="Linked Cell 32 2 2 4 8" xfId="33164" xr:uid="{DDFD080F-013D-47E9-9C49-1B71E8F43371}"/>
    <cellStyle name="Linked Cell 32 2 2 4 8 2" xfId="33165" xr:uid="{DC71A77D-EE18-46B7-B07E-570564FC5A5B}"/>
    <cellStyle name="Linked Cell 32 2 2 4 8 2 2" xfId="33166" xr:uid="{81F527D7-4A65-4D33-8B41-27CF62FC7194}"/>
    <cellStyle name="Linked Cell 32 2 2 4 8 3" xfId="33167" xr:uid="{23F5A573-58BA-41E8-9233-E870F9985774}"/>
    <cellStyle name="Linked Cell 32 2 2 4 9" xfId="33168" xr:uid="{D73DB9BA-A875-48AC-A1A7-2D39D49CDABF}"/>
    <cellStyle name="Linked Cell 32 2 2 4 9 2" xfId="33169" xr:uid="{52E44691-813E-4F43-AC5F-C6B8716D0428}"/>
    <cellStyle name="Linked Cell 32 2 2 4 9 2 2" xfId="33170" xr:uid="{C0495C4A-DAAD-4C9C-B466-7F38FB6EA604}"/>
    <cellStyle name="Linked Cell 32 2 2 4 9 3" xfId="33171" xr:uid="{187F066C-8B2C-43AA-B5B1-1C1F6060E96F}"/>
    <cellStyle name="Linked Cell 32 2 2 5" xfId="33172" xr:uid="{12FD350C-01CD-48CC-8C1B-3108E317DBC0}"/>
    <cellStyle name="Linked Cell 32 2 2 5 2" xfId="33173" xr:uid="{1EE95A12-9DCE-4262-9922-B5B1C9181DA6}"/>
    <cellStyle name="Linked Cell 32 2 2 5 2 2" xfId="33174" xr:uid="{0A5CC28B-6374-4398-9961-94995D63E8B4}"/>
    <cellStyle name="Linked Cell 32 2 2 5 3" xfId="33175" xr:uid="{C9085704-5B46-4E69-94B3-31A490026018}"/>
    <cellStyle name="Linked Cell 32 2 2 6" xfId="33176" xr:uid="{6CAF151A-51B9-4A05-9742-500BB9D07AEF}"/>
    <cellStyle name="Linked Cell 32 2 2 6 2" xfId="33177" xr:uid="{021A81FF-C468-4E98-8289-FF8A3447BEB0}"/>
    <cellStyle name="Linked Cell 32 2 2 6 2 2" xfId="33178" xr:uid="{98B3583B-8138-4934-BF3C-75677A272AC8}"/>
    <cellStyle name="Linked Cell 32 2 2 6 3" xfId="33179" xr:uid="{72E5DE89-EB72-4DDE-B48E-D61351E4ADD9}"/>
    <cellStyle name="Linked Cell 32 2 2 7" xfId="33180" xr:uid="{ACA52112-91CF-4075-87E6-E358C886A3D5}"/>
    <cellStyle name="Linked Cell 32 2 2 7 2" xfId="33181" xr:uid="{BF3AF837-3F82-4273-B3E3-67D4E414386C}"/>
    <cellStyle name="Linked Cell 32 2 2 7 2 2" xfId="33182" xr:uid="{6801C5BB-6EF6-4EBD-8B14-98F3B7A7ED6E}"/>
    <cellStyle name="Linked Cell 32 2 2 7 3" xfId="33183" xr:uid="{4D800F48-4487-4A62-A561-DD20E7A6770E}"/>
    <cellStyle name="Linked Cell 32 2 2 8" xfId="33184" xr:uid="{328CC38C-DB94-4FD2-9AEC-DE1BFEC8C988}"/>
    <cellStyle name="Linked Cell 32 2 2 8 2" xfId="33185" xr:uid="{A8730608-3D36-4B0C-A608-4232020D7CBD}"/>
    <cellStyle name="Linked Cell 32 2 2 8 2 2" xfId="33186" xr:uid="{D53B9DE0-8C9A-4C82-B436-72E121B4A9FE}"/>
    <cellStyle name="Linked Cell 32 2 2 8 3" xfId="33187" xr:uid="{0EC13D71-2884-42DA-AE5C-74417FFC1735}"/>
    <cellStyle name="Linked Cell 32 2 2 9" xfId="33188" xr:uid="{A8DFAB34-6395-4AE7-B7DF-3FEC16760582}"/>
    <cellStyle name="Linked Cell 32 2 2 9 2" xfId="33189" xr:uid="{0CDD2584-5098-44EC-BDBD-E6ABBF88E07C}"/>
    <cellStyle name="Linked Cell 32 2 2 9 2 2" xfId="33190" xr:uid="{7166F8A3-6DEB-4E92-AD77-4F07A8AF11DC}"/>
    <cellStyle name="Linked Cell 32 2 2 9 3" xfId="33191" xr:uid="{65BC945F-9209-4142-A399-824B25C876AB}"/>
    <cellStyle name="Linked Cell 32 2 3" xfId="33192" xr:uid="{851A58D5-C21F-438A-AFD4-9F8DED398B43}"/>
    <cellStyle name="Linked Cell 32 2 3 10" xfId="33193" xr:uid="{2EC71B4A-7A54-49BB-86C4-4292841B4FCC}"/>
    <cellStyle name="Linked Cell 32 2 3 10 2" xfId="33194" xr:uid="{96E72BCD-0293-4636-A586-8002CD3C7482}"/>
    <cellStyle name="Linked Cell 32 2 3 10 2 2" xfId="33195" xr:uid="{49042615-3C46-49F1-BB7E-C64F7DD6E1A9}"/>
    <cellStyle name="Linked Cell 32 2 3 10 3" xfId="33196" xr:uid="{46724CEB-BE7E-4E6B-8819-48B994897FB0}"/>
    <cellStyle name="Linked Cell 32 2 3 11" xfId="33197" xr:uid="{25D1CC7A-1B3E-4948-B5D6-F9101EF0F161}"/>
    <cellStyle name="Linked Cell 32 2 3 11 2" xfId="33198" xr:uid="{3AF721F3-1222-414F-BF33-7A9BE9A6A246}"/>
    <cellStyle name="Linked Cell 32 2 3 11 2 2" xfId="33199" xr:uid="{9DF79E96-03CD-4A52-9436-6B7E05D5D9F8}"/>
    <cellStyle name="Linked Cell 32 2 3 11 3" xfId="33200" xr:uid="{977B2B20-764C-4B8A-BF0B-A29E80D095FB}"/>
    <cellStyle name="Linked Cell 32 2 3 12" xfId="33201" xr:uid="{F468840F-2244-4693-94F6-D9356DEA376B}"/>
    <cellStyle name="Linked Cell 32 2 3 12 2" xfId="33202" xr:uid="{9A88129F-8B00-4799-89AF-8AF319D244D9}"/>
    <cellStyle name="Linked Cell 32 2 3 13" xfId="33203" xr:uid="{A2EA4B27-E354-4030-A5FD-F993145253BB}"/>
    <cellStyle name="Linked Cell 32 2 3 2" xfId="33204" xr:uid="{507597A8-A7DC-44B0-8BBE-43FEFE7BC6CC}"/>
    <cellStyle name="Linked Cell 32 2 3 2 10" xfId="33205" xr:uid="{FB5EA1AE-58DE-498D-8B73-C0FF743B6020}"/>
    <cellStyle name="Linked Cell 32 2 3 2 10 2" xfId="33206" xr:uid="{852222B4-47AC-4AEB-BD02-25E5A5556714}"/>
    <cellStyle name="Linked Cell 32 2 3 2 10 2 2" xfId="33207" xr:uid="{805BBAAD-F992-4ED6-884B-D87AA51A91DC}"/>
    <cellStyle name="Linked Cell 32 2 3 2 10 3" xfId="33208" xr:uid="{10035F22-C561-43C6-B2DB-86BAF7D886DB}"/>
    <cellStyle name="Linked Cell 32 2 3 2 11" xfId="33209" xr:uid="{92D04754-9B1A-457E-9F1D-D38B45288032}"/>
    <cellStyle name="Linked Cell 32 2 3 2 11 2" xfId="33210" xr:uid="{A30F0FA8-AD02-4444-A55B-24BFB7B50817}"/>
    <cellStyle name="Linked Cell 32 2 3 2 12" xfId="33211" xr:uid="{FC35EFD4-7B71-42AC-87BC-DF525A1F2045}"/>
    <cellStyle name="Linked Cell 32 2 3 2 2" xfId="33212" xr:uid="{A8C36A8E-2A15-4A72-A3A3-249FAC75193D}"/>
    <cellStyle name="Linked Cell 32 2 3 2 2 2" xfId="33213" xr:uid="{32933D60-DF7D-4043-9392-AB4CFC95338F}"/>
    <cellStyle name="Linked Cell 32 2 3 2 2 2 2" xfId="33214" xr:uid="{9B6DBEF2-9BCE-4320-A640-827BBC76E6A1}"/>
    <cellStyle name="Linked Cell 32 2 3 2 2 3" xfId="33215" xr:uid="{9D92A26A-9922-4992-B054-452D2DB80059}"/>
    <cellStyle name="Linked Cell 32 2 3 2 3" xfId="33216" xr:uid="{4B229125-E4B7-4BD5-903A-8F67BCCF0AE4}"/>
    <cellStyle name="Linked Cell 32 2 3 2 3 2" xfId="33217" xr:uid="{385189AC-B5A2-4549-A112-9B9F739E90B8}"/>
    <cellStyle name="Linked Cell 32 2 3 2 3 2 2" xfId="33218" xr:uid="{3400527A-E64E-4C4A-B71F-DD27767CFDE3}"/>
    <cellStyle name="Linked Cell 32 2 3 2 3 3" xfId="33219" xr:uid="{8845B6C3-8EC5-45B4-BE49-1F6F19DF6B07}"/>
    <cellStyle name="Linked Cell 32 2 3 2 4" xfId="33220" xr:uid="{149BE8B5-E7AD-401E-9A37-E69BF38508B9}"/>
    <cellStyle name="Linked Cell 32 2 3 2 4 2" xfId="33221" xr:uid="{ECAD5352-327B-44D3-AC93-7F8460AE62CB}"/>
    <cellStyle name="Linked Cell 32 2 3 2 4 2 2" xfId="33222" xr:uid="{C9D6153F-00EB-45EE-ADFE-AE8D22016002}"/>
    <cellStyle name="Linked Cell 32 2 3 2 4 3" xfId="33223" xr:uid="{4399837B-B4D7-4E93-904A-F3E5AB163840}"/>
    <cellStyle name="Linked Cell 32 2 3 2 5" xfId="33224" xr:uid="{FA181374-B84F-4760-9BED-347C26CC89D9}"/>
    <cellStyle name="Linked Cell 32 2 3 2 5 2" xfId="33225" xr:uid="{898F27AA-3857-49EC-97A6-90C0A4779668}"/>
    <cellStyle name="Linked Cell 32 2 3 2 5 2 2" xfId="33226" xr:uid="{44699DD4-6535-4251-A0E1-286A68566B85}"/>
    <cellStyle name="Linked Cell 32 2 3 2 5 3" xfId="33227" xr:uid="{A131233F-EA79-4EE1-A701-7AA83912DBA9}"/>
    <cellStyle name="Linked Cell 32 2 3 2 6" xfId="33228" xr:uid="{3B350DF1-25DB-4040-B1B6-52CEC4A68B6D}"/>
    <cellStyle name="Linked Cell 32 2 3 2 6 2" xfId="33229" xr:uid="{2B2F0B17-6336-4F53-86CA-804C62458516}"/>
    <cellStyle name="Linked Cell 32 2 3 2 6 2 2" xfId="33230" xr:uid="{450EB5C6-BD90-443C-9B2E-458FC8C0870D}"/>
    <cellStyle name="Linked Cell 32 2 3 2 6 3" xfId="33231" xr:uid="{10E7011B-F17D-4084-8735-928CF1035994}"/>
    <cellStyle name="Linked Cell 32 2 3 2 7" xfId="33232" xr:uid="{44849584-FF26-4533-942E-87F6A4017E02}"/>
    <cellStyle name="Linked Cell 32 2 3 2 7 2" xfId="33233" xr:uid="{E2EC8385-0682-41AC-A029-1992EAB4EBE9}"/>
    <cellStyle name="Linked Cell 32 2 3 2 7 2 2" xfId="33234" xr:uid="{72CDB170-9055-4AAB-99DC-EDA7F348A39E}"/>
    <cellStyle name="Linked Cell 32 2 3 2 7 3" xfId="33235" xr:uid="{72586C88-6EB2-4904-9C9E-DF8A34952952}"/>
    <cellStyle name="Linked Cell 32 2 3 2 8" xfId="33236" xr:uid="{3EDC80D4-C39B-49B8-A04B-B68CFA108B73}"/>
    <cellStyle name="Linked Cell 32 2 3 2 8 2" xfId="33237" xr:uid="{EFBDA840-53D5-467D-A45C-9A58B9D36233}"/>
    <cellStyle name="Linked Cell 32 2 3 2 8 2 2" xfId="33238" xr:uid="{1A798B9C-D4D0-4BBC-8295-50A4AB97CE8E}"/>
    <cellStyle name="Linked Cell 32 2 3 2 8 3" xfId="33239" xr:uid="{C9ED573D-A7C6-49D2-8F67-230A8AE42267}"/>
    <cellStyle name="Linked Cell 32 2 3 2 9" xfId="33240" xr:uid="{D0DABB66-740B-4E4E-9342-193886DEEE3A}"/>
    <cellStyle name="Linked Cell 32 2 3 2 9 2" xfId="33241" xr:uid="{C6D426CF-E774-4877-8810-1EFE6A2A9730}"/>
    <cellStyle name="Linked Cell 32 2 3 2 9 2 2" xfId="33242" xr:uid="{2E069422-BE63-4A4C-91E2-10965F2D75F2}"/>
    <cellStyle name="Linked Cell 32 2 3 2 9 3" xfId="33243" xr:uid="{2B22D3FD-52DD-4EF6-9EB4-AC6B4994E5C1}"/>
    <cellStyle name="Linked Cell 32 2 3 3" xfId="33244" xr:uid="{33A8FE0B-84E7-4EAF-B67A-6252EB7FAEC6}"/>
    <cellStyle name="Linked Cell 32 2 3 3 10" xfId="33245" xr:uid="{9370F961-79BE-443B-9584-EE7882D16415}"/>
    <cellStyle name="Linked Cell 32 2 3 3 10 2" xfId="33246" xr:uid="{2CDD03D2-5250-4710-A2BF-3AFB89CDC504}"/>
    <cellStyle name="Linked Cell 32 2 3 3 11" xfId="33247" xr:uid="{E5BF2034-CB14-4004-91E2-0C4289BABE60}"/>
    <cellStyle name="Linked Cell 32 2 3 3 2" xfId="33248" xr:uid="{C6B9ED0A-B44C-4611-A02E-2EAC2A472108}"/>
    <cellStyle name="Linked Cell 32 2 3 3 2 2" xfId="33249" xr:uid="{3C64A266-8DCE-415B-BFD9-D5D0CDCEE09E}"/>
    <cellStyle name="Linked Cell 32 2 3 3 2 2 2" xfId="33250" xr:uid="{BC0ED1B5-2938-443E-9636-FFB533D35472}"/>
    <cellStyle name="Linked Cell 32 2 3 3 2 3" xfId="33251" xr:uid="{EBFE9CB7-EE67-4942-9045-10EF7186AB42}"/>
    <cellStyle name="Linked Cell 32 2 3 3 3" xfId="33252" xr:uid="{F3090516-CC5E-47BA-8015-618A55D9A966}"/>
    <cellStyle name="Linked Cell 32 2 3 3 3 2" xfId="33253" xr:uid="{799CC055-480D-412D-8323-DC043A588C56}"/>
    <cellStyle name="Linked Cell 32 2 3 3 3 2 2" xfId="33254" xr:uid="{3486DD27-B859-4F57-BB9E-0004E1969FB0}"/>
    <cellStyle name="Linked Cell 32 2 3 3 3 3" xfId="33255" xr:uid="{4793B970-CD44-4870-BF68-F6E933B79003}"/>
    <cellStyle name="Linked Cell 32 2 3 3 4" xfId="33256" xr:uid="{879DFAE9-2603-4192-AB89-C1C8676A783F}"/>
    <cellStyle name="Linked Cell 32 2 3 3 4 2" xfId="33257" xr:uid="{2F34CE98-111C-412F-830C-9288915F9C97}"/>
    <cellStyle name="Linked Cell 32 2 3 3 4 2 2" xfId="33258" xr:uid="{C978ADFA-0F68-4256-90B9-C7608A0171DD}"/>
    <cellStyle name="Linked Cell 32 2 3 3 4 3" xfId="33259" xr:uid="{E29B6528-7CB6-484A-81C4-94816D69AE01}"/>
    <cellStyle name="Linked Cell 32 2 3 3 5" xfId="33260" xr:uid="{62457629-DA2D-49EB-9FF0-10F9A2AE4860}"/>
    <cellStyle name="Linked Cell 32 2 3 3 5 2" xfId="33261" xr:uid="{1AC46980-0F44-444B-8C4E-879F01238FAE}"/>
    <cellStyle name="Linked Cell 32 2 3 3 5 2 2" xfId="33262" xr:uid="{190391D3-1446-44A6-BB92-09BB6914A342}"/>
    <cellStyle name="Linked Cell 32 2 3 3 5 3" xfId="33263" xr:uid="{A889CABA-2DCD-480E-97D1-782A5E21A2F4}"/>
    <cellStyle name="Linked Cell 32 2 3 3 6" xfId="33264" xr:uid="{FF54E31D-02C1-4E24-BC4F-5E624F8B3BE8}"/>
    <cellStyle name="Linked Cell 32 2 3 3 6 2" xfId="33265" xr:uid="{DC8DF9E6-0A7F-44F1-B9CC-FE6A231BF9F6}"/>
    <cellStyle name="Linked Cell 32 2 3 3 6 2 2" xfId="33266" xr:uid="{952ABEBC-A6A1-43DC-B367-CE5838A214B4}"/>
    <cellStyle name="Linked Cell 32 2 3 3 6 3" xfId="33267" xr:uid="{A2747A65-33BB-4E95-9C04-00377E154CBD}"/>
    <cellStyle name="Linked Cell 32 2 3 3 7" xfId="33268" xr:uid="{FD43B0D7-48C1-4491-9E65-9FFBC6E32A02}"/>
    <cellStyle name="Linked Cell 32 2 3 3 7 2" xfId="33269" xr:uid="{7799A505-B0D5-40D1-9997-120255681344}"/>
    <cellStyle name="Linked Cell 32 2 3 3 7 2 2" xfId="33270" xr:uid="{928A1552-757C-446D-B635-BA11F4620907}"/>
    <cellStyle name="Linked Cell 32 2 3 3 7 3" xfId="33271" xr:uid="{F4DBE041-62F9-4EA8-8C71-5EF7367396BF}"/>
    <cellStyle name="Linked Cell 32 2 3 3 8" xfId="33272" xr:uid="{950F32CD-92BA-4A22-9E8C-5965F9725A5C}"/>
    <cellStyle name="Linked Cell 32 2 3 3 8 2" xfId="33273" xr:uid="{47371455-0520-4A95-B3C4-54C9B0EFFE57}"/>
    <cellStyle name="Linked Cell 32 2 3 3 8 2 2" xfId="33274" xr:uid="{1DFFEE0C-D785-408A-90A5-12AE69CB1950}"/>
    <cellStyle name="Linked Cell 32 2 3 3 8 3" xfId="33275" xr:uid="{B868A5DF-774A-4961-8997-E5CA943348A8}"/>
    <cellStyle name="Linked Cell 32 2 3 3 9" xfId="33276" xr:uid="{8EB319C3-91FC-4D91-8827-8657B3D2F21B}"/>
    <cellStyle name="Linked Cell 32 2 3 3 9 2" xfId="33277" xr:uid="{85529643-EC79-4F48-AB7F-A77DD283DC82}"/>
    <cellStyle name="Linked Cell 32 2 3 3 9 2 2" xfId="33278" xr:uid="{45BB8DF8-5745-475C-BF1C-F2BFC39E995D}"/>
    <cellStyle name="Linked Cell 32 2 3 3 9 3" xfId="33279" xr:uid="{508F71A1-96A8-4118-88BC-7DD399CFEDDD}"/>
    <cellStyle name="Linked Cell 32 2 3 4" xfId="33280" xr:uid="{FBDF7136-7734-46C7-93BB-E4C52F78D988}"/>
    <cellStyle name="Linked Cell 32 2 3 4 2" xfId="33281" xr:uid="{2749C4E3-364D-4A96-B529-8744C6C995E5}"/>
    <cellStyle name="Linked Cell 32 2 3 4 2 2" xfId="33282" xr:uid="{309B2213-03DE-4062-A26A-8C87455613AF}"/>
    <cellStyle name="Linked Cell 32 2 3 4 3" xfId="33283" xr:uid="{2644CD77-3C3E-4466-867E-281056457EC8}"/>
    <cellStyle name="Linked Cell 32 2 3 5" xfId="33284" xr:uid="{15E30525-A190-4779-AD21-7AAA153D2C5F}"/>
    <cellStyle name="Linked Cell 32 2 3 5 2" xfId="33285" xr:uid="{852DAAF3-3336-4CD2-8002-2AC1CDC54450}"/>
    <cellStyle name="Linked Cell 32 2 3 5 2 2" xfId="33286" xr:uid="{9009DAC3-E96D-4D41-91EF-1FCA974DA189}"/>
    <cellStyle name="Linked Cell 32 2 3 5 3" xfId="33287" xr:uid="{32026C33-1939-4E94-83C6-692698E50024}"/>
    <cellStyle name="Linked Cell 32 2 3 6" xfId="33288" xr:uid="{FE05AFE1-B35B-4BBF-84DE-F85A48C47DD3}"/>
    <cellStyle name="Linked Cell 32 2 3 6 2" xfId="33289" xr:uid="{7DB34144-C71A-4ACF-8EEB-5C3B6E27DA6F}"/>
    <cellStyle name="Linked Cell 32 2 3 6 2 2" xfId="33290" xr:uid="{8D8DB6F3-3A24-4A56-A161-E563E1232191}"/>
    <cellStyle name="Linked Cell 32 2 3 6 3" xfId="33291" xr:uid="{915964FA-2302-43CA-9C3A-E58DB093709B}"/>
    <cellStyle name="Linked Cell 32 2 3 7" xfId="33292" xr:uid="{2BCD05E3-C15C-4684-B2E6-0F537405AB4F}"/>
    <cellStyle name="Linked Cell 32 2 3 7 2" xfId="33293" xr:uid="{B5013548-292F-476B-AA31-A608C5F8DB01}"/>
    <cellStyle name="Linked Cell 32 2 3 7 2 2" xfId="33294" xr:uid="{9BCA518A-33FF-44B3-B8B1-6039F7CE8D25}"/>
    <cellStyle name="Linked Cell 32 2 3 7 3" xfId="33295" xr:uid="{D6D411F5-C4D4-48E6-A81F-D46CFFF0C457}"/>
    <cellStyle name="Linked Cell 32 2 3 8" xfId="33296" xr:uid="{6F535FB4-273C-457F-92FD-C4AB24FAB428}"/>
    <cellStyle name="Linked Cell 32 2 3 8 2" xfId="33297" xr:uid="{11B64323-77CC-4E3D-AC0F-C22D0086B6EB}"/>
    <cellStyle name="Linked Cell 32 2 3 8 2 2" xfId="33298" xr:uid="{33517118-D6D0-4FEF-A4EA-850ADB4A1A67}"/>
    <cellStyle name="Linked Cell 32 2 3 8 3" xfId="33299" xr:uid="{C63278CF-56C3-40ED-AFD5-CF0DB4550811}"/>
    <cellStyle name="Linked Cell 32 2 3 9" xfId="33300" xr:uid="{FF2DA311-7207-457D-BEB9-A8731A8F706C}"/>
    <cellStyle name="Linked Cell 32 2 3 9 2" xfId="33301" xr:uid="{A326A21F-55B4-4B13-A712-57A7D7E52A8C}"/>
    <cellStyle name="Linked Cell 32 2 3 9 2 2" xfId="33302" xr:uid="{52A328B2-D55C-4BE8-AAEB-E860E07F86C3}"/>
    <cellStyle name="Linked Cell 32 2 3 9 3" xfId="33303" xr:uid="{C2EBCC0C-5BFA-4C54-A567-44DE7D687D19}"/>
    <cellStyle name="Linked Cell 32 2 4" xfId="33304" xr:uid="{B55A5CED-A0EB-4261-AA62-4CB17150198E}"/>
    <cellStyle name="Linked Cell 32 2 4 10" xfId="33305" xr:uid="{0DE057B7-F375-443C-8383-6145579321CD}"/>
    <cellStyle name="Linked Cell 32 2 4 10 2" xfId="33306" xr:uid="{F98BF0C5-BE03-47DE-8D39-F9D03AE90D07}"/>
    <cellStyle name="Linked Cell 32 2 4 10 2 2" xfId="33307" xr:uid="{1A305102-6FCE-4FBD-9178-F67D717407FA}"/>
    <cellStyle name="Linked Cell 32 2 4 10 3" xfId="33308" xr:uid="{6FE45D87-7A5D-4B78-B67D-6E84058B956B}"/>
    <cellStyle name="Linked Cell 32 2 4 11" xfId="33309" xr:uid="{90ADD3F4-A0F3-4775-9C3C-824BAB472D18}"/>
    <cellStyle name="Linked Cell 32 2 4 11 2" xfId="33310" xr:uid="{5E6EBBF2-34A7-4895-A01A-3502902AB9A3}"/>
    <cellStyle name="Linked Cell 32 2 4 12" xfId="33311" xr:uid="{A9B2E75E-1D42-477E-AEB6-435335C07849}"/>
    <cellStyle name="Linked Cell 32 2 4 2" xfId="33312" xr:uid="{86289FE6-93BB-400A-A49B-6455AF6D03AE}"/>
    <cellStyle name="Linked Cell 32 2 4 2 10" xfId="33313" xr:uid="{1DA24AE0-1557-45E2-8A13-4A05E8911F52}"/>
    <cellStyle name="Linked Cell 32 2 4 2 10 2" xfId="33314" xr:uid="{526E742E-5440-40CC-8C0A-DF6705370380}"/>
    <cellStyle name="Linked Cell 32 2 4 2 11" xfId="33315" xr:uid="{EA672863-29B8-4568-A9EC-A7C098F9E1A6}"/>
    <cellStyle name="Linked Cell 32 2 4 2 2" xfId="33316" xr:uid="{E3D2C2D7-6D02-416C-83D5-3DF7E4CB5A52}"/>
    <cellStyle name="Linked Cell 32 2 4 2 2 2" xfId="33317" xr:uid="{8A5572E1-9B7E-4603-BD50-2601B1488AB3}"/>
    <cellStyle name="Linked Cell 32 2 4 2 2 2 2" xfId="33318" xr:uid="{FD274596-D7AB-4F98-9115-C0D5AF8CF5BC}"/>
    <cellStyle name="Linked Cell 32 2 4 2 2 3" xfId="33319" xr:uid="{0F7C75CC-4423-4227-9451-D03B60A98A3C}"/>
    <cellStyle name="Linked Cell 32 2 4 2 3" xfId="33320" xr:uid="{B0C8D5F5-0A93-4680-999B-644BCA4C1777}"/>
    <cellStyle name="Linked Cell 32 2 4 2 3 2" xfId="33321" xr:uid="{BAFD0631-C438-4A69-B484-9909A61F9081}"/>
    <cellStyle name="Linked Cell 32 2 4 2 3 2 2" xfId="33322" xr:uid="{6EE18AF4-9CEF-49F3-9F3B-4438BD05B863}"/>
    <cellStyle name="Linked Cell 32 2 4 2 3 3" xfId="33323" xr:uid="{9F9D88B3-0407-4681-9910-13DDA44AC854}"/>
    <cellStyle name="Linked Cell 32 2 4 2 4" xfId="33324" xr:uid="{DD2B98D2-486C-4BCB-A015-0636CEE2A0F5}"/>
    <cellStyle name="Linked Cell 32 2 4 2 4 2" xfId="33325" xr:uid="{24750282-2C85-40ED-BF93-486FFB122E98}"/>
    <cellStyle name="Linked Cell 32 2 4 2 4 2 2" xfId="33326" xr:uid="{F68203E8-7344-4630-89CE-7C0750824B72}"/>
    <cellStyle name="Linked Cell 32 2 4 2 4 3" xfId="33327" xr:uid="{6A68B769-D07F-4C32-9997-53C42EDFC6DB}"/>
    <cellStyle name="Linked Cell 32 2 4 2 5" xfId="33328" xr:uid="{D0271F15-9888-4C1A-A693-35C3D93F46EA}"/>
    <cellStyle name="Linked Cell 32 2 4 2 5 2" xfId="33329" xr:uid="{EA492A95-1B2C-4AA9-8E30-A074F9EC1D6E}"/>
    <cellStyle name="Linked Cell 32 2 4 2 5 2 2" xfId="33330" xr:uid="{A0EAF27D-CFDD-4130-83E0-822F8BBE0531}"/>
    <cellStyle name="Linked Cell 32 2 4 2 5 3" xfId="33331" xr:uid="{46242314-FD95-4D2E-BAE2-04AE74F55CF4}"/>
    <cellStyle name="Linked Cell 32 2 4 2 6" xfId="33332" xr:uid="{33EB0524-5760-4037-B289-746980D8CA27}"/>
    <cellStyle name="Linked Cell 32 2 4 2 6 2" xfId="33333" xr:uid="{BB3541BF-5423-4724-BD2C-DE2CA8239E26}"/>
    <cellStyle name="Linked Cell 32 2 4 2 6 2 2" xfId="33334" xr:uid="{40C46418-80F7-4B0C-841B-1FFFF969B061}"/>
    <cellStyle name="Linked Cell 32 2 4 2 6 3" xfId="33335" xr:uid="{6D7F6F5C-43D4-42C3-A109-857E8C2B8961}"/>
    <cellStyle name="Linked Cell 32 2 4 2 7" xfId="33336" xr:uid="{16F89820-F654-4BF6-B181-00A27A9D9543}"/>
    <cellStyle name="Linked Cell 32 2 4 2 7 2" xfId="33337" xr:uid="{3E034C00-C3C5-44B6-8429-1E6C123C452A}"/>
    <cellStyle name="Linked Cell 32 2 4 2 7 2 2" xfId="33338" xr:uid="{415292F1-8DA0-4015-B04E-EB4BF8A458FD}"/>
    <cellStyle name="Linked Cell 32 2 4 2 7 3" xfId="33339" xr:uid="{DBF2B0B5-821F-4398-963B-FF5CEA90F19C}"/>
    <cellStyle name="Linked Cell 32 2 4 2 8" xfId="33340" xr:uid="{B89B7511-54F2-44ED-BC04-377406B57C51}"/>
    <cellStyle name="Linked Cell 32 2 4 2 8 2" xfId="33341" xr:uid="{3FAE5950-A8C4-4FC5-B361-3422BD15D5C1}"/>
    <cellStyle name="Linked Cell 32 2 4 2 8 2 2" xfId="33342" xr:uid="{3A0D4FC9-1F04-48FF-A7E5-7FEE7153A1B3}"/>
    <cellStyle name="Linked Cell 32 2 4 2 8 3" xfId="33343" xr:uid="{E8EB7E22-B157-4FCD-8BFC-B42EBF232B53}"/>
    <cellStyle name="Linked Cell 32 2 4 2 9" xfId="33344" xr:uid="{D752B6A2-FC0D-4E20-B7B8-006F141493DA}"/>
    <cellStyle name="Linked Cell 32 2 4 2 9 2" xfId="33345" xr:uid="{335F26CC-D95E-4ABB-B08D-AD8C1BA39C6D}"/>
    <cellStyle name="Linked Cell 32 2 4 2 9 2 2" xfId="33346" xr:uid="{9BB8BECA-50B0-4DAE-A3F9-E53FDAE008BA}"/>
    <cellStyle name="Linked Cell 32 2 4 2 9 3" xfId="33347" xr:uid="{C41D1F09-AFBA-4446-B833-F9EC7C7B80D6}"/>
    <cellStyle name="Linked Cell 32 2 4 3" xfId="33348" xr:uid="{1AEA0A12-9572-4BDF-8FCE-02404C688D43}"/>
    <cellStyle name="Linked Cell 32 2 4 3 2" xfId="33349" xr:uid="{45CB8575-1614-4EE5-A0FD-E8E1A5F43143}"/>
    <cellStyle name="Linked Cell 32 2 4 3 2 2" xfId="33350" xr:uid="{244897A2-14F9-4DBA-A169-56E62654EE74}"/>
    <cellStyle name="Linked Cell 32 2 4 3 3" xfId="33351" xr:uid="{96211CDE-A2F0-4986-B5EF-8D392EDE355E}"/>
    <cellStyle name="Linked Cell 32 2 4 4" xfId="33352" xr:uid="{A8F07886-037C-427F-82B4-0DFA2BEA16A8}"/>
    <cellStyle name="Linked Cell 32 2 4 4 2" xfId="33353" xr:uid="{A6D3F815-2B87-4C54-8437-CB43C4CDA277}"/>
    <cellStyle name="Linked Cell 32 2 4 4 2 2" xfId="33354" xr:uid="{4561D265-0A08-4C16-9210-EBE85CF8E1B8}"/>
    <cellStyle name="Linked Cell 32 2 4 4 3" xfId="33355" xr:uid="{0DF3483C-86B3-4CD2-AA33-3F5539BEE54E}"/>
    <cellStyle name="Linked Cell 32 2 4 5" xfId="33356" xr:uid="{2448A24B-AA2D-41AA-91B6-68CB2BDAA66C}"/>
    <cellStyle name="Linked Cell 32 2 4 5 2" xfId="33357" xr:uid="{29634DE5-7F12-42E9-85C4-E3C6D2161D10}"/>
    <cellStyle name="Linked Cell 32 2 4 5 2 2" xfId="33358" xr:uid="{ECEB0204-30D6-43C3-8BAC-FDD48AB7FFCB}"/>
    <cellStyle name="Linked Cell 32 2 4 5 3" xfId="33359" xr:uid="{3457AAD9-2389-4F7A-B2F4-CBD8CD355255}"/>
    <cellStyle name="Linked Cell 32 2 4 6" xfId="33360" xr:uid="{7EB4B60B-B00E-4F8B-9BCF-2A23BF484459}"/>
    <cellStyle name="Linked Cell 32 2 4 6 2" xfId="33361" xr:uid="{EE4BBDB0-12C2-4333-BC99-90239FB138D7}"/>
    <cellStyle name="Linked Cell 32 2 4 6 2 2" xfId="33362" xr:uid="{4C3581B3-B3FA-404E-971E-79F8684BDE1E}"/>
    <cellStyle name="Linked Cell 32 2 4 6 3" xfId="33363" xr:uid="{DADC0E26-883B-40EC-9C11-FA6A973C9034}"/>
    <cellStyle name="Linked Cell 32 2 4 7" xfId="33364" xr:uid="{43D2061C-7BD1-42A2-BA59-4238BC2631C2}"/>
    <cellStyle name="Linked Cell 32 2 4 7 2" xfId="33365" xr:uid="{452C26AB-360C-4851-B1C4-E1506BB1CEE9}"/>
    <cellStyle name="Linked Cell 32 2 4 7 2 2" xfId="33366" xr:uid="{ED9242B2-6800-4C02-AFA2-7091934E4857}"/>
    <cellStyle name="Linked Cell 32 2 4 7 3" xfId="33367" xr:uid="{84C58B58-D02F-4972-9AF0-D17012D32A2D}"/>
    <cellStyle name="Linked Cell 32 2 4 8" xfId="33368" xr:uid="{EB63246D-01C6-43F3-9F36-1B6AF536BF35}"/>
    <cellStyle name="Linked Cell 32 2 4 8 2" xfId="33369" xr:uid="{50650ED8-6F4E-4CAD-883E-49DDA14D9DC5}"/>
    <cellStyle name="Linked Cell 32 2 4 8 2 2" xfId="33370" xr:uid="{B393B3BF-77BD-4791-80D3-4FC406B136F8}"/>
    <cellStyle name="Linked Cell 32 2 4 8 3" xfId="33371" xr:uid="{5C05768C-FDB5-415D-B85B-7C2D3A0FFC56}"/>
    <cellStyle name="Linked Cell 32 2 4 9" xfId="33372" xr:uid="{624FB5C8-BCD4-46AD-A5FC-2FEB7D82F057}"/>
    <cellStyle name="Linked Cell 32 2 4 9 2" xfId="33373" xr:uid="{22AF4C37-2362-4E0F-8D89-E3F53121F312}"/>
    <cellStyle name="Linked Cell 32 2 4 9 2 2" xfId="33374" xr:uid="{B781D15E-1F17-4595-8D53-E4A4A30EE70D}"/>
    <cellStyle name="Linked Cell 32 2 4 9 3" xfId="33375" xr:uid="{10094714-990A-4C25-8C08-029E95FE4223}"/>
    <cellStyle name="Linked Cell 32 2 5" xfId="33376" xr:uid="{43F89D0B-DEB7-4FDA-B07F-E0597C938D74}"/>
    <cellStyle name="Linked Cell 32 2 5 10" xfId="33377" xr:uid="{8A786D3F-8668-45E9-8074-D4D0B0B00F23}"/>
    <cellStyle name="Linked Cell 32 2 5 10 2" xfId="33378" xr:uid="{B408FE67-7337-4D4B-8129-677F10C225DA}"/>
    <cellStyle name="Linked Cell 32 2 5 11" xfId="33379" xr:uid="{F6A76902-3515-4DE0-B2D1-8450F21BD620}"/>
    <cellStyle name="Linked Cell 32 2 5 2" xfId="33380" xr:uid="{29E524B3-7BCC-4D89-AADA-CDFD610662F3}"/>
    <cellStyle name="Linked Cell 32 2 5 2 2" xfId="33381" xr:uid="{3C6D2EE0-1E17-49D5-86D5-F1DCD3D458F5}"/>
    <cellStyle name="Linked Cell 32 2 5 2 2 2" xfId="33382" xr:uid="{B1B961A1-80AC-4B3B-8559-B5D6D9E92401}"/>
    <cellStyle name="Linked Cell 32 2 5 2 3" xfId="33383" xr:uid="{DCDB190C-025C-474E-8F0E-E196FF8C0E4E}"/>
    <cellStyle name="Linked Cell 32 2 5 3" xfId="33384" xr:uid="{D7672C1A-89F0-4724-89C7-A6613077028E}"/>
    <cellStyle name="Linked Cell 32 2 5 3 2" xfId="33385" xr:uid="{085E0D75-0900-4251-96D5-7FE9CF05FF47}"/>
    <cellStyle name="Linked Cell 32 2 5 3 2 2" xfId="33386" xr:uid="{694731E0-C4E8-4809-8819-2F72C721420B}"/>
    <cellStyle name="Linked Cell 32 2 5 3 3" xfId="33387" xr:uid="{D3398279-F5D2-4B25-8080-9955B4F86048}"/>
    <cellStyle name="Linked Cell 32 2 5 4" xfId="33388" xr:uid="{C59C8CBB-D91C-4871-9E91-1A5B6AD5D9D6}"/>
    <cellStyle name="Linked Cell 32 2 5 4 2" xfId="33389" xr:uid="{9CE869EF-2CA4-4A89-B917-3C238AF0A9DE}"/>
    <cellStyle name="Linked Cell 32 2 5 4 2 2" xfId="33390" xr:uid="{61D02AEA-C01A-4754-9182-A807A3971FD2}"/>
    <cellStyle name="Linked Cell 32 2 5 4 3" xfId="33391" xr:uid="{6342065D-D951-4E5B-9B23-7A62EFB5BACF}"/>
    <cellStyle name="Linked Cell 32 2 5 5" xfId="33392" xr:uid="{C47298B4-B337-478A-B916-5FCDB4D8EE9F}"/>
    <cellStyle name="Linked Cell 32 2 5 5 2" xfId="33393" xr:uid="{7DBF2CAE-FAFB-4A90-B1BD-96DF3B2281AB}"/>
    <cellStyle name="Linked Cell 32 2 5 5 2 2" xfId="33394" xr:uid="{12430AA0-619A-4813-B358-E1424030F0F6}"/>
    <cellStyle name="Linked Cell 32 2 5 5 3" xfId="33395" xr:uid="{16449082-2917-4CA5-882E-0B142179D04A}"/>
    <cellStyle name="Linked Cell 32 2 5 6" xfId="33396" xr:uid="{383F836D-15C3-477B-AA7A-2804752D9353}"/>
    <cellStyle name="Linked Cell 32 2 5 6 2" xfId="33397" xr:uid="{A527BF21-0821-4019-B8BE-4764DDA60A45}"/>
    <cellStyle name="Linked Cell 32 2 5 6 2 2" xfId="33398" xr:uid="{D2E73C7C-55F1-43F8-AB1B-138C826BB8FD}"/>
    <cellStyle name="Linked Cell 32 2 5 6 3" xfId="33399" xr:uid="{84D320E7-0806-4FAE-8EE5-A37D4F6373BA}"/>
    <cellStyle name="Linked Cell 32 2 5 7" xfId="33400" xr:uid="{8A56A415-4883-4565-92AB-B9A07CBC24D3}"/>
    <cellStyle name="Linked Cell 32 2 5 7 2" xfId="33401" xr:uid="{80805240-62A2-4E0E-A539-4DD5E249AAAD}"/>
    <cellStyle name="Linked Cell 32 2 5 7 2 2" xfId="33402" xr:uid="{186BA135-A338-4107-9E38-6576AFA29E27}"/>
    <cellStyle name="Linked Cell 32 2 5 7 3" xfId="33403" xr:uid="{89AE66E2-ECC5-48A8-ABA5-AF69B47A45B7}"/>
    <cellStyle name="Linked Cell 32 2 5 8" xfId="33404" xr:uid="{A6495096-0EAE-48C6-8035-D0E8E7FA7430}"/>
    <cellStyle name="Linked Cell 32 2 5 8 2" xfId="33405" xr:uid="{E2E949C5-993F-4316-83B9-74411A155525}"/>
    <cellStyle name="Linked Cell 32 2 5 8 2 2" xfId="33406" xr:uid="{556C7E8C-C9C9-4514-8EC2-6BC6F22BBFFE}"/>
    <cellStyle name="Linked Cell 32 2 5 8 3" xfId="33407" xr:uid="{6F861B92-39D4-43D6-A733-B63092EE6446}"/>
    <cellStyle name="Linked Cell 32 2 5 9" xfId="33408" xr:uid="{1CAEC0FE-FEAE-4261-8844-FC4D45FFE27E}"/>
    <cellStyle name="Linked Cell 32 2 5 9 2" xfId="33409" xr:uid="{1243C541-346B-42F8-92E1-CA2DB822661F}"/>
    <cellStyle name="Linked Cell 32 2 5 9 2 2" xfId="33410" xr:uid="{5BAF8929-3E09-450B-8042-34A801661AC2}"/>
    <cellStyle name="Linked Cell 32 2 5 9 3" xfId="33411" xr:uid="{195A5E6D-121C-4006-99C8-464CB9BD3646}"/>
    <cellStyle name="Linked Cell 32 2 6" xfId="33412" xr:uid="{2A674C01-6603-4E93-A055-12E93815339A}"/>
    <cellStyle name="Linked Cell 32 2 6 2" xfId="33413" xr:uid="{E294EF9E-CB4F-4C30-BEEA-E199F72A2054}"/>
    <cellStyle name="Linked Cell 32 2 6 2 2" xfId="33414" xr:uid="{3F32B16A-7A0E-4513-8CD6-2947A6B29D96}"/>
    <cellStyle name="Linked Cell 32 2 6 3" xfId="33415" xr:uid="{A3D3598D-C571-416D-A5FD-7BAA33E73E10}"/>
    <cellStyle name="Linked Cell 32 2 7" xfId="33416" xr:uid="{D494BBA5-A1D4-4B48-BE90-3C86046DE5B1}"/>
    <cellStyle name="Linked Cell 32 2 7 2" xfId="33417" xr:uid="{00296759-F82F-4528-938F-6F55AA2E8A4F}"/>
    <cellStyle name="Linked Cell 32 2 7 2 2" xfId="33418" xr:uid="{6ED81146-27EC-4090-B28C-9FF926D8D7AC}"/>
    <cellStyle name="Linked Cell 32 2 7 3" xfId="33419" xr:uid="{E775CF33-46B4-43DF-B8F8-8F7B00AB5A0B}"/>
    <cellStyle name="Linked Cell 32 2 8" xfId="33420" xr:uid="{26E173DC-B180-49DC-97C1-34385223C160}"/>
    <cellStyle name="Linked Cell 32 2 8 2" xfId="33421" xr:uid="{FDB7431F-E28F-437F-B524-EA453D07E137}"/>
    <cellStyle name="Linked Cell 32 2 8 2 2" xfId="33422" xr:uid="{9DD4DD58-50AC-4F61-834D-49C235DD1219}"/>
    <cellStyle name="Linked Cell 32 2 8 3" xfId="33423" xr:uid="{05926667-1C6A-44B8-B6F1-4BFECD900662}"/>
    <cellStyle name="Linked Cell 32 2 9" xfId="33424" xr:uid="{458D1F39-DC84-4724-A402-E34D149B7604}"/>
    <cellStyle name="Linked Cell 32 2 9 2" xfId="33425" xr:uid="{F890BCB8-6CB4-48C9-89CA-0A0A9195B0A3}"/>
    <cellStyle name="Linked Cell 32 2 9 2 2" xfId="33426" xr:uid="{49678BB9-8623-40FC-B288-6CF0A342D59D}"/>
    <cellStyle name="Linked Cell 32 2 9 3" xfId="33427" xr:uid="{74099B90-68E1-4EED-8958-460A446DCE0E}"/>
    <cellStyle name="Linked Cell 32 3" xfId="33428" xr:uid="{A4D1DE3F-D2E3-4944-A54F-4B9DC270658F}"/>
    <cellStyle name="Linked Cell 32 3 10" xfId="33429" xr:uid="{FCE53B5B-B354-4F55-B292-043BA4A7190D}"/>
    <cellStyle name="Linked Cell 32 3 10 2" xfId="33430" xr:uid="{80D6D589-14A0-454B-8A5B-D65FEA2B7DAF}"/>
    <cellStyle name="Linked Cell 32 3 10 2 2" xfId="33431" xr:uid="{DE4A09BB-E4CB-4D8A-A8CD-060DB66274FC}"/>
    <cellStyle name="Linked Cell 32 3 10 3" xfId="33432" xr:uid="{AEA83017-F61F-493C-B534-E95F67EE1C9D}"/>
    <cellStyle name="Linked Cell 32 3 11" xfId="33433" xr:uid="{AF540942-1BA5-4654-8871-72CDAB6BC259}"/>
    <cellStyle name="Linked Cell 32 3 11 2" xfId="33434" xr:uid="{33C06E66-4C02-4967-9154-7999ED6ABD4E}"/>
    <cellStyle name="Linked Cell 32 3 11 2 2" xfId="33435" xr:uid="{BCE54AF6-2382-4191-A51E-067947D46E90}"/>
    <cellStyle name="Linked Cell 32 3 11 3" xfId="33436" xr:uid="{CB42E35D-6B3D-480E-959E-EA7AE8980AAF}"/>
    <cellStyle name="Linked Cell 32 3 12" xfId="33437" xr:uid="{BB3E9EE4-E5D5-48D7-B2F4-757E619F439D}"/>
    <cellStyle name="Linked Cell 32 3 12 2" xfId="33438" xr:uid="{C5F78EAB-295A-41D9-AAD4-B756D22A18EC}"/>
    <cellStyle name="Linked Cell 32 3 12 2 2" xfId="33439" xr:uid="{49BBD7C1-53E0-4E89-814C-CAC221A61A17}"/>
    <cellStyle name="Linked Cell 32 3 12 3" xfId="33440" xr:uid="{FD556922-65DF-40D2-AB0F-9ADE6B65C6EF}"/>
    <cellStyle name="Linked Cell 32 3 13" xfId="33441" xr:uid="{1387DC28-624B-4409-8D00-2D187E49D970}"/>
    <cellStyle name="Linked Cell 32 3 13 2" xfId="33442" xr:uid="{EDA3A549-B08A-4B7F-8E52-95F8BC485698}"/>
    <cellStyle name="Linked Cell 32 3 14" xfId="33443" xr:uid="{32CDD98D-0A64-4BFF-95E1-F98081C69ABC}"/>
    <cellStyle name="Linked Cell 32 3 2" xfId="33444" xr:uid="{BB3A635F-2ADE-484B-A29B-E6D999D5D5F7}"/>
    <cellStyle name="Linked Cell 32 3 2 10" xfId="33445" xr:uid="{97D78F0A-2609-46B0-9DAF-EFCAFB94EAC9}"/>
    <cellStyle name="Linked Cell 32 3 2 10 2" xfId="33446" xr:uid="{46B19C02-A888-43AB-957A-D7AA8AD263B2}"/>
    <cellStyle name="Linked Cell 32 3 2 10 2 2" xfId="33447" xr:uid="{6966B2FB-815C-452F-92B7-F5027AB69932}"/>
    <cellStyle name="Linked Cell 32 3 2 10 3" xfId="33448" xr:uid="{FACD1C69-E159-4307-8EB2-36D6733A90D8}"/>
    <cellStyle name="Linked Cell 32 3 2 11" xfId="33449" xr:uid="{49C20DA9-E69B-4429-97E6-57E7ED5F1E3E}"/>
    <cellStyle name="Linked Cell 32 3 2 11 2" xfId="33450" xr:uid="{D1928D6A-DDE1-459A-991D-F4D640327146}"/>
    <cellStyle name="Linked Cell 32 3 2 11 2 2" xfId="33451" xr:uid="{3DB233F0-F32C-463B-B6AB-EA1FAEECF0A8}"/>
    <cellStyle name="Linked Cell 32 3 2 11 3" xfId="33452" xr:uid="{3E5B83D4-AD33-47DF-991C-C0EEACB34DC7}"/>
    <cellStyle name="Linked Cell 32 3 2 12" xfId="33453" xr:uid="{E7F00369-0FAF-433E-B69C-5D212214A373}"/>
    <cellStyle name="Linked Cell 32 3 2 12 2" xfId="33454" xr:uid="{12E3289C-56F3-47B7-A846-0C454012684F}"/>
    <cellStyle name="Linked Cell 32 3 2 13" xfId="33455" xr:uid="{2CD7D7B2-3EBF-4230-A8CC-317010205767}"/>
    <cellStyle name="Linked Cell 32 3 2 2" xfId="33456" xr:uid="{9ECDD2C6-F6E0-4DC8-8CC6-04FC508B6BD1}"/>
    <cellStyle name="Linked Cell 32 3 2 2 10" xfId="33457" xr:uid="{143AC0D2-0D11-4E84-A7D1-BF22A233E919}"/>
    <cellStyle name="Linked Cell 32 3 2 2 10 2" xfId="33458" xr:uid="{3204597A-2CAD-49B2-B6CB-B4ACE3A0AB33}"/>
    <cellStyle name="Linked Cell 32 3 2 2 10 2 2" xfId="33459" xr:uid="{5F57CA51-DFF9-41EF-A0BC-471F3DE8663D}"/>
    <cellStyle name="Linked Cell 32 3 2 2 10 3" xfId="33460" xr:uid="{2F9E2F3A-9321-4FEB-A35D-2DCB9D774F93}"/>
    <cellStyle name="Linked Cell 32 3 2 2 11" xfId="33461" xr:uid="{3DE39A19-D7FA-4898-B588-5A93392FD4CF}"/>
    <cellStyle name="Linked Cell 32 3 2 2 11 2" xfId="33462" xr:uid="{3B73E379-22AE-4EAA-8D2E-B0BE75FE63D5}"/>
    <cellStyle name="Linked Cell 32 3 2 2 12" xfId="33463" xr:uid="{6A67F8EF-F590-4468-AD75-C851DB5AF43E}"/>
    <cellStyle name="Linked Cell 32 3 2 2 2" xfId="33464" xr:uid="{AC57C643-1E86-4936-86DD-BC441C8485B9}"/>
    <cellStyle name="Linked Cell 32 3 2 2 2 2" xfId="33465" xr:uid="{2B318DF4-116E-453B-9015-55902FA0109B}"/>
    <cellStyle name="Linked Cell 32 3 2 2 2 2 2" xfId="33466" xr:uid="{E710450C-225B-4600-BBA0-C4935C8BC327}"/>
    <cellStyle name="Linked Cell 32 3 2 2 2 3" xfId="33467" xr:uid="{601BCC60-85E7-49EC-AEAC-8D84DF42A134}"/>
    <cellStyle name="Linked Cell 32 3 2 2 3" xfId="33468" xr:uid="{206E2100-774B-4841-BB6A-37F02A2F7643}"/>
    <cellStyle name="Linked Cell 32 3 2 2 3 2" xfId="33469" xr:uid="{D3A0F44F-887B-49A4-981A-243746F5EF3A}"/>
    <cellStyle name="Linked Cell 32 3 2 2 3 2 2" xfId="33470" xr:uid="{A7C493AD-76A1-4623-BEDC-779F60CC6BC1}"/>
    <cellStyle name="Linked Cell 32 3 2 2 3 3" xfId="33471" xr:uid="{600CDBFA-8C48-496E-B966-F490F61A83CD}"/>
    <cellStyle name="Linked Cell 32 3 2 2 4" xfId="33472" xr:uid="{B5E40126-0A52-42A8-9665-7BD026AF0047}"/>
    <cellStyle name="Linked Cell 32 3 2 2 4 2" xfId="33473" xr:uid="{9964DD55-F0BB-405C-80B5-19CA403412DA}"/>
    <cellStyle name="Linked Cell 32 3 2 2 4 2 2" xfId="33474" xr:uid="{FC9C7C3A-A47B-404A-8BB5-981B9C5FBFA8}"/>
    <cellStyle name="Linked Cell 32 3 2 2 4 3" xfId="33475" xr:uid="{E8FA4375-F5D8-43D3-A764-135F6ECA4FE4}"/>
    <cellStyle name="Linked Cell 32 3 2 2 5" xfId="33476" xr:uid="{20696AF1-1888-4F38-B1D8-2AED5ACA65B4}"/>
    <cellStyle name="Linked Cell 32 3 2 2 5 2" xfId="33477" xr:uid="{50CE1B41-89A8-42FA-8CF4-491B4DA7271F}"/>
    <cellStyle name="Linked Cell 32 3 2 2 5 2 2" xfId="33478" xr:uid="{8E8DDF05-110A-4FAF-A6D0-58122DA9552D}"/>
    <cellStyle name="Linked Cell 32 3 2 2 5 3" xfId="33479" xr:uid="{337A329E-8D05-4C97-B35C-8C22319CDEB8}"/>
    <cellStyle name="Linked Cell 32 3 2 2 6" xfId="33480" xr:uid="{A45EC359-779F-4022-8C25-109802B36013}"/>
    <cellStyle name="Linked Cell 32 3 2 2 6 2" xfId="33481" xr:uid="{43B544CB-6261-4DCA-B1D3-6A6E3C1D08D1}"/>
    <cellStyle name="Linked Cell 32 3 2 2 6 2 2" xfId="33482" xr:uid="{CCB20697-107F-4CC2-84C8-184C8595962D}"/>
    <cellStyle name="Linked Cell 32 3 2 2 6 3" xfId="33483" xr:uid="{3A2811BE-6D44-4BC7-BA95-9A3FCF765F32}"/>
    <cellStyle name="Linked Cell 32 3 2 2 7" xfId="33484" xr:uid="{A4630208-09C3-4604-B795-38030D0D1C74}"/>
    <cellStyle name="Linked Cell 32 3 2 2 7 2" xfId="33485" xr:uid="{9B9B3361-C851-4BA2-AB9F-950604150F22}"/>
    <cellStyle name="Linked Cell 32 3 2 2 7 2 2" xfId="33486" xr:uid="{10ECEE97-1245-420D-BE20-79D44D123993}"/>
    <cellStyle name="Linked Cell 32 3 2 2 7 3" xfId="33487" xr:uid="{403AB4E4-0772-4FDD-A3DF-1E9329E6909A}"/>
    <cellStyle name="Linked Cell 32 3 2 2 8" xfId="33488" xr:uid="{D814EA16-2D4C-466D-A3FE-31B8E80E856C}"/>
    <cellStyle name="Linked Cell 32 3 2 2 8 2" xfId="33489" xr:uid="{2D8010D0-027C-4C9C-816C-C5D33B04EFE8}"/>
    <cellStyle name="Linked Cell 32 3 2 2 8 2 2" xfId="33490" xr:uid="{71105501-00A1-4795-9E22-E5D8D76E484F}"/>
    <cellStyle name="Linked Cell 32 3 2 2 8 3" xfId="33491" xr:uid="{04B43857-2148-4F06-8D77-9C77D99444AB}"/>
    <cellStyle name="Linked Cell 32 3 2 2 9" xfId="33492" xr:uid="{A164E979-52B3-419F-BEE7-E8C61747FB37}"/>
    <cellStyle name="Linked Cell 32 3 2 2 9 2" xfId="33493" xr:uid="{735C5666-CDCD-41B0-B665-50629586073E}"/>
    <cellStyle name="Linked Cell 32 3 2 2 9 2 2" xfId="33494" xr:uid="{6BC80EAE-77DE-4F03-91F1-0D2EFFC1A867}"/>
    <cellStyle name="Linked Cell 32 3 2 2 9 3" xfId="33495" xr:uid="{0E6A3DEF-68FA-4718-A595-6241ECE1DDB3}"/>
    <cellStyle name="Linked Cell 32 3 2 3" xfId="33496" xr:uid="{4AC0F188-AB4F-4E67-A602-4A601C589E0A}"/>
    <cellStyle name="Linked Cell 32 3 2 3 10" xfId="33497" xr:uid="{2D935601-845F-4378-88D5-55FA89660040}"/>
    <cellStyle name="Linked Cell 32 3 2 3 10 2" xfId="33498" xr:uid="{9C7254BF-49B4-4201-890C-23B400BB85E3}"/>
    <cellStyle name="Linked Cell 32 3 2 3 11" xfId="33499" xr:uid="{921A2B84-E7DD-4C38-9E3B-E3E713EE1418}"/>
    <cellStyle name="Linked Cell 32 3 2 3 2" xfId="33500" xr:uid="{A60DAF9E-C761-41D9-A522-22190BA673B5}"/>
    <cellStyle name="Linked Cell 32 3 2 3 2 2" xfId="33501" xr:uid="{98B580EF-E7AA-44BE-AA3D-630DB19DC59D}"/>
    <cellStyle name="Linked Cell 32 3 2 3 2 2 2" xfId="33502" xr:uid="{C4A31C1D-BF5D-40D1-8E13-CDC69851C676}"/>
    <cellStyle name="Linked Cell 32 3 2 3 2 3" xfId="33503" xr:uid="{1ADE5AF6-CEFB-4CED-BC8B-3E7D95498C83}"/>
    <cellStyle name="Linked Cell 32 3 2 3 3" xfId="33504" xr:uid="{722858FB-A986-4066-B4FA-BC9B7688C125}"/>
    <cellStyle name="Linked Cell 32 3 2 3 3 2" xfId="33505" xr:uid="{7F95D472-0E31-455B-B7C7-C76AC4BE0405}"/>
    <cellStyle name="Linked Cell 32 3 2 3 3 2 2" xfId="33506" xr:uid="{422F8500-F020-4C3C-93C3-441532FA5F93}"/>
    <cellStyle name="Linked Cell 32 3 2 3 3 3" xfId="33507" xr:uid="{6120853C-BA2E-4A47-AB74-7781B0C049BD}"/>
    <cellStyle name="Linked Cell 32 3 2 3 4" xfId="33508" xr:uid="{575A2E9C-8F67-4918-BDAE-DB086563FAD4}"/>
    <cellStyle name="Linked Cell 32 3 2 3 4 2" xfId="33509" xr:uid="{8DA8DD60-58EE-4105-81DF-3BEC8726D948}"/>
    <cellStyle name="Linked Cell 32 3 2 3 4 2 2" xfId="33510" xr:uid="{D5114C27-8665-4658-A5DC-3BE94591F3A6}"/>
    <cellStyle name="Linked Cell 32 3 2 3 4 3" xfId="33511" xr:uid="{EE9DDB5F-37B6-459A-A7A7-832A35C42DA8}"/>
    <cellStyle name="Linked Cell 32 3 2 3 5" xfId="33512" xr:uid="{012B7078-D481-4582-A114-568DD258FF4C}"/>
    <cellStyle name="Linked Cell 32 3 2 3 5 2" xfId="33513" xr:uid="{E0AC724E-4997-48DB-8E69-679BEA615B61}"/>
    <cellStyle name="Linked Cell 32 3 2 3 5 2 2" xfId="33514" xr:uid="{3196ABEC-31E0-4194-A68A-BCBCF38B0A83}"/>
    <cellStyle name="Linked Cell 32 3 2 3 5 3" xfId="33515" xr:uid="{88EA66CF-6438-49CB-BDF4-85CA8C97020E}"/>
    <cellStyle name="Linked Cell 32 3 2 3 6" xfId="33516" xr:uid="{E420A2B8-6CDD-4249-AEEC-B754C886B040}"/>
    <cellStyle name="Linked Cell 32 3 2 3 6 2" xfId="33517" xr:uid="{84C62E3D-903A-410F-B997-D0A27E4D57AD}"/>
    <cellStyle name="Linked Cell 32 3 2 3 6 2 2" xfId="33518" xr:uid="{6372E264-AA5A-469B-82D4-E7663F39BA7E}"/>
    <cellStyle name="Linked Cell 32 3 2 3 6 3" xfId="33519" xr:uid="{E4B9F60D-AF5D-462D-83F0-DBF357A4EA42}"/>
    <cellStyle name="Linked Cell 32 3 2 3 7" xfId="33520" xr:uid="{8627F5FD-2823-4A75-A5FC-9613E483D427}"/>
    <cellStyle name="Linked Cell 32 3 2 3 7 2" xfId="33521" xr:uid="{3204A652-A713-489B-9A14-F5865D6FB7E7}"/>
    <cellStyle name="Linked Cell 32 3 2 3 7 2 2" xfId="33522" xr:uid="{FA713C30-D1B9-4AFE-8BB3-97E6A222DD99}"/>
    <cellStyle name="Linked Cell 32 3 2 3 7 3" xfId="33523" xr:uid="{F390C42F-8029-4F90-9B36-5306A307FAA8}"/>
    <cellStyle name="Linked Cell 32 3 2 3 8" xfId="33524" xr:uid="{1D66972B-41FF-4D08-9752-F998C4B3959A}"/>
    <cellStyle name="Linked Cell 32 3 2 3 8 2" xfId="33525" xr:uid="{BBE6B24D-054C-451E-BA86-F997A1339447}"/>
    <cellStyle name="Linked Cell 32 3 2 3 8 2 2" xfId="33526" xr:uid="{43801B64-6B7B-439A-AAFA-00B6892CC806}"/>
    <cellStyle name="Linked Cell 32 3 2 3 8 3" xfId="33527" xr:uid="{BB2A039E-EA8D-4123-8327-A96898E1BB6A}"/>
    <cellStyle name="Linked Cell 32 3 2 3 9" xfId="33528" xr:uid="{E7F19494-9FA6-4A47-B372-D1309686C854}"/>
    <cellStyle name="Linked Cell 32 3 2 3 9 2" xfId="33529" xr:uid="{161BF520-87E5-4F56-BA83-9409253D72BE}"/>
    <cellStyle name="Linked Cell 32 3 2 3 9 2 2" xfId="33530" xr:uid="{71D531B6-83FD-41DA-B578-1B183A73E3DF}"/>
    <cellStyle name="Linked Cell 32 3 2 3 9 3" xfId="33531" xr:uid="{DFA2E7B4-F793-4C82-B44C-2BC99394E6E5}"/>
    <cellStyle name="Linked Cell 32 3 2 4" xfId="33532" xr:uid="{53069EC8-3CE0-46A3-958A-B2C2574E5091}"/>
    <cellStyle name="Linked Cell 32 3 2 4 2" xfId="33533" xr:uid="{FEB73815-950F-4603-99CA-990EB1F5AD4D}"/>
    <cellStyle name="Linked Cell 32 3 2 4 2 2" xfId="33534" xr:uid="{67E860C8-4F82-4A05-8799-49EC26F1EC21}"/>
    <cellStyle name="Linked Cell 32 3 2 4 3" xfId="33535" xr:uid="{2C3EE57F-0278-4F19-822C-9C486CB2F5A8}"/>
    <cellStyle name="Linked Cell 32 3 2 5" xfId="33536" xr:uid="{DEAF238B-55AB-4D65-AB27-8A62CD7B2B3C}"/>
    <cellStyle name="Linked Cell 32 3 2 5 2" xfId="33537" xr:uid="{5A2E243B-B38F-4C3E-95AD-DD4B1A16DB48}"/>
    <cellStyle name="Linked Cell 32 3 2 5 2 2" xfId="33538" xr:uid="{2ED67CCF-888C-46A9-AF12-A0493386B4F9}"/>
    <cellStyle name="Linked Cell 32 3 2 5 3" xfId="33539" xr:uid="{EA217000-5F76-4AA2-9B47-E13709B34270}"/>
    <cellStyle name="Linked Cell 32 3 2 6" xfId="33540" xr:uid="{CD376A4D-024C-4C03-ADA2-44B3D7B30F65}"/>
    <cellStyle name="Linked Cell 32 3 2 6 2" xfId="33541" xr:uid="{8CCA0936-A5F9-4113-B8EF-DED2AEB6A2B1}"/>
    <cellStyle name="Linked Cell 32 3 2 6 2 2" xfId="33542" xr:uid="{E602AB96-94B0-495A-A944-D135901E286F}"/>
    <cellStyle name="Linked Cell 32 3 2 6 3" xfId="33543" xr:uid="{C502469D-F1DC-4968-80E7-40A365C91356}"/>
    <cellStyle name="Linked Cell 32 3 2 7" xfId="33544" xr:uid="{F1F9F8FC-D051-41F2-9692-607F0E5CFB88}"/>
    <cellStyle name="Linked Cell 32 3 2 7 2" xfId="33545" xr:uid="{9EFA57B4-7468-4372-B015-8B8542B2FA68}"/>
    <cellStyle name="Linked Cell 32 3 2 7 2 2" xfId="33546" xr:uid="{BCF34A63-9610-4DA9-80AD-F8A27F687BBE}"/>
    <cellStyle name="Linked Cell 32 3 2 7 3" xfId="33547" xr:uid="{0A0CF11C-47F3-4220-A0C2-750B42740ED3}"/>
    <cellStyle name="Linked Cell 32 3 2 8" xfId="33548" xr:uid="{51B155AF-8E44-4BE3-81C4-E0FB770CD5E6}"/>
    <cellStyle name="Linked Cell 32 3 2 8 2" xfId="33549" xr:uid="{59F6ECB0-E83E-4344-8C96-ACE7DA6F95B4}"/>
    <cellStyle name="Linked Cell 32 3 2 8 2 2" xfId="33550" xr:uid="{6384CD2C-3F3B-40A6-B3A3-A76B852DBE12}"/>
    <cellStyle name="Linked Cell 32 3 2 8 3" xfId="33551" xr:uid="{9ABA0C48-DB5E-49CD-B8EB-0EAAD4617E1D}"/>
    <cellStyle name="Linked Cell 32 3 2 9" xfId="33552" xr:uid="{34F00430-EAA4-4F0B-B0C3-D058448760FC}"/>
    <cellStyle name="Linked Cell 32 3 2 9 2" xfId="33553" xr:uid="{E2936A5E-8BC3-4C7D-93E8-17093254AB56}"/>
    <cellStyle name="Linked Cell 32 3 2 9 2 2" xfId="33554" xr:uid="{E2B91BF7-0A19-41F6-851E-FAB0411ACEA7}"/>
    <cellStyle name="Linked Cell 32 3 2 9 3" xfId="33555" xr:uid="{77644DEA-3B8E-4BC1-BEAA-63386BE9EA4C}"/>
    <cellStyle name="Linked Cell 32 3 3" xfId="33556" xr:uid="{362F713E-8E19-44D6-9554-9449979B2E49}"/>
    <cellStyle name="Linked Cell 32 3 3 10" xfId="33557" xr:uid="{463FA319-D52B-44D1-AF40-D292510D6935}"/>
    <cellStyle name="Linked Cell 32 3 3 10 2" xfId="33558" xr:uid="{D0438E5F-5574-415A-9817-61775A7B2E31}"/>
    <cellStyle name="Linked Cell 32 3 3 10 2 2" xfId="33559" xr:uid="{71559A44-EA8B-489A-BF74-B38FDF432540}"/>
    <cellStyle name="Linked Cell 32 3 3 10 3" xfId="33560" xr:uid="{FE93C476-EDB1-4CFF-B988-0EA6354F205D}"/>
    <cellStyle name="Linked Cell 32 3 3 11" xfId="33561" xr:uid="{726F146E-C0BC-4AE1-A294-4F08BA0E8D0E}"/>
    <cellStyle name="Linked Cell 32 3 3 11 2" xfId="33562" xr:uid="{3EFFCEF0-77FB-4BF7-840F-77E7C7CA41A0}"/>
    <cellStyle name="Linked Cell 32 3 3 12" xfId="33563" xr:uid="{2DCDF81E-F7F3-4C4F-B550-32B6290AC3AB}"/>
    <cellStyle name="Linked Cell 32 3 3 2" xfId="33564" xr:uid="{31BC083C-9FD6-423F-95B1-091F21E594EE}"/>
    <cellStyle name="Linked Cell 32 3 3 2 10" xfId="33565" xr:uid="{77BA3E74-DA0A-495A-A0D5-08E4198B8EA7}"/>
    <cellStyle name="Linked Cell 32 3 3 2 10 2" xfId="33566" xr:uid="{2017C1DA-26DA-42CC-BDCD-E6909D6B5210}"/>
    <cellStyle name="Linked Cell 32 3 3 2 11" xfId="33567" xr:uid="{D5494ABB-5712-46B7-B7CA-BEF744CCC7BF}"/>
    <cellStyle name="Linked Cell 32 3 3 2 2" xfId="33568" xr:uid="{24D3DBF2-B01F-4C37-A6A8-4B931FE3A108}"/>
    <cellStyle name="Linked Cell 32 3 3 2 2 2" xfId="33569" xr:uid="{F6606278-611E-4C5E-8433-C01C3524453C}"/>
    <cellStyle name="Linked Cell 32 3 3 2 2 2 2" xfId="33570" xr:uid="{7AB23DA8-8C6A-4CCA-9B80-13BB6165E7AA}"/>
    <cellStyle name="Linked Cell 32 3 3 2 2 3" xfId="33571" xr:uid="{7C285996-FA2F-42AD-B959-0C9F4C78865F}"/>
    <cellStyle name="Linked Cell 32 3 3 2 3" xfId="33572" xr:uid="{43EED100-A1B8-4A85-818E-99B5D537CE01}"/>
    <cellStyle name="Linked Cell 32 3 3 2 3 2" xfId="33573" xr:uid="{1B04B30F-EF5C-47FA-B515-665BC2517E72}"/>
    <cellStyle name="Linked Cell 32 3 3 2 3 2 2" xfId="33574" xr:uid="{352BCE21-2B0B-4046-8535-04017983AC76}"/>
    <cellStyle name="Linked Cell 32 3 3 2 3 3" xfId="33575" xr:uid="{2865C30D-4D87-4A70-A9C5-14915185DD7C}"/>
    <cellStyle name="Linked Cell 32 3 3 2 4" xfId="33576" xr:uid="{FF083DB3-4C64-428B-9F91-E7529746AA4B}"/>
    <cellStyle name="Linked Cell 32 3 3 2 4 2" xfId="33577" xr:uid="{7E1B7AE4-4C05-43EE-A00D-2E4DECF57B70}"/>
    <cellStyle name="Linked Cell 32 3 3 2 4 2 2" xfId="33578" xr:uid="{C1A192AC-0140-438B-9349-D4D78920B425}"/>
    <cellStyle name="Linked Cell 32 3 3 2 4 3" xfId="33579" xr:uid="{D1DB6229-439E-4AFE-9477-E343BC8B2C01}"/>
    <cellStyle name="Linked Cell 32 3 3 2 5" xfId="33580" xr:uid="{9DDCC069-BF06-4148-9CB9-78D3E9951978}"/>
    <cellStyle name="Linked Cell 32 3 3 2 5 2" xfId="33581" xr:uid="{20D281D9-FFE6-4649-B8C5-1CC0ACF8872A}"/>
    <cellStyle name="Linked Cell 32 3 3 2 5 2 2" xfId="33582" xr:uid="{9EE4EA0D-2A4E-491F-BED4-78F31B089332}"/>
    <cellStyle name="Linked Cell 32 3 3 2 5 3" xfId="33583" xr:uid="{B213D01E-BB72-4A4E-AB36-F804D7EB5751}"/>
    <cellStyle name="Linked Cell 32 3 3 2 6" xfId="33584" xr:uid="{6D57254E-F13F-4F08-85AC-2565F08F1315}"/>
    <cellStyle name="Linked Cell 32 3 3 2 6 2" xfId="33585" xr:uid="{DB2C6638-FE1D-4EC9-BED0-DEF9F7BCD672}"/>
    <cellStyle name="Linked Cell 32 3 3 2 6 2 2" xfId="33586" xr:uid="{A90EE7A0-3BA9-420B-9CE5-C54E5756F6C8}"/>
    <cellStyle name="Linked Cell 32 3 3 2 6 3" xfId="33587" xr:uid="{B1183123-2A63-4B89-BBFC-53973BF544F8}"/>
    <cellStyle name="Linked Cell 32 3 3 2 7" xfId="33588" xr:uid="{B47DDC8A-7DE2-4AD8-9AF8-5BE299BE37A5}"/>
    <cellStyle name="Linked Cell 32 3 3 2 7 2" xfId="33589" xr:uid="{1182CDF8-E420-4527-973E-BAE98746ADB4}"/>
    <cellStyle name="Linked Cell 32 3 3 2 7 2 2" xfId="33590" xr:uid="{9AA4D79F-02A7-4732-943F-C72DA185BB20}"/>
    <cellStyle name="Linked Cell 32 3 3 2 7 3" xfId="33591" xr:uid="{C4889D0E-24B8-45BC-A0B8-81611A0005C1}"/>
    <cellStyle name="Linked Cell 32 3 3 2 8" xfId="33592" xr:uid="{BAC5EE62-E417-4248-8CA5-518E73BCEC24}"/>
    <cellStyle name="Linked Cell 32 3 3 2 8 2" xfId="33593" xr:uid="{65DCDA93-E911-4DDB-94C2-3EBE67730E18}"/>
    <cellStyle name="Linked Cell 32 3 3 2 8 2 2" xfId="33594" xr:uid="{F982BE73-25BF-474E-A0F8-BE61A2582BFE}"/>
    <cellStyle name="Linked Cell 32 3 3 2 8 3" xfId="33595" xr:uid="{34D4924D-52A6-46D8-9900-CB2ACED023E2}"/>
    <cellStyle name="Linked Cell 32 3 3 2 9" xfId="33596" xr:uid="{1D5CF53C-3132-4EAB-AB6C-88F99C9FC977}"/>
    <cellStyle name="Linked Cell 32 3 3 2 9 2" xfId="33597" xr:uid="{0A4761A4-19A1-40A5-93E3-123FB4042FBA}"/>
    <cellStyle name="Linked Cell 32 3 3 2 9 2 2" xfId="33598" xr:uid="{94B106AA-8CBD-48FC-92B4-CB5B83C53F05}"/>
    <cellStyle name="Linked Cell 32 3 3 2 9 3" xfId="33599" xr:uid="{C911D708-0ED2-4E55-AAF9-D82BAC02BABC}"/>
    <cellStyle name="Linked Cell 32 3 3 3" xfId="33600" xr:uid="{7AA9381B-587A-4465-9A25-66DAC000A312}"/>
    <cellStyle name="Linked Cell 32 3 3 3 2" xfId="33601" xr:uid="{FA7B8C26-C0AE-458A-8E04-BAF967F332B2}"/>
    <cellStyle name="Linked Cell 32 3 3 3 2 2" xfId="33602" xr:uid="{61475EFD-BE76-4269-8376-5A06BEFCBB51}"/>
    <cellStyle name="Linked Cell 32 3 3 3 3" xfId="33603" xr:uid="{21B1066E-C2B3-403D-9C6A-7EB602FEB91B}"/>
    <cellStyle name="Linked Cell 32 3 3 4" xfId="33604" xr:uid="{91CE2EF1-41FB-49D5-9C70-7859E05DB99B}"/>
    <cellStyle name="Linked Cell 32 3 3 4 2" xfId="33605" xr:uid="{9AA5D0A1-954E-4316-8136-2F811F52804E}"/>
    <cellStyle name="Linked Cell 32 3 3 4 2 2" xfId="33606" xr:uid="{40204D7E-3F3F-41C3-BDB0-C86DB5C3A2CE}"/>
    <cellStyle name="Linked Cell 32 3 3 4 3" xfId="33607" xr:uid="{027525BA-F0A0-4C42-B6DF-73463AE4933E}"/>
    <cellStyle name="Linked Cell 32 3 3 5" xfId="33608" xr:uid="{988443DB-9BA4-413B-8DC8-69C8DD28D9B5}"/>
    <cellStyle name="Linked Cell 32 3 3 5 2" xfId="33609" xr:uid="{98B1A5EB-E6D4-4681-B882-BE08537DAC0F}"/>
    <cellStyle name="Linked Cell 32 3 3 5 2 2" xfId="33610" xr:uid="{02A4121D-246B-426D-ABD0-2206B8A48C15}"/>
    <cellStyle name="Linked Cell 32 3 3 5 3" xfId="33611" xr:uid="{88B4E07D-F3EF-462B-97D6-65E031EC8344}"/>
    <cellStyle name="Linked Cell 32 3 3 6" xfId="33612" xr:uid="{84A3B53A-908D-40A9-B743-6224761EF9E6}"/>
    <cellStyle name="Linked Cell 32 3 3 6 2" xfId="33613" xr:uid="{95BC7F46-2ECC-4FE0-8B74-193FE87416AB}"/>
    <cellStyle name="Linked Cell 32 3 3 6 2 2" xfId="33614" xr:uid="{7B80F6C5-AFB5-47B8-B881-7AA3A83F36DF}"/>
    <cellStyle name="Linked Cell 32 3 3 6 3" xfId="33615" xr:uid="{FDE6D201-9497-4F70-AB82-E738E21D8DF1}"/>
    <cellStyle name="Linked Cell 32 3 3 7" xfId="33616" xr:uid="{35D53C12-EBF7-4C54-934E-2B8924653370}"/>
    <cellStyle name="Linked Cell 32 3 3 7 2" xfId="33617" xr:uid="{147C8B7B-DF2A-46A0-ADCE-A7A247360E1D}"/>
    <cellStyle name="Linked Cell 32 3 3 7 2 2" xfId="33618" xr:uid="{8CED5501-9EF3-46EB-A098-A28E4890441D}"/>
    <cellStyle name="Linked Cell 32 3 3 7 3" xfId="33619" xr:uid="{F7946C0E-D6F8-4098-B40E-4D5762EAF05D}"/>
    <cellStyle name="Linked Cell 32 3 3 8" xfId="33620" xr:uid="{E7FCA004-1CBC-4C43-96E3-C078612DF087}"/>
    <cellStyle name="Linked Cell 32 3 3 8 2" xfId="33621" xr:uid="{2B59AB7D-AA00-4775-8C85-87C1DB7BD3FE}"/>
    <cellStyle name="Linked Cell 32 3 3 8 2 2" xfId="33622" xr:uid="{40C8B131-8E20-425D-9192-9D2B06984E30}"/>
    <cellStyle name="Linked Cell 32 3 3 8 3" xfId="33623" xr:uid="{901FAE48-B2F0-4284-B576-0005EC220E9D}"/>
    <cellStyle name="Linked Cell 32 3 3 9" xfId="33624" xr:uid="{D9457CCD-69B7-4658-B2EB-7788E6128AA8}"/>
    <cellStyle name="Linked Cell 32 3 3 9 2" xfId="33625" xr:uid="{49879853-2E19-4419-8A78-3745109EE03A}"/>
    <cellStyle name="Linked Cell 32 3 3 9 2 2" xfId="33626" xr:uid="{726339FF-47C9-46B4-8964-B81B5D33FC26}"/>
    <cellStyle name="Linked Cell 32 3 3 9 3" xfId="33627" xr:uid="{148C427C-23E9-4591-8347-9862FC972111}"/>
    <cellStyle name="Linked Cell 32 3 4" xfId="33628" xr:uid="{BE29B305-E1A2-451B-A4E7-291517C35A20}"/>
    <cellStyle name="Linked Cell 32 3 4 10" xfId="33629" xr:uid="{9E545719-C574-4905-A78E-FC9A94A6FC8A}"/>
    <cellStyle name="Linked Cell 32 3 4 10 2" xfId="33630" xr:uid="{FCF0BCDC-5D5C-4D0B-811B-F543138B458A}"/>
    <cellStyle name="Linked Cell 32 3 4 11" xfId="33631" xr:uid="{8BC46C4B-80B4-4AB2-8298-972A2E73E46A}"/>
    <cellStyle name="Linked Cell 32 3 4 2" xfId="33632" xr:uid="{675F7AD3-72E1-480A-A755-D02BB38E7BB2}"/>
    <cellStyle name="Linked Cell 32 3 4 2 2" xfId="33633" xr:uid="{E988BA0B-2D30-4DC6-9E36-9D9A6403F1FA}"/>
    <cellStyle name="Linked Cell 32 3 4 2 2 2" xfId="33634" xr:uid="{FB450EC6-D6AD-4BFA-932E-936FEAF2C0A8}"/>
    <cellStyle name="Linked Cell 32 3 4 2 3" xfId="33635" xr:uid="{7B34B925-4D3C-4E90-860A-FD158A6E3D0C}"/>
    <cellStyle name="Linked Cell 32 3 4 3" xfId="33636" xr:uid="{DB3FCC20-500B-4862-90B2-667CD2CB72C8}"/>
    <cellStyle name="Linked Cell 32 3 4 3 2" xfId="33637" xr:uid="{DF021E9A-5926-4F73-8171-65FDAC1815E2}"/>
    <cellStyle name="Linked Cell 32 3 4 3 2 2" xfId="33638" xr:uid="{F7CAA891-4536-4BAB-8263-AEB2CE181C90}"/>
    <cellStyle name="Linked Cell 32 3 4 3 3" xfId="33639" xr:uid="{45CD64F0-D5FF-4A9A-92F3-F6B5C3E81948}"/>
    <cellStyle name="Linked Cell 32 3 4 4" xfId="33640" xr:uid="{99ADC89D-8D33-4456-AABB-02E55DD981EC}"/>
    <cellStyle name="Linked Cell 32 3 4 4 2" xfId="33641" xr:uid="{2EF223CC-4C7E-4ECE-A51E-AD944A558CF3}"/>
    <cellStyle name="Linked Cell 32 3 4 4 2 2" xfId="33642" xr:uid="{B76B9130-87B0-4F34-B253-4CE3347459CC}"/>
    <cellStyle name="Linked Cell 32 3 4 4 3" xfId="33643" xr:uid="{6697FA65-5433-4E7E-AE30-8C0B438CA916}"/>
    <cellStyle name="Linked Cell 32 3 4 5" xfId="33644" xr:uid="{8F25C2A4-37DF-419E-BE31-F89DA2386BE0}"/>
    <cellStyle name="Linked Cell 32 3 4 5 2" xfId="33645" xr:uid="{C26AF092-52DC-4BC8-B0EE-E0E5FCE79901}"/>
    <cellStyle name="Linked Cell 32 3 4 5 2 2" xfId="33646" xr:uid="{6D231D11-80EF-482D-9EEC-A2E9270C9571}"/>
    <cellStyle name="Linked Cell 32 3 4 5 3" xfId="33647" xr:uid="{50D95056-0FEE-45FB-AC90-8C777C957595}"/>
    <cellStyle name="Linked Cell 32 3 4 6" xfId="33648" xr:uid="{31836965-32D0-4616-8ACE-21FADCABB573}"/>
    <cellStyle name="Linked Cell 32 3 4 6 2" xfId="33649" xr:uid="{91E593D3-5960-49A9-B9E7-40478D9F1A21}"/>
    <cellStyle name="Linked Cell 32 3 4 6 2 2" xfId="33650" xr:uid="{5D6A9EEB-3C61-4381-B96C-A8F2CA87AA7A}"/>
    <cellStyle name="Linked Cell 32 3 4 6 3" xfId="33651" xr:uid="{54E496AD-D119-427D-819E-ED84071FA6CE}"/>
    <cellStyle name="Linked Cell 32 3 4 7" xfId="33652" xr:uid="{C10A7CA2-395C-4D38-8BC0-22AB08EFFA92}"/>
    <cellStyle name="Linked Cell 32 3 4 7 2" xfId="33653" xr:uid="{2F37B581-CCBB-4A86-8693-D98C372AD689}"/>
    <cellStyle name="Linked Cell 32 3 4 7 2 2" xfId="33654" xr:uid="{864C8989-E558-4876-BB73-0A02E0101812}"/>
    <cellStyle name="Linked Cell 32 3 4 7 3" xfId="33655" xr:uid="{E5D57733-37E7-462B-9BA2-B9B5374045DE}"/>
    <cellStyle name="Linked Cell 32 3 4 8" xfId="33656" xr:uid="{6C074CB2-74FB-4FEF-AFB8-04EA2FD35271}"/>
    <cellStyle name="Linked Cell 32 3 4 8 2" xfId="33657" xr:uid="{D8DE0CA8-FD7F-400C-ADEC-203F22D679E1}"/>
    <cellStyle name="Linked Cell 32 3 4 8 2 2" xfId="33658" xr:uid="{82E3EE78-60DC-4090-9F5B-8BC2681C5E81}"/>
    <cellStyle name="Linked Cell 32 3 4 8 3" xfId="33659" xr:uid="{D198D425-9CC9-42D7-89D0-021AEC0B162D}"/>
    <cellStyle name="Linked Cell 32 3 4 9" xfId="33660" xr:uid="{CC52BDB1-24C7-43CF-B0B1-E633B59D9399}"/>
    <cellStyle name="Linked Cell 32 3 4 9 2" xfId="33661" xr:uid="{512194AD-9362-474F-AECD-EC3754891046}"/>
    <cellStyle name="Linked Cell 32 3 4 9 2 2" xfId="33662" xr:uid="{4F7A5AEA-BD88-47AB-A86F-535E9DB07D9D}"/>
    <cellStyle name="Linked Cell 32 3 4 9 3" xfId="33663" xr:uid="{BC00D711-F965-489E-BC60-6E8397F5B601}"/>
    <cellStyle name="Linked Cell 32 3 5" xfId="33664" xr:uid="{99D15898-D87A-4C46-8A21-A45BFC9A1394}"/>
    <cellStyle name="Linked Cell 32 3 5 2" xfId="33665" xr:uid="{E24D16D4-DFC0-462A-96DF-0C4BBFAF01E7}"/>
    <cellStyle name="Linked Cell 32 3 5 2 2" xfId="33666" xr:uid="{15C8B271-37DA-4B8C-88C5-EBD091B85922}"/>
    <cellStyle name="Linked Cell 32 3 5 3" xfId="33667" xr:uid="{00B9FCC2-1B5D-43B6-8E4D-4B32BB3A2F8E}"/>
    <cellStyle name="Linked Cell 32 3 6" xfId="33668" xr:uid="{235FCDF8-306D-4E9A-AAB4-D64C8712E7CA}"/>
    <cellStyle name="Linked Cell 32 3 6 2" xfId="33669" xr:uid="{B382BECC-D461-4E7B-BE7C-E7A753C31680}"/>
    <cellStyle name="Linked Cell 32 3 6 2 2" xfId="33670" xr:uid="{09251A97-5B70-4E28-976C-4D543BD5CB02}"/>
    <cellStyle name="Linked Cell 32 3 6 3" xfId="33671" xr:uid="{E368648E-3243-4FC5-A834-C5F7239F126E}"/>
    <cellStyle name="Linked Cell 32 3 7" xfId="33672" xr:uid="{132A39F3-11CC-427B-B64E-52C3384E4075}"/>
    <cellStyle name="Linked Cell 32 3 7 2" xfId="33673" xr:uid="{6D430648-2129-481F-AC16-F3343C6DE7D2}"/>
    <cellStyle name="Linked Cell 32 3 7 2 2" xfId="33674" xr:uid="{DCA4ED95-2C90-416A-A6BE-BE7B3F69A36B}"/>
    <cellStyle name="Linked Cell 32 3 7 3" xfId="33675" xr:uid="{123E88C3-6FFA-4304-A0C5-11F72C24B233}"/>
    <cellStyle name="Linked Cell 32 3 8" xfId="33676" xr:uid="{487EBB96-6755-4FFE-B415-9698F14DE17B}"/>
    <cellStyle name="Linked Cell 32 3 8 2" xfId="33677" xr:uid="{C83408D3-8922-4A23-AC35-7F8685BB5FF2}"/>
    <cellStyle name="Linked Cell 32 3 8 2 2" xfId="33678" xr:uid="{F03865EA-69A4-46C6-9DFE-1FCEFFEB3C26}"/>
    <cellStyle name="Linked Cell 32 3 8 3" xfId="33679" xr:uid="{A98EC92F-4BEB-4F1E-ADBA-BF72DBDED5BD}"/>
    <cellStyle name="Linked Cell 32 3 9" xfId="33680" xr:uid="{164A7161-2E4A-44D8-AAE4-8007E4F75D82}"/>
    <cellStyle name="Linked Cell 32 3 9 2" xfId="33681" xr:uid="{60F59784-F5FF-43A9-A635-345D6730B0A2}"/>
    <cellStyle name="Linked Cell 32 3 9 2 2" xfId="33682" xr:uid="{C745C8C3-F722-4138-A890-01E224C4CE7E}"/>
    <cellStyle name="Linked Cell 32 3 9 3" xfId="33683" xr:uid="{0B1197AE-246B-49B8-A1BB-677524DA0825}"/>
    <cellStyle name="Linked Cell 32 4" xfId="33684" xr:uid="{ED137397-A819-4F14-87C8-7BA7A363505D}"/>
    <cellStyle name="Linked Cell 32 4 10" xfId="33685" xr:uid="{29489B84-BA9F-4006-9B97-2A5F16BAA39F}"/>
    <cellStyle name="Linked Cell 32 4 10 2" xfId="33686" xr:uid="{816E5C59-095E-4D38-BADD-34E210877531}"/>
    <cellStyle name="Linked Cell 32 4 10 2 2" xfId="33687" xr:uid="{475DF646-488C-4C05-B60A-01D13C284301}"/>
    <cellStyle name="Linked Cell 32 4 10 3" xfId="33688" xr:uid="{004C656F-592E-4659-AAA6-E858D0BBF933}"/>
    <cellStyle name="Linked Cell 32 4 11" xfId="33689" xr:uid="{DB840064-BD91-422E-84D4-79A1624AEC53}"/>
    <cellStyle name="Linked Cell 32 4 11 2" xfId="33690" xr:uid="{9D6FF763-52CD-4D0D-B48C-44C4DC46AF60}"/>
    <cellStyle name="Linked Cell 32 4 11 2 2" xfId="33691" xr:uid="{BD097E8F-8696-4B4A-B0FD-7407BADAEFAF}"/>
    <cellStyle name="Linked Cell 32 4 11 3" xfId="33692" xr:uid="{132D32AA-5918-4ADC-8C0F-2D10D76EEABC}"/>
    <cellStyle name="Linked Cell 32 4 12" xfId="33693" xr:uid="{79A4AC21-53CB-43CB-A787-53A130A48641}"/>
    <cellStyle name="Linked Cell 32 4 12 2" xfId="33694" xr:uid="{E3266116-7B63-4D32-BD61-D562F9CBABB0}"/>
    <cellStyle name="Linked Cell 32 4 13" xfId="33695" xr:uid="{A70F2C53-8BA5-494D-B34E-254FDF06C31D}"/>
    <cellStyle name="Linked Cell 32 4 2" xfId="33696" xr:uid="{095CDA53-04B7-4948-8971-B6DCA1CDA35B}"/>
    <cellStyle name="Linked Cell 32 4 2 10" xfId="33697" xr:uid="{A389BC74-3EF1-4404-862C-930838C08946}"/>
    <cellStyle name="Linked Cell 32 4 2 10 2" xfId="33698" xr:uid="{DE31FF74-46DC-42EC-A68E-B8A7EEB4B8C6}"/>
    <cellStyle name="Linked Cell 32 4 2 10 2 2" xfId="33699" xr:uid="{1A79D864-F416-4168-BAB7-93897C05FA76}"/>
    <cellStyle name="Linked Cell 32 4 2 10 3" xfId="33700" xr:uid="{EB103A30-E23D-4F40-85FA-3E6F3A456AA9}"/>
    <cellStyle name="Linked Cell 32 4 2 11" xfId="33701" xr:uid="{7552A091-F769-41FC-B39A-2F342556B4B1}"/>
    <cellStyle name="Linked Cell 32 4 2 11 2" xfId="33702" xr:uid="{E75D5ED1-9051-40B7-9F4A-EDB34039ACA9}"/>
    <cellStyle name="Linked Cell 32 4 2 12" xfId="33703" xr:uid="{6BA1E566-C13E-4D1D-8469-52DED1C5FFE6}"/>
    <cellStyle name="Linked Cell 32 4 2 2" xfId="33704" xr:uid="{6A8683BC-C5EC-4DF3-9A18-626047966619}"/>
    <cellStyle name="Linked Cell 32 4 2 2 2" xfId="33705" xr:uid="{3B302C07-A45F-4D36-8069-F8CCD74175BB}"/>
    <cellStyle name="Linked Cell 32 4 2 2 2 2" xfId="33706" xr:uid="{7B975B5D-A364-4D84-9275-1D73D4EEFBBA}"/>
    <cellStyle name="Linked Cell 32 4 2 2 3" xfId="33707" xr:uid="{75A62D11-262D-4C3D-87B7-B92BD5D442DC}"/>
    <cellStyle name="Linked Cell 32 4 2 3" xfId="33708" xr:uid="{4D6DB3FD-0FE9-4396-812B-D555AA572589}"/>
    <cellStyle name="Linked Cell 32 4 2 3 2" xfId="33709" xr:uid="{7DEE1F90-8925-490E-9DC4-3EB78774021B}"/>
    <cellStyle name="Linked Cell 32 4 2 3 2 2" xfId="33710" xr:uid="{3E39D5F5-1EF9-45C5-A277-41FB170EAD39}"/>
    <cellStyle name="Linked Cell 32 4 2 3 3" xfId="33711" xr:uid="{CD4E961C-D289-4EEE-AFFD-D1C888ED8E3A}"/>
    <cellStyle name="Linked Cell 32 4 2 4" xfId="33712" xr:uid="{A487CEEF-E29F-4B1C-B06D-249A6E5FCC0F}"/>
    <cellStyle name="Linked Cell 32 4 2 4 2" xfId="33713" xr:uid="{A84A16FD-D831-44AF-B860-37F5A2546144}"/>
    <cellStyle name="Linked Cell 32 4 2 4 2 2" xfId="33714" xr:uid="{2FABADDE-5558-45E4-AD23-BEBDEB472977}"/>
    <cellStyle name="Linked Cell 32 4 2 4 3" xfId="33715" xr:uid="{0B4CBFD0-FAB2-4AA4-B501-AB7266C35B1F}"/>
    <cellStyle name="Linked Cell 32 4 2 5" xfId="33716" xr:uid="{009DEDFB-4DBF-424F-A95D-0399D7F5B286}"/>
    <cellStyle name="Linked Cell 32 4 2 5 2" xfId="33717" xr:uid="{7BE55FAC-FF8F-4423-AF94-532CCC963040}"/>
    <cellStyle name="Linked Cell 32 4 2 5 2 2" xfId="33718" xr:uid="{EA584A15-6D73-412F-BE83-52DB343E4355}"/>
    <cellStyle name="Linked Cell 32 4 2 5 3" xfId="33719" xr:uid="{9E0C59D6-CF97-4704-9A39-5230EB3493D7}"/>
    <cellStyle name="Linked Cell 32 4 2 6" xfId="33720" xr:uid="{C9C5C7D8-7E61-4BBF-93E8-12EA821AFE1F}"/>
    <cellStyle name="Linked Cell 32 4 2 6 2" xfId="33721" xr:uid="{32677600-E2EC-4B75-B96F-12072FD04EDC}"/>
    <cellStyle name="Linked Cell 32 4 2 6 2 2" xfId="33722" xr:uid="{414C3BAC-0937-46A1-B61D-3F4233F6FCE9}"/>
    <cellStyle name="Linked Cell 32 4 2 6 3" xfId="33723" xr:uid="{5D3B9256-FAF0-4675-B8B6-1F452AC09C65}"/>
    <cellStyle name="Linked Cell 32 4 2 7" xfId="33724" xr:uid="{76961D70-23B8-4B8A-9411-A44BCA783802}"/>
    <cellStyle name="Linked Cell 32 4 2 7 2" xfId="33725" xr:uid="{4BDDEF70-29FF-40D8-884D-0194CFED2B8A}"/>
    <cellStyle name="Linked Cell 32 4 2 7 2 2" xfId="33726" xr:uid="{712653FF-E1D9-481E-898F-22987571F8BB}"/>
    <cellStyle name="Linked Cell 32 4 2 7 3" xfId="33727" xr:uid="{5281E255-9EEC-4E8D-AD4B-0C74E415AFA9}"/>
    <cellStyle name="Linked Cell 32 4 2 8" xfId="33728" xr:uid="{32FF4A88-406C-47BA-A15B-14649FB03AD4}"/>
    <cellStyle name="Linked Cell 32 4 2 8 2" xfId="33729" xr:uid="{576ADE08-D3AC-4184-99AD-0AF63D98747D}"/>
    <cellStyle name="Linked Cell 32 4 2 8 2 2" xfId="33730" xr:uid="{D51DBE9D-BDCA-43E9-BA6A-6F452F6CDCF6}"/>
    <cellStyle name="Linked Cell 32 4 2 8 3" xfId="33731" xr:uid="{04EDCEA3-8061-49CA-ABDF-F47D2E6BD242}"/>
    <cellStyle name="Linked Cell 32 4 2 9" xfId="33732" xr:uid="{E46DC5F1-01C2-46C8-B4C7-9BD0A1C7D396}"/>
    <cellStyle name="Linked Cell 32 4 2 9 2" xfId="33733" xr:uid="{E5FA9076-48C3-4E42-B1DD-5B63C387DAA6}"/>
    <cellStyle name="Linked Cell 32 4 2 9 2 2" xfId="33734" xr:uid="{667C9759-56AE-4D68-917D-A9ABE7B0B673}"/>
    <cellStyle name="Linked Cell 32 4 2 9 3" xfId="33735" xr:uid="{038B036C-2FBE-490C-BA0C-6C176B5F2078}"/>
    <cellStyle name="Linked Cell 32 4 3" xfId="33736" xr:uid="{080E656A-636B-4A71-97B2-0D3290442213}"/>
    <cellStyle name="Linked Cell 32 4 3 10" xfId="33737" xr:uid="{93A4FCE5-6E88-47F4-A411-0F02F4FEF49D}"/>
    <cellStyle name="Linked Cell 32 4 3 10 2" xfId="33738" xr:uid="{3DF5B62A-F883-4855-8EEF-BEAE2A4BA207}"/>
    <cellStyle name="Linked Cell 32 4 3 11" xfId="33739" xr:uid="{14A8AAD9-63FC-4F85-84D0-8CB9FAF2A69B}"/>
    <cellStyle name="Linked Cell 32 4 3 2" xfId="33740" xr:uid="{AACF8F57-145A-4E1E-A7EC-A5A148E1E362}"/>
    <cellStyle name="Linked Cell 32 4 3 2 2" xfId="33741" xr:uid="{1BE33547-42DE-401E-9472-AB580B63A8B5}"/>
    <cellStyle name="Linked Cell 32 4 3 2 2 2" xfId="33742" xr:uid="{324EA41D-0753-440F-A645-519494BB29B5}"/>
    <cellStyle name="Linked Cell 32 4 3 2 3" xfId="33743" xr:uid="{354E7CC5-C4D6-4C68-A2E2-BFDC004BBE07}"/>
    <cellStyle name="Linked Cell 32 4 3 3" xfId="33744" xr:uid="{31C30FDD-23A6-47D9-A84E-B751A2388073}"/>
    <cellStyle name="Linked Cell 32 4 3 3 2" xfId="33745" xr:uid="{9D2B58F1-C452-4490-BAB8-86B6242EF2B0}"/>
    <cellStyle name="Linked Cell 32 4 3 3 2 2" xfId="33746" xr:uid="{1F5AF1B4-020B-4E04-9475-C682561F0127}"/>
    <cellStyle name="Linked Cell 32 4 3 3 3" xfId="33747" xr:uid="{383C111F-E895-469B-98F7-2315B55E1783}"/>
    <cellStyle name="Linked Cell 32 4 3 4" xfId="33748" xr:uid="{2F5E6D55-A25E-4D0A-AF99-B39654408595}"/>
    <cellStyle name="Linked Cell 32 4 3 4 2" xfId="33749" xr:uid="{1C504F53-FC7B-4601-A01C-C24C3083C853}"/>
    <cellStyle name="Linked Cell 32 4 3 4 2 2" xfId="33750" xr:uid="{1D14C0A4-02D8-4253-BFBE-CC84AAB7FA71}"/>
    <cellStyle name="Linked Cell 32 4 3 4 3" xfId="33751" xr:uid="{74082B87-F5EF-45A1-B5E9-AFC57EAEC5E7}"/>
    <cellStyle name="Linked Cell 32 4 3 5" xfId="33752" xr:uid="{F820638C-472F-4782-9F25-D230FDBDB468}"/>
    <cellStyle name="Linked Cell 32 4 3 5 2" xfId="33753" xr:uid="{B919A840-1BC9-4EF9-9591-5443D5EE0CD2}"/>
    <cellStyle name="Linked Cell 32 4 3 5 2 2" xfId="33754" xr:uid="{550A445E-6A30-46A9-ACB3-339BF0E92103}"/>
    <cellStyle name="Linked Cell 32 4 3 5 3" xfId="33755" xr:uid="{A019632B-2CDC-491A-B506-077A8B8E7EE9}"/>
    <cellStyle name="Linked Cell 32 4 3 6" xfId="33756" xr:uid="{FB2CB0E7-D26E-4C86-9C19-3236E7937B3A}"/>
    <cellStyle name="Linked Cell 32 4 3 6 2" xfId="33757" xr:uid="{CBBC8DF9-CB4A-4A97-9D2C-47A2A3E1A0D2}"/>
    <cellStyle name="Linked Cell 32 4 3 6 2 2" xfId="33758" xr:uid="{149DDF15-08FA-4051-8EE4-9BDAB6D54C41}"/>
    <cellStyle name="Linked Cell 32 4 3 6 3" xfId="33759" xr:uid="{831B7B9C-E0B8-4D54-A2EA-B510F358D35C}"/>
    <cellStyle name="Linked Cell 32 4 3 7" xfId="33760" xr:uid="{573CB6CB-1197-4FF9-B218-68ABA9AB48AC}"/>
    <cellStyle name="Linked Cell 32 4 3 7 2" xfId="33761" xr:uid="{DCEFF5CF-F3F8-40B9-B548-E49EA8383578}"/>
    <cellStyle name="Linked Cell 32 4 3 7 2 2" xfId="33762" xr:uid="{9BF89B33-8D01-4691-BBBA-CCD1BAC933A1}"/>
    <cellStyle name="Linked Cell 32 4 3 7 3" xfId="33763" xr:uid="{61B1F9E3-85EB-46F3-BE06-2FFAF6D7BFAB}"/>
    <cellStyle name="Linked Cell 32 4 3 8" xfId="33764" xr:uid="{BADDD229-B12B-47C6-9D4D-149670E26BA2}"/>
    <cellStyle name="Linked Cell 32 4 3 8 2" xfId="33765" xr:uid="{8DAA5AD3-1201-4584-9300-6BB200B6F62E}"/>
    <cellStyle name="Linked Cell 32 4 3 8 2 2" xfId="33766" xr:uid="{76E31667-CCB4-4CA8-A789-A14541EC0F1D}"/>
    <cellStyle name="Linked Cell 32 4 3 8 3" xfId="33767" xr:uid="{6390FF88-1F5B-4BBC-801D-ED96D1FB53CA}"/>
    <cellStyle name="Linked Cell 32 4 3 9" xfId="33768" xr:uid="{8FD8ECE5-BC24-4D3B-BC89-FA4C694F24D7}"/>
    <cellStyle name="Linked Cell 32 4 3 9 2" xfId="33769" xr:uid="{AC31809A-6F8C-4689-8C75-03E8BCED38C7}"/>
    <cellStyle name="Linked Cell 32 4 3 9 2 2" xfId="33770" xr:uid="{6590FE05-F43F-4503-A684-241CBC0B9F26}"/>
    <cellStyle name="Linked Cell 32 4 3 9 3" xfId="33771" xr:uid="{34272DD0-9A52-4B4C-969A-66994BCDAEFD}"/>
    <cellStyle name="Linked Cell 32 4 4" xfId="33772" xr:uid="{DF086C5C-7489-4323-B1BA-20F85D191375}"/>
    <cellStyle name="Linked Cell 32 4 4 2" xfId="33773" xr:uid="{B12A8283-D301-4CD0-B867-24BDF824328F}"/>
    <cellStyle name="Linked Cell 32 4 4 2 2" xfId="33774" xr:uid="{E5CEEA8E-A9F6-482D-B46D-E4E503A166CD}"/>
    <cellStyle name="Linked Cell 32 4 4 3" xfId="33775" xr:uid="{05F9DDB7-23F8-4E9B-8492-A8E4A02E0F35}"/>
    <cellStyle name="Linked Cell 32 4 5" xfId="33776" xr:uid="{7314B3EE-B001-499E-AF83-6EB56E1D693D}"/>
    <cellStyle name="Linked Cell 32 4 5 2" xfId="33777" xr:uid="{C809BFC1-5F60-4398-A76B-CA3C6C08B23B}"/>
    <cellStyle name="Linked Cell 32 4 5 2 2" xfId="33778" xr:uid="{8B1A47DE-E1F4-4B91-A3C2-4826E57E85E6}"/>
    <cellStyle name="Linked Cell 32 4 5 3" xfId="33779" xr:uid="{CCA73041-19C8-421A-8C2B-B611FB755F43}"/>
    <cellStyle name="Linked Cell 32 4 6" xfId="33780" xr:uid="{6CCEC974-A317-4448-B243-45E21EB1C514}"/>
    <cellStyle name="Linked Cell 32 4 6 2" xfId="33781" xr:uid="{3FE6FB8B-3E6D-4E77-8CC7-541D988C169B}"/>
    <cellStyle name="Linked Cell 32 4 6 2 2" xfId="33782" xr:uid="{23EC9BE4-ACCB-4966-A983-710561F0F933}"/>
    <cellStyle name="Linked Cell 32 4 6 3" xfId="33783" xr:uid="{51BAD575-C6FD-4897-A894-95C0A55BF01B}"/>
    <cellStyle name="Linked Cell 32 4 7" xfId="33784" xr:uid="{A292ED28-7931-4C27-8436-60AA2FDDFEA4}"/>
    <cellStyle name="Linked Cell 32 4 7 2" xfId="33785" xr:uid="{EAE67242-B6C0-4B5F-AFF7-FF0B442873D6}"/>
    <cellStyle name="Linked Cell 32 4 7 2 2" xfId="33786" xr:uid="{334CEA8F-DBAD-42B2-BF25-B249DEAFA273}"/>
    <cellStyle name="Linked Cell 32 4 7 3" xfId="33787" xr:uid="{17CE8F4A-EF78-46FC-99E0-53D309FF7F27}"/>
    <cellStyle name="Linked Cell 32 4 8" xfId="33788" xr:uid="{0347A5FE-4F2E-43DA-A742-75B93735046D}"/>
    <cellStyle name="Linked Cell 32 4 8 2" xfId="33789" xr:uid="{FB48F788-A956-4923-8D94-D9AF647E7394}"/>
    <cellStyle name="Linked Cell 32 4 8 2 2" xfId="33790" xr:uid="{996EA85E-4527-4BA3-A52F-F05080D793C0}"/>
    <cellStyle name="Linked Cell 32 4 8 3" xfId="33791" xr:uid="{0FBF7374-C57F-4D8A-9830-B7CC7F997971}"/>
    <cellStyle name="Linked Cell 32 4 9" xfId="33792" xr:uid="{1505C3A2-915F-40EF-B09E-390375FD022E}"/>
    <cellStyle name="Linked Cell 32 4 9 2" xfId="33793" xr:uid="{D5B0FE27-14A8-4C74-ABEC-30405574E956}"/>
    <cellStyle name="Linked Cell 32 4 9 2 2" xfId="33794" xr:uid="{28DD82A5-0AD3-443D-962F-35129314C4A9}"/>
    <cellStyle name="Linked Cell 32 4 9 3" xfId="33795" xr:uid="{8FBBC08B-1150-4F6D-AC26-75B22A95C586}"/>
    <cellStyle name="Linked Cell 33" xfId="33796" xr:uid="{632560DC-2FEC-4A5C-B4C7-16B7DA2AFE74}"/>
    <cellStyle name="Linked Cell 33 2" xfId="33797" xr:uid="{D725EA49-6369-4705-AA9F-B2276143EFF5}"/>
    <cellStyle name="Linked Cell 33 2 10" xfId="33798" xr:uid="{867454CA-ACDE-4F5F-83AD-81C31049F3A1}"/>
    <cellStyle name="Linked Cell 33 2 10 2" xfId="33799" xr:uid="{672A2E47-0FB0-4D8A-9AAD-06CA752A2D10}"/>
    <cellStyle name="Linked Cell 33 2 10 2 2" xfId="33800" xr:uid="{4FCE3DD6-15EB-480C-A539-B9CE25EA7B85}"/>
    <cellStyle name="Linked Cell 33 2 10 3" xfId="33801" xr:uid="{7EE94B22-8D2C-423F-B006-C1A6642AB37E}"/>
    <cellStyle name="Linked Cell 33 2 11" xfId="33802" xr:uid="{2F551723-AD68-4FBD-A5B2-AE2BBEF70AFD}"/>
    <cellStyle name="Linked Cell 33 2 11 2" xfId="33803" xr:uid="{558AF450-93A5-4F97-87F5-E0D0452D3E06}"/>
    <cellStyle name="Linked Cell 33 2 11 2 2" xfId="33804" xr:uid="{5B10B208-412E-4D42-9822-D727CEB14439}"/>
    <cellStyle name="Linked Cell 33 2 11 3" xfId="33805" xr:uid="{B7F3A4F2-EE9F-4005-9688-ED2EB872AF7C}"/>
    <cellStyle name="Linked Cell 33 2 12" xfId="33806" xr:uid="{1B17675E-F377-4E24-95A7-D5FF3D5C6BC2}"/>
    <cellStyle name="Linked Cell 33 2 12 2" xfId="33807" xr:uid="{A0B1D5BD-27FA-46AB-B03E-95402CA46F32}"/>
    <cellStyle name="Linked Cell 33 2 12 2 2" xfId="33808" xr:uid="{2DC38DE4-DEB4-4395-B771-CD07282E6871}"/>
    <cellStyle name="Linked Cell 33 2 12 3" xfId="33809" xr:uid="{4C5C322B-8A61-48EE-9C62-C9148530928F}"/>
    <cellStyle name="Linked Cell 33 2 13" xfId="33810" xr:uid="{03F7AF39-6E47-4F4A-8A9B-2BF8036DA387}"/>
    <cellStyle name="Linked Cell 33 2 13 2" xfId="33811" xr:uid="{4B02F1E6-1BC1-48FE-BF59-571E7A4619FA}"/>
    <cellStyle name="Linked Cell 33 2 13 2 2" xfId="33812" xr:uid="{57662187-B510-4B75-9182-4D256CAB4967}"/>
    <cellStyle name="Linked Cell 33 2 13 3" xfId="33813" xr:uid="{A32F0411-40A3-4BD3-BBE2-3D0AFBE8D772}"/>
    <cellStyle name="Linked Cell 33 2 14" xfId="33814" xr:uid="{E86451FF-2D1D-41F5-B1CC-533B31AF2945}"/>
    <cellStyle name="Linked Cell 33 2 14 2" xfId="33815" xr:uid="{087506CA-A522-4706-A3E6-F78509DD883F}"/>
    <cellStyle name="Linked Cell 33 2 15" xfId="33816" xr:uid="{419E3D68-5155-44BA-A8FE-C18671BD6A1B}"/>
    <cellStyle name="Linked Cell 33 2 2" xfId="33817" xr:uid="{F926B857-3769-40C3-A404-0E46C0E8EB33}"/>
    <cellStyle name="Linked Cell 33 2 2 10" xfId="33818" xr:uid="{49A22278-634D-4C5C-88F1-0BCE200734FB}"/>
    <cellStyle name="Linked Cell 33 2 2 10 2" xfId="33819" xr:uid="{65A5863C-24E0-4BE9-A051-66AC2E8AF61F}"/>
    <cellStyle name="Linked Cell 33 2 2 10 2 2" xfId="33820" xr:uid="{5732A754-45C4-48E7-AAEC-7FFB272B2579}"/>
    <cellStyle name="Linked Cell 33 2 2 10 3" xfId="33821" xr:uid="{B3A9E068-A501-4855-8651-6FA6A2D2D7CA}"/>
    <cellStyle name="Linked Cell 33 2 2 11" xfId="33822" xr:uid="{DE7B15A6-41A2-4CDA-BB4C-F304BB1E05F1}"/>
    <cellStyle name="Linked Cell 33 2 2 11 2" xfId="33823" xr:uid="{66DC4EF0-E5C3-4996-B61B-9A13FEA7F462}"/>
    <cellStyle name="Linked Cell 33 2 2 11 2 2" xfId="33824" xr:uid="{80331F6D-DB42-4562-9B98-F23B6E72B7E6}"/>
    <cellStyle name="Linked Cell 33 2 2 11 3" xfId="33825" xr:uid="{8ACC3022-6213-44FE-ABCA-BC0563867CE4}"/>
    <cellStyle name="Linked Cell 33 2 2 12" xfId="33826" xr:uid="{FC80845C-09D0-4EA5-B0B2-4678F1792E08}"/>
    <cellStyle name="Linked Cell 33 2 2 12 2" xfId="33827" xr:uid="{19C74B9B-21C9-44EE-8833-ED4CDCBD99AF}"/>
    <cellStyle name="Linked Cell 33 2 2 12 2 2" xfId="33828" xr:uid="{8EB0D24B-C860-4BD8-9CCE-CD1DFB3C2919}"/>
    <cellStyle name="Linked Cell 33 2 2 12 3" xfId="33829" xr:uid="{DA2284C2-DD03-489B-9620-04228EA419E5}"/>
    <cellStyle name="Linked Cell 33 2 2 13" xfId="33830" xr:uid="{7770BDBE-1DFF-4558-8006-3A872243433D}"/>
    <cellStyle name="Linked Cell 33 2 2 13 2" xfId="33831" xr:uid="{EF5623A5-4039-4F29-B6A9-123F6F2CC683}"/>
    <cellStyle name="Linked Cell 33 2 2 14" xfId="33832" xr:uid="{BD0B8C0B-1D94-487D-8512-5373ACBA9AAC}"/>
    <cellStyle name="Linked Cell 33 2 2 2" xfId="33833" xr:uid="{C6EBCADD-D7A6-47F2-B39A-3A8BFD7519CC}"/>
    <cellStyle name="Linked Cell 33 2 2 2 10" xfId="33834" xr:uid="{448C2851-3229-4FF2-A784-DBFC6FA2DD1E}"/>
    <cellStyle name="Linked Cell 33 2 2 2 10 2" xfId="33835" xr:uid="{4A3D46FA-76F2-4634-84BE-63988789FE27}"/>
    <cellStyle name="Linked Cell 33 2 2 2 10 2 2" xfId="33836" xr:uid="{427F16CF-351F-4596-A590-DEE5B82567DB}"/>
    <cellStyle name="Linked Cell 33 2 2 2 10 3" xfId="33837" xr:uid="{793A0321-FC38-4BC7-8FCB-37AE8F832A29}"/>
    <cellStyle name="Linked Cell 33 2 2 2 11" xfId="33838" xr:uid="{5DE3D81F-FF78-4ED3-97BD-F8F637A109E2}"/>
    <cellStyle name="Linked Cell 33 2 2 2 11 2" xfId="33839" xr:uid="{B89D3225-8AD7-4737-846C-8091F2B19E41}"/>
    <cellStyle name="Linked Cell 33 2 2 2 11 2 2" xfId="33840" xr:uid="{336353A5-ECC1-4710-BE5B-FD7EBD636935}"/>
    <cellStyle name="Linked Cell 33 2 2 2 11 3" xfId="33841" xr:uid="{9139D1DD-0485-4CB8-9344-5907252B6C57}"/>
    <cellStyle name="Linked Cell 33 2 2 2 12" xfId="33842" xr:uid="{BCD1C941-462B-45A8-99F5-6029E73DE59E}"/>
    <cellStyle name="Linked Cell 33 2 2 2 12 2" xfId="33843" xr:uid="{EE057C2F-2B85-4D90-ACAA-996FD09D5803}"/>
    <cellStyle name="Linked Cell 33 2 2 2 13" xfId="33844" xr:uid="{6204035F-7CA9-4A97-B2BB-EB9D9F811217}"/>
    <cellStyle name="Linked Cell 33 2 2 2 2" xfId="33845" xr:uid="{D9ED3AA9-387B-4217-A5EF-9E5DC91A9DCD}"/>
    <cellStyle name="Linked Cell 33 2 2 2 2 10" xfId="33846" xr:uid="{E4F02926-E306-44B7-A818-C10FA1F55D74}"/>
    <cellStyle name="Linked Cell 33 2 2 2 2 10 2" xfId="33847" xr:uid="{DEBABB84-AAAE-49CC-B780-1641F02A7316}"/>
    <cellStyle name="Linked Cell 33 2 2 2 2 10 2 2" xfId="33848" xr:uid="{BF3F246E-96EE-4E86-B1FD-82103EA06CE6}"/>
    <cellStyle name="Linked Cell 33 2 2 2 2 10 3" xfId="33849" xr:uid="{0F5E3430-709C-4AD6-B78B-63FF654C3FA8}"/>
    <cellStyle name="Linked Cell 33 2 2 2 2 11" xfId="33850" xr:uid="{6DC38838-14BF-4971-A50A-A14827B87AE1}"/>
    <cellStyle name="Linked Cell 33 2 2 2 2 11 2" xfId="33851" xr:uid="{FA2A0C7A-BD65-44A6-8DE9-7BB0646D20D4}"/>
    <cellStyle name="Linked Cell 33 2 2 2 2 12" xfId="33852" xr:uid="{94E74864-D6AF-47B2-8D32-A38A2DC99C08}"/>
    <cellStyle name="Linked Cell 33 2 2 2 2 2" xfId="33853" xr:uid="{B7241D6D-B186-4DC4-9A88-78E38DAEB518}"/>
    <cellStyle name="Linked Cell 33 2 2 2 2 2 2" xfId="33854" xr:uid="{6DBA25EF-48F5-44B0-818C-144D01CD80AA}"/>
    <cellStyle name="Linked Cell 33 2 2 2 2 2 2 2" xfId="33855" xr:uid="{A634F848-B188-463C-B02F-98A68D9DEDE3}"/>
    <cellStyle name="Linked Cell 33 2 2 2 2 2 3" xfId="33856" xr:uid="{0A0BCFC6-138D-44B7-95DA-B5CD18710D21}"/>
    <cellStyle name="Linked Cell 33 2 2 2 2 3" xfId="33857" xr:uid="{8018C158-4F71-4F41-9CF7-58A16F00FF93}"/>
    <cellStyle name="Linked Cell 33 2 2 2 2 3 2" xfId="33858" xr:uid="{91ED9531-E325-42BC-B544-F489A671F2E2}"/>
    <cellStyle name="Linked Cell 33 2 2 2 2 3 2 2" xfId="33859" xr:uid="{567F71A6-1ABE-4517-BD77-60F3810561CA}"/>
    <cellStyle name="Linked Cell 33 2 2 2 2 3 3" xfId="33860" xr:uid="{D831938B-4875-45C5-9DA8-2B5FEED230A7}"/>
    <cellStyle name="Linked Cell 33 2 2 2 2 4" xfId="33861" xr:uid="{BBA8C2D0-29F5-4B76-A88C-852DC26694D9}"/>
    <cellStyle name="Linked Cell 33 2 2 2 2 4 2" xfId="33862" xr:uid="{9EE35967-E8BE-4CFD-AD17-E19905D0A1E5}"/>
    <cellStyle name="Linked Cell 33 2 2 2 2 4 2 2" xfId="33863" xr:uid="{D946906A-9A05-46D5-A9FF-F452F2B772F0}"/>
    <cellStyle name="Linked Cell 33 2 2 2 2 4 3" xfId="33864" xr:uid="{077AA68C-9AA3-48A6-82EE-F1FE801EDF8C}"/>
    <cellStyle name="Linked Cell 33 2 2 2 2 5" xfId="33865" xr:uid="{C1386413-86F6-4EA5-B9AF-E4185611A5AE}"/>
    <cellStyle name="Linked Cell 33 2 2 2 2 5 2" xfId="33866" xr:uid="{DCE440CA-F0B6-43D3-A26C-E9C7B9B78B9B}"/>
    <cellStyle name="Linked Cell 33 2 2 2 2 5 2 2" xfId="33867" xr:uid="{62EDA808-FC53-4E5A-ABD0-37F44AFE32B8}"/>
    <cellStyle name="Linked Cell 33 2 2 2 2 5 3" xfId="33868" xr:uid="{47408F8E-333B-4464-A7A0-1D1511DC04C8}"/>
    <cellStyle name="Linked Cell 33 2 2 2 2 6" xfId="33869" xr:uid="{2C9A50DA-E5AF-455F-BEC1-6CA1BFC14034}"/>
    <cellStyle name="Linked Cell 33 2 2 2 2 6 2" xfId="33870" xr:uid="{9021B12E-66B6-4329-8B95-FBFC00E10537}"/>
    <cellStyle name="Linked Cell 33 2 2 2 2 6 2 2" xfId="33871" xr:uid="{713136BB-CA11-4B9C-86B2-538F68104E37}"/>
    <cellStyle name="Linked Cell 33 2 2 2 2 6 3" xfId="33872" xr:uid="{CB012AA8-8090-4D06-B14B-E18B56E7AFE2}"/>
    <cellStyle name="Linked Cell 33 2 2 2 2 7" xfId="33873" xr:uid="{339D7055-0017-499C-9CB0-E4BE8C84DFCD}"/>
    <cellStyle name="Linked Cell 33 2 2 2 2 7 2" xfId="33874" xr:uid="{01DB2A18-3D9D-4220-A39C-4FF543A3A847}"/>
    <cellStyle name="Linked Cell 33 2 2 2 2 7 2 2" xfId="33875" xr:uid="{E74DA0B1-F088-47DE-B967-5059974B819E}"/>
    <cellStyle name="Linked Cell 33 2 2 2 2 7 3" xfId="33876" xr:uid="{EE2D9571-FF56-40A9-9415-7403E7FB9D1E}"/>
    <cellStyle name="Linked Cell 33 2 2 2 2 8" xfId="33877" xr:uid="{4E3206DB-414F-48A2-9CBA-CD1011B02EC7}"/>
    <cellStyle name="Linked Cell 33 2 2 2 2 8 2" xfId="33878" xr:uid="{CD459D5B-903F-4D07-984E-A681083278DC}"/>
    <cellStyle name="Linked Cell 33 2 2 2 2 8 2 2" xfId="33879" xr:uid="{40A19B92-0DAD-467E-837A-D03D92CF62FB}"/>
    <cellStyle name="Linked Cell 33 2 2 2 2 8 3" xfId="33880" xr:uid="{3F565168-6152-454F-9637-86B6566015E4}"/>
    <cellStyle name="Linked Cell 33 2 2 2 2 9" xfId="33881" xr:uid="{998D45C0-F446-41AC-AA26-7EF256E4D79C}"/>
    <cellStyle name="Linked Cell 33 2 2 2 2 9 2" xfId="33882" xr:uid="{DCDE1C31-7F65-4CBD-9F72-AC7245539B48}"/>
    <cellStyle name="Linked Cell 33 2 2 2 2 9 2 2" xfId="33883" xr:uid="{51510A69-2C67-45D6-83DD-D819FDC2CA1C}"/>
    <cellStyle name="Linked Cell 33 2 2 2 2 9 3" xfId="33884" xr:uid="{DBF59A87-7F8A-472C-8BC5-09500BE1804E}"/>
    <cellStyle name="Linked Cell 33 2 2 2 3" xfId="33885" xr:uid="{AF129B08-4D80-4591-83DA-FE7FA3B421DC}"/>
    <cellStyle name="Linked Cell 33 2 2 2 3 10" xfId="33886" xr:uid="{41340F2E-C0ED-4969-9D87-E7A330C326EA}"/>
    <cellStyle name="Linked Cell 33 2 2 2 3 10 2" xfId="33887" xr:uid="{4CC68BAA-C440-4402-8DB4-0595EC33F63A}"/>
    <cellStyle name="Linked Cell 33 2 2 2 3 11" xfId="33888" xr:uid="{2D45DF56-3942-4A94-B537-20D5526B11D5}"/>
    <cellStyle name="Linked Cell 33 2 2 2 3 2" xfId="33889" xr:uid="{C8C2A1F1-9158-4C03-8243-F7EF836F86A7}"/>
    <cellStyle name="Linked Cell 33 2 2 2 3 2 2" xfId="33890" xr:uid="{E5DE337A-B41F-4767-B9C8-893BE17CB17B}"/>
    <cellStyle name="Linked Cell 33 2 2 2 3 2 2 2" xfId="33891" xr:uid="{5E7B1C8F-BCC7-4C53-B1AF-0B5D8DD070AD}"/>
    <cellStyle name="Linked Cell 33 2 2 2 3 2 3" xfId="33892" xr:uid="{13C50986-2E2B-4B3A-BA3E-C1776B413C8C}"/>
    <cellStyle name="Linked Cell 33 2 2 2 3 3" xfId="33893" xr:uid="{25E2DA78-BF85-48AD-AE24-9B6C04D35D3D}"/>
    <cellStyle name="Linked Cell 33 2 2 2 3 3 2" xfId="33894" xr:uid="{00EB79AD-5793-4473-9097-E95F53618E5E}"/>
    <cellStyle name="Linked Cell 33 2 2 2 3 3 2 2" xfId="33895" xr:uid="{B4885D45-EDF5-400A-85A7-52CB9EA520CF}"/>
    <cellStyle name="Linked Cell 33 2 2 2 3 3 3" xfId="33896" xr:uid="{F11DA212-844B-41B1-9071-FBB5799E9D09}"/>
    <cellStyle name="Linked Cell 33 2 2 2 3 4" xfId="33897" xr:uid="{D7C2BEBF-08BB-4364-9DD6-783F3F97CFDF}"/>
    <cellStyle name="Linked Cell 33 2 2 2 3 4 2" xfId="33898" xr:uid="{AAC4379E-64B0-4FFC-8640-C63BDB8FB95F}"/>
    <cellStyle name="Linked Cell 33 2 2 2 3 4 2 2" xfId="33899" xr:uid="{4ADAD423-DBB2-4D57-84CB-22A0EB785D34}"/>
    <cellStyle name="Linked Cell 33 2 2 2 3 4 3" xfId="33900" xr:uid="{635CB7D1-F4E6-400F-817A-1F5C794D1A39}"/>
    <cellStyle name="Linked Cell 33 2 2 2 3 5" xfId="33901" xr:uid="{C51D2B8B-A389-4673-A257-D27DD92A855D}"/>
    <cellStyle name="Linked Cell 33 2 2 2 3 5 2" xfId="33902" xr:uid="{10475134-898F-446E-84FB-6F54B02F5FEC}"/>
    <cellStyle name="Linked Cell 33 2 2 2 3 5 2 2" xfId="33903" xr:uid="{E4FD15AE-965C-40C4-BF02-E9F77B856EAF}"/>
    <cellStyle name="Linked Cell 33 2 2 2 3 5 3" xfId="33904" xr:uid="{A0B68FAD-5764-49E8-9999-13F14CF03839}"/>
    <cellStyle name="Linked Cell 33 2 2 2 3 6" xfId="33905" xr:uid="{EB663A5C-5BA9-4C94-9C05-FC085352FAB0}"/>
    <cellStyle name="Linked Cell 33 2 2 2 3 6 2" xfId="33906" xr:uid="{42D4D6D5-678B-464E-85D9-A091AE2BB443}"/>
    <cellStyle name="Linked Cell 33 2 2 2 3 6 2 2" xfId="33907" xr:uid="{9A83AC79-E394-46FF-9AE9-B5DD2EB371A8}"/>
    <cellStyle name="Linked Cell 33 2 2 2 3 6 3" xfId="33908" xr:uid="{4FC4E66E-05EB-4D0C-A8A7-93DD5B1F7924}"/>
    <cellStyle name="Linked Cell 33 2 2 2 3 7" xfId="33909" xr:uid="{37B436F6-9E04-4C85-A96E-C777CA989C5B}"/>
    <cellStyle name="Linked Cell 33 2 2 2 3 7 2" xfId="33910" xr:uid="{99B10B83-C66A-4C5F-89B4-D9F030958006}"/>
    <cellStyle name="Linked Cell 33 2 2 2 3 7 2 2" xfId="33911" xr:uid="{263775D3-19E8-4A85-B875-F43043895D6C}"/>
    <cellStyle name="Linked Cell 33 2 2 2 3 7 3" xfId="33912" xr:uid="{88369D76-D8B6-4C98-8353-6DC6860A4B12}"/>
    <cellStyle name="Linked Cell 33 2 2 2 3 8" xfId="33913" xr:uid="{B5D996F4-EBB4-4FBF-80D4-F58D25B84BBC}"/>
    <cellStyle name="Linked Cell 33 2 2 2 3 8 2" xfId="33914" xr:uid="{75E87798-5735-4D27-8935-9987235F9C35}"/>
    <cellStyle name="Linked Cell 33 2 2 2 3 8 2 2" xfId="33915" xr:uid="{4C4C5C00-B9FC-4C30-B5B4-6665FDD3BDAA}"/>
    <cellStyle name="Linked Cell 33 2 2 2 3 8 3" xfId="33916" xr:uid="{E6EB2868-0FD7-4D75-A24E-455DAF6E6EA2}"/>
    <cellStyle name="Linked Cell 33 2 2 2 3 9" xfId="33917" xr:uid="{64182296-93E4-4B86-ABEE-0BC34A5B77F8}"/>
    <cellStyle name="Linked Cell 33 2 2 2 3 9 2" xfId="33918" xr:uid="{1F0DCED3-307D-4B5A-81AD-70D745FE74AB}"/>
    <cellStyle name="Linked Cell 33 2 2 2 3 9 2 2" xfId="33919" xr:uid="{F92868FA-B9D4-4E6C-9FE4-627762F29EA7}"/>
    <cellStyle name="Linked Cell 33 2 2 2 3 9 3" xfId="33920" xr:uid="{674CCFD2-C01C-408F-AD87-F7A9D9145602}"/>
    <cellStyle name="Linked Cell 33 2 2 2 4" xfId="33921" xr:uid="{EB5B557A-5F11-4D25-9F38-85A9F7E0E67A}"/>
    <cellStyle name="Linked Cell 33 2 2 2 4 2" xfId="33922" xr:uid="{61E232C0-53BE-4B0C-BFDB-3A953DEB51F9}"/>
    <cellStyle name="Linked Cell 33 2 2 2 4 2 2" xfId="33923" xr:uid="{8A2BD4DB-8A3E-4B3E-A778-D498485D3F6F}"/>
    <cellStyle name="Linked Cell 33 2 2 2 4 3" xfId="33924" xr:uid="{C4DABC10-5A2F-4645-965C-2EEEBD4C863C}"/>
    <cellStyle name="Linked Cell 33 2 2 2 5" xfId="33925" xr:uid="{B7244B5B-B85F-48D4-9997-342AAD0FECBA}"/>
    <cellStyle name="Linked Cell 33 2 2 2 5 2" xfId="33926" xr:uid="{8F1DBC2A-5887-4E94-8D2C-DE443C7CB901}"/>
    <cellStyle name="Linked Cell 33 2 2 2 5 2 2" xfId="33927" xr:uid="{59CE8753-7AC6-4C98-BC42-647DD90D8628}"/>
    <cellStyle name="Linked Cell 33 2 2 2 5 3" xfId="33928" xr:uid="{40E404FF-3B99-40BA-9769-C96A6E92F480}"/>
    <cellStyle name="Linked Cell 33 2 2 2 6" xfId="33929" xr:uid="{EDA8257C-C4E4-42B5-B46A-65BB00A0AF76}"/>
    <cellStyle name="Linked Cell 33 2 2 2 6 2" xfId="33930" xr:uid="{490901C2-9770-404F-9024-10C69A6126C5}"/>
    <cellStyle name="Linked Cell 33 2 2 2 6 2 2" xfId="33931" xr:uid="{4B1AE307-948E-4FA1-8FE4-C98C41199E13}"/>
    <cellStyle name="Linked Cell 33 2 2 2 6 3" xfId="33932" xr:uid="{6496FC88-BC0F-45D7-B6E8-31D047096AC3}"/>
    <cellStyle name="Linked Cell 33 2 2 2 7" xfId="33933" xr:uid="{B90AE63C-075B-4E4A-9A67-7F79BBAC1032}"/>
    <cellStyle name="Linked Cell 33 2 2 2 7 2" xfId="33934" xr:uid="{AC8266AC-7C07-440F-85E3-55F64EF1BC0B}"/>
    <cellStyle name="Linked Cell 33 2 2 2 7 2 2" xfId="33935" xr:uid="{9350C81B-D5EE-4580-B434-B8A966EFC606}"/>
    <cellStyle name="Linked Cell 33 2 2 2 7 3" xfId="33936" xr:uid="{5BACBA68-CFDB-45F8-B2AF-07818E71CB9D}"/>
    <cellStyle name="Linked Cell 33 2 2 2 8" xfId="33937" xr:uid="{BBE840F6-DBF9-40D7-8534-A9C00FC9C062}"/>
    <cellStyle name="Linked Cell 33 2 2 2 8 2" xfId="33938" xr:uid="{CD29989E-72D2-4EAF-B218-93F4F3861B0D}"/>
    <cellStyle name="Linked Cell 33 2 2 2 8 2 2" xfId="33939" xr:uid="{1882043D-B989-4581-A841-283CC4E2FD82}"/>
    <cellStyle name="Linked Cell 33 2 2 2 8 3" xfId="33940" xr:uid="{49F680EC-40D8-4BC2-A3C7-995764169B81}"/>
    <cellStyle name="Linked Cell 33 2 2 2 9" xfId="33941" xr:uid="{572AF046-50C1-4B70-8945-99E8D9B5DC65}"/>
    <cellStyle name="Linked Cell 33 2 2 2 9 2" xfId="33942" xr:uid="{DE500DBB-4BE7-4330-93FE-7829C09E769B}"/>
    <cellStyle name="Linked Cell 33 2 2 2 9 2 2" xfId="33943" xr:uid="{78B7F804-03F2-4E9C-B4AE-66283880EFCE}"/>
    <cellStyle name="Linked Cell 33 2 2 2 9 3" xfId="33944" xr:uid="{56ABF32C-A8C9-441F-81C3-D3106532862C}"/>
    <cellStyle name="Linked Cell 33 2 2 3" xfId="33945" xr:uid="{8B0B5AF0-C1E1-413A-855E-55F7A5335CD0}"/>
    <cellStyle name="Linked Cell 33 2 2 3 10" xfId="33946" xr:uid="{5E8BB42D-A5FB-4A26-9E74-D55EA141CFDA}"/>
    <cellStyle name="Linked Cell 33 2 2 3 10 2" xfId="33947" xr:uid="{E5402891-9800-4B56-8F04-4A1475AD5EFF}"/>
    <cellStyle name="Linked Cell 33 2 2 3 10 2 2" xfId="33948" xr:uid="{ED114307-ACB0-4542-BF41-B1D5DB095F4A}"/>
    <cellStyle name="Linked Cell 33 2 2 3 10 3" xfId="33949" xr:uid="{F9B06E71-F7DC-405F-872F-FA33FABFCF91}"/>
    <cellStyle name="Linked Cell 33 2 2 3 11" xfId="33950" xr:uid="{362F2694-376F-4E08-9ED4-55F5ECE24267}"/>
    <cellStyle name="Linked Cell 33 2 2 3 11 2" xfId="33951" xr:uid="{D15DFC2A-62D2-4E20-9C77-3AB0514EF6BB}"/>
    <cellStyle name="Linked Cell 33 2 2 3 12" xfId="33952" xr:uid="{3D60AD7F-4161-4B1C-B33C-2F048A852548}"/>
    <cellStyle name="Linked Cell 33 2 2 3 2" xfId="33953" xr:uid="{2E84450E-7CDA-4FB5-B79C-E8F8DE5BC64F}"/>
    <cellStyle name="Linked Cell 33 2 2 3 2 10" xfId="33954" xr:uid="{BC537638-FE50-4A04-B950-0761A173B3A2}"/>
    <cellStyle name="Linked Cell 33 2 2 3 2 10 2" xfId="33955" xr:uid="{055FF6AB-EE38-4711-BC9D-EC3F1E13ED1E}"/>
    <cellStyle name="Linked Cell 33 2 2 3 2 11" xfId="33956" xr:uid="{2DE461ED-4A35-4765-9FD4-12110CD5771C}"/>
    <cellStyle name="Linked Cell 33 2 2 3 2 2" xfId="33957" xr:uid="{BA263D97-CF6C-4E27-8F5A-8E16E43B8618}"/>
    <cellStyle name="Linked Cell 33 2 2 3 2 2 2" xfId="33958" xr:uid="{45380EE2-5E5E-49F6-B587-0DCC02810660}"/>
    <cellStyle name="Linked Cell 33 2 2 3 2 2 2 2" xfId="33959" xr:uid="{5C78BEB6-8E4F-4A44-9424-65DB1A924B13}"/>
    <cellStyle name="Linked Cell 33 2 2 3 2 2 3" xfId="33960" xr:uid="{6EB6C533-A058-4734-B1F0-C941DB656F7E}"/>
    <cellStyle name="Linked Cell 33 2 2 3 2 3" xfId="33961" xr:uid="{AD01CA81-85DF-4248-8D8E-B5EAB8D6553C}"/>
    <cellStyle name="Linked Cell 33 2 2 3 2 3 2" xfId="33962" xr:uid="{3211EE4C-0D42-4811-AE4B-D3E44C15EE01}"/>
    <cellStyle name="Linked Cell 33 2 2 3 2 3 2 2" xfId="33963" xr:uid="{4195842E-FFCE-4379-9FD7-B582B1BF49B7}"/>
    <cellStyle name="Linked Cell 33 2 2 3 2 3 3" xfId="33964" xr:uid="{129DE7A4-FCF5-4BDD-9B78-784D52CF12D0}"/>
    <cellStyle name="Linked Cell 33 2 2 3 2 4" xfId="33965" xr:uid="{8B6D55B4-C8AC-475E-BEF8-181C2C957ABC}"/>
    <cellStyle name="Linked Cell 33 2 2 3 2 4 2" xfId="33966" xr:uid="{08BE6FAD-B755-46E7-BA78-79A1F8B5CDC8}"/>
    <cellStyle name="Linked Cell 33 2 2 3 2 4 2 2" xfId="33967" xr:uid="{F6B4C391-AAB8-4030-BF54-532A83FE4CD4}"/>
    <cellStyle name="Linked Cell 33 2 2 3 2 4 3" xfId="33968" xr:uid="{13879911-B263-4D23-9050-5491031AE690}"/>
    <cellStyle name="Linked Cell 33 2 2 3 2 5" xfId="33969" xr:uid="{2210B7EA-E16B-4E9C-BBD3-1B61158F06F4}"/>
    <cellStyle name="Linked Cell 33 2 2 3 2 5 2" xfId="33970" xr:uid="{3E276E63-C657-4303-825B-25737663F114}"/>
    <cellStyle name="Linked Cell 33 2 2 3 2 5 2 2" xfId="33971" xr:uid="{25506FA2-C296-4141-9AFB-BBB8A3F6E5B0}"/>
    <cellStyle name="Linked Cell 33 2 2 3 2 5 3" xfId="33972" xr:uid="{BA4A0CD9-492C-4674-BC19-38C93B17DB5E}"/>
    <cellStyle name="Linked Cell 33 2 2 3 2 6" xfId="33973" xr:uid="{2307AA5F-46C7-4E91-9978-E0704F5E525F}"/>
    <cellStyle name="Linked Cell 33 2 2 3 2 6 2" xfId="33974" xr:uid="{5D235FCA-915C-41C7-A582-E7E3580CB89E}"/>
    <cellStyle name="Linked Cell 33 2 2 3 2 6 2 2" xfId="33975" xr:uid="{7AE4D06F-1E36-487D-A985-80B344309426}"/>
    <cellStyle name="Linked Cell 33 2 2 3 2 6 3" xfId="33976" xr:uid="{B2CDC0C1-0B07-44EF-85DD-B8CFE2FCCEB0}"/>
    <cellStyle name="Linked Cell 33 2 2 3 2 7" xfId="33977" xr:uid="{884AE70D-305D-4821-BB40-D05925448ADF}"/>
    <cellStyle name="Linked Cell 33 2 2 3 2 7 2" xfId="33978" xr:uid="{D4832BB5-DFD1-42A2-8B9F-0606F82FD8DB}"/>
    <cellStyle name="Linked Cell 33 2 2 3 2 7 2 2" xfId="33979" xr:uid="{B2CA8B58-5553-4878-BEA4-60580306CE33}"/>
    <cellStyle name="Linked Cell 33 2 2 3 2 7 3" xfId="33980" xr:uid="{A8729314-A2BA-4C62-A4D1-568CCE673D66}"/>
    <cellStyle name="Linked Cell 33 2 2 3 2 8" xfId="33981" xr:uid="{472BB715-2617-4061-9D58-A51C97116EBC}"/>
    <cellStyle name="Linked Cell 33 2 2 3 2 8 2" xfId="33982" xr:uid="{4CF904E6-5D8F-48C4-B2F0-8B64DE5C6B98}"/>
    <cellStyle name="Linked Cell 33 2 2 3 2 8 2 2" xfId="33983" xr:uid="{0FCD7DE5-182B-4344-AFEC-45FC973D6344}"/>
    <cellStyle name="Linked Cell 33 2 2 3 2 8 3" xfId="33984" xr:uid="{F69E2D1B-93B3-4D41-935D-8A1152EAC9C5}"/>
    <cellStyle name="Linked Cell 33 2 2 3 2 9" xfId="33985" xr:uid="{429A30B3-D5AA-43A9-A9DF-D0E635BFB8CC}"/>
    <cellStyle name="Linked Cell 33 2 2 3 2 9 2" xfId="33986" xr:uid="{AB3C87C1-97A8-4A5E-A3CF-4B9E79D459CD}"/>
    <cellStyle name="Linked Cell 33 2 2 3 2 9 2 2" xfId="33987" xr:uid="{D29CC5CC-20F0-4BCC-91C6-0E5D2954B6F9}"/>
    <cellStyle name="Linked Cell 33 2 2 3 2 9 3" xfId="33988" xr:uid="{D4D1FCD0-75F7-4B3F-97E7-F9F79BE20DA9}"/>
    <cellStyle name="Linked Cell 33 2 2 3 3" xfId="33989" xr:uid="{6FCBA588-6054-4DAD-9FEF-729BE4B6324B}"/>
    <cellStyle name="Linked Cell 33 2 2 3 3 2" xfId="33990" xr:uid="{8BAA7FAC-E5EB-4E4A-8703-B0AA8545E92C}"/>
    <cellStyle name="Linked Cell 33 2 2 3 3 2 2" xfId="33991" xr:uid="{2CBC4361-7BB2-446C-82D6-991FE89A978D}"/>
    <cellStyle name="Linked Cell 33 2 2 3 3 3" xfId="33992" xr:uid="{42A87F45-C06C-445C-A80C-9A4EE2832343}"/>
    <cellStyle name="Linked Cell 33 2 2 3 4" xfId="33993" xr:uid="{009FC905-C8A2-4E90-8058-5A8057780E00}"/>
    <cellStyle name="Linked Cell 33 2 2 3 4 2" xfId="33994" xr:uid="{1847E290-2AEB-4C02-8C9F-AFA1D4551B73}"/>
    <cellStyle name="Linked Cell 33 2 2 3 4 2 2" xfId="33995" xr:uid="{92A91435-314F-4021-96D3-41B9C129AD8A}"/>
    <cellStyle name="Linked Cell 33 2 2 3 4 3" xfId="33996" xr:uid="{361C4C0E-AF69-416A-BDEC-B28B0FCE7AF6}"/>
    <cellStyle name="Linked Cell 33 2 2 3 5" xfId="33997" xr:uid="{BE345F02-5E86-4DD4-AB0E-56C46CDEE817}"/>
    <cellStyle name="Linked Cell 33 2 2 3 5 2" xfId="33998" xr:uid="{F553DDD7-6648-4136-AB06-1BA01DBAC1C1}"/>
    <cellStyle name="Linked Cell 33 2 2 3 5 2 2" xfId="33999" xr:uid="{84FF4D06-7299-4D57-9D38-B14240E9D9AB}"/>
    <cellStyle name="Linked Cell 33 2 2 3 5 3" xfId="34000" xr:uid="{1E92D2BB-65A5-48C4-8829-C53F01CE86A1}"/>
    <cellStyle name="Linked Cell 33 2 2 3 6" xfId="34001" xr:uid="{7BC8613C-9A84-413E-A9EB-9A456AC4FFF7}"/>
    <cellStyle name="Linked Cell 33 2 2 3 6 2" xfId="34002" xr:uid="{7C3904B8-A004-437D-9168-D7DAE87BE363}"/>
    <cellStyle name="Linked Cell 33 2 2 3 6 2 2" xfId="34003" xr:uid="{17643524-9EB6-4A14-9C80-199A15ADF46E}"/>
    <cellStyle name="Linked Cell 33 2 2 3 6 3" xfId="34004" xr:uid="{C10CAA2E-CCA0-4A6E-97DF-0393C9964751}"/>
    <cellStyle name="Linked Cell 33 2 2 3 7" xfId="34005" xr:uid="{4FE953D5-1513-4657-90BD-A62E17E2F064}"/>
    <cellStyle name="Linked Cell 33 2 2 3 7 2" xfId="34006" xr:uid="{701888D3-68EE-4152-9231-D3F346E37B0E}"/>
    <cellStyle name="Linked Cell 33 2 2 3 7 2 2" xfId="34007" xr:uid="{AC081927-5784-4C61-BA53-9989F094DEE6}"/>
    <cellStyle name="Linked Cell 33 2 2 3 7 3" xfId="34008" xr:uid="{CAE15AF1-2E3A-45DC-98A8-FA852539E9DE}"/>
    <cellStyle name="Linked Cell 33 2 2 3 8" xfId="34009" xr:uid="{CC9A01AA-ECDA-4D40-B783-A7B8EB42D1C2}"/>
    <cellStyle name="Linked Cell 33 2 2 3 8 2" xfId="34010" xr:uid="{C61B4346-B70E-4366-9ECC-81FFE5991F3B}"/>
    <cellStyle name="Linked Cell 33 2 2 3 8 2 2" xfId="34011" xr:uid="{A4552DE7-5F09-4BEF-8463-FE734E719BB3}"/>
    <cellStyle name="Linked Cell 33 2 2 3 8 3" xfId="34012" xr:uid="{4E9A70CF-46C6-4AB2-93AC-20A969D28B58}"/>
    <cellStyle name="Linked Cell 33 2 2 3 9" xfId="34013" xr:uid="{676E5E8E-E356-4179-8C26-190C37F8B066}"/>
    <cellStyle name="Linked Cell 33 2 2 3 9 2" xfId="34014" xr:uid="{25318C7D-55E3-430D-ABAD-63C5312DD83E}"/>
    <cellStyle name="Linked Cell 33 2 2 3 9 2 2" xfId="34015" xr:uid="{1F689B6B-C9E9-4B80-8D1E-091DFD25F9C6}"/>
    <cellStyle name="Linked Cell 33 2 2 3 9 3" xfId="34016" xr:uid="{B6416459-BEBB-4CCA-917C-4D7ED25E79C0}"/>
    <cellStyle name="Linked Cell 33 2 2 4" xfId="34017" xr:uid="{A8CA8B5B-3194-46A7-AE22-6D32A9EB16F6}"/>
    <cellStyle name="Linked Cell 33 2 2 4 10" xfId="34018" xr:uid="{C5425C73-CA07-4A0D-A21B-FC0B6E9DA1B7}"/>
    <cellStyle name="Linked Cell 33 2 2 4 10 2" xfId="34019" xr:uid="{35038408-2232-4265-AF3C-3C0636338953}"/>
    <cellStyle name="Linked Cell 33 2 2 4 11" xfId="34020" xr:uid="{8EC7B2BB-A6C6-4EB3-9580-790FE68DF3AF}"/>
    <cellStyle name="Linked Cell 33 2 2 4 2" xfId="34021" xr:uid="{912ADDE2-BB70-47DE-BC4E-7B5F9E17FCFF}"/>
    <cellStyle name="Linked Cell 33 2 2 4 2 2" xfId="34022" xr:uid="{147C301D-83DB-4565-9444-ED1576FAFA9D}"/>
    <cellStyle name="Linked Cell 33 2 2 4 2 2 2" xfId="34023" xr:uid="{3F59D790-9C38-4186-A32B-5ADB84A4BA91}"/>
    <cellStyle name="Linked Cell 33 2 2 4 2 3" xfId="34024" xr:uid="{A3767A97-DE15-4D3F-B41A-D78C8CDDF7C3}"/>
    <cellStyle name="Linked Cell 33 2 2 4 3" xfId="34025" xr:uid="{35269125-8726-44BB-8603-B7D3B5F6C006}"/>
    <cellStyle name="Linked Cell 33 2 2 4 3 2" xfId="34026" xr:uid="{CC39C3EF-4BAF-4299-A1CF-9553636D932E}"/>
    <cellStyle name="Linked Cell 33 2 2 4 3 2 2" xfId="34027" xr:uid="{1F6D845C-5F28-4E6D-9562-8975C7238A03}"/>
    <cellStyle name="Linked Cell 33 2 2 4 3 3" xfId="34028" xr:uid="{47BE66FF-99E2-49AB-9E1D-3B053606F06F}"/>
    <cellStyle name="Linked Cell 33 2 2 4 4" xfId="34029" xr:uid="{48E343EC-621A-4208-8B3A-2659797041BE}"/>
    <cellStyle name="Linked Cell 33 2 2 4 4 2" xfId="34030" xr:uid="{C478EA32-166F-4A7A-B3CD-D140DA53627D}"/>
    <cellStyle name="Linked Cell 33 2 2 4 4 2 2" xfId="34031" xr:uid="{7EDDA62E-BB9A-42C6-9E87-F5492E4A9BF5}"/>
    <cellStyle name="Linked Cell 33 2 2 4 4 3" xfId="34032" xr:uid="{96C9AF99-D1DB-4F95-8E66-FD51B5476843}"/>
    <cellStyle name="Linked Cell 33 2 2 4 5" xfId="34033" xr:uid="{4B470DB6-606F-40AB-94B8-B903807794D2}"/>
    <cellStyle name="Linked Cell 33 2 2 4 5 2" xfId="34034" xr:uid="{66A58C4F-046B-4B85-BB53-DB82CC1037B1}"/>
    <cellStyle name="Linked Cell 33 2 2 4 5 2 2" xfId="34035" xr:uid="{72922A6C-9E61-46E4-9802-B3F502774076}"/>
    <cellStyle name="Linked Cell 33 2 2 4 5 3" xfId="34036" xr:uid="{DE1F3536-72DC-4CBA-B7FD-1DD586AF034D}"/>
    <cellStyle name="Linked Cell 33 2 2 4 6" xfId="34037" xr:uid="{37AB9DD1-A24C-41A2-8BA4-C6CF8A5783ED}"/>
    <cellStyle name="Linked Cell 33 2 2 4 6 2" xfId="34038" xr:uid="{D37740A1-920A-4CDD-A098-D5DCDC41019B}"/>
    <cellStyle name="Linked Cell 33 2 2 4 6 2 2" xfId="34039" xr:uid="{526FE833-330F-4087-83D3-87586F828FA4}"/>
    <cellStyle name="Linked Cell 33 2 2 4 6 3" xfId="34040" xr:uid="{07549019-DB84-4C73-B768-DF3A1A07FEFA}"/>
    <cellStyle name="Linked Cell 33 2 2 4 7" xfId="34041" xr:uid="{7977C35A-ABFD-4B27-B707-C426EE7F18CD}"/>
    <cellStyle name="Linked Cell 33 2 2 4 7 2" xfId="34042" xr:uid="{86694600-C3D4-4751-BB2A-2E63BC899FFB}"/>
    <cellStyle name="Linked Cell 33 2 2 4 7 2 2" xfId="34043" xr:uid="{30DD8AFE-891E-4A6B-9115-BB9A2E1E12A6}"/>
    <cellStyle name="Linked Cell 33 2 2 4 7 3" xfId="34044" xr:uid="{7C24E9DE-D247-4D2C-BC4A-1D5F49893DA4}"/>
    <cellStyle name="Linked Cell 33 2 2 4 8" xfId="34045" xr:uid="{A33FAB8A-DDD9-407D-AA28-145048F1444E}"/>
    <cellStyle name="Linked Cell 33 2 2 4 8 2" xfId="34046" xr:uid="{F57983C3-21CF-4993-A074-09EB722DB826}"/>
    <cellStyle name="Linked Cell 33 2 2 4 8 2 2" xfId="34047" xr:uid="{31A2AB94-F224-4152-B4D6-984A01896B85}"/>
    <cellStyle name="Linked Cell 33 2 2 4 8 3" xfId="34048" xr:uid="{AEF6809E-9A83-4013-88E2-943EA26E396F}"/>
    <cellStyle name="Linked Cell 33 2 2 4 9" xfId="34049" xr:uid="{BED28071-30D9-49F0-932B-4F09BF476A1F}"/>
    <cellStyle name="Linked Cell 33 2 2 4 9 2" xfId="34050" xr:uid="{2FDBE549-7D9B-43D2-B68E-991A2ED9A112}"/>
    <cellStyle name="Linked Cell 33 2 2 4 9 2 2" xfId="34051" xr:uid="{36D8D40D-2ED8-4019-A055-0323852D4949}"/>
    <cellStyle name="Linked Cell 33 2 2 4 9 3" xfId="34052" xr:uid="{DA42E144-65DF-4AF4-BF28-5607781642E3}"/>
    <cellStyle name="Linked Cell 33 2 2 5" xfId="34053" xr:uid="{F25FA87C-8935-46CC-B11A-C98CE6B9C925}"/>
    <cellStyle name="Linked Cell 33 2 2 5 2" xfId="34054" xr:uid="{511900EC-0EB2-4557-95CF-6F299473DB33}"/>
    <cellStyle name="Linked Cell 33 2 2 5 2 2" xfId="34055" xr:uid="{4CE31EFB-0C74-4092-A89F-1D78EECF932C}"/>
    <cellStyle name="Linked Cell 33 2 2 5 3" xfId="34056" xr:uid="{FB71AD72-23A3-4973-A4E7-B5ADF66BF68B}"/>
    <cellStyle name="Linked Cell 33 2 2 6" xfId="34057" xr:uid="{21504480-DC43-4E09-8DD4-EF2BD5EDC233}"/>
    <cellStyle name="Linked Cell 33 2 2 6 2" xfId="34058" xr:uid="{5B360C2C-60BA-4BDD-A108-1844D98F9144}"/>
    <cellStyle name="Linked Cell 33 2 2 6 2 2" xfId="34059" xr:uid="{25EEBA0E-77F5-42CE-ABCD-AEB177F2979E}"/>
    <cellStyle name="Linked Cell 33 2 2 6 3" xfId="34060" xr:uid="{18B5BD4D-6CC5-4F43-92FE-07D01415D9E9}"/>
    <cellStyle name="Linked Cell 33 2 2 7" xfId="34061" xr:uid="{690BE6F4-7190-44A6-A87E-2873AA5A61F8}"/>
    <cellStyle name="Linked Cell 33 2 2 7 2" xfId="34062" xr:uid="{21BBE91B-6454-4B0A-81EE-29C8E54BAA13}"/>
    <cellStyle name="Linked Cell 33 2 2 7 2 2" xfId="34063" xr:uid="{14AEE3F3-4FFE-4E3D-8C64-6CB7242AA61D}"/>
    <cellStyle name="Linked Cell 33 2 2 7 3" xfId="34064" xr:uid="{DD76E4B1-B9DA-45E2-BC93-E8B5A08F4CA9}"/>
    <cellStyle name="Linked Cell 33 2 2 8" xfId="34065" xr:uid="{2999EBC5-6028-49EE-8030-65AFB77B6851}"/>
    <cellStyle name="Linked Cell 33 2 2 8 2" xfId="34066" xr:uid="{BC063124-842C-45EF-8B78-97C6A3344924}"/>
    <cellStyle name="Linked Cell 33 2 2 8 2 2" xfId="34067" xr:uid="{C5637237-7EDB-4DA1-A36A-A8D618204979}"/>
    <cellStyle name="Linked Cell 33 2 2 8 3" xfId="34068" xr:uid="{CEE945BD-D3A2-4719-A2C4-D649A1407A7C}"/>
    <cellStyle name="Linked Cell 33 2 2 9" xfId="34069" xr:uid="{B7FC17C7-A678-454B-86E2-90C188D4E70D}"/>
    <cellStyle name="Linked Cell 33 2 2 9 2" xfId="34070" xr:uid="{94AD558D-FC29-4AB3-A478-68362728EBD9}"/>
    <cellStyle name="Linked Cell 33 2 2 9 2 2" xfId="34071" xr:uid="{BA4F06D5-84D2-4AED-91D0-40E323CF0AE8}"/>
    <cellStyle name="Linked Cell 33 2 2 9 3" xfId="34072" xr:uid="{2E676FD3-DAE2-4DA4-9F2B-CD4A28FEEDEC}"/>
    <cellStyle name="Linked Cell 33 2 3" xfId="34073" xr:uid="{4A4A6557-52CC-46DF-BD6E-021B7A36FDE6}"/>
    <cellStyle name="Linked Cell 33 2 3 10" xfId="34074" xr:uid="{12DFAD14-1B20-4A12-9809-FB3C27BA113C}"/>
    <cellStyle name="Linked Cell 33 2 3 10 2" xfId="34075" xr:uid="{DC8868C8-AF62-4E1B-A84C-BED760A227D9}"/>
    <cellStyle name="Linked Cell 33 2 3 10 2 2" xfId="34076" xr:uid="{212370E6-4C8F-46F1-8398-0DD632EAC2F8}"/>
    <cellStyle name="Linked Cell 33 2 3 10 3" xfId="34077" xr:uid="{77B92028-7BC9-48B3-8949-FED028987268}"/>
    <cellStyle name="Linked Cell 33 2 3 11" xfId="34078" xr:uid="{6E4AEAF1-8D92-4A43-A29C-F4BDDB071AA5}"/>
    <cellStyle name="Linked Cell 33 2 3 11 2" xfId="34079" xr:uid="{C2EB325C-0053-4FC8-B9C2-C24D9604AFC6}"/>
    <cellStyle name="Linked Cell 33 2 3 11 2 2" xfId="34080" xr:uid="{2A2F9791-AD42-4DA1-822A-085328D76DF6}"/>
    <cellStyle name="Linked Cell 33 2 3 11 3" xfId="34081" xr:uid="{5ACDBA20-DD98-4937-9738-9CC4C058F92D}"/>
    <cellStyle name="Linked Cell 33 2 3 12" xfId="34082" xr:uid="{22462008-888B-4293-BC11-A2740DC6B55C}"/>
    <cellStyle name="Linked Cell 33 2 3 12 2" xfId="34083" xr:uid="{A4972CC4-1BE5-4CC6-AD7C-42AEF462C3D1}"/>
    <cellStyle name="Linked Cell 33 2 3 13" xfId="34084" xr:uid="{22206C1A-0D0A-466D-A5B1-500F18437A92}"/>
    <cellStyle name="Linked Cell 33 2 3 2" xfId="34085" xr:uid="{5032BC1F-602C-45B2-AEF7-55D426701A69}"/>
    <cellStyle name="Linked Cell 33 2 3 2 10" xfId="34086" xr:uid="{0E435DB8-D903-4B6A-B6A2-6734438CA518}"/>
    <cellStyle name="Linked Cell 33 2 3 2 10 2" xfId="34087" xr:uid="{797E9790-DDF1-4ACB-A5B4-86F1B92CF151}"/>
    <cellStyle name="Linked Cell 33 2 3 2 10 2 2" xfId="34088" xr:uid="{67B5EFF3-85A2-4E8B-94A1-5FCCEFACE54F}"/>
    <cellStyle name="Linked Cell 33 2 3 2 10 3" xfId="34089" xr:uid="{C4F96A7B-55B5-4AC8-B94C-BD8FF8D4EE8F}"/>
    <cellStyle name="Linked Cell 33 2 3 2 11" xfId="34090" xr:uid="{3AF453A4-2272-4E08-9EA6-A96E9C506AEF}"/>
    <cellStyle name="Linked Cell 33 2 3 2 11 2" xfId="34091" xr:uid="{C7AFC8C5-84AB-4DAC-B4C5-3DC82564B1A3}"/>
    <cellStyle name="Linked Cell 33 2 3 2 12" xfId="34092" xr:uid="{F4E0D53B-E215-4916-97C4-C770B75FA7B2}"/>
    <cellStyle name="Linked Cell 33 2 3 2 2" xfId="34093" xr:uid="{9E8BE70F-362E-4F93-A57F-DBEC9E074DB4}"/>
    <cellStyle name="Linked Cell 33 2 3 2 2 2" xfId="34094" xr:uid="{D805E8ED-8667-4799-909B-7B6A37EB1CAA}"/>
    <cellStyle name="Linked Cell 33 2 3 2 2 2 2" xfId="34095" xr:uid="{02704A8F-13BC-4717-91E9-DA33422CF37E}"/>
    <cellStyle name="Linked Cell 33 2 3 2 2 3" xfId="34096" xr:uid="{B34BFC5B-BDA7-4C49-940A-2C7D7AF54C73}"/>
    <cellStyle name="Linked Cell 33 2 3 2 3" xfId="34097" xr:uid="{1E1FD957-6B9A-4AFB-AD18-735995547AFF}"/>
    <cellStyle name="Linked Cell 33 2 3 2 3 2" xfId="34098" xr:uid="{E839C942-644E-4351-A7B3-7D0DBE7F4634}"/>
    <cellStyle name="Linked Cell 33 2 3 2 3 2 2" xfId="34099" xr:uid="{C67F90F2-7EAC-4427-BAEB-72A921596754}"/>
    <cellStyle name="Linked Cell 33 2 3 2 3 3" xfId="34100" xr:uid="{D67ECE82-4EDE-42E6-8D57-55814FD79F0D}"/>
    <cellStyle name="Linked Cell 33 2 3 2 4" xfId="34101" xr:uid="{09E690EB-59C3-40FC-AB00-2AA420466B4B}"/>
    <cellStyle name="Linked Cell 33 2 3 2 4 2" xfId="34102" xr:uid="{9D184EDE-E4A2-4F75-B707-CA8871194869}"/>
    <cellStyle name="Linked Cell 33 2 3 2 4 2 2" xfId="34103" xr:uid="{31608971-CDEA-4582-85B5-091B4A540404}"/>
    <cellStyle name="Linked Cell 33 2 3 2 4 3" xfId="34104" xr:uid="{F9CF6B7D-C877-4744-8028-F94033F61558}"/>
    <cellStyle name="Linked Cell 33 2 3 2 5" xfId="34105" xr:uid="{563479D9-8DFF-4E86-BCB8-849887A38B7F}"/>
    <cellStyle name="Linked Cell 33 2 3 2 5 2" xfId="34106" xr:uid="{03CCE76F-2162-407C-8D2E-182DEF806290}"/>
    <cellStyle name="Linked Cell 33 2 3 2 5 2 2" xfId="34107" xr:uid="{A813DA2B-3041-4EDA-A88F-3B645C4DE317}"/>
    <cellStyle name="Linked Cell 33 2 3 2 5 3" xfId="34108" xr:uid="{EB98790D-4B91-4EF1-94CC-C238C62F3A07}"/>
    <cellStyle name="Linked Cell 33 2 3 2 6" xfId="34109" xr:uid="{5EDD9DFA-A6D3-4322-8B9B-7641E0722298}"/>
    <cellStyle name="Linked Cell 33 2 3 2 6 2" xfId="34110" xr:uid="{20A99596-AEB4-4BF9-8891-416D4C2A8895}"/>
    <cellStyle name="Linked Cell 33 2 3 2 6 2 2" xfId="34111" xr:uid="{327782DA-56A5-41ED-9F52-968E89F5B776}"/>
    <cellStyle name="Linked Cell 33 2 3 2 6 3" xfId="34112" xr:uid="{0119A636-F4CA-403A-8C3C-6DBB417C1428}"/>
    <cellStyle name="Linked Cell 33 2 3 2 7" xfId="34113" xr:uid="{36AFED5B-92D0-4838-8DC0-D835974328C8}"/>
    <cellStyle name="Linked Cell 33 2 3 2 7 2" xfId="34114" xr:uid="{946C5717-FD6A-4245-B3E3-B05B51ABBCDE}"/>
    <cellStyle name="Linked Cell 33 2 3 2 7 2 2" xfId="34115" xr:uid="{E66AC168-6A6B-42A8-ABCB-4BE0C76F7F7C}"/>
    <cellStyle name="Linked Cell 33 2 3 2 7 3" xfId="34116" xr:uid="{B8788DD0-D2B8-473A-B1E7-C88C27A4C290}"/>
    <cellStyle name="Linked Cell 33 2 3 2 8" xfId="34117" xr:uid="{127BFD0B-6964-4CE6-A71F-15A3613F9FA7}"/>
    <cellStyle name="Linked Cell 33 2 3 2 8 2" xfId="34118" xr:uid="{ED080646-3198-4958-92C0-7D79B558B581}"/>
    <cellStyle name="Linked Cell 33 2 3 2 8 2 2" xfId="34119" xr:uid="{373A6BAB-46E9-42C2-AE3D-F73609CC868F}"/>
    <cellStyle name="Linked Cell 33 2 3 2 8 3" xfId="34120" xr:uid="{193DFFB7-FA59-42EB-8055-5EAC788CBB39}"/>
    <cellStyle name="Linked Cell 33 2 3 2 9" xfId="34121" xr:uid="{A7548C25-758D-4658-9432-1E4D6A8471BE}"/>
    <cellStyle name="Linked Cell 33 2 3 2 9 2" xfId="34122" xr:uid="{012A06D7-994D-401A-8A88-1527B5C12F56}"/>
    <cellStyle name="Linked Cell 33 2 3 2 9 2 2" xfId="34123" xr:uid="{92BA8CF9-9F7F-4342-BCD3-D3FF3E68781B}"/>
    <cellStyle name="Linked Cell 33 2 3 2 9 3" xfId="34124" xr:uid="{EB4E0060-31FC-44D4-9985-DCB941E8527A}"/>
    <cellStyle name="Linked Cell 33 2 3 3" xfId="34125" xr:uid="{6DF000CC-D5A3-451F-823A-D558EE8CF16C}"/>
    <cellStyle name="Linked Cell 33 2 3 3 10" xfId="34126" xr:uid="{85220CB5-DDE8-4AFF-AD01-06D314EEC661}"/>
    <cellStyle name="Linked Cell 33 2 3 3 10 2" xfId="34127" xr:uid="{8E7221DC-AD4C-4C61-993B-1917C18E981A}"/>
    <cellStyle name="Linked Cell 33 2 3 3 11" xfId="34128" xr:uid="{D474DDAD-4900-48D2-B9D2-782A0CAD0CD9}"/>
    <cellStyle name="Linked Cell 33 2 3 3 2" xfId="34129" xr:uid="{7007161C-ED39-4CC3-A908-3FD135B91032}"/>
    <cellStyle name="Linked Cell 33 2 3 3 2 2" xfId="34130" xr:uid="{5563FE5E-391E-4D81-91C5-2FAA423E6630}"/>
    <cellStyle name="Linked Cell 33 2 3 3 2 2 2" xfId="34131" xr:uid="{418F313B-367B-4B84-A9FE-C167B332C42F}"/>
    <cellStyle name="Linked Cell 33 2 3 3 2 3" xfId="34132" xr:uid="{35D202E8-B455-4A41-8C6D-1D6CE4C08891}"/>
    <cellStyle name="Linked Cell 33 2 3 3 3" xfId="34133" xr:uid="{E5058C28-2AE6-474D-B63E-EBDFCD85C9D6}"/>
    <cellStyle name="Linked Cell 33 2 3 3 3 2" xfId="34134" xr:uid="{C6A850A3-DEB9-4B90-942C-4B8248FB9706}"/>
    <cellStyle name="Linked Cell 33 2 3 3 3 2 2" xfId="34135" xr:uid="{931677D2-F04D-42DF-BD10-4DA5E7F10E04}"/>
    <cellStyle name="Linked Cell 33 2 3 3 3 3" xfId="34136" xr:uid="{2DC69DD8-DF95-4E33-A9F9-AD9485FA9B07}"/>
    <cellStyle name="Linked Cell 33 2 3 3 4" xfId="34137" xr:uid="{F2558FDB-74AB-42D2-A591-D903FE71E4B7}"/>
    <cellStyle name="Linked Cell 33 2 3 3 4 2" xfId="34138" xr:uid="{37A5C88E-FACA-4F2E-8541-4335997B1574}"/>
    <cellStyle name="Linked Cell 33 2 3 3 4 2 2" xfId="34139" xr:uid="{60808C94-4C35-4ED5-B80C-5B9C66D1E0AC}"/>
    <cellStyle name="Linked Cell 33 2 3 3 4 3" xfId="34140" xr:uid="{38174033-9EE0-4844-937B-82B77029F8DC}"/>
    <cellStyle name="Linked Cell 33 2 3 3 5" xfId="34141" xr:uid="{86AB8280-0366-473B-8EEE-662A695667E0}"/>
    <cellStyle name="Linked Cell 33 2 3 3 5 2" xfId="34142" xr:uid="{951D1AA4-200B-47A4-B290-9B4C1055DFA5}"/>
    <cellStyle name="Linked Cell 33 2 3 3 5 2 2" xfId="34143" xr:uid="{FECFF9C1-42A9-4D10-B014-CFAB314106D0}"/>
    <cellStyle name="Linked Cell 33 2 3 3 5 3" xfId="34144" xr:uid="{A911CC3D-905E-4C97-A0CF-E25D3C5CBA80}"/>
    <cellStyle name="Linked Cell 33 2 3 3 6" xfId="34145" xr:uid="{CE80CEF5-4A08-4713-A731-4710AD315D3C}"/>
    <cellStyle name="Linked Cell 33 2 3 3 6 2" xfId="34146" xr:uid="{603ECF15-ECAB-4EA7-87A8-75E2E981CAF2}"/>
    <cellStyle name="Linked Cell 33 2 3 3 6 2 2" xfId="34147" xr:uid="{2C9A2FEC-A44A-4314-B1FC-9FA4DB0C4C82}"/>
    <cellStyle name="Linked Cell 33 2 3 3 6 3" xfId="34148" xr:uid="{E6C09EF2-74E3-461C-BAC4-E86F7074268D}"/>
    <cellStyle name="Linked Cell 33 2 3 3 7" xfId="34149" xr:uid="{89B0569B-A549-493D-A78A-08AFCFD55C9D}"/>
    <cellStyle name="Linked Cell 33 2 3 3 7 2" xfId="34150" xr:uid="{2519B3A8-A715-46E4-A020-9A886BF00DD9}"/>
    <cellStyle name="Linked Cell 33 2 3 3 7 2 2" xfId="34151" xr:uid="{3B5E5031-D626-4D6F-BCC7-68DBF694C7B3}"/>
    <cellStyle name="Linked Cell 33 2 3 3 7 3" xfId="34152" xr:uid="{37AEC149-CE16-4B1D-921C-1FC9A8C78531}"/>
    <cellStyle name="Linked Cell 33 2 3 3 8" xfId="34153" xr:uid="{A693DD36-FB58-4C53-9F39-C2B86547EF25}"/>
    <cellStyle name="Linked Cell 33 2 3 3 8 2" xfId="34154" xr:uid="{4896524E-5883-4842-87F7-DFF95CF3FD00}"/>
    <cellStyle name="Linked Cell 33 2 3 3 8 2 2" xfId="34155" xr:uid="{A4A0D81C-9313-479D-824B-508C77423F4A}"/>
    <cellStyle name="Linked Cell 33 2 3 3 8 3" xfId="34156" xr:uid="{31246B4A-1831-4AF0-B2E0-3A10DA3DA6B2}"/>
    <cellStyle name="Linked Cell 33 2 3 3 9" xfId="34157" xr:uid="{6B2FF234-C5EF-4239-88EC-61710C2877DE}"/>
    <cellStyle name="Linked Cell 33 2 3 3 9 2" xfId="34158" xr:uid="{C24A4B05-9457-476C-BBA1-948956CCB631}"/>
    <cellStyle name="Linked Cell 33 2 3 3 9 2 2" xfId="34159" xr:uid="{20A590A5-C976-4E1F-8337-2D50F489F420}"/>
    <cellStyle name="Linked Cell 33 2 3 3 9 3" xfId="34160" xr:uid="{DD4E8368-3EBD-4C3A-980F-00887820BBC3}"/>
    <cellStyle name="Linked Cell 33 2 3 4" xfId="34161" xr:uid="{4AAC0F4C-17BA-47A1-BB81-EBAFEEF7F3BA}"/>
    <cellStyle name="Linked Cell 33 2 3 4 2" xfId="34162" xr:uid="{B59934C2-B5D4-4A31-9F92-B4EB013012BE}"/>
    <cellStyle name="Linked Cell 33 2 3 4 2 2" xfId="34163" xr:uid="{077FB2E0-2443-4DA6-837E-375D8CC63303}"/>
    <cellStyle name="Linked Cell 33 2 3 4 3" xfId="34164" xr:uid="{2D638A46-8877-46D1-B8D7-433B6BBBA061}"/>
    <cellStyle name="Linked Cell 33 2 3 5" xfId="34165" xr:uid="{F861C2F2-30AA-4F91-89C2-FA0EA9B4CA60}"/>
    <cellStyle name="Linked Cell 33 2 3 5 2" xfId="34166" xr:uid="{DAFCB0B8-5476-4DAF-B57B-5E81913427FA}"/>
    <cellStyle name="Linked Cell 33 2 3 5 2 2" xfId="34167" xr:uid="{79B17F91-F536-4B13-82EF-BA5437E49C29}"/>
    <cellStyle name="Linked Cell 33 2 3 5 3" xfId="34168" xr:uid="{4D01C2E2-D200-4D96-B599-77844AEBE2C8}"/>
    <cellStyle name="Linked Cell 33 2 3 6" xfId="34169" xr:uid="{6E1D19A5-7CE8-4506-BB54-1502BFC9BC73}"/>
    <cellStyle name="Linked Cell 33 2 3 6 2" xfId="34170" xr:uid="{326C28B6-35DA-425D-AF8F-341E8D1B6ADA}"/>
    <cellStyle name="Linked Cell 33 2 3 6 2 2" xfId="34171" xr:uid="{00545F22-2B00-46A0-B117-0525502F6AF2}"/>
    <cellStyle name="Linked Cell 33 2 3 6 3" xfId="34172" xr:uid="{54CE596F-E905-4BFA-8714-E63FCFB886D8}"/>
    <cellStyle name="Linked Cell 33 2 3 7" xfId="34173" xr:uid="{3AFB571B-867D-4342-BAC6-54BC244182F7}"/>
    <cellStyle name="Linked Cell 33 2 3 7 2" xfId="34174" xr:uid="{5010B59C-580C-4FD6-9E92-7C5064106940}"/>
    <cellStyle name="Linked Cell 33 2 3 7 2 2" xfId="34175" xr:uid="{937F183A-1539-4EA9-807E-1DF14F5B45E6}"/>
    <cellStyle name="Linked Cell 33 2 3 7 3" xfId="34176" xr:uid="{01FE2335-86BB-4958-9AC5-ABF1A0C8699E}"/>
    <cellStyle name="Linked Cell 33 2 3 8" xfId="34177" xr:uid="{8943E305-6B7B-4562-85A7-B067E7FB1BBF}"/>
    <cellStyle name="Linked Cell 33 2 3 8 2" xfId="34178" xr:uid="{E549C074-FE71-471D-B083-560958CC3A6B}"/>
    <cellStyle name="Linked Cell 33 2 3 8 2 2" xfId="34179" xr:uid="{9A06D77E-6639-4E4F-BB27-33268363DC1B}"/>
    <cellStyle name="Linked Cell 33 2 3 8 3" xfId="34180" xr:uid="{272FEB7D-A0B3-469B-8989-4F5A842D405C}"/>
    <cellStyle name="Linked Cell 33 2 3 9" xfId="34181" xr:uid="{6C9E97EB-69DE-4A7B-8F64-9942F8CC4287}"/>
    <cellStyle name="Linked Cell 33 2 3 9 2" xfId="34182" xr:uid="{955E2859-0F54-4C52-933A-065B205438E6}"/>
    <cellStyle name="Linked Cell 33 2 3 9 2 2" xfId="34183" xr:uid="{6B39D94F-189B-4FC3-8248-2020588AE90C}"/>
    <cellStyle name="Linked Cell 33 2 3 9 3" xfId="34184" xr:uid="{88262E7C-7035-4F46-B27E-6ABB3C5AFC8D}"/>
    <cellStyle name="Linked Cell 33 2 4" xfId="34185" xr:uid="{3F5056C8-07F9-4249-88C4-8B27BBAB0598}"/>
    <cellStyle name="Linked Cell 33 2 4 10" xfId="34186" xr:uid="{EEA3765D-E736-4C98-849D-7305B7C91EB4}"/>
    <cellStyle name="Linked Cell 33 2 4 10 2" xfId="34187" xr:uid="{177B752B-4892-4266-8289-8A46AE1807E3}"/>
    <cellStyle name="Linked Cell 33 2 4 10 2 2" xfId="34188" xr:uid="{E971A6EB-A272-4A80-B5D9-B22BE93FAD52}"/>
    <cellStyle name="Linked Cell 33 2 4 10 3" xfId="34189" xr:uid="{E2FDA857-9A24-47E4-A686-8AFB984BADD9}"/>
    <cellStyle name="Linked Cell 33 2 4 11" xfId="34190" xr:uid="{7D3EE51B-B0BC-48F8-BCCB-4B25C04ACB01}"/>
    <cellStyle name="Linked Cell 33 2 4 11 2" xfId="34191" xr:uid="{C4842DBC-EB01-4072-B59E-71AA2822D1CE}"/>
    <cellStyle name="Linked Cell 33 2 4 12" xfId="34192" xr:uid="{D0471812-6986-419C-B067-DDB336598857}"/>
    <cellStyle name="Linked Cell 33 2 4 2" xfId="34193" xr:uid="{55226672-2373-4F62-B65A-4B062F3814A2}"/>
    <cellStyle name="Linked Cell 33 2 4 2 10" xfId="34194" xr:uid="{888926AF-A55A-466D-B155-03D47AAB355E}"/>
    <cellStyle name="Linked Cell 33 2 4 2 10 2" xfId="34195" xr:uid="{9F0BF034-E08F-491F-9B66-535ED9A69948}"/>
    <cellStyle name="Linked Cell 33 2 4 2 11" xfId="34196" xr:uid="{FD7D669C-2053-45AF-93BC-BAFC25AC08DB}"/>
    <cellStyle name="Linked Cell 33 2 4 2 2" xfId="34197" xr:uid="{B35C357B-3149-4DB0-BF0A-75EB0DAF8780}"/>
    <cellStyle name="Linked Cell 33 2 4 2 2 2" xfId="34198" xr:uid="{5D1732E2-11C9-4286-9AF4-2A9538682361}"/>
    <cellStyle name="Linked Cell 33 2 4 2 2 2 2" xfId="34199" xr:uid="{16D05498-D72B-4D38-AB7A-95558919A2A1}"/>
    <cellStyle name="Linked Cell 33 2 4 2 2 3" xfId="34200" xr:uid="{78DC64F6-D605-4B02-8095-6BB267A593D1}"/>
    <cellStyle name="Linked Cell 33 2 4 2 3" xfId="34201" xr:uid="{24F561D3-C623-4142-B385-5B710C14D13A}"/>
    <cellStyle name="Linked Cell 33 2 4 2 3 2" xfId="34202" xr:uid="{E0C05053-344D-4A06-97A0-22BA5AFDE1EA}"/>
    <cellStyle name="Linked Cell 33 2 4 2 3 2 2" xfId="34203" xr:uid="{CA79EAA7-533E-41DC-B8E5-683A44556654}"/>
    <cellStyle name="Linked Cell 33 2 4 2 3 3" xfId="34204" xr:uid="{5C5B3D1B-3F97-4454-95E6-2EE2FE47750C}"/>
    <cellStyle name="Linked Cell 33 2 4 2 4" xfId="34205" xr:uid="{50A36743-1B93-48B1-B8A2-9BE292B924A8}"/>
    <cellStyle name="Linked Cell 33 2 4 2 4 2" xfId="34206" xr:uid="{E410B50B-261E-4FAF-B7C4-0EF5E4678E26}"/>
    <cellStyle name="Linked Cell 33 2 4 2 4 2 2" xfId="34207" xr:uid="{08CAEA71-4749-4E1C-8033-879F571BD861}"/>
    <cellStyle name="Linked Cell 33 2 4 2 4 3" xfId="34208" xr:uid="{6241DB44-DD87-4CCF-9F72-2F2C664E146A}"/>
    <cellStyle name="Linked Cell 33 2 4 2 5" xfId="34209" xr:uid="{2CC232D9-5AD6-4F95-954B-C1A84858F791}"/>
    <cellStyle name="Linked Cell 33 2 4 2 5 2" xfId="34210" xr:uid="{03A29DC8-E0D1-4A2B-9D8C-382D6805EC1E}"/>
    <cellStyle name="Linked Cell 33 2 4 2 5 2 2" xfId="34211" xr:uid="{94EE7E22-D8B7-4E73-BCD7-6C0995E765B5}"/>
    <cellStyle name="Linked Cell 33 2 4 2 5 3" xfId="34212" xr:uid="{58EBC2E6-7365-4C19-B933-3B54D9FA802C}"/>
    <cellStyle name="Linked Cell 33 2 4 2 6" xfId="34213" xr:uid="{93DECF8E-421D-4059-BB97-FD5052FC428F}"/>
    <cellStyle name="Linked Cell 33 2 4 2 6 2" xfId="34214" xr:uid="{6711DEB8-9C63-4893-A741-CFDBF568D7C0}"/>
    <cellStyle name="Linked Cell 33 2 4 2 6 2 2" xfId="34215" xr:uid="{C209AFD3-C7AC-490F-8EE5-CE6F0F6883A0}"/>
    <cellStyle name="Linked Cell 33 2 4 2 6 3" xfId="34216" xr:uid="{0BBF58A9-0CDE-487C-8C4D-DA6A09B34AB4}"/>
    <cellStyle name="Linked Cell 33 2 4 2 7" xfId="34217" xr:uid="{BD705DC7-34AE-4C81-BC52-CF8FE25567C3}"/>
    <cellStyle name="Linked Cell 33 2 4 2 7 2" xfId="34218" xr:uid="{534E4EA5-1C64-4151-B880-AD046BE599C6}"/>
    <cellStyle name="Linked Cell 33 2 4 2 7 2 2" xfId="34219" xr:uid="{884B5927-4036-4603-B22D-CF7F02128EE6}"/>
    <cellStyle name="Linked Cell 33 2 4 2 7 3" xfId="34220" xr:uid="{42C47B19-F001-4EA1-AACE-E1434E6A7783}"/>
    <cellStyle name="Linked Cell 33 2 4 2 8" xfId="34221" xr:uid="{2E4113CF-BC9B-4642-A7B4-9AB7071ABCCB}"/>
    <cellStyle name="Linked Cell 33 2 4 2 8 2" xfId="34222" xr:uid="{969A89FF-26A6-49C0-BF17-BCAF1FCD3691}"/>
    <cellStyle name="Linked Cell 33 2 4 2 8 2 2" xfId="34223" xr:uid="{F09F8B11-F911-48E8-A01F-88E9B29C9FD9}"/>
    <cellStyle name="Linked Cell 33 2 4 2 8 3" xfId="34224" xr:uid="{53F4FFAA-CF53-4240-8136-E242CBC50262}"/>
    <cellStyle name="Linked Cell 33 2 4 2 9" xfId="34225" xr:uid="{9C3E2764-0982-4668-8465-FB0E511F1FBD}"/>
    <cellStyle name="Linked Cell 33 2 4 2 9 2" xfId="34226" xr:uid="{6BCAE97E-9E02-4576-B023-A1BAD29C6B72}"/>
    <cellStyle name="Linked Cell 33 2 4 2 9 2 2" xfId="34227" xr:uid="{D485DF07-CA65-40F7-9756-66AADF13C9C5}"/>
    <cellStyle name="Linked Cell 33 2 4 2 9 3" xfId="34228" xr:uid="{F7C5C211-756D-4346-8003-4A42BD11A36C}"/>
    <cellStyle name="Linked Cell 33 2 4 3" xfId="34229" xr:uid="{1799C036-F50E-4D6B-B6DF-323A802A6BCF}"/>
    <cellStyle name="Linked Cell 33 2 4 3 2" xfId="34230" xr:uid="{1C9F12E1-B2DA-4E45-A21A-FF57984C8DFB}"/>
    <cellStyle name="Linked Cell 33 2 4 3 2 2" xfId="34231" xr:uid="{CD400611-F73A-43B0-BE59-22F515DB1BA9}"/>
    <cellStyle name="Linked Cell 33 2 4 3 3" xfId="34232" xr:uid="{61AC174F-A7FA-4CA2-B002-48333459CF70}"/>
    <cellStyle name="Linked Cell 33 2 4 4" xfId="34233" xr:uid="{467F0EFE-6031-462D-B90F-E09EB8702210}"/>
    <cellStyle name="Linked Cell 33 2 4 4 2" xfId="34234" xr:uid="{3258495F-61B7-41DA-ADF7-13FD5C07A942}"/>
    <cellStyle name="Linked Cell 33 2 4 4 2 2" xfId="34235" xr:uid="{7C05644D-189C-408D-80F9-A3184399FD66}"/>
    <cellStyle name="Linked Cell 33 2 4 4 3" xfId="34236" xr:uid="{154F2668-9041-48A2-B5B2-70914F0D094C}"/>
    <cellStyle name="Linked Cell 33 2 4 5" xfId="34237" xr:uid="{A51F2F11-324E-4965-A555-B88E3561629C}"/>
    <cellStyle name="Linked Cell 33 2 4 5 2" xfId="34238" xr:uid="{FBA0C502-60F5-4771-B227-F460B2F4BFBB}"/>
    <cellStyle name="Linked Cell 33 2 4 5 2 2" xfId="34239" xr:uid="{6ADA695F-8ACC-4315-B368-E80E6125DE5E}"/>
    <cellStyle name="Linked Cell 33 2 4 5 3" xfId="34240" xr:uid="{2C5545A6-9F0E-4E5D-AE5F-91D867D55054}"/>
    <cellStyle name="Linked Cell 33 2 4 6" xfId="34241" xr:uid="{3E121E45-D35C-4061-B462-FEE7DEFE1560}"/>
    <cellStyle name="Linked Cell 33 2 4 6 2" xfId="34242" xr:uid="{2D10E811-B9CC-4A01-917C-A662F283D639}"/>
    <cellStyle name="Linked Cell 33 2 4 6 2 2" xfId="34243" xr:uid="{47B7D44F-60A8-4291-8FB4-857FD7BE2A80}"/>
    <cellStyle name="Linked Cell 33 2 4 6 3" xfId="34244" xr:uid="{0FAA348E-AAB7-4CFF-A911-C0C7B0101BAD}"/>
    <cellStyle name="Linked Cell 33 2 4 7" xfId="34245" xr:uid="{E45CF840-8293-4788-BA3F-A698E30FD8D7}"/>
    <cellStyle name="Linked Cell 33 2 4 7 2" xfId="34246" xr:uid="{2ECDD805-22B7-4092-A433-738247828DB0}"/>
    <cellStyle name="Linked Cell 33 2 4 7 2 2" xfId="34247" xr:uid="{1EA4BCF4-C93F-4B0E-8B48-DF305449227A}"/>
    <cellStyle name="Linked Cell 33 2 4 7 3" xfId="34248" xr:uid="{FC1646E7-EBF8-413F-8B84-BEAF21C55A03}"/>
    <cellStyle name="Linked Cell 33 2 4 8" xfId="34249" xr:uid="{8F28E3DE-0F99-4086-9684-BA770FF0FE16}"/>
    <cellStyle name="Linked Cell 33 2 4 8 2" xfId="34250" xr:uid="{7218373E-067B-45C4-8166-11C371BCFE94}"/>
    <cellStyle name="Linked Cell 33 2 4 8 2 2" xfId="34251" xr:uid="{DDFB8530-2F35-4011-9A8A-35E7291FFE60}"/>
    <cellStyle name="Linked Cell 33 2 4 8 3" xfId="34252" xr:uid="{05A75A1F-6A92-467C-8EAC-42EF39177BF5}"/>
    <cellStyle name="Linked Cell 33 2 4 9" xfId="34253" xr:uid="{E5771993-B243-413A-939A-6336AE153162}"/>
    <cellStyle name="Linked Cell 33 2 4 9 2" xfId="34254" xr:uid="{FF2EEB2D-0721-4FE0-9569-CF110ABAC361}"/>
    <cellStyle name="Linked Cell 33 2 4 9 2 2" xfId="34255" xr:uid="{847A1566-B539-43BC-A4A8-651ECC726CD3}"/>
    <cellStyle name="Linked Cell 33 2 4 9 3" xfId="34256" xr:uid="{46107D73-7D1F-4142-98F7-71B0CA55EE72}"/>
    <cellStyle name="Linked Cell 33 2 5" xfId="34257" xr:uid="{5D82E9E7-7DB9-4F34-B60B-AEC594FB5FD7}"/>
    <cellStyle name="Linked Cell 33 2 5 10" xfId="34258" xr:uid="{9D2E4F79-F343-4A63-AF57-8DF5A5E8C42C}"/>
    <cellStyle name="Linked Cell 33 2 5 10 2" xfId="34259" xr:uid="{84ACA583-369E-451E-83D1-85D2B48DF4D5}"/>
    <cellStyle name="Linked Cell 33 2 5 11" xfId="34260" xr:uid="{33D67574-7581-4500-A5DE-5640B14ABF20}"/>
    <cellStyle name="Linked Cell 33 2 5 2" xfId="34261" xr:uid="{7ADC0DC7-B505-474D-AFA6-766E12C4232D}"/>
    <cellStyle name="Linked Cell 33 2 5 2 2" xfId="34262" xr:uid="{A0CCC8AC-0E09-430C-93EF-3FDF78882C85}"/>
    <cellStyle name="Linked Cell 33 2 5 2 2 2" xfId="34263" xr:uid="{BA3FAF62-17CA-47DF-BFEB-404D64C7C890}"/>
    <cellStyle name="Linked Cell 33 2 5 2 3" xfId="34264" xr:uid="{1B98B47D-CAB4-4DD6-A829-FAF5A5CDCB7D}"/>
    <cellStyle name="Linked Cell 33 2 5 3" xfId="34265" xr:uid="{5DBFA2A3-54EB-4C4E-972E-5854FE130428}"/>
    <cellStyle name="Linked Cell 33 2 5 3 2" xfId="34266" xr:uid="{6B015D80-07C3-4E44-8965-62E48234C607}"/>
    <cellStyle name="Linked Cell 33 2 5 3 2 2" xfId="34267" xr:uid="{CC5DE951-9777-4681-B2BE-CFB70967AC08}"/>
    <cellStyle name="Linked Cell 33 2 5 3 3" xfId="34268" xr:uid="{713D884F-5981-4B59-81A7-4B3113EF5859}"/>
    <cellStyle name="Linked Cell 33 2 5 4" xfId="34269" xr:uid="{67B3DA36-3E40-4720-A2DA-7480D09D9741}"/>
    <cellStyle name="Linked Cell 33 2 5 4 2" xfId="34270" xr:uid="{016A5127-33F4-4FB0-BFAB-E6419FE52607}"/>
    <cellStyle name="Linked Cell 33 2 5 4 2 2" xfId="34271" xr:uid="{7D0903DB-E7A5-4095-A6A9-6FEF37775052}"/>
    <cellStyle name="Linked Cell 33 2 5 4 3" xfId="34272" xr:uid="{E684B77C-81BE-48C9-8FD9-EB19055805E9}"/>
    <cellStyle name="Linked Cell 33 2 5 5" xfId="34273" xr:uid="{A59FC016-3E6A-43F1-BB61-75285A4BA9AF}"/>
    <cellStyle name="Linked Cell 33 2 5 5 2" xfId="34274" xr:uid="{4534D5FF-C8D8-4ED6-8073-0ADD49F49183}"/>
    <cellStyle name="Linked Cell 33 2 5 5 2 2" xfId="34275" xr:uid="{78D57AE1-779D-480F-9A45-E5FDF5CC1B2B}"/>
    <cellStyle name="Linked Cell 33 2 5 5 3" xfId="34276" xr:uid="{350A8C4F-D6B0-48D3-AB9C-A3A976A817AA}"/>
    <cellStyle name="Linked Cell 33 2 5 6" xfId="34277" xr:uid="{080FEA65-02E9-4D26-B3FD-DC3878039C2E}"/>
    <cellStyle name="Linked Cell 33 2 5 6 2" xfId="34278" xr:uid="{44F6F628-493F-435D-BE0D-96E961655EE1}"/>
    <cellStyle name="Linked Cell 33 2 5 6 2 2" xfId="34279" xr:uid="{BA60F9EA-05AD-4194-AE4B-CCAEE3834E16}"/>
    <cellStyle name="Linked Cell 33 2 5 6 3" xfId="34280" xr:uid="{5990D475-6ACB-4504-B6E4-7D2488435CC6}"/>
    <cellStyle name="Linked Cell 33 2 5 7" xfId="34281" xr:uid="{9FB6703C-3049-4D04-AEAE-F8A3E5422359}"/>
    <cellStyle name="Linked Cell 33 2 5 7 2" xfId="34282" xr:uid="{B60F66D9-BE9E-49A7-885F-85022D135C50}"/>
    <cellStyle name="Linked Cell 33 2 5 7 2 2" xfId="34283" xr:uid="{3FF02E2A-81FC-4D12-8F19-81D489200453}"/>
    <cellStyle name="Linked Cell 33 2 5 7 3" xfId="34284" xr:uid="{700ECE11-7E84-4732-B9D5-43B2DB268516}"/>
    <cellStyle name="Linked Cell 33 2 5 8" xfId="34285" xr:uid="{7BEBDC0B-CA5D-4868-AD3D-EB066CF971AC}"/>
    <cellStyle name="Linked Cell 33 2 5 8 2" xfId="34286" xr:uid="{EB1D33AE-CE1D-4903-9BBC-3F0D37C3385D}"/>
    <cellStyle name="Linked Cell 33 2 5 8 2 2" xfId="34287" xr:uid="{CF852765-D08F-4BFF-B6F1-C72F7BE9BCBC}"/>
    <cellStyle name="Linked Cell 33 2 5 8 3" xfId="34288" xr:uid="{68DE5004-2519-44EF-9639-DEC0490F1953}"/>
    <cellStyle name="Linked Cell 33 2 5 9" xfId="34289" xr:uid="{A8ABAA67-91C2-4929-81C9-4FC92FE09F40}"/>
    <cellStyle name="Linked Cell 33 2 5 9 2" xfId="34290" xr:uid="{0CB49B5F-39C1-47ED-9A55-A54004A274F2}"/>
    <cellStyle name="Linked Cell 33 2 5 9 2 2" xfId="34291" xr:uid="{0D3F5FD9-8B27-45CA-8A28-3846C70B546D}"/>
    <cellStyle name="Linked Cell 33 2 5 9 3" xfId="34292" xr:uid="{F75C030C-A588-44DF-894D-1226B8E28966}"/>
    <cellStyle name="Linked Cell 33 2 6" xfId="34293" xr:uid="{553BB3FE-49FD-4B5C-8C03-79B72A923231}"/>
    <cellStyle name="Linked Cell 33 2 6 2" xfId="34294" xr:uid="{1A196292-C2FF-4199-AC7D-71F06E841247}"/>
    <cellStyle name="Linked Cell 33 2 6 2 2" xfId="34295" xr:uid="{19974E68-8C69-4890-A7D1-C8BFEA1FA653}"/>
    <cellStyle name="Linked Cell 33 2 6 3" xfId="34296" xr:uid="{6DAE435D-F5A2-45E6-8151-E9919597D0F1}"/>
    <cellStyle name="Linked Cell 33 2 7" xfId="34297" xr:uid="{CFE151F9-5FEC-44C8-83D2-C3D26028FDD8}"/>
    <cellStyle name="Linked Cell 33 2 7 2" xfId="34298" xr:uid="{773A1664-51E8-483B-B79C-9E3CAA4DEFDB}"/>
    <cellStyle name="Linked Cell 33 2 7 2 2" xfId="34299" xr:uid="{92FB7D5E-2A8C-439C-B759-21CCDD01FC99}"/>
    <cellStyle name="Linked Cell 33 2 7 3" xfId="34300" xr:uid="{B74C090A-3303-46FD-8C75-7ADDBFF20C20}"/>
    <cellStyle name="Linked Cell 33 2 8" xfId="34301" xr:uid="{34AD2F9A-D1F1-4EFD-AACE-60A5AA8BD591}"/>
    <cellStyle name="Linked Cell 33 2 8 2" xfId="34302" xr:uid="{65710198-B5D7-494C-A960-81D4573BB829}"/>
    <cellStyle name="Linked Cell 33 2 8 2 2" xfId="34303" xr:uid="{87D45F52-0EA5-4D51-AE2C-7F6A1CC328F4}"/>
    <cellStyle name="Linked Cell 33 2 8 3" xfId="34304" xr:uid="{4C385A58-1B30-4381-9263-5EFA1580E84F}"/>
    <cellStyle name="Linked Cell 33 2 9" xfId="34305" xr:uid="{4CD89EC5-DC0F-4238-8A43-5F3E78FF084E}"/>
    <cellStyle name="Linked Cell 33 2 9 2" xfId="34306" xr:uid="{D81017E0-8218-447A-B40B-B9084B597634}"/>
    <cellStyle name="Linked Cell 33 2 9 2 2" xfId="34307" xr:uid="{C7C29BF5-F6D1-46BC-A04C-DF711F464CBC}"/>
    <cellStyle name="Linked Cell 33 2 9 3" xfId="34308" xr:uid="{4FB2551B-8946-40FA-B225-BC4F00691CC8}"/>
    <cellStyle name="Linked Cell 33 3" xfId="34309" xr:uid="{410A3A39-99AA-42C1-819C-5AEC8B4D682D}"/>
    <cellStyle name="Linked Cell 33 3 10" xfId="34310" xr:uid="{1A057ADD-00C3-4BD7-9E91-AB383BE0BE9E}"/>
    <cellStyle name="Linked Cell 33 3 10 2" xfId="34311" xr:uid="{FC27BA0D-5712-4A32-8395-7AC1271CE320}"/>
    <cellStyle name="Linked Cell 33 3 10 2 2" xfId="34312" xr:uid="{B4132EA5-ABDA-45BE-B28E-0CADA949894D}"/>
    <cellStyle name="Linked Cell 33 3 10 3" xfId="34313" xr:uid="{CC563012-0FC2-4B4B-ADDA-AEB994923409}"/>
    <cellStyle name="Linked Cell 33 3 11" xfId="34314" xr:uid="{4E2C7AA1-A36E-4F64-AA89-E249C4601E17}"/>
    <cellStyle name="Linked Cell 33 3 11 2" xfId="34315" xr:uid="{7F29F497-E554-46BF-AEAC-71D5300537D7}"/>
    <cellStyle name="Linked Cell 33 3 11 2 2" xfId="34316" xr:uid="{8F141A87-1568-469A-995D-8B3A76545203}"/>
    <cellStyle name="Linked Cell 33 3 11 3" xfId="34317" xr:uid="{2DFF96CE-9F15-4A6B-972D-A5CFE6F06924}"/>
    <cellStyle name="Linked Cell 33 3 12" xfId="34318" xr:uid="{97A01DB4-466F-4633-900C-A47F3F588EE9}"/>
    <cellStyle name="Linked Cell 33 3 12 2" xfId="34319" xr:uid="{1BE30011-A54E-4041-ACED-000462EB168A}"/>
    <cellStyle name="Linked Cell 33 3 12 2 2" xfId="34320" xr:uid="{83B43801-4A0A-4FEE-969A-0289BAFED046}"/>
    <cellStyle name="Linked Cell 33 3 12 3" xfId="34321" xr:uid="{929588AC-02EF-4920-89ED-A709DA4C1A5F}"/>
    <cellStyle name="Linked Cell 33 3 13" xfId="34322" xr:uid="{96784F4B-7ADC-446A-9E43-FC0155C51ADE}"/>
    <cellStyle name="Linked Cell 33 3 13 2" xfId="34323" xr:uid="{6C717EDA-2687-493E-BE36-783D219C6640}"/>
    <cellStyle name="Linked Cell 33 3 14" xfId="34324" xr:uid="{5F53759D-F05F-4199-A4EC-00AEB24AAD2F}"/>
    <cellStyle name="Linked Cell 33 3 2" xfId="34325" xr:uid="{4A7F45D9-40CD-42D6-845F-26A49B181093}"/>
    <cellStyle name="Linked Cell 33 3 2 10" xfId="34326" xr:uid="{0798245C-0072-4A4A-BEFF-324233658C46}"/>
    <cellStyle name="Linked Cell 33 3 2 10 2" xfId="34327" xr:uid="{2FD2474F-54DC-4EB3-BD06-7744C5ED6EE0}"/>
    <cellStyle name="Linked Cell 33 3 2 10 2 2" xfId="34328" xr:uid="{B602C766-AF0F-4F8F-A836-BC253FD2CCE9}"/>
    <cellStyle name="Linked Cell 33 3 2 10 3" xfId="34329" xr:uid="{DA01F823-9E08-4371-9386-400BB35EE1EB}"/>
    <cellStyle name="Linked Cell 33 3 2 11" xfId="34330" xr:uid="{BE5B76AF-3F03-4A0F-97C2-02661DBC1D75}"/>
    <cellStyle name="Linked Cell 33 3 2 11 2" xfId="34331" xr:uid="{39FEE0D6-7879-48A5-9B9B-DBB9FFEB57BA}"/>
    <cellStyle name="Linked Cell 33 3 2 11 2 2" xfId="34332" xr:uid="{A33F7B75-E9D6-4584-A372-C108297B6BDF}"/>
    <cellStyle name="Linked Cell 33 3 2 11 3" xfId="34333" xr:uid="{26686323-61C3-47F1-81F3-6BDC0419315B}"/>
    <cellStyle name="Linked Cell 33 3 2 12" xfId="34334" xr:uid="{06CAA4BA-F282-4007-87E6-4CD90B6E5E9B}"/>
    <cellStyle name="Linked Cell 33 3 2 12 2" xfId="34335" xr:uid="{986C10DA-9579-4D44-9B41-8962E2B97CC2}"/>
    <cellStyle name="Linked Cell 33 3 2 13" xfId="34336" xr:uid="{61D5F6CC-272D-440B-80CC-7BC2462DCA00}"/>
    <cellStyle name="Linked Cell 33 3 2 2" xfId="34337" xr:uid="{14FB9797-CB14-4478-A419-2B05CB152047}"/>
    <cellStyle name="Linked Cell 33 3 2 2 10" xfId="34338" xr:uid="{56669BBD-23B9-4DC6-B9E3-83C48DC07095}"/>
    <cellStyle name="Linked Cell 33 3 2 2 10 2" xfId="34339" xr:uid="{ADB9FD07-15E6-4E8A-B823-EE8CA3F6BAD6}"/>
    <cellStyle name="Linked Cell 33 3 2 2 10 2 2" xfId="34340" xr:uid="{C5C61395-CCD1-4C3B-AF7B-07EC00B58F5D}"/>
    <cellStyle name="Linked Cell 33 3 2 2 10 3" xfId="34341" xr:uid="{C7BD8906-3024-4CC3-B7D4-A6F8477FC66A}"/>
    <cellStyle name="Linked Cell 33 3 2 2 11" xfId="34342" xr:uid="{6FE55602-51FC-489B-9D9A-87A241781E88}"/>
    <cellStyle name="Linked Cell 33 3 2 2 11 2" xfId="34343" xr:uid="{91A3220B-1CF8-4313-9AE2-D646790C18AA}"/>
    <cellStyle name="Linked Cell 33 3 2 2 12" xfId="34344" xr:uid="{C22BFE15-9E27-4EFB-A7D8-2B8C7E57B9E1}"/>
    <cellStyle name="Linked Cell 33 3 2 2 2" xfId="34345" xr:uid="{03B789C8-8384-4968-B41A-CF836A7B6F7E}"/>
    <cellStyle name="Linked Cell 33 3 2 2 2 2" xfId="34346" xr:uid="{DF5B699C-67FE-4130-AD47-04965D5CFA35}"/>
    <cellStyle name="Linked Cell 33 3 2 2 2 2 2" xfId="34347" xr:uid="{56B8A3A6-2A27-4B8B-B762-5A939808867A}"/>
    <cellStyle name="Linked Cell 33 3 2 2 2 3" xfId="34348" xr:uid="{9AFC7176-4CF3-463A-9F3C-294A3D0921F9}"/>
    <cellStyle name="Linked Cell 33 3 2 2 3" xfId="34349" xr:uid="{D379E897-D014-4AF2-993E-3371FD149116}"/>
    <cellStyle name="Linked Cell 33 3 2 2 3 2" xfId="34350" xr:uid="{14D33414-C54B-4549-8141-DBBF228E474A}"/>
    <cellStyle name="Linked Cell 33 3 2 2 3 2 2" xfId="34351" xr:uid="{AF36360D-8A15-4FF1-ACB7-06C215F1284F}"/>
    <cellStyle name="Linked Cell 33 3 2 2 3 3" xfId="34352" xr:uid="{B71EA0D6-7CE7-43D2-89DC-52B2360FD20D}"/>
    <cellStyle name="Linked Cell 33 3 2 2 4" xfId="34353" xr:uid="{CE43AFCF-D6FF-40F0-8195-3DF3F832BC5C}"/>
    <cellStyle name="Linked Cell 33 3 2 2 4 2" xfId="34354" xr:uid="{A5675332-D85D-470B-82C8-FB2129632B0A}"/>
    <cellStyle name="Linked Cell 33 3 2 2 4 2 2" xfId="34355" xr:uid="{BA3F770E-A075-4F2D-B482-858E3F9FA622}"/>
    <cellStyle name="Linked Cell 33 3 2 2 4 3" xfId="34356" xr:uid="{77DDB2C9-7682-4387-947D-608D7B7721CD}"/>
    <cellStyle name="Linked Cell 33 3 2 2 5" xfId="34357" xr:uid="{ED4EAA71-1D59-479F-9FE4-A72BF8A43FEE}"/>
    <cellStyle name="Linked Cell 33 3 2 2 5 2" xfId="34358" xr:uid="{05AA7AD0-133A-48FD-91D0-3287A17FB1BB}"/>
    <cellStyle name="Linked Cell 33 3 2 2 5 2 2" xfId="34359" xr:uid="{98FD3263-D051-4904-8BC0-23986AC05EEE}"/>
    <cellStyle name="Linked Cell 33 3 2 2 5 3" xfId="34360" xr:uid="{B750FD91-8813-420B-8B73-9D6BF10B3228}"/>
    <cellStyle name="Linked Cell 33 3 2 2 6" xfId="34361" xr:uid="{6989A339-5BB3-4804-80A5-33328F0F9E03}"/>
    <cellStyle name="Linked Cell 33 3 2 2 6 2" xfId="34362" xr:uid="{0EB1BBCD-37DF-46D3-A9A4-A29EADB6B050}"/>
    <cellStyle name="Linked Cell 33 3 2 2 6 2 2" xfId="34363" xr:uid="{75BCCDE8-51FC-415D-9068-2A2B292A9589}"/>
    <cellStyle name="Linked Cell 33 3 2 2 6 3" xfId="34364" xr:uid="{FA67CFB9-9AD8-41B2-82A6-B107DE54FFA9}"/>
    <cellStyle name="Linked Cell 33 3 2 2 7" xfId="34365" xr:uid="{BA3B321A-94C9-4564-B3F6-F5EDF44FFC75}"/>
    <cellStyle name="Linked Cell 33 3 2 2 7 2" xfId="34366" xr:uid="{0EE10225-2B76-48BA-A0BB-94F25B327426}"/>
    <cellStyle name="Linked Cell 33 3 2 2 7 2 2" xfId="34367" xr:uid="{E3E4EB32-31F1-4845-85F2-96B272B17282}"/>
    <cellStyle name="Linked Cell 33 3 2 2 7 3" xfId="34368" xr:uid="{63B72AC5-CC96-4785-8FBF-2C9F2A48B32F}"/>
    <cellStyle name="Linked Cell 33 3 2 2 8" xfId="34369" xr:uid="{CB27EA6D-BAA3-467D-A109-0F115ACC84BE}"/>
    <cellStyle name="Linked Cell 33 3 2 2 8 2" xfId="34370" xr:uid="{830CFA49-172F-4F8F-99F4-9781E79B0FF1}"/>
    <cellStyle name="Linked Cell 33 3 2 2 8 2 2" xfId="34371" xr:uid="{3D664D5A-61EF-443D-85FE-0CC29707748F}"/>
    <cellStyle name="Linked Cell 33 3 2 2 8 3" xfId="34372" xr:uid="{79B9241F-B5A5-4F24-A3F0-A2B1FCAA4050}"/>
    <cellStyle name="Linked Cell 33 3 2 2 9" xfId="34373" xr:uid="{B28FC47F-07EA-4876-B7EB-FE491CBBE339}"/>
    <cellStyle name="Linked Cell 33 3 2 2 9 2" xfId="34374" xr:uid="{321FFE2B-911A-4777-B912-B6EED5C7370E}"/>
    <cellStyle name="Linked Cell 33 3 2 2 9 2 2" xfId="34375" xr:uid="{3217BE2D-23F1-4A40-BC73-CDF3B6A3FFDE}"/>
    <cellStyle name="Linked Cell 33 3 2 2 9 3" xfId="34376" xr:uid="{8DC816B0-D9CD-40DE-ACCE-CB60467D6013}"/>
    <cellStyle name="Linked Cell 33 3 2 3" xfId="34377" xr:uid="{F7925B39-C038-4D61-8C99-1F167B01DDF6}"/>
    <cellStyle name="Linked Cell 33 3 2 3 10" xfId="34378" xr:uid="{ED70E97C-C6B5-4667-91A2-1895BE6C69C2}"/>
    <cellStyle name="Linked Cell 33 3 2 3 10 2" xfId="34379" xr:uid="{F1B7BB96-C014-433A-899F-67FAE0C65DF5}"/>
    <cellStyle name="Linked Cell 33 3 2 3 11" xfId="34380" xr:uid="{F8D7B83F-C222-4E02-A051-452DDCD31BC0}"/>
    <cellStyle name="Linked Cell 33 3 2 3 2" xfId="34381" xr:uid="{C5168BB5-EB36-42C7-A8FC-21C7F28A4AFA}"/>
    <cellStyle name="Linked Cell 33 3 2 3 2 2" xfId="34382" xr:uid="{6DD9BE8B-A007-44A4-9703-62ED87FB420C}"/>
    <cellStyle name="Linked Cell 33 3 2 3 2 2 2" xfId="34383" xr:uid="{FDAB814E-81C3-4BE3-BE86-F55D7B1E3C23}"/>
    <cellStyle name="Linked Cell 33 3 2 3 2 3" xfId="34384" xr:uid="{81D38D40-5C32-49AB-A30B-8D9BB4E7E1CF}"/>
    <cellStyle name="Linked Cell 33 3 2 3 3" xfId="34385" xr:uid="{42EC9209-2BDC-4504-A0D1-B0A68C231F82}"/>
    <cellStyle name="Linked Cell 33 3 2 3 3 2" xfId="34386" xr:uid="{7DED7A29-3072-4B44-B65A-910F26DD138E}"/>
    <cellStyle name="Linked Cell 33 3 2 3 3 2 2" xfId="34387" xr:uid="{1F8DDADC-A966-4EC5-8B6C-0DF2380FB657}"/>
    <cellStyle name="Linked Cell 33 3 2 3 3 3" xfId="34388" xr:uid="{B12D39DB-B786-497E-8B50-B2D26A2A76C6}"/>
    <cellStyle name="Linked Cell 33 3 2 3 4" xfId="34389" xr:uid="{8C017E38-06CA-4D20-8DD2-F387357FB2C8}"/>
    <cellStyle name="Linked Cell 33 3 2 3 4 2" xfId="34390" xr:uid="{057AAD58-0892-46C7-950E-6AEFA4F9A7FE}"/>
    <cellStyle name="Linked Cell 33 3 2 3 4 2 2" xfId="34391" xr:uid="{C048E931-9012-404C-9FCC-364C28A829DA}"/>
    <cellStyle name="Linked Cell 33 3 2 3 4 3" xfId="34392" xr:uid="{59DC0523-CEF7-447F-A0A3-520C018B16E4}"/>
    <cellStyle name="Linked Cell 33 3 2 3 5" xfId="34393" xr:uid="{2ADE3FE8-9899-4DB0-8914-DC8C0091D2AD}"/>
    <cellStyle name="Linked Cell 33 3 2 3 5 2" xfId="34394" xr:uid="{4AB7CC52-986A-4559-B227-46601567A960}"/>
    <cellStyle name="Linked Cell 33 3 2 3 5 2 2" xfId="34395" xr:uid="{014E1E2B-2DC1-4097-A121-DB3DEDC45D29}"/>
    <cellStyle name="Linked Cell 33 3 2 3 5 3" xfId="34396" xr:uid="{1505D58C-B3E3-4E36-83DC-E82E6C0FB110}"/>
    <cellStyle name="Linked Cell 33 3 2 3 6" xfId="34397" xr:uid="{35423BCB-9641-4B58-B427-5D3CD64544B4}"/>
    <cellStyle name="Linked Cell 33 3 2 3 6 2" xfId="34398" xr:uid="{3F6B0E43-5C69-449F-A532-8AAFFF33421B}"/>
    <cellStyle name="Linked Cell 33 3 2 3 6 2 2" xfId="34399" xr:uid="{34D30686-77B1-4515-AC9C-A244E97AB311}"/>
    <cellStyle name="Linked Cell 33 3 2 3 6 3" xfId="34400" xr:uid="{DFDFC3F3-8E55-4893-87BB-0209170100D2}"/>
    <cellStyle name="Linked Cell 33 3 2 3 7" xfId="34401" xr:uid="{E29C6051-4900-46FB-A27B-366F8641B6DA}"/>
    <cellStyle name="Linked Cell 33 3 2 3 7 2" xfId="34402" xr:uid="{0BE6FB5A-44D6-4B19-9C92-35234BF751DE}"/>
    <cellStyle name="Linked Cell 33 3 2 3 7 2 2" xfId="34403" xr:uid="{217417D2-4546-4976-9DF2-0EC75FF3AE41}"/>
    <cellStyle name="Linked Cell 33 3 2 3 7 3" xfId="34404" xr:uid="{11865755-846D-4A02-8F35-2B4E4B79ABEC}"/>
    <cellStyle name="Linked Cell 33 3 2 3 8" xfId="34405" xr:uid="{70885252-C5D5-45E0-8E1B-276E7C49273E}"/>
    <cellStyle name="Linked Cell 33 3 2 3 8 2" xfId="34406" xr:uid="{A844AF83-D1B6-459E-ACD5-136045C72765}"/>
    <cellStyle name="Linked Cell 33 3 2 3 8 2 2" xfId="34407" xr:uid="{F1A95DC4-8DA4-45E4-B71C-C1C409073F4B}"/>
    <cellStyle name="Linked Cell 33 3 2 3 8 3" xfId="34408" xr:uid="{96B74E83-03BA-4099-AFE3-D505E149AE19}"/>
    <cellStyle name="Linked Cell 33 3 2 3 9" xfId="34409" xr:uid="{B33D1FED-6739-438F-97BB-41AFC038995C}"/>
    <cellStyle name="Linked Cell 33 3 2 3 9 2" xfId="34410" xr:uid="{23F993DC-29DE-4318-BC10-0D78AFFF1356}"/>
    <cellStyle name="Linked Cell 33 3 2 3 9 2 2" xfId="34411" xr:uid="{8BD6DB10-21F7-4729-8BDD-9DF920BFE3FE}"/>
    <cellStyle name="Linked Cell 33 3 2 3 9 3" xfId="34412" xr:uid="{07461D5A-1EB8-42CB-B5A0-B0748078D4CA}"/>
    <cellStyle name="Linked Cell 33 3 2 4" xfId="34413" xr:uid="{8EFEBEC5-4811-4D8E-B4AC-4558E954AFF6}"/>
    <cellStyle name="Linked Cell 33 3 2 4 2" xfId="34414" xr:uid="{1CB6AF4F-5441-4E60-BF4C-D7E56AA1F783}"/>
    <cellStyle name="Linked Cell 33 3 2 4 2 2" xfId="34415" xr:uid="{4A195268-1025-4B02-BF4F-A72D3ABEBDEF}"/>
    <cellStyle name="Linked Cell 33 3 2 4 3" xfId="34416" xr:uid="{0F4873C8-24FF-40A2-BFE5-62D0749BE5F3}"/>
    <cellStyle name="Linked Cell 33 3 2 5" xfId="34417" xr:uid="{BC70BE5E-D602-403D-BD64-191C233C0806}"/>
    <cellStyle name="Linked Cell 33 3 2 5 2" xfId="34418" xr:uid="{A3B0F1C9-6061-4FF5-B18C-4D23CBCA1570}"/>
    <cellStyle name="Linked Cell 33 3 2 5 2 2" xfId="34419" xr:uid="{03DB3C87-7E5D-4EAA-A356-8A12BF4575A9}"/>
    <cellStyle name="Linked Cell 33 3 2 5 3" xfId="34420" xr:uid="{84DFEEE7-6FEB-472F-8074-1AE0830B0069}"/>
    <cellStyle name="Linked Cell 33 3 2 6" xfId="34421" xr:uid="{8E8F8CD3-2A70-48C1-A648-B149F6FBD6C3}"/>
    <cellStyle name="Linked Cell 33 3 2 6 2" xfId="34422" xr:uid="{382EA0B3-B617-4F58-A77C-0F6563FA02F8}"/>
    <cellStyle name="Linked Cell 33 3 2 6 2 2" xfId="34423" xr:uid="{CFF2D4F0-56C6-435B-A752-D3A251794138}"/>
    <cellStyle name="Linked Cell 33 3 2 6 3" xfId="34424" xr:uid="{333FD096-699D-41B6-91CF-FDACCA4E3140}"/>
    <cellStyle name="Linked Cell 33 3 2 7" xfId="34425" xr:uid="{98966C1B-CC32-49F3-9C56-18CF67CC551C}"/>
    <cellStyle name="Linked Cell 33 3 2 7 2" xfId="34426" xr:uid="{29F0E8EF-124E-4B49-88E4-B833F674726B}"/>
    <cellStyle name="Linked Cell 33 3 2 7 2 2" xfId="34427" xr:uid="{117C6F3F-FE2D-4E0E-B83C-D6137CA14847}"/>
    <cellStyle name="Linked Cell 33 3 2 7 3" xfId="34428" xr:uid="{4C1461E2-7B30-4A3F-83CA-53C926714923}"/>
    <cellStyle name="Linked Cell 33 3 2 8" xfId="34429" xr:uid="{E7276E33-2054-446F-97E2-6EA35D4DFC79}"/>
    <cellStyle name="Linked Cell 33 3 2 8 2" xfId="34430" xr:uid="{AA621A29-F5F3-49C9-96BF-7CAF0774CA26}"/>
    <cellStyle name="Linked Cell 33 3 2 8 2 2" xfId="34431" xr:uid="{80F768E5-D1C3-4348-A37E-6BBF5A935A4F}"/>
    <cellStyle name="Linked Cell 33 3 2 8 3" xfId="34432" xr:uid="{76A8916A-BB13-40BF-BA6B-CCDCF49DAFC4}"/>
    <cellStyle name="Linked Cell 33 3 2 9" xfId="34433" xr:uid="{5604E72C-CDA6-44EB-BFD4-FAFFA59263DC}"/>
    <cellStyle name="Linked Cell 33 3 2 9 2" xfId="34434" xr:uid="{823D4375-D2C4-4E7B-939D-7455999C2901}"/>
    <cellStyle name="Linked Cell 33 3 2 9 2 2" xfId="34435" xr:uid="{1A0C4789-8830-4674-867E-D3E6C7758365}"/>
    <cellStyle name="Linked Cell 33 3 2 9 3" xfId="34436" xr:uid="{83EE9623-D325-456E-9590-A94518375519}"/>
    <cellStyle name="Linked Cell 33 3 3" xfId="34437" xr:uid="{C587D7EE-688A-496A-A70D-E0D75A90BF5D}"/>
    <cellStyle name="Linked Cell 33 3 3 10" xfId="34438" xr:uid="{EB2C2025-E272-497C-9677-8C95F2BF27AF}"/>
    <cellStyle name="Linked Cell 33 3 3 10 2" xfId="34439" xr:uid="{C3E38C7D-3D35-491C-8E1B-68B34E1B2452}"/>
    <cellStyle name="Linked Cell 33 3 3 10 2 2" xfId="34440" xr:uid="{782C6267-EFEA-4934-9145-B3635032C321}"/>
    <cellStyle name="Linked Cell 33 3 3 10 3" xfId="34441" xr:uid="{5FCCDDC0-6053-4077-9B63-98876B703F35}"/>
    <cellStyle name="Linked Cell 33 3 3 11" xfId="34442" xr:uid="{3C096D71-2AEC-4A8C-BE01-0EC0F707AF7A}"/>
    <cellStyle name="Linked Cell 33 3 3 11 2" xfId="34443" xr:uid="{8439524F-5CCA-4EC9-AE85-AA7A88D3AEAB}"/>
    <cellStyle name="Linked Cell 33 3 3 12" xfId="34444" xr:uid="{7C7785F9-965C-489B-B18C-7059EB36E2AE}"/>
    <cellStyle name="Linked Cell 33 3 3 2" xfId="34445" xr:uid="{8E5E2DD2-43D0-4FBC-90C0-6A5914C02011}"/>
    <cellStyle name="Linked Cell 33 3 3 2 10" xfId="34446" xr:uid="{2DF2CADB-CF02-4F13-B589-40A5A1721F0C}"/>
    <cellStyle name="Linked Cell 33 3 3 2 10 2" xfId="34447" xr:uid="{AF3DCB3B-6E56-4F1E-A09B-56915EEEEAD2}"/>
    <cellStyle name="Linked Cell 33 3 3 2 11" xfId="34448" xr:uid="{B7A010B9-CEA3-4458-8F37-923E26FB9183}"/>
    <cellStyle name="Linked Cell 33 3 3 2 2" xfId="34449" xr:uid="{E18C4120-109F-4F45-B919-ED8273ABA31D}"/>
    <cellStyle name="Linked Cell 33 3 3 2 2 2" xfId="34450" xr:uid="{1AD311F7-DA53-4B6D-8B2F-98EBDC2503D3}"/>
    <cellStyle name="Linked Cell 33 3 3 2 2 2 2" xfId="34451" xr:uid="{8A5B14B3-16AC-4456-8DD1-B3ECE7A8874A}"/>
    <cellStyle name="Linked Cell 33 3 3 2 2 3" xfId="34452" xr:uid="{32556C62-439F-41C5-9C5A-790C75E7499B}"/>
    <cellStyle name="Linked Cell 33 3 3 2 3" xfId="34453" xr:uid="{6FEA7A47-C57C-4C6A-B9CE-C18B8759D6EB}"/>
    <cellStyle name="Linked Cell 33 3 3 2 3 2" xfId="34454" xr:uid="{EC4CAAB6-04F6-42C2-8E23-CB8556FE896E}"/>
    <cellStyle name="Linked Cell 33 3 3 2 3 2 2" xfId="34455" xr:uid="{E9658A6B-81C6-46A0-AE55-E06C22EFBA13}"/>
    <cellStyle name="Linked Cell 33 3 3 2 3 3" xfId="34456" xr:uid="{594688EB-1934-4641-80DE-023CAA820648}"/>
    <cellStyle name="Linked Cell 33 3 3 2 4" xfId="34457" xr:uid="{34F05ED9-B44F-44A7-9560-2F248CEC9C53}"/>
    <cellStyle name="Linked Cell 33 3 3 2 4 2" xfId="34458" xr:uid="{782BCA1A-AB28-4916-9EF5-BACE4A4A701B}"/>
    <cellStyle name="Linked Cell 33 3 3 2 4 2 2" xfId="34459" xr:uid="{058A091D-FEF5-4BDB-84E2-9E3397915E44}"/>
    <cellStyle name="Linked Cell 33 3 3 2 4 3" xfId="34460" xr:uid="{4E8C2E8E-60FB-4024-9322-8C6405717AF6}"/>
    <cellStyle name="Linked Cell 33 3 3 2 5" xfId="34461" xr:uid="{3F509606-2960-4A00-9EF8-1F51AB4AE961}"/>
    <cellStyle name="Linked Cell 33 3 3 2 5 2" xfId="34462" xr:uid="{207625BA-59FA-44C4-B93D-787C3A21DA65}"/>
    <cellStyle name="Linked Cell 33 3 3 2 5 2 2" xfId="34463" xr:uid="{06C577B9-9EAC-4413-A1F1-9D02D7F9FB3E}"/>
    <cellStyle name="Linked Cell 33 3 3 2 5 3" xfId="34464" xr:uid="{F70DEC6B-EF22-4B1B-993D-C3FA9E6F1F2E}"/>
    <cellStyle name="Linked Cell 33 3 3 2 6" xfId="34465" xr:uid="{9BF07B76-24E8-4640-B958-0D6014BE8230}"/>
    <cellStyle name="Linked Cell 33 3 3 2 6 2" xfId="34466" xr:uid="{FAF9B75C-338D-49E0-A6C5-87336F1AD756}"/>
    <cellStyle name="Linked Cell 33 3 3 2 6 2 2" xfId="34467" xr:uid="{F93C0533-EDFE-461F-808A-B9472860CF0A}"/>
    <cellStyle name="Linked Cell 33 3 3 2 6 3" xfId="34468" xr:uid="{C8B11FFD-CBB1-4AFB-84D7-EE9166B12790}"/>
    <cellStyle name="Linked Cell 33 3 3 2 7" xfId="34469" xr:uid="{60937A7C-DDB9-4F36-85D5-23E3F68697FB}"/>
    <cellStyle name="Linked Cell 33 3 3 2 7 2" xfId="34470" xr:uid="{0A02075F-CCD5-4C54-B010-663BE92F0CF9}"/>
    <cellStyle name="Linked Cell 33 3 3 2 7 2 2" xfId="34471" xr:uid="{F1554EDB-958C-4538-B67C-0C0539BBC89C}"/>
    <cellStyle name="Linked Cell 33 3 3 2 7 3" xfId="34472" xr:uid="{E3DD2D6F-168B-4557-A1DA-E72116DB21F2}"/>
    <cellStyle name="Linked Cell 33 3 3 2 8" xfId="34473" xr:uid="{118AD8DC-3C5C-470A-8896-D8762995B14E}"/>
    <cellStyle name="Linked Cell 33 3 3 2 8 2" xfId="34474" xr:uid="{DBE951E4-9809-44AE-A69F-C2D3A0A5125E}"/>
    <cellStyle name="Linked Cell 33 3 3 2 8 2 2" xfId="34475" xr:uid="{DD548EFD-ADEF-4EF9-8B8C-D69B1C3A4799}"/>
    <cellStyle name="Linked Cell 33 3 3 2 8 3" xfId="34476" xr:uid="{77FB48E9-D0AC-4F51-B3DE-0FAB4003C3DB}"/>
    <cellStyle name="Linked Cell 33 3 3 2 9" xfId="34477" xr:uid="{2C76EA27-C3D1-4EFB-8881-E247916F3317}"/>
    <cellStyle name="Linked Cell 33 3 3 2 9 2" xfId="34478" xr:uid="{BF291E02-B79A-46F1-B0B4-B66FC0369E12}"/>
    <cellStyle name="Linked Cell 33 3 3 2 9 2 2" xfId="34479" xr:uid="{328A1792-7BE9-4746-A195-BABCA5061870}"/>
    <cellStyle name="Linked Cell 33 3 3 2 9 3" xfId="34480" xr:uid="{B0ADD83B-0D95-4E92-BF87-81DC8A348B76}"/>
    <cellStyle name="Linked Cell 33 3 3 3" xfId="34481" xr:uid="{D3D1C7FA-B041-4B38-9589-82EFB8EE926B}"/>
    <cellStyle name="Linked Cell 33 3 3 3 2" xfId="34482" xr:uid="{C4578948-5B9B-44F7-8FC2-1D3C79EB4CA5}"/>
    <cellStyle name="Linked Cell 33 3 3 3 2 2" xfId="34483" xr:uid="{3E0B4DB8-0E02-4661-822B-7C24DE439E2E}"/>
    <cellStyle name="Linked Cell 33 3 3 3 3" xfId="34484" xr:uid="{FA16100D-D62E-4AEC-B01F-C340D9139178}"/>
    <cellStyle name="Linked Cell 33 3 3 4" xfId="34485" xr:uid="{AD3F2B8E-296A-40E9-B823-3373C3A09670}"/>
    <cellStyle name="Linked Cell 33 3 3 4 2" xfId="34486" xr:uid="{E0659B2C-E283-4C01-842F-E2BCCB036CB7}"/>
    <cellStyle name="Linked Cell 33 3 3 4 2 2" xfId="34487" xr:uid="{33FCF3A7-F5DE-4E38-B416-0F043FAC86A9}"/>
    <cellStyle name="Linked Cell 33 3 3 4 3" xfId="34488" xr:uid="{A8EE8BF3-79AE-4FE1-A455-957D6720743E}"/>
    <cellStyle name="Linked Cell 33 3 3 5" xfId="34489" xr:uid="{DA02D3FC-4A81-4EFA-8DCA-D2BD26A7BA4B}"/>
    <cellStyle name="Linked Cell 33 3 3 5 2" xfId="34490" xr:uid="{61CF7F64-7A5C-47F4-9B1F-0DE878E5ACBC}"/>
    <cellStyle name="Linked Cell 33 3 3 5 2 2" xfId="34491" xr:uid="{85693735-B202-4907-A3CD-60BDF948B1D5}"/>
    <cellStyle name="Linked Cell 33 3 3 5 3" xfId="34492" xr:uid="{AEB9869E-368F-45FB-8E85-0F8501130C25}"/>
    <cellStyle name="Linked Cell 33 3 3 6" xfId="34493" xr:uid="{D4207C80-4665-4508-ACA4-5D2A02BCB14E}"/>
    <cellStyle name="Linked Cell 33 3 3 6 2" xfId="34494" xr:uid="{E710EB9D-838D-4E4F-B59F-220D1A67A8DB}"/>
    <cellStyle name="Linked Cell 33 3 3 6 2 2" xfId="34495" xr:uid="{F1E7504D-3455-452C-AAC9-AF8DB58CC46D}"/>
    <cellStyle name="Linked Cell 33 3 3 6 3" xfId="34496" xr:uid="{980E7AB2-1289-40DE-A585-DDB81260EAD1}"/>
    <cellStyle name="Linked Cell 33 3 3 7" xfId="34497" xr:uid="{E1B41F42-103B-4777-9C68-2C5DEBDE06DB}"/>
    <cellStyle name="Linked Cell 33 3 3 7 2" xfId="34498" xr:uid="{850EC9FE-BC36-4CDE-B76E-584F154BE8BB}"/>
    <cellStyle name="Linked Cell 33 3 3 7 2 2" xfId="34499" xr:uid="{2B5EA894-3FF7-4835-8938-41A6730955EB}"/>
    <cellStyle name="Linked Cell 33 3 3 7 3" xfId="34500" xr:uid="{4B5C644C-A7C2-4B58-9B92-5B324F739472}"/>
    <cellStyle name="Linked Cell 33 3 3 8" xfId="34501" xr:uid="{5AF30566-2E79-48EF-B195-01662EB72864}"/>
    <cellStyle name="Linked Cell 33 3 3 8 2" xfId="34502" xr:uid="{3833AA28-84F6-43FA-8EDE-86EB5F010DBD}"/>
    <cellStyle name="Linked Cell 33 3 3 8 2 2" xfId="34503" xr:uid="{C1AD364B-0B8F-487F-A1D9-08BB49F7DD1F}"/>
    <cellStyle name="Linked Cell 33 3 3 8 3" xfId="34504" xr:uid="{E8A1DB5A-664A-4BB0-8AEC-D7306BAC9409}"/>
    <cellStyle name="Linked Cell 33 3 3 9" xfId="34505" xr:uid="{F0A59C02-7BAA-4F3F-8E13-208D4AC1F0DF}"/>
    <cellStyle name="Linked Cell 33 3 3 9 2" xfId="34506" xr:uid="{68771E61-8F18-41F1-A942-4C3146C5CC1F}"/>
    <cellStyle name="Linked Cell 33 3 3 9 2 2" xfId="34507" xr:uid="{81476856-37C4-49E7-9A85-830786B43470}"/>
    <cellStyle name="Linked Cell 33 3 3 9 3" xfId="34508" xr:uid="{66D28B68-7D7D-4CF4-A828-40177757FF73}"/>
    <cellStyle name="Linked Cell 33 3 4" xfId="34509" xr:uid="{467A5D2D-2282-4D3D-B878-26FD8DD6E37A}"/>
    <cellStyle name="Linked Cell 33 3 4 10" xfId="34510" xr:uid="{8BD9D82C-C4E6-4267-B216-171AADC8654C}"/>
    <cellStyle name="Linked Cell 33 3 4 10 2" xfId="34511" xr:uid="{EDE0EA1D-7A70-433F-8D90-A126CC921C86}"/>
    <cellStyle name="Linked Cell 33 3 4 11" xfId="34512" xr:uid="{F41EA5BD-3089-4112-97FC-96A7A24AAA0B}"/>
    <cellStyle name="Linked Cell 33 3 4 2" xfId="34513" xr:uid="{EC168F37-90EA-42A8-81E8-0E40C28297C7}"/>
    <cellStyle name="Linked Cell 33 3 4 2 2" xfId="34514" xr:uid="{72A9575E-810A-4FBC-A287-8993B92E57B6}"/>
    <cellStyle name="Linked Cell 33 3 4 2 2 2" xfId="34515" xr:uid="{1CA0663A-6FC1-4D61-B71D-31A5907BBF28}"/>
    <cellStyle name="Linked Cell 33 3 4 2 3" xfId="34516" xr:uid="{A205C9BE-39E0-4883-82A0-485DA328FB88}"/>
    <cellStyle name="Linked Cell 33 3 4 3" xfId="34517" xr:uid="{1B9330F1-3D84-4F5A-B40F-C72CDEA5A014}"/>
    <cellStyle name="Linked Cell 33 3 4 3 2" xfId="34518" xr:uid="{0948B0B7-62B6-46F3-888C-1354BAE8D5AF}"/>
    <cellStyle name="Linked Cell 33 3 4 3 2 2" xfId="34519" xr:uid="{E0C09656-4AC8-477E-9B96-F6D3D8F7ADEC}"/>
    <cellStyle name="Linked Cell 33 3 4 3 3" xfId="34520" xr:uid="{2E3A546D-AEB4-4EF3-8354-1DA6C63F1540}"/>
    <cellStyle name="Linked Cell 33 3 4 4" xfId="34521" xr:uid="{5EC6D8A0-A082-446A-90B5-F862E7478174}"/>
    <cellStyle name="Linked Cell 33 3 4 4 2" xfId="34522" xr:uid="{2275F049-72C2-4D2C-BB47-A01C23F9D4E7}"/>
    <cellStyle name="Linked Cell 33 3 4 4 2 2" xfId="34523" xr:uid="{2F350F3B-B663-4188-9E74-0C524BC380FE}"/>
    <cellStyle name="Linked Cell 33 3 4 4 3" xfId="34524" xr:uid="{5CB3942E-BD2A-468C-B069-E8E8CAABA051}"/>
    <cellStyle name="Linked Cell 33 3 4 5" xfId="34525" xr:uid="{B576049C-6013-4C62-B168-8BC7A65C7223}"/>
    <cellStyle name="Linked Cell 33 3 4 5 2" xfId="34526" xr:uid="{2B3058EC-F33A-4737-AFEA-8E6F409F9C74}"/>
    <cellStyle name="Linked Cell 33 3 4 5 2 2" xfId="34527" xr:uid="{28F2B7EC-3D6B-4137-BF52-85EF03FC6E5E}"/>
    <cellStyle name="Linked Cell 33 3 4 5 3" xfId="34528" xr:uid="{6B350F44-B748-4EF0-9B76-FD60202312AA}"/>
    <cellStyle name="Linked Cell 33 3 4 6" xfId="34529" xr:uid="{B3083A5E-FED0-4E8D-BAA9-753FE1673FC8}"/>
    <cellStyle name="Linked Cell 33 3 4 6 2" xfId="34530" xr:uid="{434AE087-DD61-4B16-B161-850D89BEE32C}"/>
    <cellStyle name="Linked Cell 33 3 4 6 2 2" xfId="34531" xr:uid="{E1AA0521-3438-48A8-B5E7-A39F67A03553}"/>
    <cellStyle name="Linked Cell 33 3 4 6 3" xfId="34532" xr:uid="{0EE40A54-1EB7-461C-BE59-D033BF1A9FBF}"/>
    <cellStyle name="Linked Cell 33 3 4 7" xfId="34533" xr:uid="{37C654D5-4A05-4834-87F0-E23105406D3D}"/>
    <cellStyle name="Linked Cell 33 3 4 7 2" xfId="34534" xr:uid="{25A1FD02-603F-4126-8D51-302E62513F75}"/>
    <cellStyle name="Linked Cell 33 3 4 7 2 2" xfId="34535" xr:uid="{1EA1C078-4CEB-43EE-A7B2-B0F5EBE35040}"/>
    <cellStyle name="Linked Cell 33 3 4 7 3" xfId="34536" xr:uid="{DF96B41F-06D8-4A71-B923-EA293D8D143D}"/>
    <cellStyle name="Linked Cell 33 3 4 8" xfId="34537" xr:uid="{4B4CB33B-A746-4A4D-A681-FDDA40ED9382}"/>
    <cellStyle name="Linked Cell 33 3 4 8 2" xfId="34538" xr:uid="{82C47D0F-43AF-430A-BE54-A64EC997CC4E}"/>
    <cellStyle name="Linked Cell 33 3 4 8 2 2" xfId="34539" xr:uid="{F1CC6F4C-F74B-4493-A6D0-F910283EE68B}"/>
    <cellStyle name="Linked Cell 33 3 4 8 3" xfId="34540" xr:uid="{2192BEEF-D5DF-4B5E-B87A-A1AB1A740BC0}"/>
    <cellStyle name="Linked Cell 33 3 4 9" xfId="34541" xr:uid="{3E70A832-B63E-472E-97FE-D5DF64DB75EB}"/>
    <cellStyle name="Linked Cell 33 3 4 9 2" xfId="34542" xr:uid="{A70B2943-BA59-4B94-A951-34EB5478345D}"/>
    <cellStyle name="Linked Cell 33 3 4 9 2 2" xfId="34543" xr:uid="{78F37449-3301-4A82-A9BD-4CE4428D0A66}"/>
    <cellStyle name="Linked Cell 33 3 4 9 3" xfId="34544" xr:uid="{8ED8FD01-DD74-4DF5-AEF8-29E93727CCFB}"/>
    <cellStyle name="Linked Cell 33 3 5" xfId="34545" xr:uid="{C1B39B89-A914-4CD4-BB6F-ED314FCA1A24}"/>
    <cellStyle name="Linked Cell 33 3 5 2" xfId="34546" xr:uid="{88E05DF0-B48F-4583-85F6-F964B8F96860}"/>
    <cellStyle name="Linked Cell 33 3 5 2 2" xfId="34547" xr:uid="{31C79E34-CCA4-4612-97C3-D58E743CBFAF}"/>
    <cellStyle name="Linked Cell 33 3 5 3" xfId="34548" xr:uid="{CAE36249-A85D-4FA6-BE42-5A7145E3C219}"/>
    <cellStyle name="Linked Cell 33 3 6" xfId="34549" xr:uid="{2222DAF6-FF10-4A42-A237-19A1F03A5C4C}"/>
    <cellStyle name="Linked Cell 33 3 6 2" xfId="34550" xr:uid="{6197899A-0A02-4B87-8FC0-9B8ACE44904F}"/>
    <cellStyle name="Linked Cell 33 3 6 2 2" xfId="34551" xr:uid="{4083BC4B-2E1A-4CA5-BE02-61F95AD94ED1}"/>
    <cellStyle name="Linked Cell 33 3 6 3" xfId="34552" xr:uid="{DE4D4488-F525-4C2B-88A5-C1F4D53D8AE8}"/>
    <cellStyle name="Linked Cell 33 3 7" xfId="34553" xr:uid="{5FDB3627-0CC8-4123-A0D6-0E9C0E2267D7}"/>
    <cellStyle name="Linked Cell 33 3 7 2" xfId="34554" xr:uid="{9ECE4F06-AF05-48E6-B9A9-FA87E85770CE}"/>
    <cellStyle name="Linked Cell 33 3 7 2 2" xfId="34555" xr:uid="{D43D10EE-0A7C-4D4A-9AF0-3261DD09289D}"/>
    <cellStyle name="Linked Cell 33 3 7 3" xfId="34556" xr:uid="{EBCEFC94-54AA-4AE6-8531-C250534AC505}"/>
    <cellStyle name="Linked Cell 33 3 8" xfId="34557" xr:uid="{3C32C955-5072-4610-96E0-C0EA172A3FA2}"/>
    <cellStyle name="Linked Cell 33 3 8 2" xfId="34558" xr:uid="{C7F0CEE9-A07F-4E1D-B01F-601F33BC4A46}"/>
    <cellStyle name="Linked Cell 33 3 8 2 2" xfId="34559" xr:uid="{F9987AF0-E645-41B4-9ACF-A43B1431AC97}"/>
    <cellStyle name="Linked Cell 33 3 8 3" xfId="34560" xr:uid="{7E7A2C83-1C3A-4408-A090-0D15F5231A2F}"/>
    <cellStyle name="Linked Cell 33 3 9" xfId="34561" xr:uid="{3BFCB852-244B-4F08-B8A1-4866B541C94C}"/>
    <cellStyle name="Linked Cell 33 3 9 2" xfId="34562" xr:uid="{53D60DA2-EB32-4DCA-A64C-E230FFE1A6B0}"/>
    <cellStyle name="Linked Cell 33 3 9 2 2" xfId="34563" xr:uid="{C3705782-AC49-4634-A604-4E1FE04ED65C}"/>
    <cellStyle name="Linked Cell 33 3 9 3" xfId="34564" xr:uid="{C623B00D-72E5-474B-A367-E40BF7559C22}"/>
    <cellStyle name="Linked Cell 33 4" xfId="34565" xr:uid="{671EFDEC-27FF-4A7B-B424-5975B3E78A11}"/>
    <cellStyle name="Linked Cell 33 4 10" xfId="34566" xr:uid="{1228A0D4-FFDF-447D-8DA4-A8835C3915F1}"/>
    <cellStyle name="Linked Cell 33 4 10 2" xfId="34567" xr:uid="{B01DFD49-341F-406F-A631-2579E5127C8E}"/>
    <cellStyle name="Linked Cell 33 4 10 2 2" xfId="34568" xr:uid="{882CA429-3F45-4AC3-8057-D7A6C58365CD}"/>
    <cellStyle name="Linked Cell 33 4 10 3" xfId="34569" xr:uid="{05777919-F545-4BAB-A5DC-A0AD0D25A0FA}"/>
    <cellStyle name="Linked Cell 33 4 11" xfId="34570" xr:uid="{37C18684-977F-4483-AA68-AE1A17CD050B}"/>
    <cellStyle name="Linked Cell 33 4 11 2" xfId="34571" xr:uid="{568C1A0F-EE56-48C4-A783-2D8A3FC86787}"/>
    <cellStyle name="Linked Cell 33 4 11 2 2" xfId="34572" xr:uid="{631590F6-9AD3-4F7C-A194-F41B338CEC60}"/>
    <cellStyle name="Linked Cell 33 4 11 3" xfId="34573" xr:uid="{644334B3-A86D-4C27-A8C6-E33527250DD4}"/>
    <cellStyle name="Linked Cell 33 4 12" xfId="34574" xr:uid="{3C08E8F8-34D9-454B-A66F-9BCAD1A2B085}"/>
    <cellStyle name="Linked Cell 33 4 12 2" xfId="34575" xr:uid="{DDED2ECF-0A73-45D1-9AD2-DF85A94A5089}"/>
    <cellStyle name="Linked Cell 33 4 13" xfId="34576" xr:uid="{B53FFA81-F177-430D-ABE9-2B594C487003}"/>
    <cellStyle name="Linked Cell 33 4 2" xfId="34577" xr:uid="{BE2E14F3-322B-4142-BC71-A853F5856450}"/>
    <cellStyle name="Linked Cell 33 4 2 10" xfId="34578" xr:uid="{825B05D4-7D05-42ED-A06C-CF2CDB9B1253}"/>
    <cellStyle name="Linked Cell 33 4 2 10 2" xfId="34579" xr:uid="{DC965A3C-1F92-4260-B95B-11281D541108}"/>
    <cellStyle name="Linked Cell 33 4 2 10 2 2" xfId="34580" xr:uid="{851EFBF7-67A1-4BCC-BCC9-644CC06511C0}"/>
    <cellStyle name="Linked Cell 33 4 2 10 3" xfId="34581" xr:uid="{B274678C-FE3D-401C-80F9-AB226C4FCC85}"/>
    <cellStyle name="Linked Cell 33 4 2 11" xfId="34582" xr:uid="{0C4C4604-DE28-416C-8041-08497F977DB2}"/>
    <cellStyle name="Linked Cell 33 4 2 11 2" xfId="34583" xr:uid="{3B0635B9-0753-4168-AA73-C27CF1FB6359}"/>
    <cellStyle name="Linked Cell 33 4 2 12" xfId="34584" xr:uid="{56E226F9-9366-4C35-A178-2B6048360D31}"/>
    <cellStyle name="Linked Cell 33 4 2 2" xfId="34585" xr:uid="{E32D7741-7F58-46EC-BB06-35C162542F78}"/>
    <cellStyle name="Linked Cell 33 4 2 2 2" xfId="34586" xr:uid="{BA3C67CF-D92B-4A82-9DD5-A5072F10A29D}"/>
    <cellStyle name="Linked Cell 33 4 2 2 2 2" xfId="34587" xr:uid="{9E642F2E-8FFC-434C-B5F3-F843F39C4FEF}"/>
    <cellStyle name="Linked Cell 33 4 2 2 3" xfId="34588" xr:uid="{1E4039F1-DBA5-461D-A0E6-E42B094D6764}"/>
    <cellStyle name="Linked Cell 33 4 2 3" xfId="34589" xr:uid="{CE8EFD93-6671-4FEF-A778-BA3B751AF132}"/>
    <cellStyle name="Linked Cell 33 4 2 3 2" xfId="34590" xr:uid="{0E2DC7D1-2D36-424A-A88F-D6573A01A392}"/>
    <cellStyle name="Linked Cell 33 4 2 3 2 2" xfId="34591" xr:uid="{5B3219A4-BFBD-4CFD-9D42-BD4EB6DE4FD7}"/>
    <cellStyle name="Linked Cell 33 4 2 3 3" xfId="34592" xr:uid="{7E866978-B85F-494A-A7EB-1C041C10E890}"/>
    <cellStyle name="Linked Cell 33 4 2 4" xfId="34593" xr:uid="{0A560CBE-2496-43C1-B9E3-AC706BBC4478}"/>
    <cellStyle name="Linked Cell 33 4 2 4 2" xfId="34594" xr:uid="{203BA90B-F90E-4756-B8E7-57A9010887A3}"/>
    <cellStyle name="Linked Cell 33 4 2 4 2 2" xfId="34595" xr:uid="{61376482-DE65-47F1-96B5-0537DB27EF86}"/>
    <cellStyle name="Linked Cell 33 4 2 4 3" xfId="34596" xr:uid="{11711230-683D-4C5C-892A-D65FE3E5367E}"/>
    <cellStyle name="Linked Cell 33 4 2 5" xfId="34597" xr:uid="{63AF96B5-FB7B-49ED-805E-CE1B0D0C99C6}"/>
    <cellStyle name="Linked Cell 33 4 2 5 2" xfId="34598" xr:uid="{2D6EBE41-6346-4AE8-BEC1-D8309D1DF10E}"/>
    <cellStyle name="Linked Cell 33 4 2 5 2 2" xfId="34599" xr:uid="{A973CA04-9B71-4F7B-8CA0-7BDD17F68E10}"/>
    <cellStyle name="Linked Cell 33 4 2 5 3" xfId="34600" xr:uid="{5B4A6CF3-0741-4B30-9B8D-31305F958323}"/>
    <cellStyle name="Linked Cell 33 4 2 6" xfId="34601" xr:uid="{36B12267-CA53-4069-97DD-EFCABD2A4A9F}"/>
    <cellStyle name="Linked Cell 33 4 2 6 2" xfId="34602" xr:uid="{2565D234-8195-49C2-A09F-A712B36C62DF}"/>
    <cellStyle name="Linked Cell 33 4 2 6 2 2" xfId="34603" xr:uid="{79BD1B3E-8DAC-4815-9DB1-555780DAE601}"/>
    <cellStyle name="Linked Cell 33 4 2 6 3" xfId="34604" xr:uid="{CDDDE133-E7A7-4785-A68E-EC65F29556DF}"/>
    <cellStyle name="Linked Cell 33 4 2 7" xfId="34605" xr:uid="{8C0EE709-65B5-4D71-B277-E5E418619B09}"/>
    <cellStyle name="Linked Cell 33 4 2 7 2" xfId="34606" xr:uid="{09075028-A3A9-479E-8930-F9E9909A1F1F}"/>
    <cellStyle name="Linked Cell 33 4 2 7 2 2" xfId="34607" xr:uid="{CDE2E4F1-B3A9-4967-B149-C6F37BFE21C5}"/>
    <cellStyle name="Linked Cell 33 4 2 7 3" xfId="34608" xr:uid="{E6311912-D908-4D87-BED4-0E93224B1F50}"/>
    <cellStyle name="Linked Cell 33 4 2 8" xfId="34609" xr:uid="{2D30E132-9B86-4983-94AC-A0C534B35627}"/>
    <cellStyle name="Linked Cell 33 4 2 8 2" xfId="34610" xr:uid="{ADEBED4B-065E-4356-B3C2-6662CA99F688}"/>
    <cellStyle name="Linked Cell 33 4 2 8 2 2" xfId="34611" xr:uid="{41AECFA5-A484-440B-814A-648E27AAEF13}"/>
    <cellStyle name="Linked Cell 33 4 2 8 3" xfId="34612" xr:uid="{EF6CD54F-0123-4DA6-9822-02AD02D61F2F}"/>
    <cellStyle name="Linked Cell 33 4 2 9" xfId="34613" xr:uid="{A5B4668A-CC84-4F94-BD49-802F9D116FFA}"/>
    <cellStyle name="Linked Cell 33 4 2 9 2" xfId="34614" xr:uid="{06327D9D-DA7E-4C24-8B41-1A2CA9A2820E}"/>
    <cellStyle name="Linked Cell 33 4 2 9 2 2" xfId="34615" xr:uid="{5C7D01FA-AA5D-412C-B752-E421FBCAE8B6}"/>
    <cellStyle name="Linked Cell 33 4 2 9 3" xfId="34616" xr:uid="{D7FC3A72-9242-44AB-B0AB-B8104BFF9839}"/>
    <cellStyle name="Linked Cell 33 4 3" xfId="34617" xr:uid="{6F97C991-26AE-44F4-8D09-4F840F047A1F}"/>
    <cellStyle name="Linked Cell 33 4 3 10" xfId="34618" xr:uid="{50C9D090-3C35-4072-85DE-5C8EBE3D5A2D}"/>
    <cellStyle name="Linked Cell 33 4 3 10 2" xfId="34619" xr:uid="{103AACC0-D1C5-4CB2-A872-25D8D57492D1}"/>
    <cellStyle name="Linked Cell 33 4 3 11" xfId="34620" xr:uid="{BA911FFD-9A2C-4BED-BC85-1E218024FABD}"/>
    <cellStyle name="Linked Cell 33 4 3 2" xfId="34621" xr:uid="{A67422B5-BB6B-45C0-A52F-9C2E5D6BCB8C}"/>
    <cellStyle name="Linked Cell 33 4 3 2 2" xfId="34622" xr:uid="{6065B80B-F3FC-49B2-8FB6-9493841CAA65}"/>
    <cellStyle name="Linked Cell 33 4 3 2 2 2" xfId="34623" xr:uid="{B57F513F-7D40-4E70-BCA1-5F327EAC629F}"/>
    <cellStyle name="Linked Cell 33 4 3 2 3" xfId="34624" xr:uid="{4F87BDC4-C886-4505-A47C-21EDB78D30B9}"/>
    <cellStyle name="Linked Cell 33 4 3 3" xfId="34625" xr:uid="{13C9CCCB-B85D-4CC6-BAC7-E87EC331B8E3}"/>
    <cellStyle name="Linked Cell 33 4 3 3 2" xfId="34626" xr:uid="{8E975E52-C876-47E8-9D2D-BE3DB189511D}"/>
    <cellStyle name="Linked Cell 33 4 3 3 2 2" xfId="34627" xr:uid="{5CB47244-400A-44E1-AE7D-12D444EA7342}"/>
    <cellStyle name="Linked Cell 33 4 3 3 3" xfId="34628" xr:uid="{B9B72EA5-A94B-4E57-B9EA-4287B073610A}"/>
    <cellStyle name="Linked Cell 33 4 3 4" xfId="34629" xr:uid="{B99E94D2-651F-4F3B-89ED-CC0AF3E896A9}"/>
    <cellStyle name="Linked Cell 33 4 3 4 2" xfId="34630" xr:uid="{D133DDC3-0C9B-4406-A9EC-7CF8EBFB9F55}"/>
    <cellStyle name="Linked Cell 33 4 3 4 2 2" xfId="34631" xr:uid="{E1A8E1C6-1F1C-4A11-B111-DFCD03B1DFA2}"/>
    <cellStyle name="Linked Cell 33 4 3 4 3" xfId="34632" xr:uid="{3A921E29-653C-412B-9835-A04AAD50398D}"/>
    <cellStyle name="Linked Cell 33 4 3 5" xfId="34633" xr:uid="{5F3B2AEB-0834-4BCA-9C27-DFDFC30393CE}"/>
    <cellStyle name="Linked Cell 33 4 3 5 2" xfId="34634" xr:uid="{2BE47559-9F7B-4D46-BA15-6A6CC1E40843}"/>
    <cellStyle name="Linked Cell 33 4 3 5 2 2" xfId="34635" xr:uid="{698A0BFA-B89C-4731-A990-50250C653D78}"/>
    <cellStyle name="Linked Cell 33 4 3 5 3" xfId="34636" xr:uid="{D05EB452-AFC7-40D5-9FD1-099243391BC4}"/>
    <cellStyle name="Linked Cell 33 4 3 6" xfId="34637" xr:uid="{A10CE919-58B3-446F-A82E-F45963FD0310}"/>
    <cellStyle name="Linked Cell 33 4 3 6 2" xfId="34638" xr:uid="{A3FF9EA3-6E3C-4481-ADE9-F16ABA28263A}"/>
    <cellStyle name="Linked Cell 33 4 3 6 2 2" xfId="34639" xr:uid="{AB0E8532-431B-4A1A-BBE6-E5418F6E48AC}"/>
    <cellStyle name="Linked Cell 33 4 3 6 3" xfId="34640" xr:uid="{8D99F465-6B40-4CF3-A336-244F7B441DD0}"/>
    <cellStyle name="Linked Cell 33 4 3 7" xfId="34641" xr:uid="{4EA92818-5E0D-406B-A2FF-BA031CC230E0}"/>
    <cellStyle name="Linked Cell 33 4 3 7 2" xfId="34642" xr:uid="{4584ACE1-1196-44CD-8E72-8DB2E9865F0E}"/>
    <cellStyle name="Linked Cell 33 4 3 7 2 2" xfId="34643" xr:uid="{5A560F8A-AEC3-45A8-9B82-50B5AC08196D}"/>
    <cellStyle name="Linked Cell 33 4 3 7 3" xfId="34644" xr:uid="{AEA9A7E1-2080-4890-A66A-C0B770D3B3BC}"/>
    <cellStyle name="Linked Cell 33 4 3 8" xfId="34645" xr:uid="{8794CA22-6F49-4539-A062-8C350D41332B}"/>
    <cellStyle name="Linked Cell 33 4 3 8 2" xfId="34646" xr:uid="{63B67E43-63CE-4531-9D0F-84260435FD3C}"/>
    <cellStyle name="Linked Cell 33 4 3 8 2 2" xfId="34647" xr:uid="{8FC7DC5C-A471-4841-A0E9-9AF90AFDF8C1}"/>
    <cellStyle name="Linked Cell 33 4 3 8 3" xfId="34648" xr:uid="{299F20F3-F6D3-4206-8B96-9DE481354B6E}"/>
    <cellStyle name="Linked Cell 33 4 3 9" xfId="34649" xr:uid="{2C886EF2-0DA5-4058-88E8-9F55D69613A3}"/>
    <cellStyle name="Linked Cell 33 4 3 9 2" xfId="34650" xr:uid="{695E05F2-A0F0-415A-B35E-985A8F341401}"/>
    <cellStyle name="Linked Cell 33 4 3 9 2 2" xfId="34651" xr:uid="{7D92172A-D81F-44FB-A1D7-80B694082632}"/>
    <cellStyle name="Linked Cell 33 4 3 9 3" xfId="34652" xr:uid="{7E53097B-25AE-4B6B-94B7-ABC68F6A48D6}"/>
    <cellStyle name="Linked Cell 33 4 4" xfId="34653" xr:uid="{FC77AED0-132D-481C-A882-BB7D2A20C989}"/>
    <cellStyle name="Linked Cell 33 4 4 2" xfId="34654" xr:uid="{5D4D1692-4E71-4C72-9E35-86FFE7CA0F3B}"/>
    <cellStyle name="Linked Cell 33 4 4 2 2" xfId="34655" xr:uid="{DB76EDD3-4A3F-4877-961B-EAA4BBF21FC2}"/>
    <cellStyle name="Linked Cell 33 4 4 3" xfId="34656" xr:uid="{F99240B0-CA94-4FAD-B6BD-6A037F499E91}"/>
    <cellStyle name="Linked Cell 33 4 5" xfId="34657" xr:uid="{035D72FF-3C47-4002-A8C6-6FE5A6FD2BAA}"/>
    <cellStyle name="Linked Cell 33 4 5 2" xfId="34658" xr:uid="{6FA3B355-ECE5-41B7-86FB-5CDF9C7E620F}"/>
    <cellStyle name="Linked Cell 33 4 5 2 2" xfId="34659" xr:uid="{5163EE31-8A6F-4F6F-8162-E0059FBE8281}"/>
    <cellStyle name="Linked Cell 33 4 5 3" xfId="34660" xr:uid="{1506B217-67DE-456A-92A9-2FCA8EEBBD12}"/>
    <cellStyle name="Linked Cell 33 4 6" xfId="34661" xr:uid="{71A99876-1E7C-4F94-A1D1-88336947AAD7}"/>
    <cellStyle name="Linked Cell 33 4 6 2" xfId="34662" xr:uid="{D7DCD43C-F02A-454F-B38C-9CBFB70BEC8E}"/>
    <cellStyle name="Linked Cell 33 4 6 2 2" xfId="34663" xr:uid="{AA22121F-31B4-4840-BFCC-707833B4C8D6}"/>
    <cellStyle name="Linked Cell 33 4 6 3" xfId="34664" xr:uid="{181C6E38-862C-4FDF-8F5A-37B6C1167A25}"/>
    <cellStyle name="Linked Cell 33 4 7" xfId="34665" xr:uid="{CF292905-3B9C-4528-8714-AF60F02F3588}"/>
    <cellStyle name="Linked Cell 33 4 7 2" xfId="34666" xr:uid="{A850C989-D1CA-4FEF-BA0E-31D98151F62F}"/>
    <cellStyle name="Linked Cell 33 4 7 2 2" xfId="34667" xr:uid="{41BDAF36-9928-4B1A-B889-B0830067F580}"/>
    <cellStyle name="Linked Cell 33 4 7 3" xfId="34668" xr:uid="{03DF0DD0-F892-40DE-BCD2-776C8C008D0D}"/>
    <cellStyle name="Linked Cell 33 4 8" xfId="34669" xr:uid="{CC08F81C-8B52-4298-A8FE-327BC5F0BA25}"/>
    <cellStyle name="Linked Cell 33 4 8 2" xfId="34670" xr:uid="{71ECF9F9-C052-4AB9-996C-D920BB09DC2A}"/>
    <cellStyle name="Linked Cell 33 4 8 2 2" xfId="34671" xr:uid="{A1C0A40D-699A-4403-B415-0872DDF44285}"/>
    <cellStyle name="Linked Cell 33 4 8 3" xfId="34672" xr:uid="{BF588620-0059-4BD6-A538-419B801F0CC9}"/>
    <cellStyle name="Linked Cell 33 4 9" xfId="34673" xr:uid="{A82712D0-3C01-4180-870A-DEA6F995E0FC}"/>
    <cellStyle name="Linked Cell 33 4 9 2" xfId="34674" xr:uid="{C3D353BD-33B6-4F05-B266-50B70A4F598A}"/>
    <cellStyle name="Linked Cell 33 4 9 2 2" xfId="34675" xr:uid="{088709C9-0853-4047-A4D8-434BAF5142CF}"/>
    <cellStyle name="Linked Cell 33 4 9 3" xfId="34676" xr:uid="{94BCE2DD-BD3D-4729-AA0A-F2C9761D523F}"/>
    <cellStyle name="Linked Cell 34" xfId="34677" xr:uid="{EBA63653-D155-4FA8-AE8E-2E582C226B53}"/>
    <cellStyle name="Linked Cell 34 10" xfId="34678" xr:uid="{83D61DBE-A891-436D-99D7-799671958CE5}"/>
    <cellStyle name="Linked Cell 34 10 2" xfId="34679" xr:uid="{C4491EA2-B82D-4D57-B7EF-A200785C3D0A}"/>
    <cellStyle name="Linked Cell 34 10 2 2" xfId="34680" xr:uid="{9776D6CF-F017-481A-9F73-275DBFB90E0D}"/>
    <cellStyle name="Linked Cell 34 10 3" xfId="34681" xr:uid="{9E9D3CE1-BC41-42A0-94D2-CDE6303AF542}"/>
    <cellStyle name="Linked Cell 34 11" xfId="34682" xr:uid="{7FC397DF-6DC6-4A31-A926-F7D9F2023EA5}"/>
    <cellStyle name="Linked Cell 34 11 2" xfId="34683" xr:uid="{021A0240-8399-4EA3-B6A7-3E6E15AA8C4B}"/>
    <cellStyle name="Linked Cell 34 11 2 2" xfId="34684" xr:uid="{5EC51FB7-64AD-4130-A3CD-81201004B557}"/>
    <cellStyle name="Linked Cell 34 11 3" xfId="34685" xr:uid="{D906A748-8F36-431D-A515-34D6E6A7E4EF}"/>
    <cellStyle name="Linked Cell 34 12" xfId="34686" xr:uid="{3A66C27C-E819-44EC-91CE-67AF21CDBEE4}"/>
    <cellStyle name="Linked Cell 34 12 2" xfId="34687" xr:uid="{385AE991-FEAE-4662-8AF4-842353B35AA7}"/>
    <cellStyle name="Linked Cell 34 12 2 2" xfId="34688" xr:uid="{1B50C2F9-4769-4794-BBAA-200922F6BC6B}"/>
    <cellStyle name="Linked Cell 34 12 3" xfId="34689" xr:uid="{D84B72CE-1BF5-46E1-AEA5-62CB0B96F82E}"/>
    <cellStyle name="Linked Cell 34 13" xfId="34690" xr:uid="{A49ACDF0-C5CA-4C75-9E36-F756B9E6B5D0}"/>
    <cellStyle name="Linked Cell 34 13 2" xfId="34691" xr:uid="{3C8B679E-5943-40DC-B573-47F9CEF86113}"/>
    <cellStyle name="Linked Cell 34 13 2 2" xfId="34692" xr:uid="{4D909C55-4F62-40CD-8BE0-DABF3D7166E5}"/>
    <cellStyle name="Linked Cell 34 13 3" xfId="34693" xr:uid="{83B50F66-76FA-437C-932B-B2C220C04EC6}"/>
    <cellStyle name="Linked Cell 34 14" xfId="34694" xr:uid="{5DB2F45A-5397-411C-B053-05201D46BCE9}"/>
    <cellStyle name="Linked Cell 34 14 2" xfId="34695" xr:uid="{64E84321-F67B-43F2-8D51-DE47D5CFCA46}"/>
    <cellStyle name="Linked Cell 34 15" xfId="34696" xr:uid="{FD5A1DA3-D0AE-4C19-A0BF-A15F202C2760}"/>
    <cellStyle name="Linked Cell 34 2" xfId="34697" xr:uid="{1E6CCFB5-3A2D-42FE-9088-C6F5A26C6001}"/>
    <cellStyle name="Linked Cell 34 2 10" xfId="34698" xr:uid="{BC7A74F3-FAC0-48D9-B14E-D4E3206AA395}"/>
    <cellStyle name="Linked Cell 34 2 10 2" xfId="34699" xr:uid="{893869D2-3421-4AF1-846B-4ECACE2303F1}"/>
    <cellStyle name="Linked Cell 34 2 10 2 2" xfId="34700" xr:uid="{E9837652-5268-4D09-AC27-1549F439CB33}"/>
    <cellStyle name="Linked Cell 34 2 10 3" xfId="34701" xr:uid="{2A696F34-87DA-46EC-9A8E-4EB632688A38}"/>
    <cellStyle name="Linked Cell 34 2 11" xfId="34702" xr:uid="{CC1170F0-42DC-45F7-B316-3B798B78A4C1}"/>
    <cellStyle name="Linked Cell 34 2 11 2" xfId="34703" xr:uid="{266E9E55-34BC-4E69-9BC6-512D13D172D7}"/>
    <cellStyle name="Linked Cell 34 2 11 2 2" xfId="34704" xr:uid="{F57D66AA-0A40-4A18-8D82-D039C155B07A}"/>
    <cellStyle name="Linked Cell 34 2 11 3" xfId="34705" xr:uid="{9BD06E79-CAA9-4969-BBE6-57A28F839692}"/>
    <cellStyle name="Linked Cell 34 2 12" xfId="34706" xr:uid="{5BB25A3C-1379-4A21-B88D-37A07D00A7C5}"/>
    <cellStyle name="Linked Cell 34 2 12 2" xfId="34707" xr:uid="{7352CFAF-6DCB-4160-BBF0-BA48E82F1406}"/>
    <cellStyle name="Linked Cell 34 2 12 2 2" xfId="34708" xr:uid="{3FBC4674-9AD2-4473-8C3F-5D6C6F6159E1}"/>
    <cellStyle name="Linked Cell 34 2 12 3" xfId="34709" xr:uid="{D3359EF6-726F-4DFA-9394-06289B058F48}"/>
    <cellStyle name="Linked Cell 34 2 13" xfId="34710" xr:uid="{3055675D-C613-4EB0-A343-5856DF27437B}"/>
    <cellStyle name="Linked Cell 34 2 13 2" xfId="34711" xr:uid="{2EC14DBA-777A-4483-90D9-0C79097CCEE1}"/>
    <cellStyle name="Linked Cell 34 2 14" xfId="34712" xr:uid="{90BABE67-631F-40DF-9790-7FFF5DD40280}"/>
    <cellStyle name="Linked Cell 34 2 2" xfId="34713" xr:uid="{E0FA6BE2-F904-412E-B0AE-6B69176D81F5}"/>
    <cellStyle name="Linked Cell 34 2 2 10" xfId="34714" xr:uid="{7A51B8E1-8B46-436D-BBEF-A574BD55B5D1}"/>
    <cellStyle name="Linked Cell 34 2 2 10 2" xfId="34715" xr:uid="{B725179D-9C1D-4005-967D-0FBF3065FB7F}"/>
    <cellStyle name="Linked Cell 34 2 2 10 2 2" xfId="34716" xr:uid="{5E77EE1B-5915-4B26-94C6-116A530E0991}"/>
    <cellStyle name="Linked Cell 34 2 2 10 3" xfId="34717" xr:uid="{7FF02069-E796-412F-AC68-8EAC19BBC28C}"/>
    <cellStyle name="Linked Cell 34 2 2 11" xfId="34718" xr:uid="{B4A79040-997F-471D-865C-47C1B7C64658}"/>
    <cellStyle name="Linked Cell 34 2 2 11 2" xfId="34719" xr:uid="{B02F3FD0-92EA-4158-AA4C-16C8A90E4B21}"/>
    <cellStyle name="Linked Cell 34 2 2 11 2 2" xfId="34720" xr:uid="{72D62AC1-BD6F-45C8-9FC4-F29FF4AEE4B7}"/>
    <cellStyle name="Linked Cell 34 2 2 11 3" xfId="34721" xr:uid="{BEF9B176-CF43-4E1D-BBB6-5E2794170BFA}"/>
    <cellStyle name="Linked Cell 34 2 2 12" xfId="34722" xr:uid="{C1EA5E45-6E02-4BBB-B364-871696E82CB7}"/>
    <cellStyle name="Linked Cell 34 2 2 12 2" xfId="34723" xr:uid="{454BC03E-5A7A-48F0-A79F-77A59A4C4A07}"/>
    <cellStyle name="Linked Cell 34 2 2 13" xfId="34724" xr:uid="{91FB72CC-1AAA-49BE-AB1B-86F18C24EFE8}"/>
    <cellStyle name="Linked Cell 34 2 2 2" xfId="34725" xr:uid="{E25889DD-BD98-4ECC-8B28-F970F42C1159}"/>
    <cellStyle name="Linked Cell 34 2 2 2 10" xfId="34726" xr:uid="{49EB5FF0-0795-4AB6-ACF5-882AAE4B0017}"/>
    <cellStyle name="Linked Cell 34 2 2 2 10 2" xfId="34727" xr:uid="{9967197F-2FE6-40C4-B3E0-8EA541AC90A2}"/>
    <cellStyle name="Linked Cell 34 2 2 2 10 2 2" xfId="34728" xr:uid="{9DBBDAB9-FE5A-4EF4-B9CC-5BC348F147ED}"/>
    <cellStyle name="Linked Cell 34 2 2 2 10 3" xfId="34729" xr:uid="{DE770E7E-77A2-45EB-8837-A0F30F771AD6}"/>
    <cellStyle name="Linked Cell 34 2 2 2 11" xfId="34730" xr:uid="{B62B0D6A-799E-48AE-B9BC-E90BA88C8E3E}"/>
    <cellStyle name="Linked Cell 34 2 2 2 11 2" xfId="34731" xr:uid="{B732C406-D543-4085-9371-9922644B06E6}"/>
    <cellStyle name="Linked Cell 34 2 2 2 12" xfId="34732" xr:uid="{8FBFCE2F-036A-4D48-911A-B843F619C46D}"/>
    <cellStyle name="Linked Cell 34 2 2 2 2" xfId="34733" xr:uid="{9C0EAD91-CBE8-4FBB-9CAD-15E1F93DB99D}"/>
    <cellStyle name="Linked Cell 34 2 2 2 2 2" xfId="34734" xr:uid="{7B3B7F79-0C78-42F6-BC2E-D650D323BEAD}"/>
    <cellStyle name="Linked Cell 34 2 2 2 2 2 2" xfId="34735" xr:uid="{165E5128-FA43-4ABE-BC7A-9DFAD5DF725B}"/>
    <cellStyle name="Linked Cell 34 2 2 2 2 3" xfId="34736" xr:uid="{B619C731-CFEB-47DB-B588-134BEF3AC935}"/>
    <cellStyle name="Linked Cell 34 2 2 2 3" xfId="34737" xr:uid="{7EF4DFA4-FD2C-488B-8A3C-73DE0EFFE51C}"/>
    <cellStyle name="Linked Cell 34 2 2 2 3 2" xfId="34738" xr:uid="{84F3F3AD-9CF1-4095-B414-8D799AD1F8B0}"/>
    <cellStyle name="Linked Cell 34 2 2 2 3 2 2" xfId="34739" xr:uid="{3D5EBCEA-1677-41E7-A890-D26DF8DC35D5}"/>
    <cellStyle name="Linked Cell 34 2 2 2 3 3" xfId="34740" xr:uid="{E6F32FAA-0AAF-47AD-9EB6-53C924D7FE80}"/>
    <cellStyle name="Linked Cell 34 2 2 2 4" xfId="34741" xr:uid="{FD81078C-A359-42BD-BE33-D8777F9F01B6}"/>
    <cellStyle name="Linked Cell 34 2 2 2 4 2" xfId="34742" xr:uid="{5B6C4910-EAEA-4A86-A40D-A987A8A2F860}"/>
    <cellStyle name="Linked Cell 34 2 2 2 4 2 2" xfId="34743" xr:uid="{37D28B52-BF76-461E-85BE-E84DA372F072}"/>
    <cellStyle name="Linked Cell 34 2 2 2 4 3" xfId="34744" xr:uid="{472D58A6-DCAA-4E7E-AD80-E3A1A4A67526}"/>
    <cellStyle name="Linked Cell 34 2 2 2 5" xfId="34745" xr:uid="{00B141EE-3C45-4660-9C0E-54E0A00E85FC}"/>
    <cellStyle name="Linked Cell 34 2 2 2 5 2" xfId="34746" xr:uid="{934B1BAF-F1EB-40AE-8EF7-4FF991BF3CD0}"/>
    <cellStyle name="Linked Cell 34 2 2 2 5 2 2" xfId="34747" xr:uid="{12D89F40-8A74-427E-8C0A-E0EE81D5E62B}"/>
    <cellStyle name="Linked Cell 34 2 2 2 5 3" xfId="34748" xr:uid="{F0F8368D-1AD0-4DFF-A292-DC58EC9F0EA4}"/>
    <cellStyle name="Linked Cell 34 2 2 2 6" xfId="34749" xr:uid="{7B2CBD7D-0D29-46FF-94BD-6F5FC3536418}"/>
    <cellStyle name="Linked Cell 34 2 2 2 6 2" xfId="34750" xr:uid="{988D48F4-739F-40D3-A6DD-06CA1B9AA493}"/>
    <cellStyle name="Linked Cell 34 2 2 2 6 2 2" xfId="34751" xr:uid="{77802050-C721-45F3-905B-8DF83A5C387E}"/>
    <cellStyle name="Linked Cell 34 2 2 2 6 3" xfId="34752" xr:uid="{264F9AFD-9C93-4B39-A456-E09692CCD2B3}"/>
    <cellStyle name="Linked Cell 34 2 2 2 7" xfId="34753" xr:uid="{5EF62719-41F6-43D3-B53F-B48DEA2CFA6C}"/>
    <cellStyle name="Linked Cell 34 2 2 2 7 2" xfId="34754" xr:uid="{0B8903DD-6168-49B3-8D22-A79B697230D4}"/>
    <cellStyle name="Linked Cell 34 2 2 2 7 2 2" xfId="34755" xr:uid="{290BF061-C5CE-41CB-9750-9A75EDF3E296}"/>
    <cellStyle name="Linked Cell 34 2 2 2 7 3" xfId="34756" xr:uid="{83D9B22B-A096-422E-854A-B2A79BA40795}"/>
    <cellStyle name="Linked Cell 34 2 2 2 8" xfId="34757" xr:uid="{2C2A468F-442A-4B43-8ECE-1D3B670E7C42}"/>
    <cellStyle name="Linked Cell 34 2 2 2 8 2" xfId="34758" xr:uid="{AC7D2D11-3F53-414F-8812-3B0458896C36}"/>
    <cellStyle name="Linked Cell 34 2 2 2 8 2 2" xfId="34759" xr:uid="{A82EAB8D-CCA6-4A74-B5B8-12543CA84139}"/>
    <cellStyle name="Linked Cell 34 2 2 2 8 3" xfId="34760" xr:uid="{BF2D20F2-4399-4558-B2CA-61840FE4A5E2}"/>
    <cellStyle name="Linked Cell 34 2 2 2 9" xfId="34761" xr:uid="{F085D87B-8006-45B3-8E53-B8495686EEB6}"/>
    <cellStyle name="Linked Cell 34 2 2 2 9 2" xfId="34762" xr:uid="{C3DB9E37-FC66-428D-B74F-F716E5D3A89A}"/>
    <cellStyle name="Linked Cell 34 2 2 2 9 2 2" xfId="34763" xr:uid="{5E4DCC44-AD30-4839-84E6-9101C627EACD}"/>
    <cellStyle name="Linked Cell 34 2 2 2 9 3" xfId="34764" xr:uid="{6A53A245-95C6-4475-A855-EBCE85809563}"/>
    <cellStyle name="Linked Cell 34 2 2 3" xfId="34765" xr:uid="{25500172-F943-48DF-8DB7-9EC7DE9ED960}"/>
    <cellStyle name="Linked Cell 34 2 2 3 10" xfId="34766" xr:uid="{9A63EFC0-7CAD-434A-9B76-FC422DAA579B}"/>
    <cellStyle name="Linked Cell 34 2 2 3 10 2" xfId="34767" xr:uid="{4267C6B9-FEEF-4907-81FB-4D18DB434817}"/>
    <cellStyle name="Linked Cell 34 2 2 3 11" xfId="34768" xr:uid="{C0734E02-78B8-4FDF-81B3-FC6F3C94289E}"/>
    <cellStyle name="Linked Cell 34 2 2 3 2" xfId="34769" xr:uid="{7A528D21-DAE8-4970-8762-36B9A25C43DD}"/>
    <cellStyle name="Linked Cell 34 2 2 3 2 2" xfId="34770" xr:uid="{4800E6FE-CE4D-4D9E-8FAB-EC0E861A288C}"/>
    <cellStyle name="Linked Cell 34 2 2 3 2 2 2" xfId="34771" xr:uid="{6ED34E80-1D9E-4EED-BFC6-6D5564589014}"/>
    <cellStyle name="Linked Cell 34 2 2 3 2 3" xfId="34772" xr:uid="{91AD1A89-3F4A-4EB2-A12D-01683420D9E7}"/>
    <cellStyle name="Linked Cell 34 2 2 3 3" xfId="34773" xr:uid="{50083220-395D-4708-965C-F8984C547BF4}"/>
    <cellStyle name="Linked Cell 34 2 2 3 3 2" xfId="34774" xr:uid="{96705553-5A47-4862-A570-EFD075561DD1}"/>
    <cellStyle name="Linked Cell 34 2 2 3 3 2 2" xfId="34775" xr:uid="{C5E04E71-3879-4EDB-82A1-2796E48D90D3}"/>
    <cellStyle name="Linked Cell 34 2 2 3 3 3" xfId="34776" xr:uid="{1A0B33EF-3C02-4743-B885-F69DD3B6DF44}"/>
    <cellStyle name="Linked Cell 34 2 2 3 4" xfId="34777" xr:uid="{6CE740DA-AB84-437C-8B72-BCCD9B4DC280}"/>
    <cellStyle name="Linked Cell 34 2 2 3 4 2" xfId="34778" xr:uid="{1D7DDE16-999C-4991-8B6D-75F89B045B47}"/>
    <cellStyle name="Linked Cell 34 2 2 3 4 2 2" xfId="34779" xr:uid="{D52EBA7B-84D1-402F-8D9C-6C29EC7AD54A}"/>
    <cellStyle name="Linked Cell 34 2 2 3 4 3" xfId="34780" xr:uid="{8B7444FC-6387-4890-A45B-89F71C4B4621}"/>
    <cellStyle name="Linked Cell 34 2 2 3 5" xfId="34781" xr:uid="{70793D22-25CC-4713-8D42-56AB3E285B56}"/>
    <cellStyle name="Linked Cell 34 2 2 3 5 2" xfId="34782" xr:uid="{134223CF-655F-442C-8342-38E54D5196DA}"/>
    <cellStyle name="Linked Cell 34 2 2 3 5 2 2" xfId="34783" xr:uid="{52947235-3DB2-4963-A0EE-D89F12AA91BF}"/>
    <cellStyle name="Linked Cell 34 2 2 3 5 3" xfId="34784" xr:uid="{789DA177-2312-4075-B6AA-F33262EF69A4}"/>
    <cellStyle name="Linked Cell 34 2 2 3 6" xfId="34785" xr:uid="{4646EC45-DE95-4262-BA3F-0296B4122F44}"/>
    <cellStyle name="Linked Cell 34 2 2 3 6 2" xfId="34786" xr:uid="{5BDB09E3-52CD-4236-9B37-CF46A255D38D}"/>
    <cellStyle name="Linked Cell 34 2 2 3 6 2 2" xfId="34787" xr:uid="{8E514166-8F9C-442F-920C-9A13D4BC1115}"/>
    <cellStyle name="Linked Cell 34 2 2 3 6 3" xfId="34788" xr:uid="{465688B5-0F05-4DA3-9B10-DFB3DC856063}"/>
    <cellStyle name="Linked Cell 34 2 2 3 7" xfId="34789" xr:uid="{CD0FB08C-696F-4423-A6F1-2B7034B8215D}"/>
    <cellStyle name="Linked Cell 34 2 2 3 7 2" xfId="34790" xr:uid="{1694B6AC-6B20-4A3E-8E0D-F34AC4B05774}"/>
    <cellStyle name="Linked Cell 34 2 2 3 7 2 2" xfId="34791" xr:uid="{117D43DA-4D9E-4C22-9680-C2AC1003FCB9}"/>
    <cellStyle name="Linked Cell 34 2 2 3 7 3" xfId="34792" xr:uid="{E734519B-7E69-4BAB-86C7-3426AA3213BD}"/>
    <cellStyle name="Linked Cell 34 2 2 3 8" xfId="34793" xr:uid="{2872DA45-013B-4E81-96B2-3E4E7575B036}"/>
    <cellStyle name="Linked Cell 34 2 2 3 8 2" xfId="34794" xr:uid="{7F921733-1A31-40B1-9DF9-4EE12E5B7E44}"/>
    <cellStyle name="Linked Cell 34 2 2 3 8 2 2" xfId="34795" xr:uid="{999CA58F-7FD6-49BD-BC9B-DBAA8FE8AC16}"/>
    <cellStyle name="Linked Cell 34 2 2 3 8 3" xfId="34796" xr:uid="{3ED64696-DCB4-4071-8525-476CA3938F29}"/>
    <cellStyle name="Linked Cell 34 2 2 3 9" xfId="34797" xr:uid="{E0F03FE2-8643-453A-97B4-16BDC28EEDDC}"/>
    <cellStyle name="Linked Cell 34 2 2 3 9 2" xfId="34798" xr:uid="{2A8EA0A3-4818-4672-AAB2-6DE00444822F}"/>
    <cellStyle name="Linked Cell 34 2 2 3 9 2 2" xfId="34799" xr:uid="{1544868C-CAE5-4C6C-AB91-74907009BAAE}"/>
    <cellStyle name="Linked Cell 34 2 2 3 9 3" xfId="34800" xr:uid="{572D879E-7CEF-4EE6-8458-08A28F2E2105}"/>
    <cellStyle name="Linked Cell 34 2 2 4" xfId="34801" xr:uid="{BA0B5664-41AC-4CD7-B231-FA542CADBAEF}"/>
    <cellStyle name="Linked Cell 34 2 2 4 2" xfId="34802" xr:uid="{D3F9CA61-098F-43D6-B5BF-E60F01F82D11}"/>
    <cellStyle name="Linked Cell 34 2 2 4 2 2" xfId="34803" xr:uid="{47BEFF7B-0E36-4A0D-9E10-F08DCC654513}"/>
    <cellStyle name="Linked Cell 34 2 2 4 3" xfId="34804" xr:uid="{765BFDEE-F893-4F48-AA4E-9F504335D28B}"/>
    <cellStyle name="Linked Cell 34 2 2 5" xfId="34805" xr:uid="{0F4110DB-EDEB-457C-9E80-3B4EFE0CAA21}"/>
    <cellStyle name="Linked Cell 34 2 2 5 2" xfId="34806" xr:uid="{712BD5DC-8B4B-4625-8898-AA94DB199C14}"/>
    <cellStyle name="Linked Cell 34 2 2 5 2 2" xfId="34807" xr:uid="{7EBC8A44-4D88-4D6C-8716-47B879119B9B}"/>
    <cellStyle name="Linked Cell 34 2 2 5 3" xfId="34808" xr:uid="{E6521E14-85B1-41D1-990C-F3E3037B5780}"/>
    <cellStyle name="Linked Cell 34 2 2 6" xfId="34809" xr:uid="{DD813590-E906-45C9-96A1-2397D931D144}"/>
    <cellStyle name="Linked Cell 34 2 2 6 2" xfId="34810" xr:uid="{8765F9A7-DAC9-4862-ACA4-4A68C8E18DAB}"/>
    <cellStyle name="Linked Cell 34 2 2 6 2 2" xfId="34811" xr:uid="{3470A18F-ADDC-4BAD-AE22-E7406DC9F1B8}"/>
    <cellStyle name="Linked Cell 34 2 2 6 3" xfId="34812" xr:uid="{400B92FD-BE86-4DA9-A572-9A305CC1F14A}"/>
    <cellStyle name="Linked Cell 34 2 2 7" xfId="34813" xr:uid="{E435C7A0-4720-4345-8E97-9A533597B61E}"/>
    <cellStyle name="Linked Cell 34 2 2 7 2" xfId="34814" xr:uid="{AD9FD817-E7B9-40A6-B8C0-494B02D2918B}"/>
    <cellStyle name="Linked Cell 34 2 2 7 2 2" xfId="34815" xr:uid="{FFFBF9E5-E43C-477E-A051-C91A5A35DB90}"/>
    <cellStyle name="Linked Cell 34 2 2 7 3" xfId="34816" xr:uid="{F7FC3EF3-17D1-4441-8A93-A5A6A57CA0BA}"/>
    <cellStyle name="Linked Cell 34 2 2 8" xfId="34817" xr:uid="{5D8F10E0-7728-4F9F-A953-5A84D5E0D8D0}"/>
    <cellStyle name="Linked Cell 34 2 2 8 2" xfId="34818" xr:uid="{73283989-9547-4B5B-90F3-8DA47EBE22E8}"/>
    <cellStyle name="Linked Cell 34 2 2 8 2 2" xfId="34819" xr:uid="{3EFC312B-773C-4685-8524-00B527906B16}"/>
    <cellStyle name="Linked Cell 34 2 2 8 3" xfId="34820" xr:uid="{DA7072D6-9EC3-403E-8327-0CE40CF092B7}"/>
    <cellStyle name="Linked Cell 34 2 2 9" xfId="34821" xr:uid="{9ECE3C2A-535C-4783-9BA6-8B99F86B9221}"/>
    <cellStyle name="Linked Cell 34 2 2 9 2" xfId="34822" xr:uid="{09B51E58-630F-4DF1-88BD-55701512F1AC}"/>
    <cellStyle name="Linked Cell 34 2 2 9 2 2" xfId="34823" xr:uid="{212D86C1-6F9F-44C5-A9F0-4ED1D5FA96C6}"/>
    <cellStyle name="Linked Cell 34 2 2 9 3" xfId="34824" xr:uid="{A1CE66A6-E0A7-49ED-909F-3A0A7EA748CB}"/>
    <cellStyle name="Linked Cell 34 2 3" xfId="34825" xr:uid="{2E81C5E1-EEFD-46BB-A599-612AF146F89F}"/>
    <cellStyle name="Linked Cell 34 2 3 10" xfId="34826" xr:uid="{C44B970D-BCDF-4CA0-9F2C-E8B9F58D9D9E}"/>
    <cellStyle name="Linked Cell 34 2 3 10 2" xfId="34827" xr:uid="{B47A02B9-EAAF-4ADF-9DB9-DA14EF9608EF}"/>
    <cellStyle name="Linked Cell 34 2 3 10 2 2" xfId="34828" xr:uid="{3A56A9CC-966E-4FB3-95C6-317BFA52E1D7}"/>
    <cellStyle name="Linked Cell 34 2 3 10 3" xfId="34829" xr:uid="{7966BB97-5DB7-47CB-ABA1-DBA8E0F69FED}"/>
    <cellStyle name="Linked Cell 34 2 3 11" xfId="34830" xr:uid="{F166BC3D-195D-4D68-A056-FCD11E03CC58}"/>
    <cellStyle name="Linked Cell 34 2 3 11 2" xfId="34831" xr:uid="{DDDE3485-F6EF-4254-9B67-D6CDCD090462}"/>
    <cellStyle name="Linked Cell 34 2 3 12" xfId="34832" xr:uid="{F73CA1B6-FDDD-42F3-8E41-749D1BADC8D7}"/>
    <cellStyle name="Linked Cell 34 2 3 2" xfId="34833" xr:uid="{4205EC5D-E872-4371-A852-89BB7DD37810}"/>
    <cellStyle name="Linked Cell 34 2 3 2 10" xfId="34834" xr:uid="{E7973068-1C57-4A7A-8D78-D729A0C8D925}"/>
    <cellStyle name="Linked Cell 34 2 3 2 10 2" xfId="34835" xr:uid="{2839A50D-F643-4ABD-A75C-699F36D3DD24}"/>
    <cellStyle name="Linked Cell 34 2 3 2 11" xfId="34836" xr:uid="{778455D1-4FA4-4BDA-AD38-85E5A54E78FD}"/>
    <cellStyle name="Linked Cell 34 2 3 2 2" xfId="34837" xr:uid="{3ED1BEA2-0984-4CE9-BA6D-717266AAF147}"/>
    <cellStyle name="Linked Cell 34 2 3 2 2 2" xfId="34838" xr:uid="{AAA43845-FA77-4DEF-8159-AC15C86230E8}"/>
    <cellStyle name="Linked Cell 34 2 3 2 2 2 2" xfId="34839" xr:uid="{1C9E113E-9AB8-42D6-9C28-B85FA0AF8C30}"/>
    <cellStyle name="Linked Cell 34 2 3 2 2 3" xfId="34840" xr:uid="{3807327D-0A59-41CF-9B03-B0A5AB00B051}"/>
    <cellStyle name="Linked Cell 34 2 3 2 3" xfId="34841" xr:uid="{7C7EEABB-0B08-4B77-B0A3-E6EDADF68188}"/>
    <cellStyle name="Linked Cell 34 2 3 2 3 2" xfId="34842" xr:uid="{4B605AC9-8FF1-41BF-9115-CC98A890F972}"/>
    <cellStyle name="Linked Cell 34 2 3 2 3 2 2" xfId="34843" xr:uid="{EAF6FCC5-243F-4782-96CD-4DE222E8EF4A}"/>
    <cellStyle name="Linked Cell 34 2 3 2 3 3" xfId="34844" xr:uid="{66FE5678-FFCF-4DE5-9F6A-F607C4780824}"/>
    <cellStyle name="Linked Cell 34 2 3 2 4" xfId="34845" xr:uid="{28D42DEA-2C3B-426A-9AB1-91DF30CC4BEB}"/>
    <cellStyle name="Linked Cell 34 2 3 2 4 2" xfId="34846" xr:uid="{AD1617D1-CC2A-41DA-B67D-EFEE50642A65}"/>
    <cellStyle name="Linked Cell 34 2 3 2 4 2 2" xfId="34847" xr:uid="{A1B7F6A9-DE8B-47A9-B0FC-055C7B12F5A7}"/>
    <cellStyle name="Linked Cell 34 2 3 2 4 3" xfId="34848" xr:uid="{D4EE5940-4D2C-4F7B-9329-D77BAC73FEE2}"/>
    <cellStyle name="Linked Cell 34 2 3 2 5" xfId="34849" xr:uid="{21B61E7C-2725-472C-B77A-D291B7582542}"/>
    <cellStyle name="Linked Cell 34 2 3 2 5 2" xfId="34850" xr:uid="{7E08D97D-DD5E-41D0-9ACB-34E90FFC662C}"/>
    <cellStyle name="Linked Cell 34 2 3 2 5 2 2" xfId="34851" xr:uid="{622D9056-FAAE-40E9-809A-0AF75EDFE59B}"/>
    <cellStyle name="Linked Cell 34 2 3 2 5 3" xfId="34852" xr:uid="{BDCF61D8-9E0A-493F-A889-67B46E8D0933}"/>
    <cellStyle name="Linked Cell 34 2 3 2 6" xfId="34853" xr:uid="{CE9F10EF-3BAF-448D-B48D-61D516D87AE8}"/>
    <cellStyle name="Linked Cell 34 2 3 2 6 2" xfId="34854" xr:uid="{37A40263-B36D-4F9A-A97D-D3A8C2C3633E}"/>
    <cellStyle name="Linked Cell 34 2 3 2 6 2 2" xfId="34855" xr:uid="{C61D7929-43C6-4501-B020-7847B043A2CA}"/>
    <cellStyle name="Linked Cell 34 2 3 2 6 3" xfId="34856" xr:uid="{BF543B8A-3FAF-4E9F-9F2D-FF395F4C6E59}"/>
    <cellStyle name="Linked Cell 34 2 3 2 7" xfId="34857" xr:uid="{7FF1C6A0-896C-411F-94EB-DD86835639B6}"/>
    <cellStyle name="Linked Cell 34 2 3 2 7 2" xfId="34858" xr:uid="{00626532-A6AB-489E-8C54-6C19483367F1}"/>
    <cellStyle name="Linked Cell 34 2 3 2 7 2 2" xfId="34859" xr:uid="{4BE5208B-72DA-4329-8127-CE57DF4A8584}"/>
    <cellStyle name="Linked Cell 34 2 3 2 7 3" xfId="34860" xr:uid="{5C00F598-41F3-4878-97CA-6204FF2E92C4}"/>
    <cellStyle name="Linked Cell 34 2 3 2 8" xfId="34861" xr:uid="{9F240039-C3E1-4896-85D5-A7924BDD9E6A}"/>
    <cellStyle name="Linked Cell 34 2 3 2 8 2" xfId="34862" xr:uid="{DBBC5B12-D9AA-4BC7-A9EE-A06BFE47AD82}"/>
    <cellStyle name="Linked Cell 34 2 3 2 8 2 2" xfId="34863" xr:uid="{78E62331-4386-45E8-B021-03200CC45643}"/>
    <cellStyle name="Linked Cell 34 2 3 2 8 3" xfId="34864" xr:uid="{6F861FF7-6A58-49E7-B46F-8BFB2FE9F84A}"/>
    <cellStyle name="Linked Cell 34 2 3 2 9" xfId="34865" xr:uid="{D2DF67C8-30DF-4565-955B-347A5D479D2B}"/>
    <cellStyle name="Linked Cell 34 2 3 2 9 2" xfId="34866" xr:uid="{7060F437-84CB-4DE9-8410-E5844F7AD2B2}"/>
    <cellStyle name="Linked Cell 34 2 3 2 9 2 2" xfId="34867" xr:uid="{1F321924-5169-4B78-9E3F-11489057E441}"/>
    <cellStyle name="Linked Cell 34 2 3 2 9 3" xfId="34868" xr:uid="{E8DA19BD-4BE4-4D27-82D5-C2F165537474}"/>
    <cellStyle name="Linked Cell 34 2 3 3" xfId="34869" xr:uid="{9836F0F4-8B8D-4448-948F-A0A408A60EE9}"/>
    <cellStyle name="Linked Cell 34 2 3 3 2" xfId="34870" xr:uid="{C05DCD68-950D-4B76-BA41-9709E000875D}"/>
    <cellStyle name="Linked Cell 34 2 3 3 2 2" xfId="34871" xr:uid="{42F635E6-4380-46B7-9C6B-C33D059DFCEA}"/>
    <cellStyle name="Linked Cell 34 2 3 3 3" xfId="34872" xr:uid="{AF8D5EB1-EB1B-4298-898A-4D9A1B42A84D}"/>
    <cellStyle name="Linked Cell 34 2 3 4" xfId="34873" xr:uid="{5561A7C8-8DE8-4AE3-AB6A-400E67075DFA}"/>
    <cellStyle name="Linked Cell 34 2 3 4 2" xfId="34874" xr:uid="{BAEB13BE-B131-4D3E-BDAB-3DECCB042A26}"/>
    <cellStyle name="Linked Cell 34 2 3 4 2 2" xfId="34875" xr:uid="{79657E99-D7D3-4667-8F3E-F4D9F2131B74}"/>
    <cellStyle name="Linked Cell 34 2 3 4 3" xfId="34876" xr:uid="{98593639-3455-419C-B214-BF08735832CB}"/>
    <cellStyle name="Linked Cell 34 2 3 5" xfId="34877" xr:uid="{C2DA5B37-984D-43B6-BA0E-D0B1B7DBFFED}"/>
    <cellStyle name="Linked Cell 34 2 3 5 2" xfId="34878" xr:uid="{13EBFAD2-1889-4F85-A92E-7613760AF5B1}"/>
    <cellStyle name="Linked Cell 34 2 3 5 2 2" xfId="34879" xr:uid="{8C146D15-374F-43D8-9693-15F32B7A2B05}"/>
    <cellStyle name="Linked Cell 34 2 3 5 3" xfId="34880" xr:uid="{6B227EEF-DEAD-484F-9E94-A40CBDB24AD0}"/>
    <cellStyle name="Linked Cell 34 2 3 6" xfId="34881" xr:uid="{AC8AAED5-E7BB-425D-BBB6-85F514585596}"/>
    <cellStyle name="Linked Cell 34 2 3 6 2" xfId="34882" xr:uid="{122D96AC-CD23-4181-BA44-A6C9A209A1B3}"/>
    <cellStyle name="Linked Cell 34 2 3 6 2 2" xfId="34883" xr:uid="{302ED237-FB8C-4116-8B4C-2DAA77D9F5BB}"/>
    <cellStyle name="Linked Cell 34 2 3 6 3" xfId="34884" xr:uid="{DC00EF0D-A719-43FC-A6B9-756763AD06B7}"/>
    <cellStyle name="Linked Cell 34 2 3 7" xfId="34885" xr:uid="{A4234372-71AD-4517-9951-2BAE31167612}"/>
    <cellStyle name="Linked Cell 34 2 3 7 2" xfId="34886" xr:uid="{C6BEE108-4E1E-40A5-8734-9440D36A3926}"/>
    <cellStyle name="Linked Cell 34 2 3 7 2 2" xfId="34887" xr:uid="{E5EE0B15-5839-4A9C-9550-857539497C23}"/>
    <cellStyle name="Linked Cell 34 2 3 7 3" xfId="34888" xr:uid="{B19D4DE3-320F-4077-92B7-16C128644506}"/>
    <cellStyle name="Linked Cell 34 2 3 8" xfId="34889" xr:uid="{FF610FAE-ED1A-44A2-94EE-E2275E80AE23}"/>
    <cellStyle name="Linked Cell 34 2 3 8 2" xfId="34890" xr:uid="{9EFABD0F-D4D6-4FF3-B30D-EC07ABA67240}"/>
    <cellStyle name="Linked Cell 34 2 3 8 2 2" xfId="34891" xr:uid="{E749B8A0-DCEF-45DB-A622-FBBE7C3B5AAC}"/>
    <cellStyle name="Linked Cell 34 2 3 8 3" xfId="34892" xr:uid="{ACA9CBA4-4173-458D-9D17-9B7FB085FD90}"/>
    <cellStyle name="Linked Cell 34 2 3 9" xfId="34893" xr:uid="{15C2FA0D-056B-4284-BF31-20ACFE2B9581}"/>
    <cellStyle name="Linked Cell 34 2 3 9 2" xfId="34894" xr:uid="{DF964FAF-0E2D-45D2-9442-F10444183881}"/>
    <cellStyle name="Linked Cell 34 2 3 9 2 2" xfId="34895" xr:uid="{5CCF4D1C-5642-46CB-814A-2CCA5B40B6AE}"/>
    <cellStyle name="Linked Cell 34 2 3 9 3" xfId="34896" xr:uid="{28150049-0ED4-47B4-BC74-C7A37D473A4D}"/>
    <cellStyle name="Linked Cell 34 2 4" xfId="34897" xr:uid="{6F5D1EB1-0907-4829-AFE5-CE08F3C0C874}"/>
    <cellStyle name="Linked Cell 34 2 4 10" xfId="34898" xr:uid="{44EB9A40-2D63-449C-A25D-F5AC2B22B153}"/>
    <cellStyle name="Linked Cell 34 2 4 10 2" xfId="34899" xr:uid="{EB5B94B7-B968-4431-825D-5892C53A6127}"/>
    <cellStyle name="Linked Cell 34 2 4 11" xfId="34900" xr:uid="{087571E6-0671-47F9-9B1F-0C46A786FDBA}"/>
    <cellStyle name="Linked Cell 34 2 4 2" xfId="34901" xr:uid="{F1B92DD3-1541-4278-B982-7ACE189A805C}"/>
    <cellStyle name="Linked Cell 34 2 4 2 2" xfId="34902" xr:uid="{870F686B-7FC8-4438-8672-30729292295A}"/>
    <cellStyle name="Linked Cell 34 2 4 2 2 2" xfId="34903" xr:uid="{8A303922-904B-4C3C-8292-70EAA6317226}"/>
    <cellStyle name="Linked Cell 34 2 4 2 3" xfId="34904" xr:uid="{9AF61191-072D-48BD-982C-A6EF3FD92D01}"/>
    <cellStyle name="Linked Cell 34 2 4 3" xfId="34905" xr:uid="{46CB5A50-8B84-4BE8-B22D-1727F773CE24}"/>
    <cellStyle name="Linked Cell 34 2 4 3 2" xfId="34906" xr:uid="{EEF7783A-31D4-4B81-933F-1C65CB7FA2D7}"/>
    <cellStyle name="Linked Cell 34 2 4 3 2 2" xfId="34907" xr:uid="{33541857-CFCF-49FA-ABC8-2C2662173525}"/>
    <cellStyle name="Linked Cell 34 2 4 3 3" xfId="34908" xr:uid="{045ECE5B-1705-45F5-8911-22B27A6EADC5}"/>
    <cellStyle name="Linked Cell 34 2 4 4" xfId="34909" xr:uid="{E4F61FE3-290A-4525-9E2E-58A30322FD5F}"/>
    <cellStyle name="Linked Cell 34 2 4 4 2" xfId="34910" xr:uid="{FBF95376-D428-4BC7-BC16-B58235684D93}"/>
    <cellStyle name="Linked Cell 34 2 4 4 2 2" xfId="34911" xr:uid="{520E22AD-050A-41CE-B535-A8E2626B9902}"/>
    <cellStyle name="Linked Cell 34 2 4 4 3" xfId="34912" xr:uid="{CD5AEFA2-D18E-4763-B5FE-F486C6B55FDC}"/>
    <cellStyle name="Linked Cell 34 2 4 5" xfId="34913" xr:uid="{CDE4FE53-56B0-4BA2-8A6E-5AF92C1360C1}"/>
    <cellStyle name="Linked Cell 34 2 4 5 2" xfId="34914" xr:uid="{3BFC903F-4DB9-4807-B47A-C749141BB93F}"/>
    <cellStyle name="Linked Cell 34 2 4 5 2 2" xfId="34915" xr:uid="{212872D5-196E-419E-9984-19D84F1EAFD8}"/>
    <cellStyle name="Linked Cell 34 2 4 5 3" xfId="34916" xr:uid="{17425BAD-3CE1-4A71-A309-30D858BCAD2F}"/>
    <cellStyle name="Linked Cell 34 2 4 6" xfId="34917" xr:uid="{F48A778B-FA9E-4659-866A-092A4E49B6F2}"/>
    <cellStyle name="Linked Cell 34 2 4 6 2" xfId="34918" xr:uid="{E6AC1594-24CA-422B-8CDE-6A5554C4563C}"/>
    <cellStyle name="Linked Cell 34 2 4 6 2 2" xfId="34919" xr:uid="{FD663F60-46E3-4C3E-9518-22F9BD8A3653}"/>
    <cellStyle name="Linked Cell 34 2 4 6 3" xfId="34920" xr:uid="{0F235569-8F19-440E-B8CE-1857D051B972}"/>
    <cellStyle name="Linked Cell 34 2 4 7" xfId="34921" xr:uid="{B7CBC0E2-13D1-4097-8DDC-34CD559D8F2C}"/>
    <cellStyle name="Linked Cell 34 2 4 7 2" xfId="34922" xr:uid="{F9CA21E4-81AE-49BD-9B0A-A6D6B5277F19}"/>
    <cellStyle name="Linked Cell 34 2 4 7 2 2" xfId="34923" xr:uid="{40516507-E9AC-4E0A-8F84-FF1E7475DBE5}"/>
    <cellStyle name="Linked Cell 34 2 4 7 3" xfId="34924" xr:uid="{7E60D5FD-2A31-4993-B91F-1205D20FDEAB}"/>
    <cellStyle name="Linked Cell 34 2 4 8" xfId="34925" xr:uid="{C06A08D0-E936-4B7B-A1C3-3E93F4AF2AE2}"/>
    <cellStyle name="Linked Cell 34 2 4 8 2" xfId="34926" xr:uid="{291C8798-F7FE-4B34-8821-8BA6EFAC76D0}"/>
    <cellStyle name="Linked Cell 34 2 4 8 2 2" xfId="34927" xr:uid="{5D488A2F-799D-4078-9D90-1323242F8B5C}"/>
    <cellStyle name="Linked Cell 34 2 4 8 3" xfId="34928" xr:uid="{3C360B69-8ECE-4A68-8535-4298EEB553DA}"/>
    <cellStyle name="Linked Cell 34 2 4 9" xfId="34929" xr:uid="{05107642-7608-4861-BE4F-3CEEB5451ED1}"/>
    <cellStyle name="Linked Cell 34 2 4 9 2" xfId="34930" xr:uid="{9BD4D01A-B565-48C1-BFE3-3E8686017667}"/>
    <cellStyle name="Linked Cell 34 2 4 9 2 2" xfId="34931" xr:uid="{DDB4831A-6BC1-4BDA-97E2-C7CDB8119E63}"/>
    <cellStyle name="Linked Cell 34 2 4 9 3" xfId="34932" xr:uid="{4303D492-0F98-4068-AEC0-FB868DEF2160}"/>
    <cellStyle name="Linked Cell 34 2 5" xfId="34933" xr:uid="{DD6BA59C-6A7E-4BD4-B114-A66071CF9A7F}"/>
    <cellStyle name="Linked Cell 34 2 5 2" xfId="34934" xr:uid="{8F124E6E-EBFD-4815-BB0E-D5714934E59B}"/>
    <cellStyle name="Linked Cell 34 2 5 2 2" xfId="34935" xr:uid="{C6213BDA-35C5-4569-9D34-2311AE75D9C0}"/>
    <cellStyle name="Linked Cell 34 2 5 3" xfId="34936" xr:uid="{F4FA5EEC-837C-40E0-B6CC-6C596A02E76A}"/>
    <cellStyle name="Linked Cell 34 2 6" xfId="34937" xr:uid="{D150860B-31D6-48FF-B9D0-299D81FBDC01}"/>
    <cellStyle name="Linked Cell 34 2 6 2" xfId="34938" xr:uid="{D6CC2D84-0823-4234-AD20-E926FD66AB52}"/>
    <cellStyle name="Linked Cell 34 2 6 2 2" xfId="34939" xr:uid="{8C9C3C9A-B46E-4D86-BCF3-1A41C8B44C2D}"/>
    <cellStyle name="Linked Cell 34 2 6 3" xfId="34940" xr:uid="{4C098BA9-D112-40EF-A483-710A0519F955}"/>
    <cellStyle name="Linked Cell 34 2 7" xfId="34941" xr:uid="{A4C2BDFA-F77F-416F-BF78-0124B731FE36}"/>
    <cellStyle name="Linked Cell 34 2 7 2" xfId="34942" xr:uid="{568E4498-5416-4F3F-A8D2-61873707352B}"/>
    <cellStyle name="Linked Cell 34 2 7 2 2" xfId="34943" xr:uid="{1B749A12-BB2A-406F-B330-8A6A4CDA6468}"/>
    <cellStyle name="Linked Cell 34 2 7 3" xfId="34944" xr:uid="{8DF5C5BA-D6DE-4C5C-9D57-E95EA7E25098}"/>
    <cellStyle name="Linked Cell 34 2 8" xfId="34945" xr:uid="{1A1E8B31-559F-4810-9A25-A67896185BB1}"/>
    <cellStyle name="Linked Cell 34 2 8 2" xfId="34946" xr:uid="{5C67AD1B-5C3E-4482-9EF5-B7920E188ABE}"/>
    <cellStyle name="Linked Cell 34 2 8 2 2" xfId="34947" xr:uid="{0C35A5B2-0D30-4BAE-96D8-95AB25F17E5C}"/>
    <cellStyle name="Linked Cell 34 2 8 3" xfId="34948" xr:uid="{F4A09C06-2C32-4E24-AF5B-63B384305EE2}"/>
    <cellStyle name="Linked Cell 34 2 9" xfId="34949" xr:uid="{2AB00A13-B876-4C07-B1F4-91C0ECAC777B}"/>
    <cellStyle name="Linked Cell 34 2 9 2" xfId="34950" xr:uid="{992B23A8-79AB-4B97-9D7E-DB8FD5A4DA27}"/>
    <cellStyle name="Linked Cell 34 2 9 2 2" xfId="34951" xr:uid="{EEF146ED-2E46-4A8E-99D4-41D611AC61E5}"/>
    <cellStyle name="Linked Cell 34 2 9 3" xfId="34952" xr:uid="{5463F599-6093-42BE-A0EE-4B54421B4565}"/>
    <cellStyle name="Linked Cell 34 3" xfId="34953" xr:uid="{B92DDEB9-F0FA-478D-99CC-29C6B245BD51}"/>
    <cellStyle name="Linked Cell 34 3 10" xfId="34954" xr:uid="{5E0ED2A3-EF01-4EFD-917B-F6925A966DCA}"/>
    <cellStyle name="Linked Cell 34 3 10 2" xfId="34955" xr:uid="{45657DAD-403C-4996-9C7B-03731367003D}"/>
    <cellStyle name="Linked Cell 34 3 10 2 2" xfId="34956" xr:uid="{4EAF7FCC-68C6-4082-9E1B-2DC4D9C5E160}"/>
    <cellStyle name="Linked Cell 34 3 10 3" xfId="34957" xr:uid="{8265BD89-1BFC-4882-9221-626FA7E82662}"/>
    <cellStyle name="Linked Cell 34 3 11" xfId="34958" xr:uid="{49E9A854-1B5F-4661-99C9-B2D142FB6109}"/>
    <cellStyle name="Linked Cell 34 3 11 2" xfId="34959" xr:uid="{17B7CD6F-143A-41CE-B092-613E92B1C7CD}"/>
    <cellStyle name="Linked Cell 34 3 11 2 2" xfId="34960" xr:uid="{2C829B11-351E-422A-BB59-734A2BB056EE}"/>
    <cellStyle name="Linked Cell 34 3 11 3" xfId="34961" xr:uid="{7419E9F1-999B-4680-936A-ADC53BA86EC1}"/>
    <cellStyle name="Linked Cell 34 3 12" xfId="34962" xr:uid="{A06D47AA-B0EF-4824-B1DB-7A7C68172A88}"/>
    <cellStyle name="Linked Cell 34 3 12 2" xfId="34963" xr:uid="{E5D85091-013A-4261-821D-6A9FD8B15B5F}"/>
    <cellStyle name="Linked Cell 34 3 13" xfId="34964" xr:uid="{6789BB31-8FD0-47EE-9D25-B6127BE2265E}"/>
    <cellStyle name="Linked Cell 34 3 2" xfId="34965" xr:uid="{3B7FAB2B-5BE0-420F-9C3A-14F31079FBBC}"/>
    <cellStyle name="Linked Cell 34 3 2 10" xfId="34966" xr:uid="{34DE0895-A77A-4067-99C9-62D3CB8046C7}"/>
    <cellStyle name="Linked Cell 34 3 2 10 2" xfId="34967" xr:uid="{56DEEAC6-D356-4693-AD59-B139FB89551E}"/>
    <cellStyle name="Linked Cell 34 3 2 10 2 2" xfId="34968" xr:uid="{426A9D55-50F4-4FBC-B504-619F18B6FADB}"/>
    <cellStyle name="Linked Cell 34 3 2 10 3" xfId="34969" xr:uid="{DA43CC07-76F9-4F97-A143-2BFB54663BB4}"/>
    <cellStyle name="Linked Cell 34 3 2 11" xfId="34970" xr:uid="{33E85A6D-94A2-4729-A544-4EB4F7ECECB6}"/>
    <cellStyle name="Linked Cell 34 3 2 11 2" xfId="34971" xr:uid="{FF4A13C5-1985-4D84-A758-B0A76A44DB57}"/>
    <cellStyle name="Linked Cell 34 3 2 12" xfId="34972" xr:uid="{1191144D-21FE-47B1-B7AB-2432A1347602}"/>
    <cellStyle name="Linked Cell 34 3 2 2" xfId="34973" xr:uid="{F47AA61C-950A-4005-9E03-A2FA51AC7F1F}"/>
    <cellStyle name="Linked Cell 34 3 2 2 2" xfId="34974" xr:uid="{CC603DB1-CAA5-4C09-B304-2D7F1EB9308B}"/>
    <cellStyle name="Linked Cell 34 3 2 2 2 2" xfId="34975" xr:uid="{038840E1-CFD2-4F8E-8959-28018ED257B8}"/>
    <cellStyle name="Linked Cell 34 3 2 2 3" xfId="34976" xr:uid="{556FB74A-2ADE-4EAD-A271-BD2670DDF5F4}"/>
    <cellStyle name="Linked Cell 34 3 2 3" xfId="34977" xr:uid="{573D839D-05B3-4228-91C6-E97FD4BEBFC8}"/>
    <cellStyle name="Linked Cell 34 3 2 3 2" xfId="34978" xr:uid="{76E0B0CA-3DDC-4DAA-B0C6-9967ECB16CDE}"/>
    <cellStyle name="Linked Cell 34 3 2 3 2 2" xfId="34979" xr:uid="{AAB94AC8-EC9D-46B6-9D1C-A3E5565A9B0A}"/>
    <cellStyle name="Linked Cell 34 3 2 3 3" xfId="34980" xr:uid="{765005F7-4892-44D3-A2F1-A9FDB277F009}"/>
    <cellStyle name="Linked Cell 34 3 2 4" xfId="34981" xr:uid="{F2CAEA16-4F9A-4098-8180-DF8FF47555D2}"/>
    <cellStyle name="Linked Cell 34 3 2 4 2" xfId="34982" xr:uid="{2B3709F3-9ADC-40C4-A79B-6C17C2DF0FE4}"/>
    <cellStyle name="Linked Cell 34 3 2 4 2 2" xfId="34983" xr:uid="{5842D44F-6421-42B8-B49D-7A86A209C903}"/>
    <cellStyle name="Linked Cell 34 3 2 4 3" xfId="34984" xr:uid="{E0C4968F-1258-4C3A-B00F-2B92150B0FE5}"/>
    <cellStyle name="Linked Cell 34 3 2 5" xfId="34985" xr:uid="{7B7773EB-67BA-4B91-A813-03B684CB424D}"/>
    <cellStyle name="Linked Cell 34 3 2 5 2" xfId="34986" xr:uid="{FA94CF30-7A20-4448-A0FB-50C811179EFE}"/>
    <cellStyle name="Linked Cell 34 3 2 5 2 2" xfId="34987" xr:uid="{18BFFDBD-9D2F-44A0-B2C7-18231E8D2D46}"/>
    <cellStyle name="Linked Cell 34 3 2 5 3" xfId="34988" xr:uid="{D0E0B54D-F804-4FCD-A8D6-F1C6FC1D9516}"/>
    <cellStyle name="Linked Cell 34 3 2 6" xfId="34989" xr:uid="{1AAA32F7-E6FD-49F2-842C-26EC4329E61E}"/>
    <cellStyle name="Linked Cell 34 3 2 6 2" xfId="34990" xr:uid="{63C85651-2470-48AC-A1D7-56E5B091B73F}"/>
    <cellStyle name="Linked Cell 34 3 2 6 2 2" xfId="34991" xr:uid="{D8F9EB95-44FD-4011-ADA4-5AF716151C3B}"/>
    <cellStyle name="Linked Cell 34 3 2 6 3" xfId="34992" xr:uid="{E6CFF477-32D4-4F20-896F-27B4507EB3E5}"/>
    <cellStyle name="Linked Cell 34 3 2 7" xfId="34993" xr:uid="{9F63AD81-589E-4AE3-BF20-8A6A865D11D6}"/>
    <cellStyle name="Linked Cell 34 3 2 7 2" xfId="34994" xr:uid="{4DF843D8-1FB2-4DFA-9FEA-C469DB3D467B}"/>
    <cellStyle name="Linked Cell 34 3 2 7 2 2" xfId="34995" xr:uid="{632D6338-DB15-4F70-8546-B22BA8899AE8}"/>
    <cellStyle name="Linked Cell 34 3 2 7 3" xfId="34996" xr:uid="{F9063246-F218-4E45-99BE-D14FE168E37F}"/>
    <cellStyle name="Linked Cell 34 3 2 8" xfId="34997" xr:uid="{F2CF97DB-761D-40BB-A276-E109A024E5CA}"/>
    <cellStyle name="Linked Cell 34 3 2 8 2" xfId="34998" xr:uid="{34E090AE-C9CB-4ACB-B0EE-7A072901C0FB}"/>
    <cellStyle name="Linked Cell 34 3 2 8 2 2" xfId="34999" xr:uid="{F3EB8430-98E5-405E-BB57-537DC6D65C05}"/>
    <cellStyle name="Linked Cell 34 3 2 8 3" xfId="35000" xr:uid="{6C5DACEC-5E32-4B02-A229-864E9FEEB6A3}"/>
    <cellStyle name="Linked Cell 34 3 2 9" xfId="35001" xr:uid="{9D17BD78-7980-436C-A45D-76285F5992EF}"/>
    <cellStyle name="Linked Cell 34 3 2 9 2" xfId="35002" xr:uid="{4F593086-5EF1-429E-A136-6500A445264C}"/>
    <cellStyle name="Linked Cell 34 3 2 9 2 2" xfId="35003" xr:uid="{A33FCCB0-F78C-4C06-95F3-28742FBEAE6E}"/>
    <cellStyle name="Linked Cell 34 3 2 9 3" xfId="35004" xr:uid="{F41C0CA7-9EDB-4667-B636-2A7EAECDD6C7}"/>
    <cellStyle name="Linked Cell 34 3 3" xfId="35005" xr:uid="{A7C0B231-553E-4FA1-8C34-C676DA685852}"/>
    <cellStyle name="Linked Cell 34 3 3 10" xfId="35006" xr:uid="{33B4069C-BCA5-477B-9634-DF7C91669B6C}"/>
    <cellStyle name="Linked Cell 34 3 3 10 2" xfId="35007" xr:uid="{299FA86F-DE7C-47F6-98B5-10AD18B08B24}"/>
    <cellStyle name="Linked Cell 34 3 3 11" xfId="35008" xr:uid="{5A62D7DE-BBCA-48D6-97D0-8D99143DC29A}"/>
    <cellStyle name="Linked Cell 34 3 3 2" xfId="35009" xr:uid="{4DC17480-4217-4B36-97BD-E396A427339C}"/>
    <cellStyle name="Linked Cell 34 3 3 2 2" xfId="35010" xr:uid="{D1329789-5602-453E-88AF-5F24F33BEF2B}"/>
    <cellStyle name="Linked Cell 34 3 3 2 2 2" xfId="35011" xr:uid="{7F7152E8-C253-400C-9B8F-D5434FF3558F}"/>
    <cellStyle name="Linked Cell 34 3 3 2 3" xfId="35012" xr:uid="{A76AAC46-B9E5-403B-BBCD-75B254466BDD}"/>
    <cellStyle name="Linked Cell 34 3 3 3" xfId="35013" xr:uid="{7398033F-6186-44A2-A924-8E8AF4015C98}"/>
    <cellStyle name="Linked Cell 34 3 3 3 2" xfId="35014" xr:uid="{9CFCDA67-3800-4653-9D5F-DF4811026470}"/>
    <cellStyle name="Linked Cell 34 3 3 3 2 2" xfId="35015" xr:uid="{704E2F29-F792-4727-BCE0-DA4756B5EDB8}"/>
    <cellStyle name="Linked Cell 34 3 3 3 3" xfId="35016" xr:uid="{16A9C5CC-AB59-4C48-8797-6833E82536B1}"/>
    <cellStyle name="Linked Cell 34 3 3 4" xfId="35017" xr:uid="{9E918A08-95FD-43E2-906A-751F571BEAAC}"/>
    <cellStyle name="Linked Cell 34 3 3 4 2" xfId="35018" xr:uid="{14AE2E9C-3222-494C-8D1A-64EF700960C6}"/>
    <cellStyle name="Linked Cell 34 3 3 4 2 2" xfId="35019" xr:uid="{A26A55C5-BE95-48A1-97B4-1E7C448D460C}"/>
    <cellStyle name="Linked Cell 34 3 3 4 3" xfId="35020" xr:uid="{F62F07C0-2E21-4CCC-92CD-E75B9CAD143D}"/>
    <cellStyle name="Linked Cell 34 3 3 5" xfId="35021" xr:uid="{EAD71204-92B7-4DC8-BDDE-FBF187987880}"/>
    <cellStyle name="Linked Cell 34 3 3 5 2" xfId="35022" xr:uid="{67CCA501-C420-4B71-A7D2-FFBEA8B144F7}"/>
    <cellStyle name="Linked Cell 34 3 3 5 2 2" xfId="35023" xr:uid="{310D9D5F-7D49-453D-98FA-B5625D7070C9}"/>
    <cellStyle name="Linked Cell 34 3 3 5 3" xfId="35024" xr:uid="{BFF05790-E0DD-4E76-B328-97B080169711}"/>
    <cellStyle name="Linked Cell 34 3 3 6" xfId="35025" xr:uid="{0EA927AE-B8C2-4884-9D89-78E67C0B4940}"/>
    <cellStyle name="Linked Cell 34 3 3 6 2" xfId="35026" xr:uid="{55244246-5EFD-42FF-9314-FA23619332E9}"/>
    <cellStyle name="Linked Cell 34 3 3 6 2 2" xfId="35027" xr:uid="{D64E46A1-F924-4B31-85CF-02144D82A3AC}"/>
    <cellStyle name="Linked Cell 34 3 3 6 3" xfId="35028" xr:uid="{96EE8CC7-B12E-4B0E-AAF9-715BF5C0D939}"/>
    <cellStyle name="Linked Cell 34 3 3 7" xfId="35029" xr:uid="{956534BF-63BD-477D-A7A4-B1CA6FA1B68F}"/>
    <cellStyle name="Linked Cell 34 3 3 7 2" xfId="35030" xr:uid="{8891FE77-CC6E-47A4-A4B2-507225E7F3BA}"/>
    <cellStyle name="Linked Cell 34 3 3 7 2 2" xfId="35031" xr:uid="{D0F53DF2-0FB8-477B-A5BC-8C29A265F7D8}"/>
    <cellStyle name="Linked Cell 34 3 3 7 3" xfId="35032" xr:uid="{94105CE6-4439-474A-8779-0AC502D27AC9}"/>
    <cellStyle name="Linked Cell 34 3 3 8" xfId="35033" xr:uid="{778DA621-AF5B-4F74-8CFA-273FAC558DC3}"/>
    <cellStyle name="Linked Cell 34 3 3 8 2" xfId="35034" xr:uid="{4E23E803-4623-4C66-A9C9-0EEBB161D982}"/>
    <cellStyle name="Linked Cell 34 3 3 8 2 2" xfId="35035" xr:uid="{7F912997-C9A7-4B6E-B44F-35D418B86869}"/>
    <cellStyle name="Linked Cell 34 3 3 8 3" xfId="35036" xr:uid="{731DA049-AFB6-4E71-BD4E-A83641707751}"/>
    <cellStyle name="Linked Cell 34 3 3 9" xfId="35037" xr:uid="{40E69769-7311-41B4-B265-AE43AFA03F94}"/>
    <cellStyle name="Linked Cell 34 3 3 9 2" xfId="35038" xr:uid="{FF0A05DC-E079-4BE4-AA26-A1BD43EC3D46}"/>
    <cellStyle name="Linked Cell 34 3 3 9 2 2" xfId="35039" xr:uid="{E89AFB82-5018-4BC4-807B-AC88EA72741A}"/>
    <cellStyle name="Linked Cell 34 3 3 9 3" xfId="35040" xr:uid="{87E89605-133A-4C4C-9FEF-E13FA2852DFD}"/>
    <cellStyle name="Linked Cell 34 3 4" xfId="35041" xr:uid="{70233BA5-0E60-4AEA-A1E7-D827B0C25F3C}"/>
    <cellStyle name="Linked Cell 34 3 4 2" xfId="35042" xr:uid="{BF955877-9ED8-4C75-B0CC-3A76E3B9334D}"/>
    <cellStyle name="Linked Cell 34 3 4 2 2" xfId="35043" xr:uid="{1D70A168-898C-47D8-BF55-01922419AEE1}"/>
    <cellStyle name="Linked Cell 34 3 4 3" xfId="35044" xr:uid="{61E10035-2701-4609-845A-AE625689F7B9}"/>
    <cellStyle name="Linked Cell 34 3 5" xfId="35045" xr:uid="{8C60FC7E-1355-4542-8C26-18F6FD6DF624}"/>
    <cellStyle name="Linked Cell 34 3 5 2" xfId="35046" xr:uid="{A3594173-1565-40C0-96AE-122C4E872CFA}"/>
    <cellStyle name="Linked Cell 34 3 5 2 2" xfId="35047" xr:uid="{730C79E1-ABA0-4BCF-BB9D-E794A0F32179}"/>
    <cellStyle name="Linked Cell 34 3 5 3" xfId="35048" xr:uid="{B7F6DEFF-0F21-4FD0-9A64-F5F5CCF82A5A}"/>
    <cellStyle name="Linked Cell 34 3 6" xfId="35049" xr:uid="{83B6827A-294D-41B1-B350-90D6F7C167A0}"/>
    <cellStyle name="Linked Cell 34 3 6 2" xfId="35050" xr:uid="{E403540A-0D14-4ABA-A97B-915D0A496F55}"/>
    <cellStyle name="Linked Cell 34 3 6 2 2" xfId="35051" xr:uid="{76A5AE40-844F-4DC8-B6F2-4975AC0F070B}"/>
    <cellStyle name="Linked Cell 34 3 6 3" xfId="35052" xr:uid="{FCFEF8A8-636E-4248-A030-036B34D8279F}"/>
    <cellStyle name="Linked Cell 34 3 7" xfId="35053" xr:uid="{081AFCFB-F81C-47F4-8C59-6D5E3429B248}"/>
    <cellStyle name="Linked Cell 34 3 7 2" xfId="35054" xr:uid="{73AE74F1-38AC-4A12-AB4F-5C8BEAA92897}"/>
    <cellStyle name="Linked Cell 34 3 7 2 2" xfId="35055" xr:uid="{C85F0773-ACBF-4D1D-85AE-8244B57BB111}"/>
    <cellStyle name="Linked Cell 34 3 7 3" xfId="35056" xr:uid="{EAB89612-D007-42EC-AD3A-F70FB2679806}"/>
    <cellStyle name="Linked Cell 34 3 8" xfId="35057" xr:uid="{9E16068B-A271-4292-95F8-E3A27500F38B}"/>
    <cellStyle name="Linked Cell 34 3 8 2" xfId="35058" xr:uid="{BF219A94-9787-4AF3-A130-C8DD11CBFF19}"/>
    <cellStyle name="Linked Cell 34 3 8 2 2" xfId="35059" xr:uid="{37B90B97-B6AA-4D75-B433-1A36A84F8D45}"/>
    <cellStyle name="Linked Cell 34 3 8 3" xfId="35060" xr:uid="{F865E721-A66C-4DEF-81F1-0AE0A3403A3B}"/>
    <cellStyle name="Linked Cell 34 3 9" xfId="35061" xr:uid="{2872D472-9AFA-4DCD-9A2C-A0E4471C1E76}"/>
    <cellStyle name="Linked Cell 34 3 9 2" xfId="35062" xr:uid="{7825C68F-E2F0-4458-ADBD-3DF4AD45D08B}"/>
    <cellStyle name="Linked Cell 34 3 9 2 2" xfId="35063" xr:uid="{B1F68A4F-889D-4B11-92B1-ADA02FE859DB}"/>
    <cellStyle name="Linked Cell 34 3 9 3" xfId="35064" xr:uid="{D453799E-B139-43C7-8843-4D7B72DE0C7F}"/>
    <cellStyle name="Linked Cell 34 4" xfId="35065" xr:uid="{5AEDC535-2183-4C54-B727-B36109E7E6F8}"/>
    <cellStyle name="Linked Cell 34 4 10" xfId="35066" xr:uid="{7D299A9B-071E-4B34-B60F-A0E6369FBDA3}"/>
    <cellStyle name="Linked Cell 34 4 10 2" xfId="35067" xr:uid="{FBB34EB6-08BC-4740-A75A-1F82D1DAE33C}"/>
    <cellStyle name="Linked Cell 34 4 10 2 2" xfId="35068" xr:uid="{26247154-D8CA-4D9E-947E-649FF0F57303}"/>
    <cellStyle name="Linked Cell 34 4 10 3" xfId="35069" xr:uid="{646DF9CA-A49D-4B76-BEC4-2A963801740B}"/>
    <cellStyle name="Linked Cell 34 4 11" xfId="35070" xr:uid="{D713089E-DFBB-40D4-8432-7F61EF986082}"/>
    <cellStyle name="Linked Cell 34 4 11 2" xfId="35071" xr:uid="{D7AF25B4-B18A-4A62-A9FB-8A89CA48A9BD}"/>
    <cellStyle name="Linked Cell 34 4 12" xfId="35072" xr:uid="{9F14E292-ED21-43A4-98A0-09542FAE09E3}"/>
    <cellStyle name="Linked Cell 34 4 2" xfId="35073" xr:uid="{12F3189E-FE98-40F6-A5CC-1479D651CCDE}"/>
    <cellStyle name="Linked Cell 34 4 2 10" xfId="35074" xr:uid="{E6592AEA-48B0-452F-96AA-FB5480214A2B}"/>
    <cellStyle name="Linked Cell 34 4 2 10 2" xfId="35075" xr:uid="{F253680B-7793-4AE5-A466-20F7C20A9638}"/>
    <cellStyle name="Linked Cell 34 4 2 11" xfId="35076" xr:uid="{384760F5-705A-4325-BAAD-60CA73B5112F}"/>
    <cellStyle name="Linked Cell 34 4 2 2" xfId="35077" xr:uid="{3C2FF4BB-80A6-49E5-9EE6-F67941340DAA}"/>
    <cellStyle name="Linked Cell 34 4 2 2 2" xfId="35078" xr:uid="{40685A40-CE08-4C57-9154-1AE10D323EDB}"/>
    <cellStyle name="Linked Cell 34 4 2 2 2 2" xfId="35079" xr:uid="{5F37229A-37BA-4DBA-B0AA-DEBF78D36CB7}"/>
    <cellStyle name="Linked Cell 34 4 2 2 3" xfId="35080" xr:uid="{FC16883A-2C2E-4278-BE58-D659FE142B17}"/>
    <cellStyle name="Linked Cell 34 4 2 3" xfId="35081" xr:uid="{8F048237-A687-4093-A0D0-1CD7A1E9B007}"/>
    <cellStyle name="Linked Cell 34 4 2 3 2" xfId="35082" xr:uid="{EBE54F03-AD4B-49E1-8173-86D744313B0F}"/>
    <cellStyle name="Linked Cell 34 4 2 3 2 2" xfId="35083" xr:uid="{5A1F9F24-72A3-4D11-BB2C-B861F6876D41}"/>
    <cellStyle name="Linked Cell 34 4 2 3 3" xfId="35084" xr:uid="{24004320-BB38-464B-A88C-9E7790B93E14}"/>
    <cellStyle name="Linked Cell 34 4 2 4" xfId="35085" xr:uid="{E960F7A1-1554-4719-99BC-F117E7CDF80C}"/>
    <cellStyle name="Linked Cell 34 4 2 4 2" xfId="35086" xr:uid="{CFDC72C2-5DA3-407E-A2ED-B76D944CB1B4}"/>
    <cellStyle name="Linked Cell 34 4 2 4 2 2" xfId="35087" xr:uid="{6B58194A-7B78-4FB1-A23D-B994A04FC9E4}"/>
    <cellStyle name="Linked Cell 34 4 2 4 3" xfId="35088" xr:uid="{325003CE-93AB-402A-AF16-3F9A76A6D7B2}"/>
    <cellStyle name="Linked Cell 34 4 2 5" xfId="35089" xr:uid="{48EDEF6B-49C7-487A-A099-8519C60DCAF3}"/>
    <cellStyle name="Linked Cell 34 4 2 5 2" xfId="35090" xr:uid="{8FC393C4-EF52-4188-ADFA-FA0192CAAB85}"/>
    <cellStyle name="Linked Cell 34 4 2 5 2 2" xfId="35091" xr:uid="{5E6D7483-C9D6-4240-8DAC-D2ECEFB12BC5}"/>
    <cellStyle name="Linked Cell 34 4 2 5 3" xfId="35092" xr:uid="{A26E49B4-F199-4B6C-9F64-C4299888FFFA}"/>
    <cellStyle name="Linked Cell 34 4 2 6" xfId="35093" xr:uid="{2C0F69C7-9336-45D0-8C27-F99DFA56FD68}"/>
    <cellStyle name="Linked Cell 34 4 2 6 2" xfId="35094" xr:uid="{A43E4E7B-D822-470A-88B6-67BC7127BC9B}"/>
    <cellStyle name="Linked Cell 34 4 2 6 2 2" xfId="35095" xr:uid="{C081A632-9065-41BA-AC4A-7168C42960B8}"/>
    <cellStyle name="Linked Cell 34 4 2 6 3" xfId="35096" xr:uid="{A2B85268-B7F3-42A2-8300-60BE2D69EC06}"/>
    <cellStyle name="Linked Cell 34 4 2 7" xfId="35097" xr:uid="{D9B9461C-9CCF-4283-B5FE-BFAF877EB2AA}"/>
    <cellStyle name="Linked Cell 34 4 2 7 2" xfId="35098" xr:uid="{A2E9AF3E-2819-4790-AFEC-5313D7366903}"/>
    <cellStyle name="Linked Cell 34 4 2 7 2 2" xfId="35099" xr:uid="{133D615A-4B4B-4262-8E6B-7E27520460BE}"/>
    <cellStyle name="Linked Cell 34 4 2 7 3" xfId="35100" xr:uid="{702DA7CA-4BE2-430B-9730-81CBA0E7ED7F}"/>
    <cellStyle name="Linked Cell 34 4 2 8" xfId="35101" xr:uid="{F3BC5775-8B55-41A7-9601-9EEA2C4C984A}"/>
    <cellStyle name="Linked Cell 34 4 2 8 2" xfId="35102" xr:uid="{F35E6F8F-D2BC-4BFB-8238-42C096E02EB9}"/>
    <cellStyle name="Linked Cell 34 4 2 8 2 2" xfId="35103" xr:uid="{510C6EA9-4ABD-4324-A46C-A1D68CDF8AD8}"/>
    <cellStyle name="Linked Cell 34 4 2 8 3" xfId="35104" xr:uid="{1B0A4641-AD7A-4B90-B8A3-0776B032752B}"/>
    <cellStyle name="Linked Cell 34 4 2 9" xfId="35105" xr:uid="{8EBD4CDF-8DB7-4AE1-9456-D8F701D0EF65}"/>
    <cellStyle name="Linked Cell 34 4 2 9 2" xfId="35106" xr:uid="{4247E0A2-7F35-405C-83DD-E523A1212A7D}"/>
    <cellStyle name="Linked Cell 34 4 2 9 2 2" xfId="35107" xr:uid="{0B82FC44-574D-4C13-A098-D82C56ABE2FD}"/>
    <cellStyle name="Linked Cell 34 4 2 9 3" xfId="35108" xr:uid="{FA63FB5E-4BF0-43FC-9613-01335DCD90B7}"/>
    <cellStyle name="Linked Cell 34 4 3" xfId="35109" xr:uid="{82702CFA-2D98-4849-9EC3-A5349A7B007A}"/>
    <cellStyle name="Linked Cell 34 4 3 2" xfId="35110" xr:uid="{BC6E3560-D849-45B2-A558-AB4FAE28DAF2}"/>
    <cellStyle name="Linked Cell 34 4 3 2 2" xfId="35111" xr:uid="{1E0BD761-123B-4593-9FC5-47BB08A0602B}"/>
    <cellStyle name="Linked Cell 34 4 3 3" xfId="35112" xr:uid="{27D5E57D-A6F2-4F42-A6E7-EEA60658C3F8}"/>
    <cellStyle name="Linked Cell 34 4 4" xfId="35113" xr:uid="{E8F822F3-D213-4FD1-BD77-E9DC7462E802}"/>
    <cellStyle name="Linked Cell 34 4 4 2" xfId="35114" xr:uid="{F57F13A2-990C-4C29-8A6D-6DDFE6BA9FFC}"/>
    <cellStyle name="Linked Cell 34 4 4 2 2" xfId="35115" xr:uid="{32406831-6219-4C6B-8B79-82044B996DCC}"/>
    <cellStyle name="Linked Cell 34 4 4 3" xfId="35116" xr:uid="{738F14C9-FF95-47CD-AEC0-AABB32AA4B97}"/>
    <cellStyle name="Linked Cell 34 4 5" xfId="35117" xr:uid="{11DFF86C-2D36-46F6-AF10-202459335B7F}"/>
    <cellStyle name="Linked Cell 34 4 5 2" xfId="35118" xr:uid="{CC4FD92D-95EF-4A4B-9C8D-B526EF2DCA62}"/>
    <cellStyle name="Linked Cell 34 4 5 2 2" xfId="35119" xr:uid="{67C82480-5658-4133-8A0E-63B109B48625}"/>
    <cellStyle name="Linked Cell 34 4 5 3" xfId="35120" xr:uid="{1D935314-D393-4139-B5BC-75DE6892A691}"/>
    <cellStyle name="Linked Cell 34 4 6" xfId="35121" xr:uid="{FF52437D-0DC5-4F12-A1B8-FE3074A13ACB}"/>
    <cellStyle name="Linked Cell 34 4 6 2" xfId="35122" xr:uid="{EB99055E-FFD0-4C2C-9CC1-D622C7208857}"/>
    <cellStyle name="Linked Cell 34 4 6 2 2" xfId="35123" xr:uid="{C85E7622-4D27-4971-AC58-71FBB137FD84}"/>
    <cellStyle name="Linked Cell 34 4 6 3" xfId="35124" xr:uid="{313DE91B-27E0-4B8B-B899-11229B232B60}"/>
    <cellStyle name="Linked Cell 34 4 7" xfId="35125" xr:uid="{629C609B-B2D7-4224-858D-9D0ACB40E4E1}"/>
    <cellStyle name="Linked Cell 34 4 7 2" xfId="35126" xr:uid="{727098C2-584F-4A51-BCCF-23F674E2534F}"/>
    <cellStyle name="Linked Cell 34 4 7 2 2" xfId="35127" xr:uid="{639A8B86-ED58-4A4C-83CE-F382DE3E268C}"/>
    <cellStyle name="Linked Cell 34 4 7 3" xfId="35128" xr:uid="{308924D1-8B30-45DF-BBB1-B7CF6807FEF0}"/>
    <cellStyle name="Linked Cell 34 4 8" xfId="35129" xr:uid="{88F8B818-C2BF-4967-8BE5-4212CD21D865}"/>
    <cellStyle name="Linked Cell 34 4 8 2" xfId="35130" xr:uid="{F9E01A67-6944-4D3B-9EEA-2BF8505820C7}"/>
    <cellStyle name="Linked Cell 34 4 8 2 2" xfId="35131" xr:uid="{E1F1FBAB-10BB-4D92-A67A-E66F410FF645}"/>
    <cellStyle name="Linked Cell 34 4 8 3" xfId="35132" xr:uid="{E7DE9386-BECA-433C-83C7-D56068921208}"/>
    <cellStyle name="Linked Cell 34 4 9" xfId="35133" xr:uid="{A2F5C86B-46D1-40E9-861B-FF3B2D3C9DEF}"/>
    <cellStyle name="Linked Cell 34 4 9 2" xfId="35134" xr:uid="{BFBFD818-4907-4EAE-9156-5173B598A16B}"/>
    <cellStyle name="Linked Cell 34 4 9 2 2" xfId="35135" xr:uid="{A50F7E12-92C9-4A55-8018-592CB349DD42}"/>
    <cellStyle name="Linked Cell 34 4 9 3" xfId="35136" xr:uid="{1234FA55-55C5-45C1-8C69-8613C4D8A213}"/>
    <cellStyle name="Linked Cell 34 5" xfId="35137" xr:uid="{20DB09EB-EB87-4AAE-96E0-23F98F15FF3C}"/>
    <cellStyle name="Linked Cell 34 5 10" xfId="35138" xr:uid="{69283C28-F214-4145-94AD-D2089A3E601B}"/>
    <cellStyle name="Linked Cell 34 5 10 2" xfId="35139" xr:uid="{F11A06D9-B8B7-4AB5-9677-3BEC4FB8834E}"/>
    <cellStyle name="Linked Cell 34 5 11" xfId="35140" xr:uid="{1F83C4BB-529D-47ED-8B8C-E5BB9089A478}"/>
    <cellStyle name="Linked Cell 34 5 2" xfId="35141" xr:uid="{94185375-6FD5-48D0-9C2E-BA9A07E754F9}"/>
    <cellStyle name="Linked Cell 34 5 2 2" xfId="35142" xr:uid="{9475E500-AD74-42BC-AE89-D4FA2128093C}"/>
    <cellStyle name="Linked Cell 34 5 2 2 2" xfId="35143" xr:uid="{7CBCFCD1-1647-4903-950E-A1DB87F9F8DA}"/>
    <cellStyle name="Linked Cell 34 5 2 3" xfId="35144" xr:uid="{B089A634-08F5-4DFF-83EA-34CBB9201F4D}"/>
    <cellStyle name="Linked Cell 34 5 3" xfId="35145" xr:uid="{EBC5CB68-C3EE-418B-95F2-757243072445}"/>
    <cellStyle name="Linked Cell 34 5 3 2" xfId="35146" xr:uid="{1085F6C1-57D8-4CAA-AE0D-B634C8440C1F}"/>
    <cellStyle name="Linked Cell 34 5 3 2 2" xfId="35147" xr:uid="{70F5BABC-36F3-4C7F-9544-4B9CB8D0B796}"/>
    <cellStyle name="Linked Cell 34 5 3 3" xfId="35148" xr:uid="{5C3BA5B7-2925-46CD-B1B3-F9C5E952281B}"/>
    <cellStyle name="Linked Cell 34 5 4" xfId="35149" xr:uid="{7206BA98-DACD-4700-B443-419EBE9D05FB}"/>
    <cellStyle name="Linked Cell 34 5 4 2" xfId="35150" xr:uid="{92D5B7FA-2200-463F-9886-A7938537A8B6}"/>
    <cellStyle name="Linked Cell 34 5 4 2 2" xfId="35151" xr:uid="{149FD870-E677-433C-8E2D-D46374846A24}"/>
    <cellStyle name="Linked Cell 34 5 4 3" xfId="35152" xr:uid="{FC33B357-7F7C-42B5-8E7A-BD531DAD1A48}"/>
    <cellStyle name="Linked Cell 34 5 5" xfId="35153" xr:uid="{906041CD-45FD-45C2-B35E-E7474A1B5E3A}"/>
    <cellStyle name="Linked Cell 34 5 5 2" xfId="35154" xr:uid="{AC334275-3E1C-4EB7-81AA-1981D5F34157}"/>
    <cellStyle name="Linked Cell 34 5 5 2 2" xfId="35155" xr:uid="{21936345-E5F0-441B-97DD-03A57AAD3DC3}"/>
    <cellStyle name="Linked Cell 34 5 5 3" xfId="35156" xr:uid="{B383B02B-8EAE-4180-9719-A2F2CC4A9F69}"/>
    <cellStyle name="Linked Cell 34 5 6" xfId="35157" xr:uid="{E81C5151-5041-4B0F-90E2-401D0654A6C5}"/>
    <cellStyle name="Linked Cell 34 5 6 2" xfId="35158" xr:uid="{67EEFA16-2588-4670-8548-FE9E79C711D7}"/>
    <cellStyle name="Linked Cell 34 5 6 2 2" xfId="35159" xr:uid="{7C8A0C0A-C37D-4A38-8508-CD3E5C2A1E2D}"/>
    <cellStyle name="Linked Cell 34 5 6 3" xfId="35160" xr:uid="{DA326A8B-BB27-4017-85A7-B5CAA4B6C6BB}"/>
    <cellStyle name="Linked Cell 34 5 7" xfId="35161" xr:uid="{CA97B96F-B0BC-4C10-805F-C61D7B5FA0AC}"/>
    <cellStyle name="Linked Cell 34 5 7 2" xfId="35162" xr:uid="{4A576C82-B23C-4950-8AD6-E507643015C5}"/>
    <cellStyle name="Linked Cell 34 5 7 2 2" xfId="35163" xr:uid="{585A7FBA-958E-4C41-A812-BE85E3BB1E71}"/>
    <cellStyle name="Linked Cell 34 5 7 3" xfId="35164" xr:uid="{9240D879-03C2-46EB-85C0-60C3291707CB}"/>
    <cellStyle name="Linked Cell 34 5 8" xfId="35165" xr:uid="{AFF22937-39DC-4D1A-9E1D-DA523ECF4726}"/>
    <cellStyle name="Linked Cell 34 5 8 2" xfId="35166" xr:uid="{0FF01832-5C96-4C5E-A1F6-A6FBD1208656}"/>
    <cellStyle name="Linked Cell 34 5 8 2 2" xfId="35167" xr:uid="{1C3849A1-F10B-4156-9CBF-51E5B6843C75}"/>
    <cellStyle name="Linked Cell 34 5 8 3" xfId="35168" xr:uid="{7F94A3E4-B070-4DDE-BDEA-CF279F08A8C3}"/>
    <cellStyle name="Linked Cell 34 5 9" xfId="35169" xr:uid="{E1C7F905-A7E8-46A4-93E4-9620704478B2}"/>
    <cellStyle name="Linked Cell 34 5 9 2" xfId="35170" xr:uid="{B2DD0C6E-994F-48C7-9D28-415C090E2685}"/>
    <cellStyle name="Linked Cell 34 5 9 2 2" xfId="35171" xr:uid="{BB8AF0E4-78CE-40C0-B6F2-B5A1D33BF53E}"/>
    <cellStyle name="Linked Cell 34 5 9 3" xfId="35172" xr:uid="{4A205972-CC28-4191-8923-3B12BB109A89}"/>
    <cellStyle name="Linked Cell 34 6" xfId="35173" xr:uid="{557F19AE-1D53-43BD-84E3-A8C7F47C5FE3}"/>
    <cellStyle name="Linked Cell 34 6 2" xfId="35174" xr:uid="{3A8949B2-6DBC-4D5D-9381-3DF10A35DEB8}"/>
    <cellStyle name="Linked Cell 34 6 2 2" xfId="35175" xr:uid="{27CA18BF-61BA-407F-B1AA-E4FACC80CAEC}"/>
    <cellStyle name="Linked Cell 34 6 3" xfId="35176" xr:uid="{6140A80A-2B3C-4261-85D2-14D4F9C9F14B}"/>
    <cellStyle name="Linked Cell 34 7" xfId="35177" xr:uid="{1ADA06E2-2945-4870-A0BB-E2B64E38BCC8}"/>
    <cellStyle name="Linked Cell 34 7 2" xfId="35178" xr:uid="{CA5B4BCB-C4C8-45AA-B75E-39BA80F18239}"/>
    <cellStyle name="Linked Cell 34 7 2 2" xfId="35179" xr:uid="{CF8BD931-CAB5-479F-B323-32D69F17E616}"/>
    <cellStyle name="Linked Cell 34 7 3" xfId="35180" xr:uid="{AFAB03DD-76F8-4CF7-B0A5-2199CE43C239}"/>
    <cellStyle name="Linked Cell 34 8" xfId="35181" xr:uid="{C7523D2F-CBEB-4909-8970-40878725E45F}"/>
    <cellStyle name="Linked Cell 34 8 2" xfId="35182" xr:uid="{75A5FB64-A938-4288-8782-72105DDB8A87}"/>
    <cellStyle name="Linked Cell 34 8 2 2" xfId="35183" xr:uid="{C92D61D8-160D-42EF-80CA-375E2A7F8CB9}"/>
    <cellStyle name="Linked Cell 34 8 3" xfId="35184" xr:uid="{BA3811E7-328C-4DBA-B0EF-CCB4BFEC0B19}"/>
    <cellStyle name="Linked Cell 34 9" xfId="35185" xr:uid="{02113C3A-BE74-4B4F-A99D-6FAD72F78B06}"/>
    <cellStyle name="Linked Cell 34 9 2" xfId="35186" xr:uid="{95B32304-C9C1-4C72-A264-7C63EE61D138}"/>
    <cellStyle name="Linked Cell 34 9 2 2" xfId="35187" xr:uid="{046D146E-4963-46F5-B133-D6FBED1745E3}"/>
    <cellStyle name="Linked Cell 34 9 3" xfId="35188" xr:uid="{96316D6A-8531-49C0-90E2-D2539BBE6C55}"/>
    <cellStyle name="Linked Cell 35" xfId="35189" xr:uid="{8A7E9538-DBAA-4B1A-A330-96D9F538F1E4}"/>
    <cellStyle name="Linked Cell 35 10" xfId="35190" xr:uid="{622D09F5-B974-482F-96F7-4D069822EA67}"/>
    <cellStyle name="Linked Cell 35 10 2" xfId="35191" xr:uid="{326D914B-52CF-49FC-BCAA-774A3C07F352}"/>
    <cellStyle name="Linked Cell 35 10 2 2" xfId="35192" xr:uid="{E2F58A9C-8570-4B97-A12F-8E0DA0394A9B}"/>
    <cellStyle name="Linked Cell 35 10 3" xfId="35193" xr:uid="{191B5EF9-38F7-4F7B-87EF-41488A7BA429}"/>
    <cellStyle name="Linked Cell 35 11" xfId="35194" xr:uid="{EB6858E2-CDFC-49F9-A2D0-BDA7116DDE2C}"/>
    <cellStyle name="Linked Cell 35 11 2" xfId="35195" xr:uid="{759B3257-185D-455D-9EAB-3D441EB88E05}"/>
    <cellStyle name="Linked Cell 35 11 2 2" xfId="35196" xr:uid="{692A6B7F-EAE7-44F3-8E2C-5C30F6DBC1B8}"/>
    <cellStyle name="Linked Cell 35 11 3" xfId="35197" xr:uid="{875BF349-2CE4-49D6-854F-C99578313390}"/>
    <cellStyle name="Linked Cell 35 12" xfId="35198" xr:uid="{87B1A919-E52B-4C15-8A33-D80BF31DD385}"/>
    <cellStyle name="Linked Cell 35 12 2" xfId="35199" xr:uid="{738913C2-B792-49F4-A9A1-7B8B0350D827}"/>
    <cellStyle name="Linked Cell 35 12 2 2" xfId="35200" xr:uid="{8DD14509-FDCA-4E42-9B36-44EA0991B2DA}"/>
    <cellStyle name="Linked Cell 35 12 3" xfId="35201" xr:uid="{A8432A9E-727A-4C13-BC7D-B8E536D535C1}"/>
    <cellStyle name="Linked Cell 35 13" xfId="35202" xr:uid="{AC2DE7A0-D241-479B-BEC2-4232C9E00133}"/>
    <cellStyle name="Linked Cell 35 13 2" xfId="35203" xr:uid="{4BBB2E14-5FF6-4C7D-B85A-0191EBCEC303}"/>
    <cellStyle name="Linked Cell 35 14" xfId="35204" xr:uid="{22EB2F67-65C1-4F32-A34B-F8EF5F442D81}"/>
    <cellStyle name="Linked Cell 35 2" xfId="35205" xr:uid="{2B28C09E-BB6F-48DD-9F9D-55BC22F73838}"/>
    <cellStyle name="Linked Cell 35 2 10" xfId="35206" xr:uid="{F19578C9-6DE1-41D6-918E-3CA564B14726}"/>
    <cellStyle name="Linked Cell 35 2 10 2" xfId="35207" xr:uid="{65436BA5-408D-4FC6-B80D-9060BFD82AD8}"/>
    <cellStyle name="Linked Cell 35 2 10 2 2" xfId="35208" xr:uid="{FFEACA64-4655-42CA-9855-F3433C7B57EF}"/>
    <cellStyle name="Linked Cell 35 2 10 3" xfId="35209" xr:uid="{96528197-1477-4290-A15E-8FD88EEC04B4}"/>
    <cellStyle name="Linked Cell 35 2 11" xfId="35210" xr:uid="{07A46CB9-4923-4C43-BA0E-E256C24599A9}"/>
    <cellStyle name="Linked Cell 35 2 11 2" xfId="35211" xr:uid="{DDCF059C-B45A-4690-93B0-9F1C30EB7758}"/>
    <cellStyle name="Linked Cell 35 2 11 2 2" xfId="35212" xr:uid="{047BC536-25BB-4DDC-8950-2DCDA19E62D4}"/>
    <cellStyle name="Linked Cell 35 2 11 3" xfId="35213" xr:uid="{BD4B851E-08AE-408E-8E14-A848FB767CD6}"/>
    <cellStyle name="Linked Cell 35 2 12" xfId="35214" xr:uid="{D60A87E7-DD8B-4B20-A620-FB91E8FD0C61}"/>
    <cellStyle name="Linked Cell 35 2 12 2" xfId="35215" xr:uid="{8DBCF299-569D-40FE-8D22-8B0E4506AFE2}"/>
    <cellStyle name="Linked Cell 35 2 13" xfId="35216" xr:uid="{9C01B41D-1B6C-469B-8EE3-2070C109FDC3}"/>
    <cellStyle name="Linked Cell 35 2 2" xfId="35217" xr:uid="{40044130-CD4A-419C-8BCC-A03CC45CF78E}"/>
    <cellStyle name="Linked Cell 35 2 2 10" xfId="35218" xr:uid="{1E83412F-B7E3-47FC-9665-45A397B1E488}"/>
    <cellStyle name="Linked Cell 35 2 2 10 2" xfId="35219" xr:uid="{5E5E3349-7B1C-45FF-82B2-7F245DD0BA88}"/>
    <cellStyle name="Linked Cell 35 2 2 10 2 2" xfId="35220" xr:uid="{C73EC258-512F-471B-8F8D-699A7C9A75A3}"/>
    <cellStyle name="Linked Cell 35 2 2 10 3" xfId="35221" xr:uid="{186304BF-E108-482C-87A4-90A1B50420AD}"/>
    <cellStyle name="Linked Cell 35 2 2 11" xfId="35222" xr:uid="{BF17DD2F-B407-4FB9-908E-CF603F1E3B8D}"/>
    <cellStyle name="Linked Cell 35 2 2 11 2" xfId="35223" xr:uid="{6EE3D101-BBD6-49AB-9C10-966079F4335F}"/>
    <cellStyle name="Linked Cell 35 2 2 12" xfId="35224" xr:uid="{27247F99-50F0-489B-B14B-B749841D3B97}"/>
    <cellStyle name="Linked Cell 35 2 2 2" xfId="35225" xr:uid="{A1E9238A-B03D-4431-B359-069ADB34087E}"/>
    <cellStyle name="Linked Cell 35 2 2 2 2" xfId="35226" xr:uid="{AE8F7740-C418-4BB0-BECC-C1F9F79B59EE}"/>
    <cellStyle name="Linked Cell 35 2 2 2 2 2" xfId="35227" xr:uid="{A0582A2B-FF78-44FD-8169-BD1C0D49EED9}"/>
    <cellStyle name="Linked Cell 35 2 2 2 3" xfId="35228" xr:uid="{22ED7277-E505-469C-B9BA-C9658FF9A201}"/>
    <cellStyle name="Linked Cell 35 2 2 3" xfId="35229" xr:uid="{91749E2C-73D6-4A2E-B574-511CE56DCCC0}"/>
    <cellStyle name="Linked Cell 35 2 2 3 2" xfId="35230" xr:uid="{BBF2856E-A4FC-4BF2-B985-15EF28CBDD51}"/>
    <cellStyle name="Linked Cell 35 2 2 3 2 2" xfId="35231" xr:uid="{D36F56B3-6C73-4F85-A6DA-8897C8E9FDB6}"/>
    <cellStyle name="Linked Cell 35 2 2 3 3" xfId="35232" xr:uid="{AD7209E4-0C76-4555-B51F-03F19AFDB54D}"/>
    <cellStyle name="Linked Cell 35 2 2 4" xfId="35233" xr:uid="{897DFD06-4445-422C-83E6-55365716E5CC}"/>
    <cellStyle name="Linked Cell 35 2 2 4 2" xfId="35234" xr:uid="{C9A01BDD-8ED6-48BA-89D5-7320E23AF93E}"/>
    <cellStyle name="Linked Cell 35 2 2 4 2 2" xfId="35235" xr:uid="{6A7AF892-BA42-4748-8601-53785A7E242E}"/>
    <cellStyle name="Linked Cell 35 2 2 4 3" xfId="35236" xr:uid="{2E57B6D6-FBCD-4BA7-B04F-ADCC06002DB4}"/>
    <cellStyle name="Linked Cell 35 2 2 5" xfId="35237" xr:uid="{F083F870-7DA0-4640-A190-47D151466945}"/>
    <cellStyle name="Linked Cell 35 2 2 5 2" xfId="35238" xr:uid="{F2E05524-EE9D-4034-83F1-1CC7D6304ECC}"/>
    <cellStyle name="Linked Cell 35 2 2 5 2 2" xfId="35239" xr:uid="{10A1CF69-95F5-42F2-95ED-D5CDAF0ACEF2}"/>
    <cellStyle name="Linked Cell 35 2 2 5 3" xfId="35240" xr:uid="{6A6FC2D4-41C3-43B5-AE32-ECE3959449B2}"/>
    <cellStyle name="Linked Cell 35 2 2 6" xfId="35241" xr:uid="{ACF8E9FB-8888-4367-951C-C740332A4945}"/>
    <cellStyle name="Linked Cell 35 2 2 6 2" xfId="35242" xr:uid="{352B4A54-04D6-49E5-AAF2-3212C6EA5431}"/>
    <cellStyle name="Linked Cell 35 2 2 6 2 2" xfId="35243" xr:uid="{A26F5C55-50DF-476E-8B69-2B8C2F933812}"/>
    <cellStyle name="Linked Cell 35 2 2 6 3" xfId="35244" xr:uid="{4021749B-958B-43DC-B2AD-49E9F93DF4E6}"/>
    <cellStyle name="Linked Cell 35 2 2 7" xfId="35245" xr:uid="{39E1CFEB-C7C8-43FD-8229-70788A05DBBE}"/>
    <cellStyle name="Linked Cell 35 2 2 7 2" xfId="35246" xr:uid="{E81EAE28-C470-40E9-9689-36A85EB87AF0}"/>
    <cellStyle name="Linked Cell 35 2 2 7 2 2" xfId="35247" xr:uid="{0D52A027-3EE2-4379-8ECA-4EE04DA1DBE4}"/>
    <cellStyle name="Linked Cell 35 2 2 7 3" xfId="35248" xr:uid="{5905040F-4AE4-4A47-A80A-53CBE28F72F1}"/>
    <cellStyle name="Linked Cell 35 2 2 8" xfId="35249" xr:uid="{7A295DCB-73E9-4D90-AF21-7F4B3D07D97D}"/>
    <cellStyle name="Linked Cell 35 2 2 8 2" xfId="35250" xr:uid="{3983F96D-2E16-4A0C-A4DF-58DFA7CFA42B}"/>
    <cellStyle name="Linked Cell 35 2 2 8 2 2" xfId="35251" xr:uid="{63B157C7-B67F-4DEA-816C-181FE8AF6965}"/>
    <cellStyle name="Linked Cell 35 2 2 8 3" xfId="35252" xr:uid="{157A9708-08EE-4F57-B61D-8BB888F2D73C}"/>
    <cellStyle name="Linked Cell 35 2 2 9" xfId="35253" xr:uid="{43DFFAD6-E247-4246-AA25-86F50001E734}"/>
    <cellStyle name="Linked Cell 35 2 2 9 2" xfId="35254" xr:uid="{BD60D884-40D6-4925-A199-C202E8C006A3}"/>
    <cellStyle name="Linked Cell 35 2 2 9 2 2" xfId="35255" xr:uid="{D0EE8FA6-7290-4026-8393-A02EB77FD80E}"/>
    <cellStyle name="Linked Cell 35 2 2 9 3" xfId="35256" xr:uid="{7701CD7A-0BB1-49C4-BD12-403931F57336}"/>
    <cellStyle name="Linked Cell 35 2 3" xfId="35257" xr:uid="{9E42E8B1-5A7A-4397-94B5-348588E05AE0}"/>
    <cellStyle name="Linked Cell 35 2 3 10" xfId="35258" xr:uid="{45B8A562-510E-4D46-8E88-BB00EFF228FC}"/>
    <cellStyle name="Linked Cell 35 2 3 10 2" xfId="35259" xr:uid="{838E2291-2314-435F-A03A-1201E4D937A6}"/>
    <cellStyle name="Linked Cell 35 2 3 11" xfId="35260" xr:uid="{B1618E6B-5B97-4120-986D-CC36E31DF1B3}"/>
    <cellStyle name="Linked Cell 35 2 3 2" xfId="35261" xr:uid="{3C54F2C8-436A-4675-BD91-4D39CDF9105F}"/>
    <cellStyle name="Linked Cell 35 2 3 2 2" xfId="35262" xr:uid="{9A51557A-A1CB-4CF6-BC9B-4473FF9D8B36}"/>
    <cellStyle name="Linked Cell 35 2 3 2 2 2" xfId="35263" xr:uid="{5091694D-B1CA-44F7-A957-32A4B48FF5A5}"/>
    <cellStyle name="Linked Cell 35 2 3 2 3" xfId="35264" xr:uid="{2B27FA62-AF10-4183-B21E-1010EDC1530E}"/>
    <cellStyle name="Linked Cell 35 2 3 3" xfId="35265" xr:uid="{4D4F9493-E9F1-497B-B4B6-010972058F2F}"/>
    <cellStyle name="Linked Cell 35 2 3 3 2" xfId="35266" xr:uid="{29E15DC8-B171-4813-8F44-DCE59ED38D98}"/>
    <cellStyle name="Linked Cell 35 2 3 3 2 2" xfId="35267" xr:uid="{BD4F1636-60FC-4266-84AB-A0B6156F368F}"/>
    <cellStyle name="Linked Cell 35 2 3 3 3" xfId="35268" xr:uid="{FF9936C6-DF95-43E8-B26F-1363155B6E91}"/>
    <cellStyle name="Linked Cell 35 2 3 4" xfId="35269" xr:uid="{5119255C-DBA0-4AA9-909B-80FCD811199E}"/>
    <cellStyle name="Linked Cell 35 2 3 4 2" xfId="35270" xr:uid="{3385B84D-C9D0-4C32-A3B0-DA133482F23E}"/>
    <cellStyle name="Linked Cell 35 2 3 4 2 2" xfId="35271" xr:uid="{EA535D6D-A0A2-409B-9859-DA192F429F94}"/>
    <cellStyle name="Linked Cell 35 2 3 4 3" xfId="35272" xr:uid="{B2E2B636-2508-420D-8D7E-7295B3769907}"/>
    <cellStyle name="Linked Cell 35 2 3 5" xfId="35273" xr:uid="{DC7A1159-8347-4811-AF20-BAF814169140}"/>
    <cellStyle name="Linked Cell 35 2 3 5 2" xfId="35274" xr:uid="{20F47025-3427-45DB-98B1-AAFB9BA42D79}"/>
    <cellStyle name="Linked Cell 35 2 3 5 2 2" xfId="35275" xr:uid="{091ECA72-73EB-48C7-8B2C-75DB6E1D938E}"/>
    <cellStyle name="Linked Cell 35 2 3 5 3" xfId="35276" xr:uid="{D9AA82CA-B1B3-4B42-8283-8EC399AB6FDA}"/>
    <cellStyle name="Linked Cell 35 2 3 6" xfId="35277" xr:uid="{5B20AC91-12D8-487B-8391-9E7FD30A8431}"/>
    <cellStyle name="Linked Cell 35 2 3 6 2" xfId="35278" xr:uid="{B777FAB7-9423-4CD8-98DF-36DBF8649472}"/>
    <cellStyle name="Linked Cell 35 2 3 6 2 2" xfId="35279" xr:uid="{D89B42D3-3DBF-4F46-BA7B-EADB1E022FD3}"/>
    <cellStyle name="Linked Cell 35 2 3 6 3" xfId="35280" xr:uid="{22D79826-8FF3-4437-B10F-06B0C5A53E04}"/>
    <cellStyle name="Linked Cell 35 2 3 7" xfId="35281" xr:uid="{7129B80F-2084-4069-8FA9-B1A305EF0803}"/>
    <cellStyle name="Linked Cell 35 2 3 7 2" xfId="35282" xr:uid="{7A905BF4-904D-4F5E-B591-5F4EE482860F}"/>
    <cellStyle name="Linked Cell 35 2 3 7 2 2" xfId="35283" xr:uid="{D0ED6E62-B44D-411C-8E35-B2EEE68436F6}"/>
    <cellStyle name="Linked Cell 35 2 3 7 3" xfId="35284" xr:uid="{510B0F5A-ACE8-4E9F-8A2B-794084ADBC89}"/>
    <cellStyle name="Linked Cell 35 2 3 8" xfId="35285" xr:uid="{AA2C3ECA-F672-48A0-BE4B-F1F96931A687}"/>
    <cellStyle name="Linked Cell 35 2 3 8 2" xfId="35286" xr:uid="{DAF497E1-64D7-4953-AFD0-DF88848B02E2}"/>
    <cellStyle name="Linked Cell 35 2 3 8 2 2" xfId="35287" xr:uid="{D9F9DD50-5F11-48BF-872C-EB8965F8F3BE}"/>
    <cellStyle name="Linked Cell 35 2 3 8 3" xfId="35288" xr:uid="{BF693B55-A42B-4CC1-BC31-CE0D1A666C51}"/>
    <cellStyle name="Linked Cell 35 2 3 9" xfId="35289" xr:uid="{D261D945-F1B4-439E-A778-F5EE8276DD5D}"/>
    <cellStyle name="Linked Cell 35 2 3 9 2" xfId="35290" xr:uid="{160DDE17-FA2B-4DC3-AB45-5D422F9CA9EE}"/>
    <cellStyle name="Linked Cell 35 2 3 9 2 2" xfId="35291" xr:uid="{D771FCA0-28CA-4455-B3EE-85A34AFAE669}"/>
    <cellStyle name="Linked Cell 35 2 3 9 3" xfId="35292" xr:uid="{DFB3AAA6-9A8F-4ACC-912F-781B18A1876A}"/>
    <cellStyle name="Linked Cell 35 2 4" xfId="35293" xr:uid="{DA49D054-1F3A-4F1B-954C-81CD0C751B32}"/>
    <cellStyle name="Linked Cell 35 2 4 2" xfId="35294" xr:uid="{926D14F8-4171-4438-B7E7-CF88D5F7AB61}"/>
    <cellStyle name="Linked Cell 35 2 4 2 2" xfId="35295" xr:uid="{C07FAA25-4F65-4959-A6E2-86834F6BD954}"/>
    <cellStyle name="Linked Cell 35 2 4 3" xfId="35296" xr:uid="{5E974E22-25ED-4896-ADCB-6DF05F25A95D}"/>
    <cellStyle name="Linked Cell 35 2 5" xfId="35297" xr:uid="{12F9BA01-EB07-4C96-96AF-1080132FA427}"/>
    <cellStyle name="Linked Cell 35 2 5 2" xfId="35298" xr:uid="{0B850ED7-008F-4504-880E-70ED84E258D3}"/>
    <cellStyle name="Linked Cell 35 2 5 2 2" xfId="35299" xr:uid="{D907777D-8675-44FD-BBBD-86B8B872C95A}"/>
    <cellStyle name="Linked Cell 35 2 5 3" xfId="35300" xr:uid="{AE3F4956-CE23-4AF1-B92E-AA99CE08C1FD}"/>
    <cellStyle name="Linked Cell 35 2 6" xfId="35301" xr:uid="{9EC5D87A-78DE-47D3-B621-EA2AE9D42401}"/>
    <cellStyle name="Linked Cell 35 2 6 2" xfId="35302" xr:uid="{B7224306-A16A-45E5-BF31-07991FE84A9D}"/>
    <cellStyle name="Linked Cell 35 2 6 2 2" xfId="35303" xr:uid="{F1F2A2C8-1E48-4BF0-A80A-20F92C9E4D98}"/>
    <cellStyle name="Linked Cell 35 2 6 3" xfId="35304" xr:uid="{BA7CB934-FCEB-4FF6-94A1-0BB6BA110FA4}"/>
    <cellStyle name="Linked Cell 35 2 7" xfId="35305" xr:uid="{DDBD8364-FF4E-4EDF-B204-77B8D7904C52}"/>
    <cellStyle name="Linked Cell 35 2 7 2" xfId="35306" xr:uid="{707D44B3-A194-4BAC-B260-3EA32339795F}"/>
    <cellStyle name="Linked Cell 35 2 7 2 2" xfId="35307" xr:uid="{402C337D-27DD-4F48-BBED-5FEEFA58F145}"/>
    <cellStyle name="Linked Cell 35 2 7 3" xfId="35308" xr:uid="{54456C52-E7C3-436A-B01C-2B2A3073C676}"/>
    <cellStyle name="Linked Cell 35 2 8" xfId="35309" xr:uid="{C64C6CA8-1BF1-4259-B498-BEDB30E4CED4}"/>
    <cellStyle name="Linked Cell 35 2 8 2" xfId="35310" xr:uid="{DFFC088E-47B1-4F3B-9C75-8871F21BAD8F}"/>
    <cellStyle name="Linked Cell 35 2 8 2 2" xfId="35311" xr:uid="{7011EDF3-6700-430E-8097-AE88F3549EC9}"/>
    <cellStyle name="Linked Cell 35 2 8 3" xfId="35312" xr:uid="{353C1163-DFAF-4C0E-AE4D-806E0276C220}"/>
    <cellStyle name="Linked Cell 35 2 9" xfId="35313" xr:uid="{4EAB48A9-0876-44C5-A6E1-8AEDABAC9129}"/>
    <cellStyle name="Linked Cell 35 2 9 2" xfId="35314" xr:uid="{7AC02AB5-4699-42BD-8EC1-F72C70E42905}"/>
    <cellStyle name="Linked Cell 35 2 9 2 2" xfId="35315" xr:uid="{C14AE7B7-ECAD-4FCF-9E73-AF5A216CACC3}"/>
    <cellStyle name="Linked Cell 35 2 9 3" xfId="35316" xr:uid="{9202C638-1366-4F9F-A140-B03C07ED4983}"/>
    <cellStyle name="Linked Cell 35 3" xfId="35317" xr:uid="{F7054AFC-5170-4254-92C9-B5AF6CDB0592}"/>
    <cellStyle name="Linked Cell 35 3 10" xfId="35318" xr:uid="{9A4EB3BF-8482-4072-9C36-C385EA889164}"/>
    <cellStyle name="Linked Cell 35 3 10 2" xfId="35319" xr:uid="{557F3DFE-FED8-43ED-805B-86C3DAABC0AF}"/>
    <cellStyle name="Linked Cell 35 3 10 2 2" xfId="35320" xr:uid="{68C8249E-CD4E-4A07-AC4A-11C9D33E6A84}"/>
    <cellStyle name="Linked Cell 35 3 10 3" xfId="35321" xr:uid="{068F4814-1401-47E3-A679-9C692F7F1FD2}"/>
    <cellStyle name="Linked Cell 35 3 11" xfId="35322" xr:uid="{0C5C891E-46C4-40FC-BFED-C6B136BC45C3}"/>
    <cellStyle name="Linked Cell 35 3 11 2" xfId="35323" xr:uid="{1EE1E596-8FE8-44A3-A252-47255D6B5370}"/>
    <cellStyle name="Linked Cell 35 3 12" xfId="35324" xr:uid="{FF22B1E6-549F-4A8D-9D21-36700E27B707}"/>
    <cellStyle name="Linked Cell 35 3 2" xfId="35325" xr:uid="{9C4C87D6-83EC-48BD-A70A-DF20689BD77A}"/>
    <cellStyle name="Linked Cell 35 3 2 10" xfId="35326" xr:uid="{6F62D718-E3C5-4B76-B25E-71836A8041D3}"/>
    <cellStyle name="Linked Cell 35 3 2 10 2" xfId="35327" xr:uid="{CF8BA956-F4BC-420E-8CAE-98032D7CAD01}"/>
    <cellStyle name="Linked Cell 35 3 2 11" xfId="35328" xr:uid="{B63F5FAA-254B-4D4D-A607-97A4B88F74F4}"/>
    <cellStyle name="Linked Cell 35 3 2 2" xfId="35329" xr:uid="{93C1C0A0-729C-4438-8A87-02D481437164}"/>
    <cellStyle name="Linked Cell 35 3 2 2 2" xfId="35330" xr:uid="{44C963D8-5CD9-49BE-8BD4-D8ACB6CC2902}"/>
    <cellStyle name="Linked Cell 35 3 2 2 2 2" xfId="35331" xr:uid="{50DBEA9C-5D2C-447A-BE49-FC1EA175C045}"/>
    <cellStyle name="Linked Cell 35 3 2 2 3" xfId="35332" xr:uid="{D2AF52EF-E66F-40F8-A407-1DBA13814B30}"/>
    <cellStyle name="Linked Cell 35 3 2 3" xfId="35333" xr:uid="{2ED8FE06-5844-474D-9E97-76E98E93847E}"/>
    <cellStyle name="Linked Cell 35 3 2 3 2" xfId="35334" xr:uid="{3F87E2BF-F687-4147-B12B-ECF06BC91689}"/>
    <cellStyle name="Linked Cell 35 3 2 3 2 2" xfId="35335" xr:uid="{F92F5E84-C66E-4D09-86F7-7DD885093040}"/>
    <cellStyle name="Linked Cell 35 3 2 3 3" xfId="35336" xr:uid="{F010CC5F-9CED-421E-BD0D-FB9F0DCFC9D9}"/>
    <cellStyle name="Linked Cell 35 3 2 4" xfId="35337" xr:uid="{EBB4DF36-DF94-4BA7-B6D5-162BF7664FC5}"/>
    <cellStyle name="Linked Cell 35 3 2 4 2" xfId="35338" xr:uid="{44F2B78A-28D4-4A8F-85A2-132C6E6B0BC6}"/>
    <cellStyle name="Linked Cell 35 3 2 4 2 2" xfId="35339" xr:uid="{7EBD4971-C3F7-4A08-936A-1A9A4CD9A85F}"/>
    <cellStyle name="Linked Cell 35 3 2 4 3" xfId="35340" xr:uid="{5D4AFF76-0017-4197-B74C-BEFD2DABC60B}"/>
    <cellStyle name="Linked Cell 35 3 2 5" xfId="35341" xr:uid="{8029DFC4-8450-4C47-B9D8-3FD7AEDCAA63}"/>
    <cellStyle name="Linked Cell 35 3 2 5 2" xfId="35342" xr:uid="{7BA5FD60-B809-4D73-B271-E910696CBBB6}"/>
    <cellStyle name="Linked Cell 35 3 2 5 2 2" xfId="35343" xr:uid="{0E0908D6-6C45-4859-8476-110B18ACB3E8}"/>
    <cellStyle name="Linked Cell 35 3 2 5 3" xfId="35344" xr:uid="{821E84FF-6BBA-4E22-8BF3-8A81C512004C}"/>
    <cellStyle name="Linked Cell 35 3 2 6" xfId="35345" xr:uid="{A1763D0B-45B5-4905-B350-DD44763D7C1B}"/>
    <cellStyle name="Linked Cell 35 3 2 6 2" xfId="35346" xr:uid="{930CB71E-707F-4DC7-9903-8841CE50AF2D}"/>
    <cellStyle name="Linked Cell 35 3 2 6 2 2" xfId="35347" xr:uid="{73C6CE26-B7F0-4C74-8825-D0D312CC6012}"/>
    <cellStyle name="Linked Cell 35 3 2 6 3" xfId="35348" xr:uid="{A82B8369-8992-48EC-9165-0BF4D01D04E3}"/>
    <cellStyle name="Linked Cell 35 3 2 7" xfId="35349" xr:uid="{A06C47CC-37B5-4E15-B4E7-CD6D4B9946A0}"/>
    <cellStyle name="Linked Cell 35 3 2 7 2" xfId="35350" xr:uid="{04DE0B85-25F4-4ECD-8044-8BF1F60711C9}"/>
    <cellStyle name="Linked Cell 35 3 2 7 2 2" xfId="35351" xr:uid="{34B38634-E1E6-4CEC-93A4-706FF9057E72}"/>
    <cellStyle name="Linked Cell 35 3 2 7 3" xfId="35352" xr:uid="{2FCB7D4E-7D18-4E15-BB6C-99BAC5DF7607}"/>
    <cellStyle name="Linked Cell 35 3 2 8" xfId="35353" xr:uid="{3DD689F8-70BB-4FB1-A893-615C7C016117}"/>
    <cellStyle name="Linked Cell 35 3 2 8 2" xfId="35354" xr:uid="{18E4C3EF-9C09-4480-BBA4-BFEE2C8A2D10}"/>
    <cellStyle name="Linked Cell 35 3 2 8 2 2" xfId="35355" xr:uid="{2ADC440C-292B-4E3F-8CAC-05D16F78521A}"/>
    <cellStyle name="Linked Cell 35 3 2 8 3" xfId="35356" xr:uid="{CFF93B86-A52F-40B2-B0F3-87385517D4E6}"/>
    <cellStyle name="Linked Cell 35 3 2 9" xfId="35357" xr:uid="{ED03AE6A-997E-464E-A538-196175589227}"/>
    <cellStyle name="Linked Cell 35 3 2 9 2" xfId="35358" xr:uid="{018A7EDF-C06F-4402-AE07-37793D66A26B}"/>
    <cellStyle name="Linked Cell 35 3 2 9 2 2" xfId="35359" xr:uid="{62DA77C6-2B77-4051-895E-5D2CD4342795}"/>
    <cellStyle name="Linked Cell 35 3 2 9 3" xfId="35360" xr:uid="{38A3C498-07EA-4A6B-9901-C320AA2E59A4}"/>
    <cellStyle name="Linked Cell 35 3 3" xfId="35361" xr:uid="{AE4480DF-D41B-487D-8361-9618DC87EE5A}"/>
    <cellStyle name="Linked Cell 35 3 3 2" xfId="35362" xr:uid="{64B22E1B-5E95-4FE5-93C6-8E2091047F37}"/>
    <cellStyle name="Linked Cell 35 3 3 2 2" xfId="35363" xr:uid="{BE9D212B-FD90-4DE0-AF68-7234C0E55BB6}"/>
    <cellStyle name="Linked Cell 35 3 3 3" xfId="35364" xr:uid="{C4D90A2E-FF19-43F4-94A2-98D5DCA0EF64}"/>
    <cellStyle name="Linked Cell 35 3 4" xfId="35365" xr:uid="{98F19F75-7AE9-4A22-9291-03086985FFCD}"/>
    <cellStyle name="Linked Cell 35 3 4 2" xfId="35366" xr:uid="{08C660ED-087F-4D97-A517-65AF14FA33E5}"/>
    <cellStyle name="Linked Cell 35 3 4 2 2" xfId="35367" xr:uid="{5D8F9A5D-0247-4AF2-810B-46C6422CDAFF}"/>
    <cellStyle name="Linked Cell 35 3 4 3" xfId="35368" xr:uid="{1834C4C0-9B2D-4C9F-B40C-41495100E329}"/>
    <cellStyle name="Linked Cell 35 3 5" xfId="35369" xr:uid="{438E67C4-ABA8-4692-8F0F-C25D10BCD228}"/>
    <cellStyle name="Linked Cell 35 3 5 2" xfId="35370" xr:uid="{B4367089-6E40-4714-A627-EEA1CFAC66BF}"/>
    <cellStyle name="Linked Cell 35 3 5 2 2" xfId="35371" xr:uid="{599E778F-230C-4A66-A72B-886DD07A769C}"/>
    <cellStyle name="Linked Cell 35 3 5 3" xfId="35372" xr:uid="{D3F098AA-9A0F-4392-A87C-140C76DFC712}"/>
    <cellStyle name="Linked Cell 35 3 6" xfId="35373" xr:uid="{B632FCAE-784D-4C48-A021-2BD147484B8C}"/>
    <cellStyle name="Linked Cell 35 3 6 2" xfId="35374" xr:uid="{9363EAE5-C1C3-4204-B905-2A2C67C628FE}"/>
    <cellStyle name="Linked Cell 35 3 6 2 2" xfId="35375" xr:uid="{694FFBF6-3039-46E9-A780-3D6913AC7360}"/>
    <cellStyle name="Linked Cell 35 3 6 3" xfId="35376" xr:uid="{9E4B22CE-EC53-486B-BC1E-75250EC9B48B}"/>
    <cellStyle name="Linked Cell 35 3 7" xfId="35377" xr:uid="{B291A231-15B8-4C1F-9E92-0541F9B376A9}"/>
    <cellStyle name="Linked Cell 35 3 7 2" xfId="35378" xr:uid="{CD2AC2A0-CF23-4EF6-B585-889E5A636A62}"/>
    <cellStyle name="Linked Cell 35 3 7 2 2" xfId="35379" xr:uid="{66387702-E032-4874-A9FA-24D21D9B5091}"/>
    <cellStyle name="Linked Cell 35 3 7 3" xfId="35380" xr:uid="{73FA20FB-9D27-4232-944F-4059DE3E3A90}"/>
    <cellStyle name="Linked Cell 35 3 8" xfId="35381" xr:uid="{16AD91E8-805E-47A8-8060-C3D8D0DFA95A}"/>
    <cellStyle name="Linked Cell 35 3 8 2" xfId="35382" xr:uid="{A6F67375-92AB-4CE4-BC04-1AFD90024D0C}"/>
    <cellStyle name="Linked Cell 35 3 8 2 2" xfId="35383" xr:uid="{31D876B6-8C1B-4BCD-9B05-2969BC860A1B}"/>
    <cellStyle name="Linked Cell 35 3 8 3" xfId="35384" xr:uid="{0DA0F6B7-92E6-4112-95D8-5B850AD490B0}"/>
    <cellStyle name="Linked Cell 35 3 9" xfId="35385" xr:uid="{54BDF1F8-8A1C-4737-A213-1D6E2FD06147}"/>
    <cellStyle name="Linked Cell 35 3 9 2" xfId="35386" xr:uid="{18EABDE2-D011-4730-BAE4-BED1D564F739}"/>
    <cellStyle name="Linked Cell 35 3 9 2 2" xfId="35387" xr:uid="{CC6D175F-380A-49A8-AA07-C67E1608A04B}"/>
    <cellStyle name="Linked Cell 35 3 9 3" xfId="35388" xr:uid="{25900BA7-91C7-49C2-B972-39BAD536C3F3}"/>
    <cellStyle name="Linked Cell 35 4" xfId="35389" xr:uid="{FFD32FFF-2384-45D6-960C-50224E7050CB}"/>
    <cellStyle name="Linked Cell 35 4 10" xfId="35390" xr:uid="{FF4B731C-D46C-4A8A-A6CD-DC23C1A76DE6}"/>
    <cellStyle name="Linked Cell 35 4 10 2" xfId="35391" xr:uid="{F1CBF48E-7713-4A0D-A58B-E8484B23073E}"/>
    <cellStyle name="Linked Cell 35 4 11" xfId="35392" xr:uid="{84D88E9F-887A-4FB7-AB7C-CF1397BB22FA}"/>
    <cellStyle name="Linked Cell 35 4 2" xfId="35393" xr:uid="{D77038C3-AB3F-46E0-AB40-7353138137B3}"/>
    <cellStyle name="Linked Cell 35 4 2 2" xfId="35394" xr:uid="{B50BED0A-FDF3-4E49-919F-6818E31CD8F4}"/>
    <cellStyle name="Linked Cell 35 4 2 2 2" xfId="35395" xr:uid="{9149F4A4-84C9-4753-9DCC-745099644F10}"/>
    <cellStyle name="Linked Cell 35 4 2 3" xfId="35396" xr:uid="{4EB791B2-CD5C-4AF2-8CCA-14271762C5D3}"/>
    <cellStyle name="Linked Cell 35 4 3" xfId="35397" xr:uid="{8D9172E3-6C62-4C60-B0FF-0FA8B1FE0920}"/>
    <cellStyle name="Linked Cell 35 4 3 2" xfId="35398" xr:uid="{247394C1-CD3D-4A22-B041-476BA1D37094}"/>
    <cellStyle name="Linked Cell 35 4 3 2 2" xfId="35399" xr:uid="{A1293DFC-FD90-45D6-BD21-62822F008513}"/>
    <cellStyle name="Linked Cell 35 4 3 3" xfId="35400" xr:uid="{50EFAD01-0D83-4BFE-BCCB-9492C65A0387}"/>
    <cellStyle name="Linked Cell 35 4 4" xfId="35401" xr:uid="{411F1DB6-5CD8-41E6-998A-7E3B70CC8294}"/>
    <cellStyle name="Linked Cell 35 4 4 2" xfId="35402" xr:uid="{9F8EA4C6-057D-4141-896B-BED339259B25}"/>
    <cellStyle name="Linked Cell 35 4 4 2 2" xfId="35403" xr:uid="{DCDA7FCE-5FCE-4D52-A87F-6C3CB0E344CC}"/>
    <cellStyle name="Linked Cell 35 4 4 3" xfId="35404" xr:uid="{FC15CB81-2D9B-49F9-AFEA-3B12A800D88C}"/>
    <cellStyle name="Linked Cell 35 4 5" xfId="35405" xr:uid="{E60F89A6-36AB-495E-8766-84A47C814C09}"/>
    <cellStyle name="Linked Cell 35 4 5 2" xfId="35406" xr:uid="{052C5744-38BA-4063-829B-197998CF190B}"/>
    <cellStyle name="Linked Cell 35 4 5 2 2" xfId="35407" xr:uid="{1103A62C-862F-4453-8F67-4829A46FEA52}"/>
    <cellStyle name="Linked Cell 35 4 5 3" xfId="35408" xr:uid="{43952217-C16C-4A39-9989-ED9538323C89}"/>
    <cellStyle name="Linked Cell 35 4 6" xfId="35409" xr:uid="{37E6928B-0382-4673-A467-C49C575A7F5D}"/>
    <cellStyle name="Linked Cell 35 4 6 2" xfId="35410" xr:uid="{8499775A-06E7-4FF2-B483-FB9D6559FCED}"/>
    <cellStyle name="Linked Cell 35 4 6 2 2" xfId="35411" xr:uid="{738C62F2-451A-45C5-98D0-6E88C4F58AD7}"/>
    <cellStyle name="Linked Cell 35 4 6 3" xfId="35412" xr:uid="{8530E0EA-58A2-4471-8BDA-0B6B1EF5396A}"/>
    <cellStyle name="Linked Cell 35 4 7" xfId="35413" xr:uid="{86290AEA-C0A5-471B-997E-D775178F1CEC}"/>
    <cellStyle name="Linked Cell 35 4 7 2" xfId="35414" xr:uid="{7D9BC91C-61EC-44B6-8992-1B0EDD86A00B}"/>
    <cellStyle name="Linked Cell 35 4 7 2 2" xfId="35415" xr:uid="{C6A352F6-EDA1-4433-8EFE-64DC585F8A8D}"/>
    <cellStyle name="Linked Cell 35 4 7 3" xfId="35416" xr:uid="{26C96AA8-830B-4AC9-9805-27D7E9A8F7ED}"/>
    <cellStyle name="Linked Cell 35 4 8" xfId="35417" xr:uid="{94DBD045-88B0-485E-9853-6207AB2B5AB9}"/>
    <cellStyle name="Linked Cell 35 4 8 2" xfId="35418" xr:uid="{0F9EAE5A-3255-4D15-B6EA-8494CBA528EE}"/>
    <cellStyle name="Linked Cell 35 4 8 2 2" xfId="35419" xr:uid="{2A8583B0-77B5-4A5E-AF7A-D1811F82B638}"/>
    <cellStyle name="Linked Cell 35 4 8 3" xfId="35420" xr:uid="{252FD4B4-8AB0-4183-885A-E1CE4646047A}"/>
    <cellStyle name="Linked Cell 35 4 9" xfId="35421" xr:uid="{1B41B93B-8DE0-43C3-A7F7-096C98B64DDB}"/>
    <cellStyle name="Linked Cell 35 4 9 2" xfId="35422" xr:uid="{025E415B-80F9-43C3-B192-603E8D5A0EEC}"/>
    <cellStyle name="Linked Cell 35 4 9 2 2" xfId="35423" xr:uid="{7CDAF8C7-D02D-4776-B23C-6893F3CCE9BC}"/>
    <cellStyle name="Linked Cell 35 4 9 3" xfId="35424" xr:uid="{A94CF6B2-C362-4EA3-A96D-CE1F039A84EA}"/>
    <cellStyle name="Linked Cell 35 5" xfId="35425" xr:uid="{FE6EC3F2-B497-45F3-8D23-DD76F24E5759}"/>
    <cellStyle name="Linked Cell 35 5 2" xfId="35426" xr:uid="{7384C241-9312-4102-8249-BFA32169905C}"/>
    <cellStyle name="Linked Cell 35 5 2 2" xfId="35427" xr:uid="{9F984E35-0F20-4BC5-BAF9-508B81E83F59}"/>
    <cellStyle name="Linked Cell 35 5 3" xfId="35428" xr:uid="{B1E2E2DE-3B7A-4E5C-BAC7-3616A1997DEE}"/>
    <cellStyle name="Linked Cell 35 6" xfId="35429" xr:uid="{0804618A-AE7E-4AD1-BD1F-65CBEE0E729F}"/>
    <cellStyle name="Linked Cell 35 6 2" xfId="35430" xr:uid="{A835DF1C-71F0-46D8-B129-7B51363ECB2D}"/>
    <cellStyle name="Linked Cell 35 6 2 2" xfId="35431" xr:uid="{19EF607B-0F42-459E-83AB-5F1A6793B7FE}"/>
    <cellStyle name="Linked Cell 35 6 3" xfId="35432" xr:uid="{5478FE14-E998-49DD-B710-6E4C0FA160D4}"/>
    <cellStyle name="Linked Cell 35 7" xfId="35433" xr:uid="{22BEF0F0-52DD-494C-AF5E-0011C5296DF7}"/>
    <cellStyle name="Linked Cell 35 7 2" xfId="35434" xr:uid="{D1C05F2D-CA7E-47ED-9F3F-B0372255F7F0}"/>
    <cellStyle name="Linked Cell 35 7 2 2" xfId="35435" xr:uid="{8A97D302-6F0F-4867-A3EE-22090E6CCAD1}"/>
    <cellStyle name="Linked Cell 35 7 3" xfId="35436" xr:uid="{67BFB4D8-8124-4305-A96A-546290B6677C}"/>
    <cellStyle name="Linked Cell 35 8" xfId="35437" xr:uid="{9BE06F02-88C2-4627-AB92-187473D5A7A5}"/>
    <cellStyle name="Linked Cell 35 8 2" xfId="35438" xr:uid="{B73BB6BB-4CE4-4935-8594-1668BC28250E}"/>
    <cellStyle name="Linked Cell 35 8 2 2" xfId="35439" xr:uid="{F6E0827F-0453-46F8-8427-3ABD4F3EC183}"/>
    <cellStyle name="Linked Cell 35 8 3" xfId="35440" xr:uid="{3E78FEF1-2B4C-4080-830B-FBEBA002DD44}"/>
    <cellStyle name="Linked Cell 35 9" xfId="35441" xr:uid="{1D22C0B2-5807-46E4-9641-A3A20D13FEAC}"/>
    <cellStyle name="Linked Cell 35 9 2" xfId="35442" xr:uid="{F4631BA9-68A8-4B63-BF0B-A53297A73A7B}"/>
    <cellStyle name="Linked Cell 35 9 2 2" xfId="35443" xr:uid="{2D473059-DF4A-44B5-B36D-83D3E303270E}"/>
    <cellStyle name="Linked Cell 35 9 3" xfId="35444" xr:uid="{0EA8E051-7261-4FA9-8C58-33CEA90DDB65}"/>
    <cellStyle name="Linked Cell 36" xfId="35445" xr:uid="{3A9105F2-E5C5-4021-91CA-952C72112E38}"/>
    <cellStyle name="Linked Cell 36 10" xfId="35446" xr:uid="{D2E86C50-1030-4A79-B291-43DE11ED0735}"/>
    <cellStyle name="Linked Cell 36 10 2" xfId="35447" xr:uid="{38838C45-5A74-4C80-A76B-37CD86B3A93A}"/>
    <cellStyle name="Linked Cell 36 10 2 2" xfId="35448" xr:uid="{5C2E879F-0CAC-4C82-952D-3FA60BF9E4BA}"/>
    <cellStyle name="Linked Cell 36 10 3" xfId="35449" xr:uid="{50374D90-B851-448C-A9B7-487E48ED4190}"/>
    <cellStyle name="Linked Cell 36 11" xfId="35450" xr:uid="{567D071A-9C49-453B-A068-ED7221138A5E}"/>
    <cellStyle name="Linked Cell 36 11 2" xfId="35451" xr:uid="{C315D4D4-F7D6-4A73-A4AF-31AFF39DC613}"/>
    <cellStyle name="Linked Cell 36 11 2 2" xfId="35452" xr:uid="{FB9F0CAD-DCC2-4B6B-B1F3-2C587EFD1BF1}"/>
    <cellStyle name="Linked Cell 36 11 3" xfId="35453" xr:uid="{A2C40814-5F36-4288-959A-CC25BB0987E5}"/>
    <cellStyle name="Linked Cell 36 12" xfId="35454" xr:uid="{D8D360BA-704E-4D32-A10A-739AF611E95F}"/>
    <cellStyle name="Linked Cell 36 12 2" xfId="35455" xr:uid="{C1E143A6-2DFE-4EBE-9548-3A44669C1FA6}"/>
    <cellStyle name="Linked Cell 36 13" xfId="35456" xr:uid="{C469598D-128B-43F3-984A-E1260F52BD58}"/>
    <cellStyle name="Linked Cell 36 2" xfId="35457" xr:uid="{AA72D066-0BEC-4ECA-9066-C764B475413E}"/>
    <cellStyle name="Linked Cell 36 2 10" xfId="35458" xr:uid="{7A23DB3D-1D8E-4ED5-922C-D13A91B8FAD8}"/>
    <cellStyle name="Linked Cell 36 2 10 2" xfId="35459" xr:uid="{6EDAEA91-A856-43CB-9B33-160FBF659A26}"/>
    <cellStyle name="Linked Cell 36 2 10 2 2" xfId="35460" xr:uid="{3FDF53C4-AF01-42E6-B59A-2E19875F9256}"/>
    <cellStyle name="Linked Cell 36 2 10 3" xfId="35461" xr:uid="{1ECF85AF-4111-42BE-AECB-8D9B91B934D2}"/>
    <cellStyle name="Linked Cell 36 2 11" xfId="35462" xr:uid="{80D6D371-839F-49DC-9FEC-27A3C663EE7B}"/>
    <cellStyle name="Linked Cell 36 2 11 2" xfId="35463" xr:uid="{E91A7525-DC5E-4349-986F-BCB47E5EB62E}"/>
    <cellStyle name="Linked Cell 36 2 12" xfId="35464" xr:uid="{38325DAA-9801-4AAB-AB38-510F24F5FEEB}"/>
    <cellStyle name="Linked Cell 36 2 2" xfId="35465" xr:uid="{119195B5-01C7-4ABC-ADFB-7309E62B5F29}"/>
    <cellStyle name="Linked Cell 36 2 2 2" xfId="35466" xr:uid="{B14E0629-728F-433A-9395-3C897A270D7D}"/>
    <cellStyle name="Linked Cell 36 2 2 2 2" xfId="35467" xr:uid="{C32CC90C-50EE-4670-9C8F-CF9069BC5EB3}"/>
    <cellStyle name="Linked Cell 36 2 2 3" xfId="35468" xr:uid="{C257ECBA-9C87-405B-BED3-78052E9E7D16}"/>
    <cellStyle name="Linked Cell 36 2 3" xfId="35469" xr:uid="{3AC41BC2-0FFA-4E5F-AB13-D6F16B039ED7}"/>
    <cellStyle name="Linked Cell 36 2 3 2" xfId="35470" xr:uid="{5CAB98FC-1752-4023-A5D2-47C37083D90E}"/>
    <cellStyle name="Linked Cell 36 2 3 2 2" xfId="35471" xr:uid="{A8716E5E-BC77-4A18-AE04-1C6D70865764}"/>
    <cellStyle name="Linked Cell 36 2 3 3" xfId="35472" xr:uid="{0A85F4BD-FD00-4E2F-A99A-3065E92C49AA}"/>
    <cellStyle name="Linked Cell 36 2 4" xfId="35473" xr:uid="{E2B749A4-84AD-4B3D-AB6B-BBAD978E521B}"/>
    <cellStyle name="Linked Cell 36 2 4 2" xfId="35474" xr:uid="{55E64289-F9C5-41B5-882A-4D60AE691F39}"/>
    <cellStyle name="Linked Cell 36 2 4 2 2" xfId="35475" xr:uid="{2900C392-B506-4019-9669-DD87B48AB555}"/>
    <cellStyle name="Linked Cell 36 2 4 3" xfId="35476" xr:uid="{CFE16C54-64A8-46D1-89AE-EEB924A19821}"/>
    <cellStyle name="Linked Cell 36 2 5" xfId="35477" xr:uid="{670F5CF5-F074-4199-B2BD-78ADB9D183FC}"/>
    <cellStyle name="Linked Cell 36 2 5 2" xfId="35478" xr:uid="{1D1CCFB8-B6E2-4F95-A5E1-24B40DD6C3B9}"/>
    <cellStyle name="Linked Cell 36 2 5 2 2" xfId="35479" xr:uid="{3A69CB3C-DD83-4DCF-A66F-937CD6EFAA8B}"/>
    <cellStyle name="Linked Cell 36 2 5 3" xfId="35480" xr:uid="{233F8227-BA57-4C3E-A112-739456EC8E10}"/>
    <cellStyle name="Linked Cell 36 2 6" xfId="35481" xr:uid="{A10EB51C-9460-4BED-84BB-7BDF024D7661}"/>
    <cellStyle name="Linked Cell 36 2 6 2" xfId="35482" xr:uid="{FB623728-BBE1-4467-B020-408441492D30}"/>
    <cellStyle name="Linked Cell 36 2 6 2 2" xfId="35483" xr:uid="{E00AFFB3-9D99-4A1F-A67E-B22B1B17B598}"/>
    <cellStyle name="Linked Cell 36 2 6 3" xfId="35484" xr:uid="{59751D16-4379-4A3B-9F9E-9FA3D4AFCD3F}"/>
    <cellStyle name="Linked Cell 36 2 7" xfId="35485" xr:uid="{899A85BF-A79D-453E-834D-A71D0B9D601D}"/>
    <cellStyle name="Linked Cell 36 2 7 2" xfId="35486" xr:uid="{3ACBAD03-FF94-473D-9EA4-E760101D213E}"/>
    <cellStyle name="Linked Cell 36 2 7 2 2" xfId="35487" xr:uid="{B72F5D7F-55B7-4D10-8A4E-675169E544AD}"/>
    <cellStyle name="Linked Cell 36 2 7 3" xfId="35488" xr:uid="{9E314322-14C4-4E4A-9560-5241FB7AF717}"/>
    <cellStyle name="Linked Cell 36 2 8" xfId="35489" xr:uid="{E08E98F6-24B8-43C4-BF04-1B3C8463140B}"/>
    <cellStyle name="Linked Cell 36 2 8 2" xfId="35490" xr:uid="{31706F83-E047-429E-8C0A-A1FE473ED331}"/>
    <cellStyle name="Linked Cell 36 2 8 2 2" xfId="35491" xr:uid="{7747F4B1-3953-4436-AD73-74339235CD03}"/>
    <cellStyle name="Linked Cell 36 2 8 3" xfId="35492" xr:uid="{256225AD-318C-4FBD-9B96-ABB56B40D69A}"/>
    <cellStyle name="Linked Cell 36 2 9" xfId="35493" xr:uid="{108CA390-7E97-4AC9-AA84-C06CB7B41A75}"/>
    <cellStyle name="Linked Cell 36 2 9 2" xfId="35494" xr:uid="{5D948765-6B1D-485A-B461-15558B46822B}"/>
    <cellStyle name="Linked Cell 36 2 9 2 2" xfId="35495" xr:uid="{DF918C10-6708-491D-9E68-46BF40335673}"/>
    <cellStyle name="Linked Cell 36 2 9 3" xfId="35496" xr:uid="{7B1F16E6-E241-4586-B6DA-94ACAB2C2D72}"/>
    <cellStyle name="Linked Cell 36 3" xfId="35497" xr:uid="{C34BBADD-25F6-4C05-B08B-255DF8670885}"/>
    <cellStyle name="Linked Cell 36 3 10" xfId="35498" xr:uid="{00BC7DFE-8BE0-4354-ADDE-BE354183BDB3}"/>
    <cellStyle name="Linked Cell 36 3 10 2" xfId="35499" xr:uid="{CF0AD1A0-5AAA-4271-AEFF-1294E6053ED0}"/>
    <cellStyle name="Linked Cell 36 3 11" xfId="35500" xr:uid="{31F87237-44F1-43EE-802F-CA7446900193}"/>
    <cellStyle name="Linked Cell 36 3 2" xfId="35501" xr:uid="{77AA6319-CB39-420B-8CA2-F71359F33E7B}"/>
    <cellStyle name="Linked Cell 36 3 2 2" xfId="35502" xr:uid="{CA93A455-0165-497E-B011-F22A6A261F94}"/>
    <cellStyle name="Linked Cell 36 3 2 2 2" xfId="35503" xr:uid="{CF654ADC-EE32-42E2-8BF5-418CB41C73B1}"/>
    <cellStyle name="Linked Cell 36 3 2 3" xfId="35504" xr:uid="{3ECBDCAE-E9F6-4BB3-94A1-4BC2848F92FA}"/>
    <cellStyle name="Linked Cell 36 3 3" xfId="35505" xr:uid="{E5731972-7E55-4009-B2A6-CDF8CE49228A}"/>
    <cellStyle name="Linked Cell 36 3 3 2" xfId="35506" xr:uid="{2ED7995A-D341-435B-81B5-8647103D7EDC}"/>
    <cellStyle name="Linked Cell 36 3 3 2 2" xfId="35507" xr:uid="{591D04FE-5845-4E5D-A224-9EC6B59A0E10}"/>
    <cellStyle name="Linked Cell 36 3 3 3" xfId="35508" xr:uid="{F924E807-EB1D-4C01-90E8-37BE6D90668D}"/>
    <cellStyle name="Linked Cell 36 3 4" xfId="35509" xr:uid="{411D84F4-6A63-4514-9020-E2194DC7D9AC}"/>
    <cellStyle name="Linked Cell 36 3 4 2" xfId="35510" xr:uid="{FD256745-F61B-4DCF-970C-3C384BBACCB4}"/>
    <cellStyle name="Linked Cell 36 3 4 2 2" xfId="35511" xr:uid="{64C1E11F-D64F-483D-9854-DC6063053ECD}"/>
    <cellStyle name="Linked Cell 36 3 4 3" xfId="35512" xr:uid="{729F0BAD-29DF-4472-A979-A2E35DABDEF3}"/>
    <cellStyle name="Linked Cell 36 3 5" xfId="35513" xr:uid="{7EAE880C-2A31-4CC0-BC1A-9B028730DB11}"/>
    <cellStyle name="Linked Cell 36 3 5 2" xfId="35514" xr:uid="{9F1F5528-29FE-433A-ADD2-0302CE1E94CA}"/>
    <cellStyle name="Linked Cell 36 3 5 2 2" xfId="35515" xr:uid="{4161BA49-375F-4E20-AD65-D2A0F34C44E3}"/>
    <cellStyle name="Linked Cell 36 3 5 3" xfId="35516" xr:uid="{48CFDFE2-6CCC-46B6-A69A-C2691356FFBB}"/>
    <cellStyle name="Linked Cell 36 3 6" xfId="35517" xr:uid="{11C4E86E-78D7-46A9-B5DB-2A003F0ECF1A}"/>
    <cellStyle name="Linked Cell 36 3 6 2" xfId="35518" xr:uid="{3F601F34-94DF-4DEF-A41E-E3E4F1AD69A6}"/>
    <cellStyle name="Linked Cell 36 3 6 2 2" xfId="35519" xr:uid="{34FA6C1B-061A-47EB-85B6-A3E6465844CD}"/>
    <cellStyle name="Linked Cell 36 3 6 3" xfId="35520" xr:uid="{408D61F3-0CC7-480F-9837-8F4D849272D4}"/>
    <cellStyle name="Linked Cell 36 3 7" xfId="35521" xr:uid="{6833F38D-83B7-4D52-9ABB-821BD53E6B77}"/>
    <cellStyle name="Linked Cell 36 3 7 2" xfId="35522" xr:uid="{FD12FEB3-AD45-4273-A308-7719C4B2694E}"/>
    <cellStyle name="Linked Cell 36 3 7 2 2" xfId="35523" xr:uid="{D1A3CEC0-CB5D-41E7-9644-71052E58DA52}"/>
    <cellStyle name="Linked Cell 36 3 7 3" xfId="35524" xr:uid="{02FE644B-5BA4-4B89-B168-1F0D2513B442}"/>
    <cellStyle name="Linked Cell 36 3 8" xfId="35525" xr:uid="{97FA61EC-9345-4C5D-B1B7-D297FC163FA0}"/>
    <cellStyle name="Linked Cell 36 3 8 2" xfId="35526" xr:uid="{0AA02FD0-A057-4880-86F8-12C60605FF8F}"/>
    <cellStyle name="Linked Cell 36 3 8 2 2" xfId="35527" xr:uid="{4B7D2981-1992-494A-A300-8017D6807DA9}"/>
    <cellStyle name="Linked Cell 36 3 8 3" xfId="35528" xr:uid="{2B7066F1-1B91-418C-8FDD-4A3F7CE73164}"/>
    <cellStyle name="Linked Cell 36 3 9" xfId="35529" xr:uid="{DF980599-30E8-402B-9914-457AA5751CA1}"/>
    <cellStyle name="Linked Cell 36 3 9 2" xfId="35530" xr:uid="{28B935EA-1022-4CD8-804A-04E1E90EB194}"/>
    <cellStyle name="Linked Cell 36 3 9 2 2" xfId="35531" xr:uid="{ADD87407-CED6-4132-BAAD-2651FE417F88}"/>
    <cellStyle name="Linked Cell 36 3 9 3" xfId="35532" xr:uid="{A7AEFA8F-D313-49A8-AF6B-709FE99E5D4C}"/>
    <cellStyle name="Linked Cell 36 4" xfId="35533" xr:uid="{745FDF4A-97A5-4901-97A8-710F1426AE5D}"/>
    <cellStyle name="Linked Cell 36 4 2" xfId="35534" xr:uid="{96247119-756C-4B55-BFDF-ED5F4F105515}"/>
    <cellStyle name="Linked Cell 36 4 2 2" xfId="35535" xr:uid="{3358C5E5-792B-46C9-A1A0-8CD30CFA9818}"/>
    <cellStyle name="Linked Cell 36 4 3" xfId="35536" xr:uid="{925E2612-BF56-48A7-A29A-D3809C166085}"/>
    <cellStyle name="Linked Cell 36 5" xfId="35537" xr:uid="{646BC2E3-3047-476C-A641-6C5979DE2789}"/>
    <cellStyle name="Linked Cell 36 5 2" xfId="35538" xr:uid="{94FCC398-8831-4699-BB69-0D56637786E5}"/>
    <cellStyle name="Linked Cell 36 5 2 2" xfId="35539" xr:uid="{90A17521-CCAA-4299-827A-0CCE639FDED4}"/>
    <cellStyle name="Linked Cell 36 5 3" xfId="35540" xr:uid="{06776374-E880-4E61-8112-17A3341BC8BF}"/>
    <cellStyle name="Linked Cell 36 6" xfId="35541" xr:uid="{70B10118-123E-4FF2-9645-3A89FF323FB4}"/>
    <cellStyle name="Linked Cell 36 6 2" xfId="35542" xr:uid="{BBCCFAED-0783-436F-B074-34BF5B8E04FC}"/>
    <cellStyle name="Linked Cell 36 6 2 2" xfId="35543" xr:uid="{04481F31-875E-4591-A6F4-F0E200B88522}"/>
    <cellStyle name="Linked Cell 36 6 3" xfId="35544" xr:uid="{ED5AB462-6826-4BB2-B470-6B1AE6C13954}"/>
    <cellStyle name="Linked Cell 36 7" xfId="35545" xr:uid="{4D2A365B-4C69-4E10-8FB2-0EA39A923942}"/>
    <cellStyle name="Linked Cell 36 7 2" xfId="35546" xr:uid="{0D94A526-E6B8-4CBA-80FD-B7F9D0EEEC4E}"/>
    <cellStyle name="Linked Cell 36 7 2 2" xfId="35547" xr:uid="{BD3BCE95-A38E-40F5-80BB-2C1ADC94D91B}"/>
    <cellStyle name="Linked Cell 36 7 3" xfId="35548" xr:uid="{C9980DE0-09F4-49DE-AE96-1253A313AA26}"/>
    <cellStyle name="Linked Cell 36 8" xfId="35549" xr:uid="{1F66EA30-3A4D-463E-9243-DFDBC7F481AA}"/>
    <cellStyle name="Linked Cell 36 8 2" xfId="35550" xr:uid="{0BB38648-BC03-4326-81B5-103A6D863209}"/>
    <cellStyle name="Linked Cell 36 8 2 2" xfId="35551" xr:uid="{661003E0-24AE-4116-929C-E86092F923DE}"/>
    <cellStyle name="Linked Cell 36 8 3" xfId="35552" xr:uid="{EA76050E-B7A5-4DD7-A37B-A935E69EF75C}"/>
    <cellStyle name="Linked Cell 36 9" xfId="35553" xr:uid="{4C37C998-AEFD-430D-A05F-1CC0418FEC5E}"/>
    <cellStyle name="Linked Cell 36 9 2" xfId="35554" xr:uid="{AB3B6B0F-8DD3-42D0-ADC1-477FB29F713A}"/>
    <cellStyle name="Linked Cell 36 9 2 2" xfId="35555" xr:uid="{9C1B094B-F488-4209-B032-6EC2F7E6DD48}"/>
    <cellStyle name="Linked Cell 36 9 3" xfId="35556" xr:uid="{EF778A46-1A8D-41B8-AF1A-50FB7B48314F}"/>
    <cellStyle name="Linked Cell 37" xfId="11770" xr:uid="{B78E0C2D-47B8-4BAF-976D-72B0FC195102}"/>
    <cellStyle name="Linked Cell 4" xfId="35557" xr:uid="{408145D3-F4C5-4E79-91E1-6C6101AA5AAF}"/>
    <cellStyle name="Linked Cell 4 2" xfId="35558" xr:uid="{31152E66-7900-40B1-BB02-4D4134B8634D}"/>
    <cellStyle name="Linked Cell 4 2 10" xfId="35559" xr:uid="{0B98A0F7-C11E-4195-9E9D-50F38D8E9843}"/>
    <cellStyle name="Linked Cell 4 2 10 2" xfId="35560" xr:uid="{75EF5E68-D65D-4A61-8C3A-D9EC46C9FF21}"/>
    <cellStyle name="Linked Cell 4 2 10 2 2" xfId="35561" xr:uid="{EF02B222-8B84-4F65-A7ED-2864777FCE28}"/>
    <cellStyle name="Linked Cell 4 2 10 3" xfId="35562" xr:uid="{EFDE3567-DD57-41EA-B511-9DF82BC8DE5B}"/>
    <cellStyle name="Linked Cell 4 2 11" xfId="35563" xr:uid="{B0BF76FD-4FBD-4E69-8C12-50726A18F2A0}"/>
    <cellStyle name="Linked Cell 4 2 11 2" xfId="35564" xr:uid="{D80C67E1-6434-4F74-A9D2-1B885E91D9D2}"/>
    <cellStyle name="Linked Cell 4 2 11 2 2" xfId="35565" xr:uid="{2A3DF09A-1985-4F21-8D66-C7F71145E325}"/>
    <cellStyle name="Linked Cell 4 2 11 3" xfId="35566" xr:uid="{7D16E412-B42B-4662-8318-179B63768D86}"/>
    <cellStyle name="Linked Cell 4 2 12" xfId="35567" xr:uid="{57F27A74-72E7-41E7-B2D1-B25ED6DEDB80}"/>
    <cellStyle name="Linked Cell 4 2 12 2" xfId="35568" xr:uid="{CC06F515-1FEE-4C75-8822-3D49B1854B0C}"/>
    <cellStyle name="Linked Cell 4 2 12 2 2" xfId="35569" xr:uid="{659678A3-2208-4463-9284-D819D6F121B8}"/>
    <cellStyle name="Linked Cell 4 2 12 3" xfId="35570" xr:uid="{DF443489-84F8-414C-85F6-8D769DC64503}"/>
    <cellStyle name="Linked Cell 4 2 13" xfId="35571" xr:uid="{A505FFA3-92DF-4D32-8275-52317F1C40C8}"/>
    <cellStyle name="Linked Cell 4 2 13 2" xfId="35572" xr:uid="{A355630C-A7F7-4150-AFE2-3109C742B3C7}"/>
    <cellStyle name="Linked Cell 4 2 13 2 2" xfId="35573" xr:uid="{2FFA7CDA-7924-4BDF-8EE8-636E1AEABC2F}"/>
    <cellStyle name="Linked Cell 4 2 13 3" xfId="35574" xr:uid="{6458EB6A-94D2-481D-BAC1-2F3E952A22EA}"/>
    <cellStyle name="Linked Cell 4 2 14" xfId="35575" xr:uid="{0B3DD8D3-6752-41ED-B361-DE18FB9A2D2B}"/>
    <cellStyle name="Linked Cell 4 2 14 2" xfId="35576" xr:uid="{02C5A351-4EFB-429E-87C3-31C3A42873C0}"/>
    <cellStyle name="Linked Cell 4 2 15" xfId="35577" xr:uid="{725ADF65-8C42-4BB3-A9A1-9ED2955CB590}"/>
    <cellStyle name="Linked Cell 4 2 2" xfId="35578" xr:uid="{A12A33A7-3635-40F5-B1DF-D15765429EB5}"/>
    <cellStyle name="Linked Cell 4 2 2 10" xfId="35579" xr:uid="{7C1E6EEA-7678-4ADF-A863-5E9BE6E8E734}"/>
    <cellStyle name="Linked Cell 4 2 2 10 2" xfId="35580" xr:uid="{B3E87266-8812-41CD-B01A-91FD9C90B20A}"/>
    <cellStyle name="Linked Cell 4 2 2 10 2 2" xfId="35581" xr:uid="{5546CB6D-BF79-4946-8674-6455B4E2ABC9}"/>
    <cellStyle name="Linked Cell 4 2 2 10 3" xfId="35582" xr:uid="{67D29BA4-E26A-441E-A36C-23E7D6369415}"/>
    <cellStyle name="Linked Cell 4 2 2 11" xfId="35583" xr:uid="{91A7A456-7355-40C5-A470-5DF84B5B4569}"/>
    <cellStyle name="Linked Cell 4 2 2 11 2" xfId="35584" xr:uid="{94825CE3-585E-4946-B6DB-115B95D9575A}"/>
    <cellStyle name="Linked Cell 4 2 2 11 2 2" xfId="35585" xr:uid="{88352E8E-9AA7-4124-B2D3-ACCBC0DBAC64}"/>
    <cellStyle name="Linked Cell 4 2 2 11 3" xfId="35586" xr:uid="{759143FF-CC64-4A97-9CB5-500E7BCECD38}"/>
    <cellStyle name="Linked Cell 4 2 2 12" xfId="35587" xr:uid="{6F21317F-7E8D-475B-8A6E-A79090466003}"/>
    <cellStyle name="Linked Cell 4 2 2 12 2" xfId="35588" xr:uid="{D77E546D-27AF-4B0C-80A8-1C6CA0B32DB2}"/>
    <cellStyle name="Linked Cell 4 2 2 12 2 2" xfId="35589" xr:uid="{538EB057-B236-4E43-ADCA-FF21F995AF73}"/>
    <cellStyle name="Linked Cell 4 2 2 12 3" xfId="35590" xr:uid="{8F24AEA3-1676-4C26-98BF-F657495B0773}"/>
    <cellStyle name="Linked Cell 4 2 2 13" xfId="35591" xr:uid="{1A75491F-C28F-45AB-BE29-321F9590277A}"/>
    <cellStyle name="Linked Cell 4 2 2 13 2" xfId="35592" xr:uid="{975246F0-A6EF-4FC8-8725-59F269424F15}"/>
    <cellStyle name="Linked Cell 4 2 2 14" xfId="35593" xr:uid="{E76E3F44-E229-47C0-B0B9-524377C8CDA2}"/>
    <cellStyle name="Linked Cell 4 2 2 2" xfId="35594" xr:uid="{93971369-456F-453B-BDA1-E966C4412368}"/>
    <cellStyle name="Linked Cell 4 2 2 2 10" xfId="35595" xr:uid="{E457C3C5-025F-471A-8945-74FB48447B2D}"/>
    <cellStyle name="Linked Cell 4 2 2 2 10 2" xfId="35596" xr:uid="{F425B23F-45DF-41D3-8D03-C0DC3B16AB9C}"/>
    <cellStyle name="Linked Cell 4 2 2 2 10 2 2" xfId="35597" xr:uid="{5DA491C7-EA89-4B14-B8B6-FEF7F4AD4C09}"/>
    <cellStyle name="Linked Cell 4 2 2 2 10 3" xfId="35598" xr:uid="{9052BBD5-8D2B-41B8-92E8-C5E046D8E315}"/>
    <cellStyle name="Linked Cell 4 2 2 2 11" xfId="35599" xr:uid="{F7BBEB26-F4DA-465A-BC8C-B999792B9759}"/>
    <cellStyle name="Linked Cell 4 2 2 2 11 2" xfId="35600" xr:uid="{2F38F7CE-C1CD-40C6-8CAD-54285CDDD50B}"/>
    <cellStyle name="Linked Cell 4 2 2 2 11 2 2" xfId="35601" xr:uid="{0984AC77-45D5-4E70-AEF1-DE057891EC64}"/>
    <cellStyle name="Linked Cell 4 2 2 2 11 3" xfId="35602" xr:uid="{B2810B26-545A-4578-A628-C00B65CA99B1}"/>
    <cellStyle name="Linked Cell 4 2 2 2 12" xfId="35603" xr:uid="{AAFFADF8-EFF6-46C9-A00D-254056273176}"/>
    <cellStyle name="Linked Cell 4 2 2 2 12 2" xfId="35604" xr:uid="{5A12171D-3755-46DB-820B-71127D48A19D}"/>
    <cellStyle name="Linked Cell 4 2 2 2 13" xfId="35605" xr:uid="{67BFFA9B-0F8A-4E5A-8978-12D3A3DE14A9}"/>
    <cellStyle name="Linked Cell 4 2 2 2 2" xfId="35606" xr:uid="{2933D4B2-2238-40D2-90EB-5A60B429A78B}"/>
    <cellStyle name="Linked Cell 4 2 2 2 2 10" xfId="35607" xr:uid="{3CAEF0A3-2464-40A7-BFE3-AEE5DFB0451D}"/>
    <cellStyle name="Linked Cell 4 2 2 2 2 10 2" xfId="35608" xr:uid="{ECC7D3FD-CC5D-4FC5-BFE7-E97B8008A0EB}"/>
    <cellStyle name="Linked Cell 4 2 2 2 2 10 2 2" xfId="35609" xr:uid="{503BDC61-69DE-4E98-BCB4-64F01FDC2FE7}"/>
    <cellStyle name="Linked Cell 4 2 2 2 2 10 3" xfId="35610" xr:uid="{020A33B5-02AD-4B62-8301-5CFBCBAB4547}"/>
    <cellStyle name="Linked Cell 4 2 2 2 2 11" xfId="35611" xr:uid="{767FCDDD-9881-4001-9F76-B9F3A7261892}"/>
    <cellStyle name="Linked Cell 4 2 2 2 2 11 2" xfId="35612" xr:uid="{8169EAC0-C4B4-48C1-93EC-A722F292FEBA}"/>
    <cellStyle name="Linked Cell 4 2 2 2 2 12" xfId="35613" xr:uid="{EC1D64B3-1B54-4232-9595-5952CECF6384}"/>
    <cellStyle name="Linked Cell 4 2 2 2 2 2" xfId="35614" xr:uid="{1D10B752-DBE2-4A2E-8B67-27DA86C60F25}"/>
    <cellStyle name="Linked Cell 4 2 2 2 2 2 2" xfId="35615" xr:uid="{67522195-3F7C-47C5-B468-B68182F04862}"/>
    <cellStyle name="Linked Cell 4 2 2 2 2 2 2 2" xfId="35616" xr:uid="{0F91EEAD-1B18-4C63-ABDC-82260FAEC25E}"/>
    <cellStyle name="Linked Cell 4 2 2 2 2 2 3" xfId="35617" xr:uid="{797179F8-910A-45E5-B9DE-E8A129A3D687}"/>
    <cellStyle name="Linked Cell 4 2 2 2 2 3" xfId="35618" xr:uid="{157D598D-3D9B-41CD-A184-DAFD2AA9BD44}"/>
    <cellStyle name="Linked Cell 4 2 2 2 2 3 2" xfId="35619" xr:uid="{E08CAAF8-0361-478A-B304-B0B591336FEB}"/>
    <cellStyle name="Linked Cell 4 2 2 2 2 3 2 2" xfId="35620" xr:uid="{3741032A-33CE-46B4-92ED-B6B6C473B65C}"/>
    <cellStyle name="Linked Cell 4 2 2 2 2 3 3" xfId="35621" xr:uid="{4F7A97D8-BFA8-4F95-A7C7-DD71E0888857}"/>
    <cellStyle name="Linked Cell 4 2 2 2 2 4" xfId="35622" xr:uid="{50A207F4-67E9-4A64-95D5-4A10979F8542}"/>
    <cellStyle name="Linked Cell 4 2 2 2 2 4 2" xfId="35623" xr:uid="{8A6BE8E8-4547-4DC2-B4E5-1B8CCCB1E032}"/>
    <cellStyle name="Linked Cell 4 2 2 2 2 4 2 2" xfId="35624" xr:uid="{A41DC0AA-AB5C-4059-955B-A0426049E87C}"/>
    <cellStyle name="Linked Cell 4 2 2 2 2 4 3" xfId="35625" xr:uid="{2E7BBF0E-69CE-4BC3-A09D-74277CA590E4}"/>
    <cellStyle name="Linked Cell 4 2 2 2 2 5" xfId="35626" xr:uid="{68B63412-898C-4BD7-B687-310ACB30A592}"/>
    <cellStyle name="Linked Cell 4 2 2 2 2 5 2" xfId="35627" xr:uid="{EE9A06C2-C06C-461F-99DD-F2F56687CA00}"/>
    <cellStyle name="Linked Cell 4 2 2 2 2 5 2 2" xfId="35628" xr:uid="{E95589FA-1D42-4B66-AD5B-E01553F12BB8}"/>
    <cellStyle name="Linked Cell 4 2 2 2 2 5 3" xfId="35629" xr:uid="{D1B03C11-66F1-4E75-B2C3-6E12A535F78F}"/>
    <cellStyle name="Linked Cell 4 2 2 2 2 6" xfId="35630" xr:uid="{70A464A8-C915-4944-9F09-023BFCB48122}"/>
    <cellStyle name="Linked Cell 4 2 2 2 2 6 2" xfId="35631" xr:uid="{B43F71AC-7B33-45D4-B404-0A68E7DD7AA6}"/>
    <cellStyle name="Linked Cell 4 2 2 2 2 6 2 2" xfId="35632" xr:uid="{17ED744A-8A1B-458F-93B3-EB2B447D6AB4}"/>
    <cellStyle name="Linked Cell 4 2 2 2 2 6 3" xfId="35633" xr:uid="{9A54092D-D613-45B9-A744-624509EB5076}"/>
    <cellStyle name="Linked Cell 4 2 2 2 2 7" xfId="35634" xr:uid="{58D8C6B5-31A3-4067-B6E6-0A846FC0F258}"/>
    <cellStyle name="Linked Cell 4 2 2 2 2 7 2" xfId="35635" xr:uid="{45266B13-4D9C-4ACE-B948-04709A9B0343}"/>
    <cellStyle name="Linked Cell 4 2 2 2 2 7 2 2" xfId="35636" xr:uid="{25EF8185-EBB7-44FC-B220-A138B674D20A}"/>
    <cellStyle name="Linked Cell 4 2 2 2 2 7 3" xfId="35637" xr:uid="{7BAE409F-C46A-46C7-A562-398B0552DF0C}"/>
    <cellStyle name="Linked Cell 4 2 2 2 2 8" xfId="35638" xr:uid="{75BC6016-36F3-4065-9CB4-45BCB550B7DD}"/>
    <cellStyle name="Linked Cell 4 2 2 2 2 8 2" xfId="35639" xr:uid="{384E7617-A598-401B-8CB7-80576772EAE3}"/>
    <cellStyle name="Linked Cell 4 2 2 2 2 8 2 2" xfId="35640" xr:uid="{CA6B7FAE-EF97-4CD5-9906-D99AAD7FC3E2}"/>
    <cellStyle name="Linked Cell 4 2 2 2 2 8 3" xfId="35641" xr:uid="{9FBA85C0-E2D4-4547-906C-F4FEDBE3A213}"/>
    <cellStyle name="Linked Cell 4 2 2 2 2 9" xfId="35642" xr:uid="{F5C4CDB1-C068-4D67-A78A-0FB57225338F}"/>
    <cellStyle name="Linked Cell 4 2 2 2 2 9 2" xfId="35643" xr:uid="{118BC854-F1EE-4B3F-A085-436F38D49399}"/>
    <cellStyle name="Linked Cell 4 2 2 2 2 9 2 2" xfId="35644" xr:uid="{0FBB6C1A-4992-46EA-9708-98DE2AD6F1E7}"/>
    <cellStyle name="Linked Cell 4 2 2 2 2 9 3" xfId="35645" xr:uid="{623F7E73-6A91-430B-9137-B0ABB269A9BC}"/>
    <cellStyle name="Linked Cell 4 2 2 2 3" xfId="35646" xr:uid="{64397EEE-E636-4AD6-BF68-B0DA539518BA}"/>
    <cellStyle name="Linked Cell 4 2 2 2 3 10" xfId="35647" xr:uid="{53ED279E-A093-41A3-A4B2-8F6293622C0A}"/>
    <cellStyle name="Linked Cell 4 2 2 2 3 10 2" xfId="35648" xr:uid="{B0BB78D0-8216-438A-B103-7F046E2C03AE}"/>
    <cellStyle name="Linked Cell 4 2 2 2 3 11" xfId="35649" xr:uid="{8DC25D1B-89BE-4CF5-B442-6B4A39D78949}"/>
    <cellStyle name="Linked Cell 4 2 2 2 3 2" xfId="35650" xr:uid="{47356801-EAE0-4ABC-8057-7231E3BC8B77}"/>
    <cellStyle name="Linked Cell 4 2 2 2 3 2 2" xfId="35651" xr:uid="{4F4D1219-9893-4ED2-AD3F-25BB627CC882}"/>
    <cellStyle name="Linked Cell 4 2 2 2 3 2 2 2" xfId="35652" xr:uid="{CBA5C55F-A8A3-4D08-A086-250BC8DC2C26}"/>
    <cellStyle name="Linked Cell 4 2 2 2 3 2 3" xfId="35653" xr:uid="{05BA0A65-22A2-487F-9BBB-1DF4A20E5DFB}"/>
    <cellStyle name="Linked Cell 4 2 2 2 3 3" xfId="35654" xr:uid="{57AAED53-9997-4CAE-8598-F19059E6FF76}"/>
    <cellStyle name="Linked Cell 4 2 2 2 3 3 2" xfId="35655" xr:uid="{0370A5C4-BAF6-42E8-8560-B2C6F82D55EC}"/>
    <cellStyle name="Linked Cell 4 2 2 2 3 3 2 2" xfId="35656" xr:uid="{6E23B410-EFB8-40D9-AA87-B9F4D2DB793E}"/>
    <cellStyle name="Linked Cell 4 2 2 2 3 3 3" xfId="35657" xr:uid="{42D6C4AE-848D-4C63-ACB0-DB69D2DA6AF1}"/>
    <cellStyle name="Linked Cell 4 2 2 2 3 4" xfId="35658" xr:uid="{561C8A68-C997-46E8-97F7-728EB4BF1737}"/>
    <cellStyle name="Linked Cell 4 2 2 2 3 4 2" xfId="35659" xr:uid="{0CB48268-E79E-4679-A4BF-BC6FE9321FEA}"/>
    <cellStyle name="Linked Cell 4 2 2 2 3 4 2 2" xfId="35660" xr:uid="{C69A2443-CD05-4B1D-9BB0-144BF8EA38F2}"/>
    <cellStyle name="Linked Cell 4 2 2 2 3 4 3" xfId="35661" xr:uid="{94CBF8DA-E324-48D8-B947-CA2548AE2376}"/>
    <cellStyle name="Linked Cell 4 2 2 2 3 5" xfId="35662" xr:uid="{1C989C96-CF2D-4219-8FDD-03865B01F1EF}"/>
    <cellStyle name="Linked Cell 4 2 2 2 3 5 2" xfId="35663" xr:uid="{B203A483-DF50-405B-9DD6-3513701880B9}"/>
    <cellStyle name="Linked Cell 4 2 2 2 3 5 2 2" xfId="35664" xr:uid="{72FFF61D-4DF3-424A-B2BE-253FB2134E18}"/>
    <cellStyle name="Linked Cell 4 2 2 2 3 5 3" xfId="35665" xr:uid="{253DD0F7-9657-4523-9640-96F96B7DEBC2}"/>
    <cellStyle name="Linked Cell 4 2 2 2 3 6" xfId="35666" xr:uid="{A28428D0-4B94-466F-A39C-6004A3E5EF22}"/>
    <cellStyle name="Linked Cell 4 2 2 2 3 6 2" xfId="35667" xr:uid="{2370D823-2B4F-4D6E-8788-14D439EDB8F6}"/>
    <cellStyle name="Linked Cell 4 2 2 2 3 6 2 2" xfId="35668" xr:uid="{A433C6D1-B735-4D15-8730-AD9168C067C0}"/>
    <cellStyle name="Linked Cell 4 2 2 2 3 6 3" xfId="35669" xr:uid="{B5EE1494-18BD-43BA-9DC3-20BC654C19B0}"/>
    <cellStyle name="Linked Cell 4 2 2 2 3 7" xfId="35670" xr:uid="{11D57312-84C5-4370-B1F3-7014F9F0E311}"/>
    <cellStyle name="Linked Cell 4 2 2 2 3 7 2" xfId="35671" xr:uid="{31617FD1-EC5B-4F7A-80DA-6F64D91B2495}"/>
    <cellStyle name="Linked Cell 4 2 2 2 3 7 2 2" xfId="35672" xr:uid="{92D4836B-C567-4507-8239-937DE53512AD}"/>
    <cellStyle name="Linked Cell 4 2 2 2 3 7 3" xfId="35673" xr:uid="{418817B6-C39E-4C9E-BFC0-119B686D889C}"/>
    <cellStyle name="Linked Cell 4 2 2 2 3 8" xfId="35674" xr:uid="{F4105A1B-7F9A-44DB-B360-7A7E62727BA4}"/>
    <cellStyle name="Linked Cell 4 2 2 2 3 8 2" xfId="35675" xr:uid="{2C3CE5B3-DD28-4195-9992-306A55A5D1A6}"/>
    <cellStyle name="Linked Cell 4 2 2 2 3 8 2 2" xfId="35676" xr:uid="{E2B54F8A-BE0E-49A2-8DDC-688A78497A1B}"/>
    <cellStyle name="Linked Cell 4 2 2 2 3 8 3" xfId="35677" xr:uid="{782ECEB6-82D2-46D1-BE0E-A625239CDC56}"/>
    <cellStyle name="Linked Cell 4 2 2 2 3 9" xfId="35678" xr:uid="{7BF8C2D6-89C8-49CE-B4D0-A8DAC88DC922}"/>
    <cellStyle name="Linked Cell 4 2 2 2 3 9 2" xfId="35679" xr:uid="{2E435E9D-5D3E-4652-9AAA-C1641930FAA8}"/>
    <cellStyle name="Linked Cell 4 2 2 2 3 9 2 2" xfId="35680" xr:uid="{9FC39C69-81D1-4B55-ABC5-F0CECBD5303D}"/>
    <cellStyle name="Linked Cell 4 2 2 2 3 9 3" xfId="35681" xr:uid="{F3DB99AC-8C70-462E-90A6-51CF1DBF8DDD}"/>
    <cellStyle name="Linked Cell 4 2 2 2 4" xfId="35682" xr:uid="{73E4B90B-3798-4BAE-B127-867FC4FE7D72}"/>
    <cellStyle name="Linked Cell 4 2 2 2 4 2" xfId="35683" xr:uid="{B3800E73-50D6-48A8-9AE7-23C69A4814EA}"/>
    <cellStyle name="Linked Cell 4 2 2 2 4 2 2" xfId="35684" xr:uid="{221EC948-2148-48B2-A1DB-53482867A611}"/>
    <cellStyle name="Linked Cell 4 2 2 2 4 3" xfId="35685" xr:uid="{22AF4F15-B90F-402A-AAC8-7ACFD2A387EC}"/>
    <cellStyle name="Linked Cell 4 2 2 2 5" xfId="35686" xr:uid="{33E52E49-452E-4005-A171-98D5087F2DD0}"/>
    <cellStyle name="Linked Cell 4 2 2 2 5 2" xfId="35687" xr:uid="{90874477-2148-408B-ACDB-4F213066FD2E}"/>
    <cellStyle name="Linked Cell 4 2 2 2 5 2 2" xfId="35688" xr:uid="{9DE0CA9C-8A2A-409F-A96B-35C09E6090A5}"/>
    <cellStyle name="Linked Cell 4 2 2 2 5 3" xfId="35689" xr:uid="{939D5F2F-3B04-40C8-99F6-D24D6EBD9343}"/>
    <cellStyle name="Linked Cell 4 2 2 2 6" xfId="35690" xr:uid="{B56CEBF5-8E0C-4284-A84F-530C42160BDC}"/>
    <cellStyle name="Linked Cell 4 2 2 2 6 2" xfId="35691" xr:uid="{D3726E00-DF4D-488A-B10A-5DCA52148B41}"/>
    <cellStyle name="Linked Cell 4 2 2 2 6 2 2" xfId="35692" xr:uid="{6194E2EE-5B8C-4C71-81F9-6A9E4DBE6007}"/>
    <cellStyle name="Linked Cell 4 2 2 2 6 3" xfId="35693" xr:uid="{9378F18A-981B-461A-9BBE-B60BB413F1D7}"/>
    <cellStyle name="Linked Cell 4 2 2 2 7" xfId="35694" xr:uid="{B4B7F6BB-1652-4639-93EA-390C513E8998}"/>
    <cellStyle name="Linked Cell 4 2 2 2 7 2" xfId="35695" xr:uid="{9A7656A2-DB75-4451-8BED-1AE745BCBB4B}"/>
    <cellStyle name="Linked Cell 4 2 2 2 7 2 2" xfId="35696" xr:uid="{B90FBADC-50C8-4365-8466-47F0904FDA2D}"/>
    <cellStyle name="Linked Cell 4 2 2 2 7 3" xfId="35697" xr:uid="{2A63409D-4BFE-49D2-8CEA-614B9A64AAE7}"/>
    <cellStyle name="Linked Cell 4 2 2 2 8" xfId="35698" xr:uid="{2FD673CA-C8A8-4310-8738-5A3CC028BD7A}"/>
    <cellStyle name="Linked Cell 4 2 2 2 8 2" xfId="35699" xr:uid="{B6DA186F-D66B-41BB-B498-BB9263D57733}"/>
    <cellStyle name="Linked Cell 4 2 2 2 8 2 2" xfId="35700" xr:uid="{6DDB4F8E-1D6B-4854-B775-F893F17F43D6}"/>
    <cellStyle name="Linked Cell 4 2 2 2 8 3" xfId="35701" xr:uid="{85121863-81F0-4FDF-B5ED-777751EB2A75}"/>
    <cellStyle name="Linked Cell 4 2 2 2 9" xfId="35702" xr:uid="{D182BA8D-A53A-49F5-B1DE-C56C7E132813}"/>
    <cellStyle name="Linked Cell 4 2 2 2 9 2" xfId="35703" xr:uid="{7685DBB1-6AAC-4227-BC96-555484BEC7BD}"/>
    <cellStyle name="Linked Cell 4 2 2 2 9 2 2" xfId="35704" xr:uid="{E3DF5EEF-A14E-4798-8478-02C84689FBF5}"/>
    <cellStyle name="Linked Cell 4 2 2 2 9 3" xfId="35705" xr:uid="{6F10F37E-74F4-4802-A661-7AD2CE9D7CFF}"/>
    <cellStyle name="Linked Cell 4 2 2 3" xfId="35706" xr:uid="{2BA51F22-8BE2-44AA-A8DF-8EF248E31CBC}"/>
    <cellStyle name="Linked Cell 4 2 2 3 10" xfId="35707" xr:uid="{E4E154C1-DC6D-4C0F-B30B-2FCAF0C67A29}"/>
    <cellStyle name="Linked Cell 4 2 2 3 10 2" xfId="35708" xr:uid="{735E1193-29EE-4D49-8763-782959FCA8AC}"/>
    <cellStyle name="Linked Cell 4 2 2 3 10 2 2" xfId="35709" xr:uid="{B4E1B93E-6B0B-41C7-86B2-3A453D8D9283}"/>
    <cellStyle name="Linked Cell 4 2 2 3 10 3" xfId="35710" xr:uid="{3A168599-1BE1-46AD-8D6D-06DEA95A8D4D}"/>
    <cellStyle name="Linked Cell 4 2 2 3 11" xfId="35711" xr:uid="{A5B54B21-0187-4D21-AF2C-DE4C0A808287}"/>
    <cellStyle name="Linked Cell 4 2 2 3 11 2" xfId="35712" xr:uid="{4758646B-700F-4473-AD93-CE06D11BCC4B}"/>
    <cellStyle name="Linked Cell 4 2 2 3 12" xfId="35713" xr:uid="{3AC35D2C-C6C4-4B5E-BEB9-4E8D4C1F1AEF}"/>
    <cellStyle name="Linked Cell 4 2 2 3 2" xfId="35714" xr:uid="{662D7308-F000-4F2F-9C04-88AA2FAB0E07}"/>
    <cellStyle name="Linked Cell 4 2 2 3 2 10" xfId="35715" xr:uid="{5A3A0091-1B3F-496A-AF98-73E3402E3443}"/>
    <cellStyle name="Linked Cell 4 2 2 3 2 10 2" xfId="35716" xr:uid="{5C13B27E-83B3-42DA-8493-7F94D9283E76}"/>
    <cellStyle name="Linked Cell 4 2 2 3 2 11" xfId="35717" xr:uid="{C0687FF7-6E71-4E8E-929D-8309EE066313}"/>
    <cellStyle name="Linked Cell 4 2 2 3 2 2" xfId="35718" xr:uid="{7C71A355-778B-48D1-8665-855D7956F87E}"/>
    <cellStyle name="Linked Cell 4 2 2 3 2 2 2" xfId="35719" xr:uid="{5525A70F-87F9-4DE5-9D68-74EFCA25BFE9}"/>
    <cellStyle name="Linked Cell 4 2 2 3 2 2 2 2" xfId="35720" xr:uid="{2794B822-F8E7-445C-9DAF-8837A206FAFB}"/>
    <cellStyle name="Linked Cell 4 2 2 3 2 2 3" xfId="35721" xr:uid="{502C1F80-EAD5-4E86-BD44-1E877265CF7E}"/>
    <cellStyle name="Linked Cell 4 2 2 3 2 3" xfId="35722" xr:uid="{E841764D-1282-4ED9-B211-1DD5FC3271F9}"/>
    <cellStyle name="Linked Cell 4 2 2 3 2 3 2" xfId="35723" xr:uid="{4A85B4C9-43C9-493C-A1EA-9D575B299902}"/>
    <cellStyle name="Linked Cell 4 2 2 3 2 3 2 2" xfId="35724" xr:uid="{D02C3851-6E58-4079-8474-C993CB014F37}"/>
    <cellStyle name="Linked Cell 4 2 2 3 2 3 3" xfId="35725" xr:uid="{35879246-6C7E-4C74-B20B-FEC17E43C9F9}"/>
    <cellStyle name="Linked Cell 4 2 2 3 2 4" xfId="35726" xr:uid="{E50D1FC2-E8F7-40B0-AD3F-02347DE5FFAF}"/>
    <cellStyle name="Linked Cell 4 2 2 3 2 4 2" xfId="35727" xr:uid="{E0A8D9DD-3205-464F-9F50-D0F40EC82236}"/>
    <cellStyle name="Linked Cell 4 2 2 3 2 4 2 2" xfId="35728" xr:uid="{07F07443-DE26-444C-930F-7C7A416B8BD5}"/>
    <cellStyle name="Linked Cell 4 2 2 3 2 4 3" xfId="35729" xr:uid="{A3DC33CC-963C-4E27-9592-89652AB638A9}"/>
    <cellStyle name="Linked Cell 4 2 2 3 2 5" xfId="35730" xr:uid="{8D04793C-55AB-4416-B3D9-FE64DCF62528}"/>
    <cellStyle name="Linked Cell 4 2 2 3 2 5 2" xfId="35731" xr:uid="{8C23898F-E3C3-453B-A942-C2243F39AAB8}"/>
    <cellStyle name="Linked Cell 4 2 2 3 2 5 2 2" xfId="35732" xr:uid="{11FC00E4-D2E3-47A1-A5FD-7C4BD52E191F}"/>
    <cellStyle name="Linked Cell 4 2 2 3 2 5 3" xfId="35733" xr:uid="{BF1C72C2-7BFF-4D23-B0D1-B8D8897919C9}"/>
    <cellStyle name="Linked Cell 4 2 2 3 2 6" xfId="35734" xr:uid="{57E2B0C2-5F92-47D6-B7FB-F89ED66C5669}"/>
    <cellStyle name="Linked Cell 4 2 2 3 2 6 2" xfId="35735" xr:uid="{D87E97EE-205A-42B9-909C-490CA1749974}"/>
    <cellStyle name="Linked Cell 4 2 2 3 2 6 2 2" xfId="35736" xr:uid="{447D4893-FAB9-4F2B-B657-A8756305350E}"/>
    <cellStyle name="Linked Cell 4 2 2 3 2 6 3" xfId="35737" xr:uid="{40582AA1-30E6-4E1C-B586-E40BCD3BC247}"/>
    <cellStyle name="Linked Cell 4 2 2 3 2 7" xfId="35738" xr:uid="{7B85217E-4CFF-45FC-9326-50ECA9E25524}"/>
    <cellStyle name="Linked Cell 4 2 2 3 2 7 2" xfId="35739" xr:uid="{B1AB1B55-1BF6-40AF-89D6-EA9996CFADD6}"/>
    <cellStyle name="Linked Cell 4 2 2 3 2 7 2 2" xfId="35740" xr:uid="{DE8E352C-FF5B-45A7-9B66-10B717A22608}"/>
    <cellStyle name="Linked Cell 4 2 2 3 2 7 3" xfId="35741" xr:uid="{C1A8C9C2-FC0A-4AD8-A137-85507DF2C032}"/>
    <cellStyle name="Linked Cell 4 2 2 3 2 8" xfId="35742" xr:uid="{9DF9DE4B-568F-4E6D-A5AA-6077F0B354A5}"/>
    <cellStyle name="Linked Cell 4 2 2 3 2 8 2" xfId="35743" xr:uid="{4F73714D-A2BC-47E9-8359-AD9A80DF0DAF}"/>
    <cellStyle name="Linked Cell 4 2 2 3 2 8 2 2" xfId="35744" xr:uid="{6D76A1D7-8B99-4B5F-955B-A5D8F97FDCC7}"/>
    <cellStyle name="Linked Cell 4 2 2 3 2 8 3" xfId="35745" xr:uid="{E7E0DC08-C4D6-46E7-8E3F-B274255E32DD}"/>
    <cellStyle name="Linked Cell 4 2 2 3 2 9" xfId="35746" xr:uid="{5508CEE2-D9DA-4CDF-9A95-BF8499E46B50}"/>
    <cellStyle name="Linked Cell 4 2 2 3 2 9 2" xfId="35747" xr:uid="{90B8BD88-2040-432F-8F05-CFC76B106246}"/>
    <cellStyle name="Linked Cell 4 2 2 3 2 9 2 2" xfId="35748" xr:uid="{AA517D48-2498-41DF-A270-03171486F6AB}"/>
    <cellStyle name="Linked Cell 4 2 2 3 2 9 3" xfId="35749" xr:uid="{FE1C4A9B-42B4-4FF1-850C-8DFC7A78EE20}"/>
    <cellStyle name="Linked Cell 4 2 2 3 3" xfId="35750" xr:uid="{4E288692-39BE-4B62-94FD-81BB854D9548}"/>
    <cellStyle name="Linked Cell 4 2 2 3 3 2" xfId="35751" xr:uid="{C9BA5A99-EA9A-408B-A144-1A2EB1B66EFA}"/>
    <cellStyle name="Linked Cell 4 2 2 3 3 2 2" xfId="35752" xr:uid="{6781B173-CE6E-48B9-8D02-5A0D32CA94E9}"/>
    <cellStyle name="Linked Cell 4 2 2 3 3 3" xfId="35753" xr:uid="{4D9D9BC2-4082-41F9-9C35-9DC907D1FF9A}"/>
    <cellStyle name="Linked Cell 4 2 2 3 4" xfId="35754" xr:uid="{5344448E-9018-4EBE-8943-4DC24C2BBA26}"/>
    <cellStyle name="Linked Cell 4 2 2 3 4 2" xfId="35755" xr:uid="{4F88FA9E-6BB0-4107-AB89-53523C6DB7BD}"/>
    <cellStyle name="Linked Cell 4 2 2 3 4 2 2" xfId="35756" xr:uid="{A2BC121A-C11A-46E5-970B-0CA032B77E8F}"/>
    <cellStyle name="Linked Cell 4 2 2 3 4 3" xfId="35757" xr:uid="{5B3A625B-4D27-494B-AF13-D9A054A3337B}"/>
    <cellStyle name="Linked Cell 4 2 2 3 5" xfId="35758" xr:uid="{3341CFAD-0BD5-4B8B-B6AA-1CC8E9E3F3F6}"/>
    <cellStyle name="Linked Cell 4 2 2 3 5 2" xfId="35759" xr:uid="{47AA261B-1B40-420E-B75E-67C9AAC6036C}"/>
    <cellStyle name="Linked Cell 4 2 2 3 5 2 2" xfId="35760" xr:uid="{CEB18FA7-92EB-4EFC-8E52-A4399896A3F3}"/>
    <cellStyle name="Linked Cell 4 2 2 3 5 3" xfId="35761" xr:uid="{20B6FB81-C563-4BC2-91C3-DD265CD58863}"/>
    <cellStyle name="Linked Cell 4 2 2 3 6" xfId="35762" xr:uid="{F0DBA87C-BF14-4654-B41A-A03959EFF7F5}"/>
    <cellStyle name="Linked Cell 4 2 2 3 6 2" xfId="35763" xr:uid="{D3F519B9-5C6A-4811-9259-3EE19A355D18}"/>
    <cellStyle name="Linked Cell 4 2 2 3 6 2 2" xfId="35764" xr:uid="{E58204B7-FDD2-4F85-9C01-38A9FC5C8220}"/>
    <cellStyle name="Linked Cell 4 2 2 3 6 3" xfId="35765" xr:uid="{7AC6CF1D-955A-4C8C-B53D-2E6F5B324108}"/>
    <cellStyle name="Linked Cell 4 2 2 3 7" xfId="35766" xr:uid="{2EC24CF4-525F-440D-8289-584530B4D078}"/>
    <cellStyle name="Linked Cell 4 2 2 3 7 2" xfId="35767" xr:uid="{62539E0C-E783-4777-A872-FDE7D19C51B4}"/>
    <cellStyle name="Linked Cell 4 2 2 3 7 2 2" xfId="35768" xr:uid="{3C8348DA-C895-42B9-8B20-EDF718C24D90}"/>
    <cellStyle name="Linked Cell 4 2 2 3 7 3" xfId="35769" xr:uid="{BF16D2BF-77D3-4515-B0F5-739FB7F5AADB}"/>
    <cellStyle name="Linked Cell 4 2 2 3 8" xfId="35770" xr:uid="{1ACB6503-36A6-49C4-A2FC-7052DFCD7173}"/>
    <cellStyle name="Linked Cell 4 2 2 3 8 2" xfId="35771" xr:uid="{61D84306-C43C-405C-8BE8-5C7539B76C53}"/>
    <cellStyle name="Linked Cell 4 2 2 3 8 2 2" xfId="35772" xr:uid="{9991E1E9-E7D7-4389-BB94-30ABE993D0E5}"/>
    <cellStyle name="Linked Cell 4 2 2 3 8 3" xfId="35773" xr:uid="{C9600844-803C-40FA-9036-486899E812E1}"/>
    <cellStyle name="Linked Cell 4 2 2 3 9" xfId="35774" xr:uid="{A70D3063-A498-4759-B334-7D342922258F}"/>
    <cellStyle name="Linked Cell 4 2 2 3 9 2" xfId="35775" xr:uid="{0A1973F1-54BB-4CEA-A45D-71449190FD94}"/>
    <cellStyle name="Linked Cell 4 2 2 3 9 2 2" xfId="35776" xr:uid="{5BFBA39E-E0D0-4E06-B7B3-165B029CC1DE}"/>
    <cellStyle name="Linked Cell 4 2 2 3 9 3" xfId="35777" xr:uid="{0A47719B-B61A-442F-BACB-5A000CD7BDF6}"/>
    <cellStyle name="Linked Cell 4 2 2 4" xfId="35778" xr:uid="{91784B00-7D45-47C1-9BEF-77CCAE47EF59}"/>
    <cellStyle name="Linked Cell 4 2 2 4 10" xfId="35779" xr:uid="{9FEBF9AE-B495-47AC-B09F-3A90319F42B0}"/>
    <cellStyle name="Linked Cell 4 2 2 4 10 2" xfId="35780" xr:uid="{1E482B18-CD8E-4A10-8201-AAE492841CDD}"/>
    <cellStyle name="Linked Cell 4 2 2 4 11" xfId="35781" xr:uid="{56484C1F-6AA6-4C8F-AB0C-10DFE897E37A}"/>
    <cellStyle name="Linked Cell 4 2 2 4 2" xfId="35782" xr:uid="{C1E615C7-FF9A-4996-9746-B3A4F617C187}"/>
    <cellStyle name="Linked Cell 4 2 2 4 2 2" xfId="35783" xr:uid="{A590B993-8D2C-47BA-AA09-F2E361DB1449}"/>
    <cellStyle name="Linked Cell 4 2 2 4 2 2 2" xfId="35784" xr:uid="{CFEC7492-D928-40FC-B9A4-CE9D6747CBFD}"/>
    <cellStyle name="Linked Cell 4 2 2 4 2 3" xfId="35785" xr:uid="{4CA6E05F-AB0A-4C83-97AB-3D18579496F5}"/>
    <cellStyle name="Linked Cell 4 2 2 4 3" xfId="35786" xr:uid="{C96E16A2-35FC-4B15-8A77-51EC09692EA5}"/>
    <cellStyle name="Linked Cell 4 2 2 4 3 2" xfId="35787" xr:uid="{1C195BFD-C779-4344-9B99-0A99F841E16C}"/>
    <cellStyle name="Linked Cell 4 2 2 4 3 2 2" xfId="35788" xr:uid="{FF5898BB-CC26-4917-82F5-8F69FB32CE87}"/>
    <cellStyle name="Linked Cell 4 2 2 4 3 3" xfId="35789" xr:uid="{1CB1B291-B13A-477E-A0D2-C1F1D8152D0F}"/>
    <cellStyle name="Linked Cell 4 2 2 4 4" xfId="35790" xr:uid="{11FEA2BD-049F-4144-A497-05DB6421C0E7}"/>
    <cellStyle name="Linked Cell 4 2 2 4 4 2" xfId="35791" xr:uid="{B94907DC-9707-4788-AEEE-5FC1BA1D3F7C}"/>
    <cellStyle name="Linked Cell 4 2 2 4 4 2 2" xfId="35792" xr:uid="{E29B7C34-65DD-4A08-A75E-0825A41A670C}"/>
    <cellStyle name="Linked Cell 4 2 2 4 4 3" xfId="35793" xr:uid="{D0A66185-B720-46DC-96E8-166E5CDB9222}"/>
    <cellStyle name="Linked Cell 4 2 2 4 5" xfId="35794" xr:uid="{F3D0445F-0A7A-495A-8FE1-1D0A429B08E0}"/>
    <cellStyle name="Linked Cell 4 2 2 4 5 2" xfId="35795" xr:uid="{F44C7D40-1CC4-452E-8F53-56D32C33C086}"/>
    <cellStyle name="Linked Cell 4 2 2 4 5 2 2" xfId="35796" xr:uid="{EB8BAA67-117F-4FC7-B244-324A1368370F}"/>
    <cellStyle name="Linked Cell 4 2 2 4 5 3" xfId="35797" xr:uid="{5716C15C-6A05-4B71-A1FD-9EE61A0E5C91}"/>
    <cellStyle name="Linked Cell 4 2 2 4 6" xfId="35798" xr:uid="{0EEF7DEB-A24C-4B10-B816-1F60F77BABD0}"/>
    <cellStyle name="Linked Cell 4 2 2 4 6 2" xfId="35799" xr:uid="{583EB40D-9258-4317-82C6-D82ECF285292}"/>
    <cellStyle name="Linked Cell 4 2 2 4 6 2 2" xfId="35800" xr:uid="{18DF5CEA-7ADA-4FD5-B54E-450171955934}"/>
    <cellStyle name="Linked Cell 4 2 2 4 6 3" xfId="35801" xr:uid="{16730FE0-F10D-4DEF-AC9A-8CF0B57A0B77}"/>
    <cellStyle name="Linked Cell 4 2 2 4 7" xfId="35802" xr:uid="{72480994-F547-4654-BE3D-8D1B43180A20}"/>
    <cellStyle name="Linked Cell 4 2 2 4 7 2" xfId="35803" xr:uid="{8ABDC35C-6E6B-4195-A02E-59FA2F11597D}"/>
    <cellStyle name="Linked Cell 4 2 2 4 7 2 2" xfId="35804" xr:uid="{5D819E3D-D6A0-463A-8CBF-5376CC3041EA}"/>
    <cellStyle name="Linked Cell 4 2 2 4 7 3" xfId="35805" xr:uid="{F3183A00-F583-4FB1-9B08-37B3BCCBAF79}"/>
    <cellStyle name="Linked Cell 4 2 2 4 8" xfId="35806" xr:uid="{6F653E44-9532-43C8-B6D2-68AE5728E794}"/>
    <cellStyle name="Linked Cell 4 2 2 4 8 2" xfId="35807" xr:uid="{76F2D528-ECC0-4048-89BD-7C90A7108BF3}"/>
    <cellStyle name="Linked Cell 4 2 2 4 8 2 2" xfId="35808" xr:uid="{4EA5B685-CE7D-4CB3-BBCC-AC257D3B7AD8}"/>
    <cellStyle name="Linked Cell 4 2 2 4 8 3" xfId="35809" xr:uid="{C4EBE448-7A6B-4BC9-80D7-392723B735F7}"/>
    <cellStyle name="Linked Cell 4 2 2 4 9" xfId="35810" xr:uid="{D0417C11-B6BF-4E85-8A36-1E95C14BD3D9}"/>
    <cellStyle name="Linked Cell 4 2 2 4 9 2" xfId="35811" xr:uid="{9C31D4FD-1651-4F03-B964-E39C626549A6}"/>
    <cellStyle name="Linked Cell 4 2 2 4 9 2 2" xfId="35812" xr:uid="{5455BFF7-0805-414E-BC87-FBAAF4B82287}"/>
    <cellStyle name="Linked Cell 4 2 2 4 9 3" xfId="35813" xr:uid="{D48A23D7-FA52-4010-927C-C1ABD8F3773A}"/>
    <cellStyle name="Linked Cell 4 2 2 5" xfId="35814" xr:uid="{0EBFEF16-B719-4C36-8A40-14C9197AF623}"/>
    <cellStyle name="Linked Cell 4 2 2 5 2" xfId="35815" xr:uid="{155441B7-325F-449A-8583-C8204F249083}"/>
    <cellStyle name="Linked Cell 4 2 2 5 2 2" xfId="35816" xr:uid="{CC11CB8E-A967-40F9-88E0-792489EAFF28}"/>
    <cellStyle name="Linked Cell 4 2 2 5 3" xfId="35817" xr:uid="{0A5B047C-60C4-4814-95AF-82F6212A7C9E}"/>
    <cellStyle name="Linked Cell 4 2 2 6" xfId="35818" xr:uid="{C8D553EB-0CDD-4721-8790-08F9397A285C}"/>
    <cellStyle name="Linked Cell 4 2 2 6 2" xfId="35819" xr:uid="{F1DF2378-4260-4019-86ED-6E1D8CF73365}"/>
    <cellStyle name="Linked Cell 4 2 2 6 2 2" xfId="35820" xr:uid="{A35B4A73-569B-4B68-B7B8-4675B3F585BD}"/>
    <cellStyle name="Linked Cell 4 2 2 6 3" xfId="35821" xr:uid="{59B66828-A83D-444F-8B7E-E3A0E1F02296}"/>
    <cellStyle name="Linked Cell 4 2 2 7" xfId="35822" xr:uid="{22AAEC2B-9E4B-4624-B483-FF7448EF9742}"/>
    <cellStyle name="Linked Cell 4 2 2 7 2" xfId="35823" xr:uid="{4C44AAEC-6EEB-4A47-8685-020B2E6F378A}"/>
    <cellStyle name="Linked Cell 4 2 2 7 2 2" xfId="35824" xr:uid="{BC88EBCB-2A57-4717-A64D-6FCF1A6301D3}"/>
    <cellStyle name="Linked Cell 4 2 2 7 3" xfId="35825" xr:uid="{ABC142AC-D9BD-4B34-A93B-260C67A43B52}"/>
    <cellStyle name="Linked Cell 4 2 2 8" xfId="35826" xr:uid="{A0AC869B-24C3-47A9-9E10-EF2E3B7281F3}"/>
    <cellStyle name="Linked Cell 4 2 2 8 2" xfId="35827" xr:uid="{E64C7E99-9359-4DE4-9B63-202F0CCCE76C}"/>
    <cellStyle name="Linked Cell 4 2 2 8 2 2" xfId="35828" xr:uid="{B0E5096B-BB29-4127-9B1E-E40C18184F74}"/>
    <cellStyle name="Linked Cell 4 2 2 8 3" xfId="35829" xr:uid="{A0265348-9EBF-441D-BD53-65390FE2BAF0}"/>
    <cellStyle name="Linked Cell 4 2 2 9" xfId="35830" xr:uid="{512873A6-4E65-441B-8A99-548326D004C4}"/>
    <cellStyle name="Linked Cell 4 2 2 9 2" xfId="35831" xr:uid="{E613934F-12D2-4DD3-856D-2605D746A7E1}"/>
    <cellStyle name="Linked Cell 4 2 2 9 2 2" xfId="35832" xr:uid="{8B9D2C1D-8886-4C31-9B4E-C263C7A05E6F}"/>
    <cellStyle name="Linked Cell 4 2 2 9 3" xfId="35833" xr:uid="{E8645498-2613-4931-AE6E-5FDCE5EA223C}"/>
    <cellStyle name="Linked Cell 4 2 3" xfId="35834" xr:uid="{A6E1B401-FDFB-447E-8299-2590F4338C5E}"/>
    <cellStyle name="Linked Cell 4 2 3 10" xfId="35835" xr:uid="{9B235A20-AC82-4A90-98D1-51C5F5450B2A}"/>
    <cellStyle name="Linked Cell 4 2 3 10 2" xfId="35836" xr:uid="{6F13397D-36A0-4100-85ED-866769DD7448}"/>
    <cellStyle name="Linked Cell 4 2 3 10 2 2" xfId="35837" xr:uid="{E6EB0DE1-D268-4501-B34A-97DC396DC5CE}"/>
    <cellStyle name="Linked Cell 4 2 3 10 3" xfId="35838" xr:uid="{8A6E0EBA-F207-450E-88DF-41D363552390}"/>
    <cellStyle name="Linked Cell 4 2 3 11" xfId="35839" xr:uid="{68AB0A29-E52F-44D8-9A97-49765B098944}"/>
    <cellStyle name="Linked Cell 4 2 3 11 2" xfId="35840" xr:uid="{7B5AD0A4-BCB0-411E-B516-C1515FF81553}"/>
    <cellStyle name="Linked Cell 4 2 3 11 2 2" xfId="35841" xr:uid="{1A3FADE1-2D94-4390-ACB9-1CECCA16A109}"/>
    <cellStyle name="Linked Cell 4 2 3 11 3" xfId="35842" xr:uid="{301FE32E-2DBB-47C3-BA38-C9DEEF3A45A6}"/>
    <cellStyle name="Linked Cell 4 2 3 12" xfId="35843" xr:uid="{2A799D2A-95E0-482A-8706-0CE99E24FD66}"/>
    <cellStyle name="Linked Cell 4 2 3 12 2" xfId="35844" xr:uid="{E17CD88E-DEEC-47E8-8D29-AF210DD269DD}"/>
    <cellStyle name="Linked Cell 4 2 3 13" xfId="35845" xr:uid="{5479BB73-52AD-4EBC-9153-8BE301218385}"/>
    <cellStyle name="Linked Cell 4 2 3 2" xfId="35846" xr:uid="{04DFD4B7-20B2-4689-B293-810D9B0252CD}"/>
    <cellStyle name="Linked Cell 4 2 3 2 10" xfId="35847" xr:uid="{F19A445B-7360-48D0-A828-8D1466383046}"/>
    <cellStyle name="Linked Cell 4 2 3 2 10 2" xfId="35848" xr:uid="{131AB9C5-B849-4881-90DD-E389B3C558AD}"/>
    <cellStyle name="Linked Cell 4 2 3 2 10 2 2" xfId="35849" xr:uid="{B9F0E93A-5450-4F60-9610-99D6CA694FF8}"/>
    <cellStyle name="Linked Cell 4 2 3 2 10 3" xfId="35850" xr:uid="{E8D5EB1D-FD3B-4515-80D1-25B9934AA03F}"/>
    <cellStyle name="Linked Cell 4 2 3 2 11" xfId="35851" xr:uid="{2948736C-758B-4437-AB55-7C7EB16C4102}"/>
    <cellStyle name="Linked Cell 4 2 3 2 11 2" xfId="35852" xr:uid="{7023C687-CB38-493C-87A9-1EB128383E2F}"/>
    <cellStyle name="Linked Cell 4 2 3 2 12" xfId="35853" xr:uid="{67A57299-9CDF-4839-B9D7-588DDF87E3E7}"/>
    <cellStyle name="Linked Cell 4 2 3 2 2" xfId="35854" xr:uid="{426F73E8-34F0-4B33-992F-B5C396BDE6D5}"/>
    <cellStyle name="Linked Cell 4 2 3 2 2 2" xfId="35855" xr:uid="{1E0232B9-2C2B-486D-AEFE-B35DE2B7B9D7}"/>
    <cellStyle name="Linked Cell 4 2 3 2 2 2 2" xfId="35856" xr:uid="{BD8316D1-3FD3-43E5-90D1-02DEF8707662}"/>
    <cellStyle name="Linked Cell 4 2 3 2 2 3" xfId="35857" xr:uid="{B9D64CC7-E5F3-4884-B122-054F4C98B1AE}"/>
    <cellStyle name="Linked Cell 4 2 3 2 3" xfId="35858" xr:uid="{1579A134-3AE9-49A9-9A4B-54BE6A2826AF}"/>
    <cellStyle name="Linked Cell 4 2 3 2 3 2" xfId="35859" xr:uid="{F164CC70-F085-450C-A027-5C7AAD06C82E}"/>
    <cellStyle name="Linked Cell 4 2 3 2 3 2 2" xfId="35860" xr:uid="{913412C5-9C53-4189-B75B-E832D4CA2C09}"/>
    <cellStyle name="Linked Cell 4 2 3 2 3 3" xfId="35861" xr:uid="{EBE2DD87-A221-4AD3-9BE5-67D094AC2252}"/>
    <cellStyle name="Linked Cell 4 2 3 2 4" xfId="35862" xr:uid="{B108BF24-6200-4E7B-BE9F-7BA5BF0B64D1}"/>
    <cellStyle name="Linked Cell 4 2 3 2 4 2" xfId="35863" xr:uid="{62E25CAB-49A7-463B-B0FA-A1E9F6BB9488}"/>
    <cellStyle name="Linked Cell 4 2 3 2 4 2 2" xfId="35864" xr:uid="{129A33A9-5C30-4531-8A5F-B5872A120C5D}"/>
    <cellStyle name="Linked Cell 4 2 3 2 4 3" xfId="35865" xr:uid="{3C3495C9-078A-4C56-9872-3BAF7A88D7D3}"/>
    <cellStyle name="Linked Cell 4 2 3 2 5" xfId="35866" xr:uid="{2592D143-3879-4E45-8377-378C6F0A1DED}"/>
    <cellStyle name="Linked Cell 4 2 3 2 5 2" xfId="35867" xr:uid="{5D92FEE3-7A07-485B-9FBE-D064103BA1AE}"/>
    <cellStyle name="Linked Cell 4 2 3 2 5 2 2" xfId="35868" xr:uid="{F660120A-7FAA-427B-B7E7-1F3C36EE43DC}"/>
    <cellStyle name="Linked Cell 4 2 3 2 5 3" xfId="35869" xr:uid="{74A1086E-2987-4E69-B435-4A9EBB6186E9}"/>
    <cellStyle name="Linked Cell 4 2 3 2 6" xfId="35870" xr:uid="{11DC7920-A296-4E53-8105-5AB798B9B92F}"/>
    <cellStyle name="Linked Cell 4 2 3 2 6 2" xfId="35871" xr:uid="{64D27EA3-EDAB-4844-97A6-2BA07AFBE0EB}"/>
    <cellStyle name="Linked Cell 4 2 3 2 6 2 2" xfId="35872" xr:uid="{CD440C98-F21D-4333-95E4-15686CE9B8D7}"/>
    <cellStyle name="Linked Cell 4 2 3 2 6 3" xfId="35873" xr:uid="{196E30F9-74BD-4AAF-9E56-F3BAE0D09825}"/>
    <cellStyle name="Linked Cell 4 2 3 2 7" xfId="35874" xr:uid="{6A74DD89-8EA7-40F5-A386-63E87A68C298}"/>
    <cellStyle name="Linked Cell 4 2 3 2 7 2" xfId="35875" xr:uid="{D06DBDC5-8602-458B-BFAC-0190516CE59F}"/>
    <cellStyle name="Linked Cell 4 2 3 2 7 2 2" xfId="35876" xr:uid="{4FBAC705-780D-4374-925E-B7282DFC7ADA}"/>
    <cellStyle name="Linked Cell 4 2 3 2 7 3" xfId="35877" xr:uid="{7C8D361E-9EF4-4FF2-9C1A-367D866836B3}"/>
    <cellStyle name="Linked Cell 4 2 3 2 8" xfId="35878" xr:uid="{62CC2B05-0D2C-4781-8F82-C74A55D91834}"/>
    <cellStyle name="Linked Cell 4 2 3 2 8 2" xfId="35879" xr:uid="{F1384E84-D988-4F4C-81AE-07E9E0CFE21D}"/>
    <cellStyle name="Linked Cell 4 2 3 2 8 2 2" xfId="35880" xr:uid="{27BC25F5-09A9-42D4-8177-5429ADE34F34}"/>
    <cellStyle name="Linked Cell 4 2 3 2 8 3" xfId="35881" xr:uid="{CD9D9CF8-4A01-4D45-BDD1-69B2C7FD0304}"/>
    <cellStyle name="Linked Cell 4 2 3 2 9" xfId="35882" xr:uid="{F7EAE192-D874-4A87-81C0-4472EB956139}"/>
    <cellStyle name="Linked Cell 4 2 3 2 9 2" xfId="35883" xr:uid="{63AF9E98-36CC-4206-AEA1-82463D77A8FC}"/>
    <cellStyle name="Linked Cell 4 2 3 2 9 2 2" xfId="35884" xr:uid="{BA9DC6CA-A01A-4012-A4C4-7D7BAD3EEDA9}"/>
    <cellStyle name="Linked Cell 4 2 3 2 9 3" xfId="35885" xr:uid="{5696F4CA-6E17-494B-A546-EA5B1F3D328F}"/>
    <cellStyle name="Linked Cell 4 2 3 3" xfId="35886" xr:uid="{1F1D9901-1C92-4EC6-AAB0-568CE662A5AF}"/>
    <cellStyle name="Linked Cell 4 2 3 3 10" xfId="35887" xr:uid="{725EEB4E-0C20-4531-9844-97A4813970E7}"/>
    <cellStyle name="Linked Cell 4 2 3 3 10 2" xfId="35888" xr:uid="{9291F602-19A3-46BA-BBDD-E35209474584}"/>
    <cellStyle name="Linked Cell 4 2 3 3 11" xfId="35889" xr:uid="{A8523D88-EBA4-443E-BC23-56F37042E92E}"/>
    <cellStyle name="Linked Cell 4 2 3 3 2" xfId="35890" xr:uid="{EC3A3190-8AD3-40F1-A68A-3AFD560F383B}"/>
    <cellStyle name="Linked Cell 4 2 3 3 2 2" xfId="35891" xr:uid="{AEFD7E9C-7C64-4D03-A636-D5964F7452B4}"/>
    <cellStyle name="Linked Cell 4 2 3 3 2 2 2" xfId="35892" xr:uid="{873C639B-A337-4B84-BC89-E944C04AA33E}"/>
    <cellStyle name="Linked Cell 4 2 3 3 2 3" xfId="35893" xr:uid="{EFE8460F-21F9-449A-AB52-DF588BF65030}"/>
    <cellStyle name="Linked Cell 4 2 3 3 3" xfId="35894" xr:uid="{BD50CB62-C79D-4C29-906C-025F667CF810}"/>
    <cellStyle name="Linked Cell 4 2 3 3 3 2" xfId="35895" xr:uid="{DF297214-667B-4AD6-BC03-AFE754EAF708}"/>
    <cellStyle name="Linked Cell 4 2 3 3 3 2 2" xfId="35896" xr:uid="{314E9497-C93C-418E-8071-867FCDDD6794}"/>
    <cellStyle name="Linked Cell 4 2 3 3 3 3" xfId="35897" xr:uid="{C751C386-BBA1-4C70-A536-B905F678A341}"/>
    <cellStyle name="Linked Cell 4 2 3 3 4" xfId="35898" xr:uid="{647E4318-CE88-4711-9D42-FF6F4DD391B4}"/>
    <cellStyle name="Linked Cell 4 2 3 3 4 2" xfId="35899" xr:uid="{4FAA2958-9B9E-4469-B95E-3FBEA2CB0039}"/>
    <cellStyle name="Linked Cell 4 2 3 3 4 2 2" xfId="35900" xr:uid="{3C2F71FC-E2D9-49FB-A998-91A1A83B16F7}"/>
    <cellStyle name="Linked Cell 4 2 3 3 4 3" xfId="35901" xr:uid="{BDE996B8-D37E-4A0D-8338-EB05AD9E8400}"/>
    <cellStyle name="Linked Cell 4 2 3 3 5" xfId="35902" xr:uid="{66A23A29-ED81-42D8-8B0D-604E96B654FF}"/>
    <cellStyle name="Linked Cell 4 2 3 3 5 2" xfId="35903" xr:uid="{B561365E-B47C-44FA-A38A-E73A2789BFCC}"/>
    <cellStyle name="Linked Cell 4 2 3 3 5 2 2" xfId="35904" xr:uid="{39E485CD-4A09-4E50-BAA5-A9ACA3054AE2}"/>
    <cellStyle name="Linked Cell 4 2 3 3 5 3" xfId="35905" xr:uid="{02BD793B-DEEB-4117-8CB8-0A9377ABAA27}"/>
    <cellStyle name="Linked Cell 4 2 3 3 6" xfId="35906" xr:uid="{223B784D-7F1B-4E25-8103-1345D5A3309A}"/>
    <cellStyle name="Linked Cell 4 2 3 3 6 2" xfId="35907" xr:uid="{1484DD85-50BE-4485-AC1F-76A0AC635FCC}"/>
    <cellStyle name="Linked Cell 4 2 3 3 6 2 2" xfId="35908" xr:uid="{CC51E672-F2FE-40CA-89C5-B1A467E1444D}"/>
    <cellStyle name="Linked Cell 4 2 3 3 6 3" xfId="35909" xr:uid="{8580CB44-35CE-4DA7-A2FE-F2D63935A608}"/>
    <cellStyle name="Linked Cell 4 2 3 3 7" xfId="35910" xr:uid="{C9E9E463-E307-4157-B345-94675B799F0A}"/>
    <cellStyle name="Linked Cell 4 2 3 3 7 2" xfId="35911" xr:uid="{04DC0128-6976-4459-96B6-16F6B852441B}"/>
    <cellStyle name="Linked Cell 4 2 3 3 7 2 2" xfId="35912" xr:uid="{FEE7BCFA-35CA-48EF-A06F-530E321D0CA3}"/>
    <cellStyle name="Linked Cell 4 2 3 3 7 3" xfId="35913" xr:uid="{21D8491F-0EBB-4A1B-9AEA-35CFA6FCC464}"/>
    <cellStyle name="Linked Cell 4 2 3 3 8" xfId="35914" xr:uid="{63289222-E363-48CB-82C4-33871F1253CD}"/>
    <cellStyle name="Linked Cell 4 2 3 3 8 2" xfId="35915" xr:uid="{2A222958-1D96-4DFA-8348-A5A8D2E87FB0}"/>
    <cellStyle name="Linked Cell 4 2 3 3 8 2 2" xfId="35916" xr:uid="{C5F48F14-FF7D-40F2-9961-D168545482F8}"/>
    <cellStyle name="Linked Cell 4 2 3 3 8 3" xfId="35917" xr:uid="{2892AB24-0A87-49F2-99A8-F0773CBE9FCD}"/>
    <cellStyle name="Linked Cell 4 2 3 3 9" xfId="35918" xr:uid="{DF8158FF-B2E8-464C-907B-53DE32984A39}"/>
    <cellStyle name="Linked Cell 4 2 3 3 9 2" xfId="35919" xr:uid="{308EBA0B-6A77-4DB5-A4C7-DFC320029D33}"/>
    <cellStyle name="Linked Cell 4 2 3 3 9 2 2" xfId="35920" xr:uid="{613027BE-6A2D-4AA4-B9AA-43D0DBF918A8}"/>
    <cellStyle name="Linked Cell 4 2 3 3 9 3" xfId="35921" xr:uid="{E71EF8DB-EC9D-4E2C-B234-8FA84559A627}"/>
    <cellStyle name="Linked Cell 4 2 3 4" xfId="35922" xr:uid="{491A7448-B595-41EB-98E1-91464E718920}"/>
    <cellStyle name="Linked Cell 4 2 3 4 2" xfId="35923" xr:uid="{FF8CD4EE-ADB4-49C6-B255-AAAF5833604A}"/>
    <cellStyle name="Linked Cell 4 2 3 4 2 2" xfId="35924" xr:uid="{82E05638-CED1-4B52-93E7-EEE87F56584D}"/>
    <cellStyle name="Linked Cell 4 2 3 4 3" xfId="35925" xr:uid="{75DC21E5-2465-46EB-8014-60C4F8876492}"/>
    <cellStyle name="Linked Cell 4 2 3 5" xfId="35926" xr:uid="{3E2BAEB1-F5D6-4D01-9C13-A2DE9E659614}"/>
    <cellStyle name="Linked Cell 4 2 3 5 2" xfId="35927" xr:uid="{516B15B8-5431-401D-80C4-CB46C4DD75F1}"/>
    <cellStyle name="Linked Cell 4 2 3 5 2 2" xfId="35928" xr:uid="{DF75222A-B1D9-4AB5-BC4E-779A2C582B0D}"/>
    <cellStyle name="Linked Cell 4 2 3 5 3" xfId="35929" xr:uid="{0FABBC0A-7226-4C53-AC7F-3A86310406A2}"/>
    <cellStyle name="Linked Cell 4 2 3 6" xfId="35930" xr:uid="{E31A8F7F-14B1-4864-8EF1-88173413DDBF}"/>
    <cellStyle name="Linked Cell 4 2 3 6 2" xfId="35931" xr:uid="{FC2A13E6-ABDD-4D30-B301-0E49B903BE25}"/>
    <cellStyle name="Linked Cell 4 2 3 6 2 2" xfId="35932" xr:uid="{C3A8D240-E8F8-4444-9897-71B771EB9C1F}"/>
    <cellStyle name="Linked Cell 4 2 3 6 3" xfId="35933" xr:uid="{0B49E66C-B131-4A22-A123-6611477E4C5D}"/>
    <cellStyle name="Linked Cell 4 2 3 7" xfId="35934" xr:uid="{8C290CCF-25D4-4756-A8B1-D3FA37D1071C}"/>
    <cellStyle name="Linked Cell 4 2 3 7 2" xfId="35935" xr:uid="{0105A6C2-9B55-4FCF-A2A4-F1C3A42E5265}"/>
    <cellStyle name="Linked Cell 4 2 3 7 2 2" xfId="35936" xr:uid="{D68C702D-672D-4ED1-8664-BAD0F7B8ABFF}"/>
    <cellStyle name="Linked Cell 4 2 3 7 3" xfId="35937" xr:uid="{E35F3EC3-8252-4B6B-AE64-0ECD2A4B5C62}"/>
    <cellStyle name="Linked Cell 4 2 3 8" xfId="35938" xr:uid="{57E64458-1979-446C-8CAD-8B4C40A1A090}"/>
    <cellStyle name="Linked Cell 4 2 3 8 2" xfId="35939" xr:uid="{C1194838-5158-4242-9EEF-1EC60BAE31E4}"/>
    <cellStyle name="Linked Cell 4 2 3 8 2 2" xfId="35940" xr:uid="{1FC14BA1-FB6D-4B5A-9384-1430A50EEC6B}"/>
    <cellStyle name="Linked Cell 4 2 3 8 3" xfId="35941" xr:uid="{98114C74-1953-42A3-854C-EBA3A2F11090}"/>
    <cellStyle name="Linked Cell 4 2 3 9" xfId="35942" xr:uid="{6A280248-D64B-4DDC-884C-CAE5086BFB13}"/>
    <cellStyle name="Linked Cell 4 2 3 9 2" xfId="35943" xr:uid="{B2FBFA8C-2BCC-4154-ACEA-215EA2F4791A}"/>
    <cellStyle name="Linked Cell 4 2 3 9 2 2" xfId="35944" xr:uid="{B14B8C35-06D3-464C-8758-94C8AE509514}"/>
    <cellStyle name="Linked Cell 4 2 3 9 3" xfId="35945" xr:uid="{62D4B757-969E-4401-A16A-D84ED7E6428E}"/>
    <cellStyle name="Linked Cell 4 2 4" xfId="35946" xr:uid="{F6846C25-3716-4EBC-B2A0-FA5A1B961C89}"/>
    <cellStyle name="Linked Cell 4 2 4 10" xfId="35947" xr:uid="{7758B346-7468-41DC-BEA3-C1F059A35CF7}"/>
    <cellStyle name="Linked Cell 4 2 4 10 2" xfId="35948" xr:uid="{450E909B-8499-4D43-BBFB-4A2F0F9D38A5}"/>
    <cellStyle name="Linked Cell 4 2 4 10 2 2" xfId="35949" xr:uid="{D8165723-E3D8-47A8-9023-F62F34A61A9E}"/>
    <cellStyle name="Linked Cell 4 2 4 10 3" xfId="35950" xr:uid="{8B3FA50E-F8D6-4148-848A-427DFE224948}"/>
    <cellStyle name="Linked Cell 4 2 4 11" xfId="35951" xr:uid="{9FAD265C-B4AE-449C-A9A0-44D68F1BBBF7}"/>
    <cellStyle name="Linked Cell 4 2 4 11 2" xfId="35952" xr:uid="{70B9F154-F3C9-4E89-94E9-D578B7848034}"/>
    <cellStyle name="Linked Cell 4 2 4 12" xfId="35953" xr:uid="{44F9A14D-10C0-4001-8D9A-D1A4E5DAB8AA}"/>
    <cellStyle name="Linked Cell 4 2 4 2" xfId="35954" xr:uid="{6206A219-48C5-473D-9262-521008F41CD9}"/>
    <cellStyle name="Linked Cell 4 2 4 2 10" xfId="35955" xr:uid="{27AC2E19-1F94-4D51-9D4D-67AC316C6111}"/>
    <cellStyle name="Linked Cell 4 2 4 2 10 2" xfId="35956" xr:uid="{3E57EF2D-42C9-4155-94BF-3515C31157DD}"/>
    <cellStyle name="Linked Cell 4 2 4 2 11" xfId="35957" xr:uid="{E5BE65C9-3284-4C87-91E7-6FA6754584CB}"/>
    <cellStyle name="Linked Cell 4 2 4 2 2" xfId="35958" xr:uid="{50D5C19B-CB6A-4641-BE2C-ADAB1079E59E}"/>
    <cellStyle name="Linked Cell 4 2 4 2 2 2" xfId="35959" xr:uid="{E9826537-F491-439F-9260-1D71ADAFA588}"/>
    <cellStyle name="Linked Cell 4 2 4 2 2 2 2" xfId="35960" xr:uid="{8240937E-05D4-4406-A037-C099D682A8A5}"/>
    <cellStyle name="Linked Cell 4 2 4 2 2 3" xfId="35961" xr:uid="{532DA425-55A9-43E3-91A2-34F1A19A02CD}"/>
    <cellStyle name="Linked Cell 4 2 4 2 3" xfId="35962" xr:uid="{5CDFE410-34BD-42DC-B532-EE3DAF762C02}"/>
    <cellStyle name="Linked Cell 4 2 4 2 3 2" xfId="35963" xr:uid="{33E9ACA1-8E08-4A13-86F3-E439C15C3147}"/>
    <cellStyle name="Linked Cell 4 2 4 2 3 2 2" xfId="35964" xr:uid="{31BF2237-0CF1-4B38-979E-F97972E83758}"/>
    <cellStyle name="Linked Cell 4 2 4 2 3 3" xfId="35965" xr:uid="{4319B337-86C7-4ADD-B177-2B04E5AB0242}"/>
    <cellStyle name="Linked Cell 4 2 4 2 4" xfId="35966" xr:uid="{2A657502-32FC-4C91-BC77-935707F9BDF0}"/>
    <cellStyle name="Linked Cell 4 2 4 2 4 2" xfId="35967" xr:uid="{C4DD9937-8914-4E58-BFDF-FD3C56E0001A}"/>
    <cellStyle name="Linked Cell 4 2 4 2 4 2 2" xfId="35968" xr:uid="{C653EDEC-7C9E-41F0-9C80-6620D2D969BB}"/>
    <cellStyle name="Linked Cell 4 2 4 2 4 3" xfId="35969" xr:uid="{28D63CA8-8D01-40FF-A8C3-8A1C71E76AB9}"/>
    <cellStyle name="Linked Cell 4 2 4 2 5" xfId="35970" xr:uid="{57422E0A-7F66-42B0-A54F-0E2041946350}"/>
    <cellStyle name="Linked Cell 4 2 4 2 5 2" xfId="35971" xr:uid="{7A1289A8-2191-4980-9A82-D31354B9BF4F}"/>
    <cellStyle name="Linked Cell 4 2 4 2 5 2 2" xfId="35972" xr:uid="{10BCD246-0360-4DF7-B167-A94DDF9432C9}"/>
    <cellStyle name="Linked Cell 4 2 4 2 5 3" xfId="35973" xr:uid="{E0C1D3D2-3631-436B-AF92-01F592A12C24}"/>
    <cellStyle name="Linked Cell 4 2 4 2 6" xfId="35974" xr:uid="{30415D3C-8B73-472A-B702-B2AA918CDCA2}"/>
    <cellStyle name="Linked Cell 4 2 4 2 6 2" xfId="35975" xr:uid="{0DEA1083-2066-491A-B455-20DDC8274F92}"/>
    <cellStyle name="Linked Cell 4 2 4 2 6 2 2" xfId="35976" xr:uid="{8DDCE8BA-195D-4D6E-BED4-5D94DEDD334E}"/>
    <cellStyle name="Linked Cell 4 2 4 2 6 3" xfId="35977" xr:uid="{FAFDC084-636A-407F-9582-8BD63DAE425B}"/>
    <cellStyle name="Linked Cell 4 2 4 2 7" xfId="35978" xr:uid="{4AA0D911-3BAB-46EA-BC2A-183FADA4ED9B}"/>
    <cellStyle name="Linked Cell 4 2 4 2 7 2" xfId="35979" xr:uid="{21DE08CE-1DA5-4334-83F9-242D6C3D9CFE}"/>
    <cellStyle name="Linked Cell 4 2 4 2 7 2 2" xfId="35980" xr:uid="{FEB54340-F5D6-44B0-8CD6-B44777D56BC4}"/>
    <cellStyle name="Linked Cell 4 2 4 2 7 3" xfId="35981" xr:uid="{9E682C79-8C1B-4A58-9CB2-0DCD4E878DE0}"/>
    <cellStyle name="Linked Cell 4 2 4 2 8" xfId="35982" xr:uid="{AFF756A8-7F4F-4C73-9FD2-032D14160703}"/>
    <cellStyle name="Linked Cell 4 2 4 2 8 2" xfId="35983" xr:uid="{D092988E-DF2F-4057-817D-FB9104953DAC}"/>
    <cellStyle name="Linked Cell 4 2 4 2 8 2 2" xfId="35984" xr:uid="{F4109075-67A7-4C2B-A7C7-362657BA7F74}"/>
    <cellStyle name="Linked Cell 4 2 4 2 8 3" xfId="35985" xr:uid="{56BD0CAA-53AD-40C9-BC21-FBDAAB89F3B1}"/>
    <cellStyle name="Linked Cell 4 2 4 2 9" xfId="35986" xr:uid="{373E2E20-C918-40A5-9623-A91EFEE96EE7}"/>
    <cellStyle name="Linked Cell 4 2 4 2 9 2" xfId="35987" xr:uid="{A89F5586-4918-4622-9D59-55D08803A977}"/>
    <cellStyle name="Linked Cell 4 2 4 2 9 2 2" xfId="35988" xr:uid="{DE2A6D2E-8F54-42F2-8B0D-28A0461B4D53}"/>
    <cellStyle name="Linked Cell 4 2 4 2 9 3" xfId="35989" xr:uid="{F6AF5ACF-9E44-4EEA-8B9A-CA5D8C0AFB90}"/>
    <cellStyle name="Linked Cell 4 2 4 3" xfId="35990" xr:uid="{53CF1FA2-59CA-4695-B55B-6E0F312D1D89}"/>
    <cellStyle name="Linked Cell 4 2 4 3 2" xfId="35991" xr:uid="{DDE3F5FE-EE7F-4EDE-B4CB-C75DE693F396}"/>
    <cellStyle name="Linked Cell 4 2 4 3 2 2" xfId="35992" xr:uid="{D52B6B0D-54A4-42E2-9D97-DF0A54E1A338}"/>
    <cellStyle name="Linked Cell 4 2 4 3 3" xfId="35993" xr:uid="{8A56B5F5-5AE8-414F-A8AA-A42B0A48C358}"/>
    <cellStyle name="Linked Cell 4 2 4 4" xfId="35994" xr:uid="{7E7D89C6-4988-4A3B-BB99-86C4503BC0C7}"/>
    <cellStyle name="Linked Cell 4 2 4 4 2" xfId="35995" xr:uid="{3230EF0D-D8DF-4F7D-A3A1-227C190DE7D2}"/>
    <cellStyle name="Linked Cell 4 2 4 4 2 2" xfId="35996" xr:uid="{74A1980D-0FF9-45B1-A129-FFDF82E56A44}"/>
    <cellStyle name="Linked Cell 4 2 4 4 3" xfId="35997" xr:uid="{CA1104B8-E48E-4323-85FD-F653C6AB36DC}"/>
    <cellStyle name="Linked Cell 4 2 4 5" xfId="35998" xr:uid="{09EBD10B-1F25-4CF1-BE76-9A976D8E4100}"/>
    <cellStyle name="Linked Cell 4 2 4 5 2" xfId="35999" xr:uid="{04A1EAF0-285B-4ACD-A83E-C41E231DB42A}"/>
    <cellStyle name="Linked Cell 4 2 4 5 2 2" xfId="36000" xr:uid="{21CB60E9-E311-4891-B8D1-FDF8F8E7464B}"/>
    <cellStyle name="Linked Cell 4 2 4 5 3" xfId="36001" xr:uid="{46DF8CB8-13A1-4ECD-8EDE-A9840E1D5694}"/>
    <cellStyle name="Linked Cell 4 2 4 6" xfId="36002" xr:uid="{6A050EAC-2211-48BB-AEF0-E6F95534A4B0}"/>
    <cellStyle name="Linked Cell 4 2 4 6 2" xfId="36003" xr:uid="{021642C0-F5D2-45FF-B9E1-C1B258CB94FE}"/>
    <cellStyle name="Linked Cell 4 2 4 6 2 2" xfId="36004" xr:uid="{51933C56-2446-43B8-9037-5B06914C7EFB}"/>
    <cellStyle name="Linked Cell 4 2 4 6 3" xfId="36005" xr:uid="{C08952CC-EC15-4399-B8BA-C04B57ABFBA4}"/>
    <cellStyle name="Linked Cell 4 2 4 7" xfId="36006" xr:uid="{0CB75544-C6B6-422C-B146-328E262440D4}"/>
    <cellStyle name="Linked Cell 4 2 4 7 2" xfId="36007" xr:uid="{F517E36A-5D69-491A-B522-925F8B60B71B}"/>
    <cellStyle name="Linked Cell 4 2 4 7 2 2" xfId="36008" xr:uid="{8629ECBF-CB1F-4FF5-8620-B40A6A498E4A}"/>
    <cellStyle name="Linked Cell 4 2 4 7 3" xfId="36009" xr:uid="{67339678-C378-4CBF-B02D-75CD6B37E974}"/>
    <cellStyle name="Linked Cell 4 2 4 8" xfId="36010" xr:uid="{131CFC52-0B4B-4F58-BB05-288271F0C084}"/>
    <cellStyle name="Linked Cell 4 2 4 8 2" xfId="36011" xr:uid="{80EBAFAE-6BD4-4106-9338-B1E4767EEBF7}"/>
    <cellStyle name="Linked Cell 4 2 4 8 2 2" xfId="36012" xr:uid="{0379D4B5-A22A-495E-8740-BA56517C4E79}"/>
    <cellStyle name="Linked Cell 4 2 4 8 3" xfId="36013" xr:uid="{3C3F82DF-DCB5-410D-BBD7-FA8A7F2439F3}"/>
    <cellStyle name="Linked Cell 4 2 4 9" xfId="36014" xr:uid="{550100BD-B86A-4E9F-B0E4-F61A8EFDAD0A}"/>
    <cellStyle name="Linked Cell 4 2 4 9 2" xfId="36015" xr:uid="{1233EE95-7B21-4D29-987D-20DF3B58BEAD}"/>
    <cellStyle name="Linked Cell 4 2 4 9 2 2" xfId="36016" xr:uid="{D85687E7-871A-4E83-94EA-D98641D83C37}"/>
    <cellStyle name="Linked Cell 4 2 4 9 3" xfId="36017" xr:uid="{F364496F-CA72-47E1-AB9B-E44D32F19349}"/>
    <cellStyle name="Linked Cell 4 2 5" xfId="36018" xr:uid="{753CFCAB-E194-4044-88F5-01DB1C9FD70F}"/>
    <cellStyle name="Linked Cell 4 2 5 10" xfId="36019" xr:uid="{A86920D9-0518-4B15-890F-0655E50EB3BB}"/>
    <cellStyle name="Linked Cell 4 2 5 10 2" xfId="36020" xr:uid="{803180F9-296F-4AA9-9AEF-7B902749A36B}"/>
    <cellStyle name="Linked Cell 4 2 5 11" xfId="36021" xr:uid="{2BC1083F-94D7-4DFA-BFCF-0D27F82CA000}"/>
    <cellStyle name="Linked Cell 4 2 5 2" xfId="36022" xr:uid="{C1F3B137-6CFC-4939-B23A-B9B8538FD77B}"/>
    <cellStyle name="Linked Cell 4 2 5 2 2" xfId="36023" xr:uid="{BF6E19E3-FD3F-4FCD-A017-5C97447C5999}"/>
    <cellStyle name="Linked Cell 4 2 5 2 2 2" xfId="36024" xr:uid="{4E195449-BE91-470D-A727-DF1953AE6518}"/>
    <cellStyle name="Linked Cell 4 2 5 2 3" xfId="36025" xr:uid="{2ABEA07E-EFB2-4B2A-9686-574E16201DE9}"/>
    <cellStyle name="Linked Cell 4 2 5 3" xfId="36026" xr:uid="{D9968DD9-F85E-4794-8C05-23C94CA870DA}"/>
    <cellStyle name="Linked Cell 4 2 5 3 2" xfId="36027" xr:uid="{7DD6752A-6A36-4AD0-BFB3-1DB5AED4685E}"/>
    <cellStyle name="Linked Cell 4 2 5 3 2 2" xfId="36028" xr:uid="{A56907E4-99E9-4888-80B7-61FA3A2D64C3}"/>
    <cellStyle name="Linked Cell 4 2 5 3 3" xfId="36029" xr:uid="{9E855E7F-9FEF-4E14-9517-2F7E1128E4D6}"/>
    <cellStyle name="Linked Cell 4 2 5 4" xfId="36030" xr:uid="{915C92AC-4BF6-4D64-A5EA-5BF05E8D33F4}"/>
    <cellStyle name="Linked Cell 4 2 5 4 2" xfId="36031" xr:uid="{D1808879-1E4D-450A-A48D-1B99284062C2}"/>
    <cellStyle name="Linked Cell 4 2 5 4 2 2" xfId="36032" xr:uid="{D3056350-7F43-4508-ADE5-EB63FF4E4BBA}"/>
    <cellStyle name="Linked Cell 4 2 5 4 3" xfId="36033" xr:uid="{6C7F3719-B8C6-4E85-9BB0-3132BC95F973}"/>
    <cellStyle name="Linked Cell 4 2 5 5" xfId="36034" xr:uid="{2B1FD749-C6B8-4CBD-8094-FA9BF807E273}"/>
    <cellStyle name="Linked Cell 4 2 5 5 2" xfId="36035" xr:uid="{B75E8A05-C175-4AEB-96C5-E46987C20A8C}"/>
    <cellStyle name="Linked Cell 4 2 5 5 2 2" xfId="36036" xr:uid="{77C7E910-D77E-419D-A47A-C19100C3F7D5}"/>
    <cellStyle name="Linked Cell 4 2 5 5 3" xfId="36037" xr:uid="{C4C4E5E6-298C-4721-8EE8-17E41B68A92D}"/>
    <cellStyle name="Linked Cell 4 2 5 6" xfId="36038" xr:uid="{910DB331-74B8-4130-8707-C3E05C8C39C0}"/>
    <cellStyle name="Linked Cell 4 2 5 6 2" xfId="36039" xr:uid="{BA2B0DC1-F32E-4CC6-A74A-8376C97EE19E}"/>
    <cellStyle name="Linked Cell 4 2 5 6 2 2" xfId="36040" xr:uid="{6B6A20B7-9857-453C-BA13-6B5CDBC694FC}"/>
    <cellStyle name="Linked Cell 4 2 5 6 3" xfId="36041" xr:uid="{5731350C-8A51-45FF-B1F1-E4082FD1F820}"/>
    <cellStyle name="Linked Cell 4 2 5 7" xfId="36042" xr:uid="{DCB0041B-A78B-4628-A63C-70FBAD939774}"/>
    <cellStyle name="Linked Cell 4 2 5 7 2" xfId="36043" xr:uid="{C3564119-75FA-417E-AD7E-B53D63CBD5C3}"/>
    <cellStyle name="Linked Cell 4 2 5 7 2 2" xfId="36044" xr:uid="{D5FEED2A-DB92-4795-A971-054F4E9234A2}"/>
    <cellStyle name="Linked Cell 4 2 5 7 3" xfId="36045" xr:uid="{695B2D41-FA7C-4B35-AA98-8284FF78C994}"/>
    <cellStyle name="Linked Cell 4 2 5 8" xfId="36046" xr:uid="{A346FB25-5E6E-47C6-89AC-F98B6B887109}"/>
    <cellStyle name="Linked Cell 4 2 5 8 2" xfId="36047" xr:uid="{873AEEA3-286F-4889-A536-9E4984AAAAAE}"/>
    <cellStyle name="Linked Cell 4 2 5 8 2 2" xfId="36048" xr:uid="{6A28E32A-5AB8-4AF9-BE2E-D4DE4399C712}"/>
    <cellStyle name="Linked Cell 4 2 5 8 3" xfId="36049" xr:uid="{83BDAAAF-6FDF-4678-8492-7B8473347796}"/>
    <cellStyle name="Linked Cell 4 2 5 9" xfId="36050" xr:uid="{37EAC1B4-D7C4-4B9F-B6A1-2D213F34E914}"/>
    <cellStyle name="Linked Cell 4 2 5 9 2" xfId="36051" xr:uid="{CAEF1E38-14E0-437C-873E-3E3E60515513}"/>
    <cellStyle name="Linked Cell 4 2 5 9 2 2" xfId="36052" xr:uid="{42F6ACAD-03A9-4BF9-B93E-BAFAE8615F8E}"/>
    <cellStyle name="Linked Cell 4 2 5 9 3" xfId="36053" xr:uid="{44EA19DB-E1E4-45C8-B5FC-E986E8679777}"/>
    <cellStyle name="Linked Cell 4 2 6" xfId="36054" xr:uid="{A9BF76D4-E74A-4816-9433-496A410F57BC}"/>
    <cellStyle name="Linked Cell 4 2 6 2" xfId="36055" xr:uid="{515BB4C4-6C67-408F-A1F2-23FF09AB49F9}"/>
    <cellStyle name="Linked Cell 4 2 6 2 2" xfId="36056" xr:uid="{39EF2546-948E-46A8-860D-8CEA646257C8}"/>
    <cellStyle name="Linked Cell 4 2 6 3" xfId="36057" xr:uid="{82423594-66A6-4436-867E-2649C9A3D268}"/>
    <cellStyle name="Linked Cell 4 2 7" xfId="36058" xr:uid="{8A79345C-4681-4A6C-8902-FCA9AF28F20C}"/>
    <cellStyle name="Linked Cell 4 2 7 2" xfId="36059" xr:uid="{7DD35C7E-68CD-4CFC-8CA4-AE6F3BB82E81}"/>
    <cellStyle name="Linked Cell 4 2 7 2 2" xfId="36060" xr:uid="{46FD6574-8BE9-429C-A114-2F4ABA1D01C1}"/>
    <cellStyle name="Linked Cell 4 2 7 3" xfId="36061" xr:uid="{BA8F57F9-F034-443A-93AD-98A52B2AF3E5}"/>
    <cellStyle name="Linked Cell 4 2 8" xfId="36062" xr:uid="{86ECC24D-6A27-4A4E-895E-13D6E0006E3D}"/>
    <cellStyle name="Linked Cell 4 2 8 2" xfId="36063" xr:uid="{FE0FFD51-FA26-443C-9A8A-AC2D4FEAA2DA}"/>
    <cellStyle name="Linked Cell 4 2 8 2 2" xfId="36064" xr:uid="{98A8E1E1-48E8-490A-8FB5-29E80093D69B}"/>
    <cellStyle name="Linked Cell 4 2 8 3" xfId="36065" xr:uid="{360FECB9-39BD-4BB0-AB41-E158327CB590}"/>
    <cellStyle name="Linked Cell 4 2 9" xfId="36066" xr:uid="{6A6B925B-0EE8-49E6-8D0E-FA27BA532506}"/>
    <cellStyle name="Linked Cell 4 2 9 2" xfId="36067" xr:uid="{9635E0FA-2671-4ED2-B688-5C52F9A65148}"/>
    <cellStyle name="Linked Cell 4 2 9 2 2" xfId="36068" xr:uid="{26A6E352-CD45-4EF6-9611-EA75620484F6}"/>
    <cellStyle name="Linked Cell 4 2 9 3" xfId="36069" xr:uid="{45BA2776-F4A8-47B4-B3CD-A7594D01D665}"/>
    <cellStyle name="Linked Cell 4 3" xfId="36070" xr:uid="{61E38B38-38C7-482D-A821-AD310589C21B}"/>
    <cellStyle name="Linked Cell 4 3 10" xfId="36071" xr:uid="{582B9F76-2872-471E-9011-9DE7CA63833A}"/>
    <cellStyle name="Linked Cell 4 3 10 2" xfId="36072" xr:uid="{102BCC07-39CF-4083-B447-974B903AA9EB}"/>
    <cellStyle name="Linked Cell 4 3 10 2 2" xfId="36073" xr:uid="{960F643A-6B18-4E8B-B3AD-4A3DB69F3378}"/>
    <cellStyle name="Linked Cell 4 3 10 3" xfId="36074" xr:uid="{0EB812F4-CE7E-4334-9C6F-97EBD953FEDE}"/>
    <cellStyle name="Linked Cell 4 3 11" xfId="36075" xr:uid="{9C419A41-8566-4A01-A4E4-83552DE836F5}"/>
    <cellStyle name="Linked Cell 4 3 11 2" xfId="36076" xr:uid="{B7309CDF-D12B-448F-8953-B11767B3BDE7}"/>
    <cellStyle name="Linked Cell 4 3 11 2 2" xfId="36077" xr:uid="{DC9FFCAB-D601-4E00-9C43-8977563C708C}"/>
    <cellStyle name="Linked Cell 4 3 11 3" xfId="36078" xr:uid="{AECC8F5E-81DC-452D-8762-3C5407705033}"/>
    <cellStyle name="Linked Cell 4 3 12" xfId="36079" xr:uid="{A92DB17C-A1A2-46CD-B1F0-128D75DDBF98}"/>
    <cellStyle name="Linked Cell 4 3 12 2" xfId="36080" xr:uid="{7B5ABC87-3195-4C9C-90A4-C9BDA859B0ED}"/>
    <cellStyle name="Linked Cell 4 3 12 2 2" xfId="36081" xr:uid="{D8071A95-6DE1-4DD1-9963-CB111AB44733}"/>
    <cellStyle name="Linked Cell 4 3 12 3" xfId="36082" xr:uid="{A3FB8BBE-105E-4BDB-809A-F04C9CDDB274}"/>
    <cellStyle name="Linked Cell 4 3 13" xfId="36083" xr:uid="{22A57581-ECC4-45B3-968E-80B705FC9388}"/>
    <cellStyle name="Linked Cell 4 3 13 2" xfId="36084" xr:uid="{2FDBA27B-CA42-486F-B666-ADD09A98D012}"/>
    <cellStyle name="Linked Cell 4 3 14" xfId="36085" xr:uid="{F971975A-475A-436C-A8E1-6D755BEE0E9F}"/>
    <cellStyle name="Linked Cell 4 3 2" xfId="36086" xr:uid="{52A70E7D-C2ED-452A-B4C6-C8CAEC1C13FE}"/>
    <cellStyle name="Linked Cell 4 3 2 10" xfId="36087" xr:uid="{FA4191C2-EB24-4002-9BB9-FC557CEBE7F3}"/>
    <cellStyle name="Linked Cell 4 3 2 10 2" xfId="36088" xr:uid="{068FFFE8-F428-45BD-9743-0E47CE38B21E}"/>
    <cellStyle name="Linked Cell 4 3 2 10 2 2" xfId="36089" xr:uid="{FE8FE463-68BB-4CBA-93C9-664FC2CA4B95}"/>
    <cellStyle name="Linked Cell 4 3 2 10 3" xfId="36090" xr:uid="{516B69A2-F88B-4BD1-AE7B-09629D8FA941}"/>
    <cellStyle name="Linked Cell 4 3 2 11" xfId="36091" xr:uid="{C47D880E-31F8-48CD-B770-C0F19C950EF0}"/>
    <cellStyle name="Linked Cell 4 3 2 11 2" xfId="36092" xr:uid="{28429872-38D5-4643-9D53-F679E5BDE05D}"/>
    <cellStyle name="Linked Cell 4 3 2 11 2 2" xfId="36093" xr:uid="{423BA853-EA3E-4C69-A634-6BD11A366C65}"/>
    <cellStyle name="Linked Cell 4 3 2 11 3" xfId="36094" xr:uid="{68B2FEA0-EF6D-4ED8-9BC4-8860D8DFB8CA}"/>
    <cellStyle name="Linked Cell 4 3 2 12" xfId="36095" xr:uid="{B987D307-0C81-4119-B600-9F759DBE23CA}"/>
    <cellStyle name="Linked Cell 4 3 2 12 2" xfId="36096" xr:uid="{B26B5114-0C2D-4891-A4A2-901058FD5A27}"/>
    <cellStyle name="Linked Cell 4 3 2 13" xfId="36097" xr:uid="{43281DC0-BFA1-40E4-AAC7-8AA7572BF50B}"/>
    <cellStyle name="Linked Cell 4 3 2 2" xfId="36098" xr:uid="{AC3BE6C1-8789-4EED-85DF-A00E9C709BCB}"/>
    <cellStyle name="Linked Cell 4 3 2 2 10" xfId="36099" xr:uid="{89F596B5-7DD0-45F1-919C-C579C1020912}"/>
    <cellStyle name="Linked Cell 4 3 2 2 10 2" xfId="36100" xr:uid="{2C43750F-C75D-448E-96FC-01A110FE18AF}"/>
    <cellStyle name="Linked Cell 4 3 2 2 10 2 2" xfId="36101" xr:uid="{AFD25BF6-71A7-4BC0-9013-2695DA5FA17B}"/>
    <cellStyle name="Linked Cell 4 3 2 2 10 3" xfId="36102" xr:uid="{ADA08A87-1B23-4BBE-8B63-76201C037C05}"/>
    <cellStyle name="Linked Cell 4 3 2 2 11" xfId="36103" xr:uid="{A0DD93B8-3D4E-4569-AB8F-380A46B449B9}"/>
    <cellStyle name="Linked Cell 4 3 2 2 11 2" xfId="36104" xr:uid="{D29D48BA-563A-46F1-A641-006FBE8CAA22}"/>
    <cellStyle name="Linked Cell 4 3 2 2 12" xfId="36105" xr:uid="{C2B31017-FF6E-48D6-BE7A-0714C73EB212}"/>
    <cellStyle name="Linked Cell 4 3 2 2 2" xfId="36106" xr:uid="{FFBCAD3B-4DBD-421B-97D0-D77A031BD445}"/>
    <cellStyle name="Linked Cell 4 3 2 2 2 2" xfId="36107" xr:uid="{82C36875-024C-4429-9780-C0FCCF0863F4}"/>
    <cellStyle name="Linked Cell 4 3 2 2 2 2 2" xfId="36108" xr:uid="{3126C226-C5A0-44D8-8478-A264FF28DB9A}"/>
    <cellStyle name="Linked Cell 4 3 2 2 2 3" xfId="36109" xr:uid="{5B0796E4-61D9-4212-BAB9-2CDAF4109BD9}"/>
    <cellStyle name="Linked Cell 4 3 2 2 3" xfId="36110" xr:uid="{85F20EEF-6746-4DCC-A293-18D78C5694D6}"/>
    <cellStyle name="Linked Cell 4 3 2 2 3 2" xfId="36111" xr:uid="{006DEC32-DAD8-4935-BBC5-A390C2A122C2}"/>
    <cellStyle name="Linked Cell 4 3 2 2 3 2 2" xfId="36112" xr:uid="{D9D08301-C655-4081-AEAB-D5B312BC6F13}"/>
    <cellStyle name="Linked Cell 4 3 2 2 3 3" xfId="36113" xr:uid="{BB34FBC8-32BB-4BE3-A3C9-66C995F9F995}"/>
    <cellStyle name="Linked Cell 4 3 2 2 4" xfId="36114" xr:uid="{517AB68F-064F-46B6-9B9D-F2D64AF10541}"/>
    <cellStyle name="Linked Cell 4 3 2 2 4 2" xfId="36115" xr:uid="{A086C804-FC5C-4508-B899-49FA09C032F7}"/>
    <cellStyle name="Linked Cell 4 3 2 2 4 2 2" xfId="36116" xr:uid="{746F1FB3-7B5C-4596-882F-318ABAF3D6FD}"/>
    <cellStyle name="Linked Cell 4 3 2 2 4 3" xfId="36117" xr:uid="{8E8B01FD-BA4A-45B3-B73E-065577483DEC}"/>
    <cellStyle name="Linked Cell 4 3 2 2 5" xfId="36118" xr:uid="{BEF3EE13-BF6C-4E6D-8C2B-9F6FED953DC0}"/>
    <cellStyle name="Linked Cell 4 3 2 2 5 2" xfId="36119" xr:uid="{94C4C6C1-E73C-4C02-8540-7375AF7F34B3}"/>
    <cellStyle name="Linked Cell 4 3 2 2 5 2 2" xfId="36120" xr:uid="{2C756FB8-2124-4D81-9D0A-90120C3AF71D}"/>
    <cellStyle name="Linked Cell 4 3 2 2 5 3" xfId="36121" xr:uid="{90BFE749-D66B-4AD1-B5F0-40138095BFF0}"/>
    <cellStyle name="Linked Cell 4 3 2 2 6" xfId="36122" xr:uid="{82FA66B4-39DB-4934-BEB8-277D8BC71AD1}"/>
    <cellStyle name="Linked Cell 4 3 2 2 6 2" xfId="36123" xr:uid="{D90A22DB-8601-47B3-A3FD-74B7510E88A8}"/>
    <cellStyle name="Linked Cell 4 3 2 2 6 2 2" xfId="36124" xr:uid="{A2EEA64E-7FCD-49E1-9073-D847D90473D2}"/>
    <cellStyle name="Linked Cell 4 3 2 2 6 3" xfId="36125" xr:uid="{FEE07600-F1F7-4B9B-ADEB-E2C42CD2CB8E}"/>
    <cellStyle name="Linked Cell 4 3 2 2 7" xfId="36126" xr:uid="{6DAD006F-D7DA-46FE-A09A-B848A0E9C900}"/>
    <cellStyle name="Linked Cell 4 3 2 2 7 2" xfId="36127" xr:uid="{CCB3E910-7A8E-4B4D-9453-A3060A87248A}"/>
    <cellStyle name="Linked Cell 4 3 2 2 7 2 2" xfId="36128" xr:uid="{6F32CF43-4E1E-4B57-A1A7-364825AA0C5A}"/>
    <cellStyle name="Linked Cell 4 3 2 2 7 3" xfId="36129" xr:uid="{B21E6D29-3C82-48E8-82A8-A56132F913B8}"/>
    <cellStyle name="Linked Cell 4 3 2 2 8" xfId="36130" xr:uid="{63949B1A-2F55-4A54-AF7C-4E3B61E5430E}"/>
    <cellStyle name="Linked Cell 4 3 2 2 8 2" xfId="36131" xr:uid="{F93E1367-F797-4D28-800C-DFEB812BE0AF}"/>
    <cellStyle name="Linked Cell 4 3 2 2 8 2 2" xfId="36132" xr:uid="{5FDDF138-4A8E-475D-ACC4-70A0820B03E0}"/>
    <cellStyle name="Linked Cell 4 3 2 2 8 3" xfId="36133" xr:uid="{90D60757-311D-4902-B4DC-A10D833B7A16}"/>
    <cellStyle name="Linked Cell 4 3 2 2 9" xfId="36134" xr:uid="{343C0712-216F-450D-92A2-833A677D56E5}"/>
    <cellStyle name="Linked Cell 4 3 2 2 9 2" xfId="36135" xr:uid="{237C879D-5E27-4E4E-A1D0-18F0419B342A}"/>
    <cellStyle name="Linked Cell 4 3 2 2 9 2 2" xfId="36136" xr:uid="{863D6302-3C76-4342-8B6B-51BF57070971}"/>
    <cellStyle name="Linked Cell 4 3 2 2 9 3" xfId="36137" xr:uid="{4B5867CC-15C3-4949-9A92-13189557837E}"/>
    <cellStyle name="Linked Cell 4 3 2 3" xfId="36138" xr:uid="{7868D7E2-FBDC-45DD-8EE6-5ECE4B72428B}"/>
    <cellStyle name="Linked Cell 4 3 2 3 10" xfId="36139" xr:uid="{289C68EA-86AF-41D8-8B91-AA97D9066B71}"/>
    <cellStyle name="Linked Cell 4 3 2 3 10 2" xfId="36140" xr:uid="{9FB6DB8B-489E-4E5E-831D-00097B4C2947}"/>
    <cellStyle name="Linked Cell 4 3 2 3 11" xfId="36141" xr:uid="{7C1C4497-DF3E-407D-B090-A4FE98C9CC62}"/>
    <cellStyle name="Linked Cell 4 3 2 3 2" xfId="36142" xr:uid="{F983CCEF-FF90-4A27-9F20-FE1B8DE70A1D}"/>
    <cellStyle name="Linked Cell 4 3 2 3 2 2" xfId="36143" xr:uid="{6CDEBF7E-CD2E-4780-8F41-619350B9C844}"/>
    <cellStyle name="Linked Cell 4 3 2 3 2 2 2" xfId="36144" xr:uid="{84357ACF-9AA1-4587-8DF3-4C524D5C2727}"/>
    <cellStyle name="Linked Cell 4 3 2 3 2 3" xfId="36145" xr:uid="{A27D8640-73A7-4F3E-B4CE-70079B642AAA}"/>
    <cellStyle name="Linked Cell 4 3 2 3 3" xfId="36146" xr:uid="{9F4276AE-10E9-46C3-8855-E13ABB4BECB5}"/>
    <cellStyle name="Linked Cell 4 3 2 3 3 2" xfId="36147" xr:uid="{81315332-63B3-4FBB-B2BA-9BB93C1F9186}"/>
    <cellStyle name="Linked Cell 4 3 2 3 3 2 2" xfId="36148" xr:uid="{0A3D1CE7-B798-4B84-8A6D-731BE4F1C160}"/>
    <cellStyle name="Linked Cell 4 3 2 3 3 3" xfId="36149" xr:uid="{3EA4238F-FEF8-4100-A55E-9FABDAC23EF2}"/>
    <cellStyle name="Linked Cell 4 3 2 3 4" xfId="36150" xr:uid="{13AE82BE-DB9D-4C3A-90C1-6725FF67B9E2}"/>
    <cellStyle name="Linked Cell 4 3 2 3 4 2" xfId="36151" xr:uid="{6805F7EB-7A4C-47CB-8603-0FB2B314E492}"/>
    <cellStyle name="Linked Cell 4 3 2 3 4 2 2" xfId="36152" xr:uid="{F8DE9A53-C78B-4E83-86CA-DBAA53467D87}"/>
    <cellStyle name="Linked Cell 4 3 2 3 4 3" xfId="36153" xr:uid="{37300E57-8A62-4DED-8A0E-854C72317438}"/>
    <cellStyle name="Linked Cell 4 3 2 3 5" xfId="36154" xr:uid="{0140CA53-C435-4553-9C02-DDDAD0DD3AB0}"/>
    <cellStyle name="Linked Cell 4 3 2 3 5 2" xfId="36155" xr:uid="{76FE633E-F5E6-4ADA-992F-376EDDEE656F}"/>
    <cellStyle name="Linked Cell 4 3 2 3 5 2 2" xfId="36156" xr:uid="{61711374-FB65-4933-BC5A-0CACDA7DD93D}"/>
    <cellStyle name="Linked Cell 4 3 2 3 5 3" xfId="36157" xr:uid="{E9FD3A11-88FC-4272-BCCE-65C54FE9ED51}"/>
    <cellStyle name="Linked Cell 4 3 2 3 6" xfId="36158" xr:uid="{90D953DC-B4A3-4B52-A77B-37711BCE5693}"/>
    <cellStyle name="Linked Cell 4 3 2 3 6 2" xfId="36159" xr:uid="{99848AA2-6CE1-4A5A-A643-437F74F515EE}"/>
    <cellStyle name="Linked Cell 4 3 2 3 6 2 2" xfId="36160" xr:uid="{ABEC1435-2F5C-4CD4-BF9A-FC195B71CEC3}"/>
    <cellStyle name="Linked Cell 4 3 2 3 6 3" xfId="36161" xr:uid="{B9F98CFF-B4FA-44F2-A1D3-2BFB4DD5B189}"/>
    <cellStyle name="Linked Cell 4 3 2 3 7" xfId="36162" xr:uid="{52D3D90F-E956-4B29-A661-EB5D6026342C}"/>
    <cellStyle name="Linked Cell 4 3 2 3 7 2" xfId="36163" xr:uid="{B8F2F260-7598-4D9F-96E8-1306D6A07EA1}"/>
    <cellStyle name="Linked Cell 4 3 2 3 7 2 2" xfId="36164" xr:uid="{110D5B22-59AB-4E67-96D7-A9410B485DC7}"/>
    <cellStyle name="Linked Cell 4 3 2 3 7 3" xfId="36165" xr:uid="{D1820EA8-BF2E-442D-BAF1-85336D52306F}"/>
    <cellStyle name="Linked Cell 4 3 2 3 8" xfId="36166" xr:uid="{D82E6524-484B-4937-A680-C775BF589782}"/>
    <cellStyle name="Linked Cell 4 3 2 3 8 2" xfId="36167" xr:uid="{6ED44269-72D5-4DC9-89FD-168C29980BE8}"/>
    <cellStyle name="Linked Cell 4 3 2 3 8 2 2" xfId="36168" xr:uid="{E0EF7C2B-2707-48C0-BEEC-A691521313A0}"/>
    <cellStyle name="Linked Cell 4 3 2 3 8 3" xfId="36169" xr:uid="{180A9615-0530-4942-B0B0-2F3621BA65A2}"/>
    <cellStyle name="Linked Cell 4 3 2 3 9" xfId="36170" xr:uid="{E0AD6992-1701-4ECD-A6AD-56E34866BBC4}"/>
    <cellStyle name="Linked Cell 4 3 2 3 9 2" xfId="36171" xr:uid="{AE949CDB-438B-4185-A2B7-35AB679639E5}"/>
    <cellStyle name="Linked Cell 4 3 2 3 9 2 2" xfId="36172" xr:uid="{85DC89D5-46E6-475F-B3A1-FA52D1DE7EF4}"/>
    <cellStyle name="Linked Cell 4 3 2 3 9 3" xfId="36173" xr:uid="{877C7BD1-5105-4499-AACC-63288800295D}"/>
    <cellStyle name="Linked Cell 4 3 2 4" xfId="36174" xr:uid="{1BE1E899-B7BD-44C4-B3D4-926CF11DF7BE}"/>
    <cellStyle name="Linked Cell 4 3 2 4 2" xfId="36175" xr:uid="{DBE2AA42-EDAC-4675-865F-C6B878AF50EB}"/>
    <cellStyle name="Linked Cell 4 3 2 4 2 2" xfId="36176" xr:uid="{66C65D8D-BCC5-4BA8-B95E-B0CEBC9D0607}"/>
    <cellStyle name="Linked Cell 4 3 2 4 3" xfId="36177" xr:uid="{8A5A871E-DCC4-4FF8-AA9B-E03FBB372152}"/>
    <cellStyle name="Linked Cell 4 3 2 5" xfId="36178" xr:uid="{937BD6EA-1BDB-4C18-9186-B1F15D6C1DB3}"/>
    <cellStyle name="Linked Cell 4 3 2 5 2" xfId="36179" xr:uid="{BC96D0B5-A871-4B7F-81C2-80C396E7235F}"/>
    <cellStyle name="Linked Cell 4 3 2 5 2 2" xfId="36180" xr:uid="{517ABA83-A8CB-49C6-A3EC-8221DEE26C75}"/>
    <cellStyle name="Linked Cell 4 3 2 5 3" xfId="36181" xr:uid="{624196CB-7310-4962-BCA0-517D48AAEC20}"/>
    <cellStyle name="Linked Cell 4 3 2 6" xfId="36182" xr:uid="{7F41F116-3DA7-4AE8-8EBD-77C182BBF8EC}"/>
    <cellStyle name="Linked Cell 4 3 2 6 2" xfId="36183" xr:uid="{15172A5B-EE84-45D4-83BF-9B309A6B4790}"/>
    <cellStyle name="Linked Cell 4 3 2 6 2 2" xfId="36184" xr:uid="{DBB212DF-68F2-4378-95FA-11D82ED505A9}"/>
    <cellStyle name="Linked Cell 4 3 2 6 3" xfId="36185" xr:uid="{95E8BCDB-CFB3-4D7D-8319-C98B27DF5DF3}"/>
    <cellStyle name="Linked Cell 4 3 2 7" xfId="36186" xr:uid="{E791BF23-A23A-4FEF-86B8-358C2EE57F72}"/>
    <cellStyle name="Linked Cell 4 3 2 7 2" xfId="36187" xr:uid="{3BC3DF28-4857-4DA0-8251-0BF470618F34}"/>
    <cellStyle name="Linked Cell 4 3 2 7 2 2" xfId="36188" xr:uid="{4A64C7BA-BB7A-4C07-A4B2-E29C1EFDEAE2}"/>
    <cellStyle name="Linked Cell 4 3 2 7 3" xfId="36189" xr:uid="{EADF666C-E7DE-44D3-BDF4-35901313B824}"/>
    <cellStyle name="Linked Cell 4 3 2 8" xfId="36190" xr:uid="{EC4421CC-77FE-4D5F-A92F-0169C502D6D7}"/>
    <cellStyle name="Linked Cell 4 3 2 8 2" xfId="36191" xr:uid="{6F058DC2-195F-4E2C-9EA9-06873CA00278}"/>
    <cellStyle name="Linked Cell 4 3 2 8 2 2" xfId="36192" xr:uid="{184AC559-62B4-4FF2-9C47-076A67A002E0}"/>
    <cellStyle name="Linked Cell 4 3 2 8 3" xfId="36193" xr:uid="{56F13D43-AEF1-4161-83B6-8B0723651E27}"/>
    <cellStyle name="Linked Cell 4 3 2 9" xfId="36194" xr:uid="{C80A4FB4-C430-4AA6-A645-0D1622531030}"/>
    <cellStyle name="Linked Cell 4 3 2 9 2" xfId="36195" xr:uid="{ED2ADE71-008F-4445-969D-27BA1849C282}"/>
    <cellStyle name="Linked Cell 4 3 2 9 2 2" xfId="36196" xr:uid="{46E7C048-9476-478E-9A43-0259D8B73446}"/>
    <cellStyle name="Linked Cell 4 3 2 9 3" xfId="36197" xr:uid="{F5A52E93-E068-4347-9704-68918A5DEE93}"/>
    <cellStyle name="Linked Cell 4 3 3" xfId="36198" xr:uid="{5EBD4960-6D60-45FD-8B57-4646CCD14167}"/>
    <cellStyle name="Linked Cell 4 3 3 10" xfId="36199" xr:uid="{1F004D5C-4459-41F1-9EBC-732FC4EED2CC}"/>
    <cellStyle name="Linked Cell 4 3 3 10 2" xfId="36200" xr:uid="{7F65CB54-4A04-48D7-B21D-A5A084805F93}"/>
    <cellStyle name="Linked Cell 4 3 3 10 2 2" xfId="36201" xr:uid="{64C72003-26B8-4E32-AF40-C935BD189175}"/>
    <cellStyle name="Linked Cell 4 3 3 10 3" xfId="36202" xr:uid="{7C7D89D3-549A-4C75-8115-8CCB9FB350A6}"/>
    <cellStyle name="Linked Cell 4 3 3 11" xfId="36203" xr:uid="{D50AF275-0E34-4416-9628-BA9C700B1C97}"/>
    <cellStyle name="Linked Cell 4 3 3 11 2" xfId="36204" xr:uid="{AC2588DA-9CFE-4C11-9A80-693BA33F7AB0}"/>
    <cellStyle name="Linked Cell 4 3 3 12" xfId="36205" xr:uid="{B48B6D61-1EA0-4A68-9DFE-292D69CF63A5}"/>
    <cellStyle name="Linked Cell 4 3 3 2" xfId="36206" xr:uid="{6BB9900A-E0F1-4F9F-AF75-5253F0D06EC8}"/>
    <cellStyle name="Linked Cell 4 3 3 2 10" xfId="36207" xr:uid="{1600B948-E570-4523-897F-805DBCB7C190}"/>
    <cellStyle name="Linked Cell 4 3 3 2 10 2" xfId="36208" xr:uid="{464A5E37-EFD6-4855-8BFC-CA861FC9E46B}"/>
    <cellStyle name="Linked Cell 4 3 3 2 11" xfId="36209" xr:uid="{9D0AAFCB-CB14-43CF-8F55-4765C69FCA25}"/>
    <cellStyle name="Linked Cell 4 3 3 2 2" xfId="36210" xr:uid="{CF92BBA8-2DD4-441F-B42A-6D727842D3EB}"/>
    <cellStyle name="Linked Cell 4 3 3 2 2 2" xfId="36211" xr:uid="{3AC62DF4-655E-4D3E-90BC-D5D83CE4394C}"/>
    <cellStyle name="Linked Cell 4 3 3 2 2 2 2" xfId="36212" xr:uid="{1264DA7B-0046-4866-A592-65A1A8695217}"/>
    <cellStyle name="Linked Cell 4 3 3 2 2 3" xfId="36213" xr:uid="{B3589EF2-3E88-4FAE-A284-B31D99D1C938}"/>
    <cellStyle name="Linked Cell 4 3 3 2 3" xfId="36214" xr:uid="{3A5EE2EF-C5E6-4EDD-8023-AEEA044BDBBB}"/>
    <cellStyle name="Linked Cell 4 3 3 2 3 2" xfId="36215" xr:uid="{6BAFDBA1-933A-4A19-B7EF-87BDB73180A4}"/>
    <cellStyle name="Linked Cell 4 3 3 2 3 2 2" xfId="36216" xr:uid="{953AE574-2272-4978-9A01-C379570D5E40}"/>
    <cellStyle name="Linked Cell 4 3 3 2 3 3" xfId="36217" xr:uid="{A16A548B-8A53-4BE1-B7E9-775777B69359}"/>
    <cellStyle name="Linked Cell 4 3 3 2 4" xfId="36218" xr:uid="{15C70504-9289-4B7B-9227-8087CFEFC074}"/>
    <cellStyle name="Linked Cell 4 3 3 2 4 2" xfId="36219" xr:uid="{1AEC652E-864E-4172-B33E-62F1F9675585}"/>
    <cellStyle name="Linked Cell 4 3 3 2 4 2 2" xfId="36220" xr:uid="{DF30E039-E0FE-4898-AF88-57D5111C6534}"/>
    <cellStyle name="Linked Cell 4 3 3 2 4 3" xfId="36221" xr:uid="{A7873C6C-90D6-48CB-AD3F-7FE2E9E73E98}"/>
    <cellStyle name="Linked Cell 4 3 3 2 5" xfId="36222" xr:uid="{9A9FB050-2FE9-4442-ABD7-05A17CEFB83C}"/>
    <cellStyle name="Linked Cell 4 3 3 2 5 2" xfId="36223" xr:uid="{807880E1-2D47-418D-80ED-47CCA04E8A46}"/>
    <cellStyle name="Linked Cell 4 3 3 2 5 2 2" xfId="36224" xr:uid="{A06E4BD7-4A27-450F-90B6-431FDBDD6DD3}"/>
    <cellStyle name="Linked Cell 4 3 3 2 5 3" xfId="36225" xr:uid="{E3F8F2F0-B89A-4ED1-AFF7-BB847EE732B8}"/>
    <cellStyle name="Linked Cell 4 3 3 2 6" xfId="36226" xr:uid="{9F1D9C1B-2C96-4537-94DE-D6D70851B246}"/>
    <cellStyle name="Linked Cell 4 3 3 2 6 2" xfId="36227" xr:uid="{D884A3A8-9433-43F6-882B-57A3DE7DCB60}"/>
    <cellStyle name="Linked Cell 4 3 3 2 6 2 2" xfId="36228" xr:uid="{5E8D2B1E-5625-4326-ACCC-9807F0025E56}"/>
    <cellStyle name="Linked Cell 4 3 3 2 6 3" xfId="36229" xr:uid="{45D61281-A896-455D-B6A2-CCF905676988}"/>
    <cellStyle name="Linked Cell 4 3 3 2 7" xfId="36230" xr:uid="{28E5F1E6-AF1A-41A9-A72D-D8CDB495397A}"/>
    <cellStyle name="Linked Cell 4 3 3 2 7 2" xfId="36231" xr:uid="{79925A21-6A65-4907-9967-C577A89FF318}"/>
    <cellStyle name="Linked Cell 4 3 3 2 7 2 2" xfId="36232" xr:uid="{B0933EDC-A5EF-4E8E-8EAF-491C5EB06208}"/>
    <cellStyle name="Linked Cell 4 3 3 2 7 3" xfId="36233" xr:uid="{836892A7-0A7D-466E-99A5-250C877FED0E}"/>
    <cellStyle name="Linked Cell 4 3 3 2 8" xfId="36234" xr:uid="{AF4C1E82-3E8D-41D5-8378-ED8A621B0E77}"/>
    <cellStyle name="Linked Cell 4 3 3 2 8 2" xfId="36235" xr:uid="{71D12617-E71D-49FF-9497-A45164E5E3C8}"/>
    <cellStyle name="Linked Cell 4 3 3 2 8 2 2" xfId="36236" xr:uid="{04A455CA-48F5-4F74-BF0A-56CB1DC7C18A}"/>
    <cellStyle name="Linked Cell 4 3 3 2 8 3" xfId="36237" xr:uid="{EAC26032-DF57-490A-A267-AA39D1014459}"/>
    <cellStyle name="Linked Cell 4 3 3 2 9" xfId="36238" xr:uid="{036074FA-3B5C-4B1F-B820-A260DF32D53F}"/>
    <cellStyle name="Linked Cell 4 3 3 2 9 2" xfId="36239" xr:uid="{0D4A2FC5-3565-45C0-8850-9CD142C9AAB8}"/>
    <cellStyle name="Linked Cell 4 3 3 2 9 2 2" xfId="36240" xr:uid="{1A2E2EDD-C751-4DAD-8F58-56F4CE8725FF}"/>
    <cellStyle name="Linked Cell 4 3 3 2 9 3" xfId="36241" xr:uid="{005A1A81-2138-4E14-B3C4-A5677A95FE35}"/>
    <cellStyle name="Linked Cell 4 3 3 3" xfId="36242" xr:uid="{935886F4-EDD3-4F20-B1AA-E13C3BAD6950}"/>
    <cellStyle name="Linked Cell 4 3 3 3 2" xfId="36243" xr:uid="{70109B2C-E7E0-4269-BB7B-A2BE286BBE5E}"/>
    <cellStyle name="Linked Cell 4 3 3 3 2 2" xfId="36244" xr:uid="{805BF671-5F49-4E89-BA7A-5FF0F58D2F73}"/>
    <cellStyle name="Linked Cell 4 3 3 3 3" xfId="36245" xr:uid="{96B8CB57-F883-4DB4-93B4-36B015B54E91}"/>
    <cellStyle name="Linked Cell 4 3 3 4" xfId="36246" xr:uid="{CE411C3B-B975-49E2-A0D4-7CD2F8A86E68}"/>
    <cellStyle name="Linked Cell 4 3 3 4 2" xfId="36247" xr:uid="{D45C576D-642C-43CC-90A3-1F0B12BE1A21}"/>
    <cellStyle name="Linked Cell 4 3 3 4 2 2" xfId="36248" xr:uid="{F436E7AF-95F3-44D2-A15E-08BCB3A8A67D}"/>
    <cellStyle name="Linked Cell 4 3 3 4 3" xfId="36249" xr:uid="{55FCA83D-8F82-48DC-B1D2-F8CC95A6EFED}"/>
    <cellStyle name="Linked Cell 4 3 3 5" xfId="36250" xr:uid="{3961D4BA-009F-4796-8A72-076D9774B2E6}"/>
    <cellStyle name="Linked Cell 4 3 3 5 2" xfId="36251" xr:uid="{DA0D43F8-FA82-4A2A-878F-37F951C1BF07}"/>
    <cellStyle name="Linked Cell 4 3 3 5 2 2" xfId="36252" xr:uid="{D0BAEA72-A866-4DF8-A419-441B680F4794}"/>
    <cellStyle name="Linked Cell 4 3 3 5 3" xfId="36253" xr:uid="{A1A3968F-E61F-4A97-ACCA-C62C019CC75E}"/>
    <cellStyle name="Linked Cell 4 3 3 6" xfId="36254" xr:uid="{F4E9B6F8-6C53-4858-AC1F-4DB82FBE22CB}"/>
    <cellStyle name="Linked Cell 4 3 3 6 2" xfId="36255" xr:uid="{4D777ADA-A161-460A-91B0-287273A1638D}"/>
    <cellStyle name="Linked Cell 4 3 3 6 2 2" xfId="36256" xr:uid="{36B8B624-B2B0-41A5-BD26-A701F7E1E9B2}"/>
    <cellStyle name="Linked Cell 4 3 3 6 3" xfId="36257" xr:uid="{1CDAD8D5-7919-4329-B004-49A7D4DA567D}"/>
    <cellStyle name="Linked Cell 4 3 3 7" xfId="36258" xr:uid="{C1C658D7-DD20-48DC-9771-A3DCB7F58910}"/>
    <cellStyle name="Linked Cell 4 3 3 7 2" xfId="36259" xr:uid="{C2F2D6B8-BAF9-4172-BE88-E0CB127CB381}"/>
    <cellStyle name="Linked Cell 4 3 3 7 2 2" xfId="36260" xr:uid="{0E738648-F430-4C28-9020-9DCD69A7F879}"/>
    <cellStyle name="Linked Cell 4 3 3 7 3" xfId="36261" xr:uid="{BEBFB8EC-8168-4F10-8276-FD59E5256E91}"/>
    <cellStyle name="Linked Cell 4 3 3 8" xfId="36262" xr:uid="{E56DAA06-C7B9-49DF-A802-98C69C790F17}"/>
    <cellStyle name="Linked Cell 4 3 3 8 2" xfId="36263" xr:uid="{2F0F5172-F97E-4F38-A853-09B13BFECA95}"/>
    <cellStyle name="Linked Cell 4 3 3 8 2 2" xfId="36264" xr:uid="{34404D1F-EB4A-4430-A70C-C0A3322EE2C0}"/>
    <cellStyle name="Linked Cell 4 3 3 8 3" xfId="36265" xr:uid="{7C0DA1C8-7B06-426E-9774-35081AF6502D}"/>
    <cellStyle name="Linked Cell 4 3 3 9" xfId="36266" xr:uid="{2FC8F981-E5DB-4316-80EF-4097DB24FA2B}"/>
    <cellStyle name="Linked Cell 4 3 3 9 2" xfId="36267" xr:uid="{729F3D28-AE6A-48F1-908A-C51F52527A80}"/>
    <cellStyle name="Linked Cell 4 3 3 9 2 2" xfId="36268" xr:uid="{421B0816-7831-4A00-9B95-64384611CBD7}"/>
    <cellStyle name="Linked Cell 4 3 3 9 3" xfId="36269" xr:uid="{63C35378-4F2D-46AE-AADF-2B6FE7AE3C37}"/>
    <cellStyle name="Linked Cell 4 3 4" xfId="36270" xr:uid="{B3D6AA02-A577-4FB3-A2CE-30915BF74932}"/>
    <cellStyle name="Linked Cell 4 3 4 10" xfId="36271" xr:uid="{A0ED751A-59E5-4A47-B447-526466C68E20}"/>
    <cellStyle name="Linked Cell 4 3 4 10 2" xfId="36272" xr:uid="{BF668831-21F7-4A24-AAAE-702A80DFE046}"/>
    <cellStyle name="Linked Cell 4 3 4 11" xfId="36273" xr:uid="{7BE6A6D2-7062-4895-AD00-EB180E688C05}"/>
    <cellStyle name="Linked Cell 4 3 4 2" xfId="36274" xr:uid="{7EAEB3CB-4179-4F01-84B0-DC992921E5FC}"/>
    <cellStyle name="Linked Cell 4 3 4 2 2" xfId="36275" xr:uid="{062BAC14-A37E-4325-B5CA-A5CC8E10C976}"/>
    <cellStyle name="Linked Cell 4 3 4 2 2 2" xfId="36276" xr:uid="{7FC07D6F-BC7D-403F-AB6B-F64CB863BC3E}"/>
    <cellStyle name="Linked Cell 4 3 4 2 3" xfId="36277" xr:uid="{C036132F-6582-43D9-86BC-375754E8543C}"/>
    <cellStyle name="Linked Cell 4 3 4 3" xfId="36278" xr:uid="{9D353E25-3AB1-46FD-A98D-519BE657CC78}"/>
    <cellStyle name="Linked Cell 4 3 4 3 2" xfId="36279" xr:uid="{AFA8669F-4E68-4D63-AD5D-38D31155F8DA}"/>
    <cellStyle name="Linked Cell 4 3 4 3 2 2" xfId="36280" xr:uid="{5C143A35-682C-4891-A6A9-7018FFDCF12A}"/>
    <cellStyle name="Linked Cell 4 3 4 3 3" xfId="36281" xr:uid="{02DCEDC2-5C4E-4FEC-BE1F-B96BE4D8E705}"/>
    <cellStyle name="Linked Cell 4 3 4 4" xfId="36282" xr:uid="{3EA259E4-5394-4E4C-9DEC-06005452B42F}"/>
    <cellStyle name="Linked Cell 4 3 4 4 2" xfId="36283" xr:uid="{F432A227-9A72-42DC-B9E8-0D7A2AF10D58}"/>
    <cellStyle name="Linked Cell 4 3 4 4 2 2" xfId="36284" xr:uid="{23CB64CE-6FCD-4499-97CE-19D4882B8F9A}"/>
    <cellStyle name="Linked Cell 4 3 4 4 3" xfId="36285" xr:uid="{8BED92B4-57A9-4B41-BB2F-A1FEACC18985}"/>
    <cellStyle name="Linked Cell 4 3 4 5" xfId="36286" xr:uid="{44DCC965-3A32-4022-9A52-DAD04E934219}"/>
    <cellStyle name="Linked Cell 4 3 4 5 2" xfId="36287" xr:uid="{4F73A582-6888-4B18-998B-5699D6E7A91F}"/>
    <cellStyle name="Linked Cell 4 3 4 5 2 2" xfId="36288" xr:uid="{61C13B9D-C6E0-4F9C-92E4-4CC36FA8FC7E}"/>
    <cellStyle name="Linked Cell 4 3 4 5 3" xfId="36289" xr:uid="{0B9D8184-66B9-4EC2-90DB-AB4D6BB17AA8}"/>
    <cellStyle name="Linked Cell 4 3 4 6" xfId="36290" xr:uid="{F000CA1C-5FAE-4922-9CDA-C638E599C72A}"/>
    <cellStyle name="Linked Cell 4 3 4 6 2" xfId="36291" xr:uid="{F25A2AFC-8E2B-49F9-9158-3B582B9C8E83}"/>
    <cellStyle name="Linked Cell 4 3 4 6 2 2" xfId="36292" xr:uid="{3D0FD8F5-BB5D-450C-9EEA-16BBAF3CDE02}"/>
    <cellStyle name="Linked Cell 4 3 4 6 3" xfId="36293" xr:uid="{3834E936-A018-4ABF-B93D-92B5E33DD888}"/>
    <cellStyle name="Linked Cell 4 3 4 7" xfId="36294" xr:uid="{E582AD4B-2D93-456D-8095-0AFC51BC5DFA}"/>
    <cellStyle name="Linked Cell 4 3 4 7 2" xfId="36295" xr:uid="{252D5184-651F-4BCC-AB31-942ABB2BA8B6}"/>
    <cellStyle name="Linked Cell 4 3 4 7 2 2" xfId="36296" xr:uid="{6DC39B32-51A5-419E-B6E6-A4FFA7A53E34}"/>
    <cellStyle name="Linked Cell 4 3 4 7 3" xfId="36297" xr:uid="{D7D6875D-3693-4BAA-B37B-36D42CCF10EF}"/>
    <cellStyle name="Linked Cell 4 3 4 8" xfId="36298" xr:uid="{6233844E-ED19-4F60-A451-F2BCF90C9B40}"/>
    <cellStyle name="Linked Cell 4 3 4 8 2" xfId="36299" xr:uid="{63203D22-76E6-4ABB-B841-491B97195A2B}"/>
    <cellStyle name="Linked Cell 4 3 4 8 2 2" xfId="36300" xr:uid="{6BCF6528-F326-455D-AD8A-2DC190BED1A0}"/>
    <cellStyle name="Linked Cell 4 3 4 8 3" xfId="36301" xr:uid="{5FD486C6-3B38-4E8A-8367-E543D1ED2295}"/>
    <cellStyle name="Linked Cell 4 3 4 9" xfId="36302" xr:uid="{47D6EBA9-6070-4467-97E9-039AC997D993}"/>
    <cellStyle name="Linked Cell 4 3 4 9 2" xfId="36303" xr:uid="{3ECD00E9-DFFE-4E8E-911B-833220857049}"/>
    <cellStyle name="Linked Cell 4 3 4 9 2 2" xfId="36304" xr:uid="{637604B0-DB74-4249-BB11-1CC4B3CA6894}"/>
    <cellStyle name="Linked Cell 4 3 4 9 3" xfId="36305" xr:uid="{3ECC4B24-7FB1-4616-A01E-3B93EC1DE528}"/>
    <cellStyle name="Linked Cell 4 3 5" xfId="36306" xr:uid="{94254FDB-5A5C-4A7B-A1EA-594CE6B27FB5}"/>
    <cellStyle name="Linked Cell 4 3 5 2" xfId="36307" xr:uid="{76314C6B-9727-4B19-AB66-B631527C3A95}"/>
    <cellStyle name="Linked Cell 4 3 5 2 2" xfId="36308" xr:uid="{0CA4C26E-88DD-4BF2-A3CA-6ECE321413EA}"/>
    <cellStyle name="Linked Cell 4 3 5 3" xfId="36309" xr:uid="{EAE56D8A-2DE7-4EC6-B4F3-77D8E5B69893}"/>
    <cellStyle name="Linked Cell 4 3 6" xfId="36310" xr:uid="{217564D2-2C2B-4770-85FA-A705D204C7E9}"/>
    <cellStyle name="Linked Cell 4 3 6 2" xfId="36311" xr:uid="{18A0E787-4D25-478B-8809-1104048BFD6A}"/>
    <cellStyle name="Linked Cell 4 3 6 2 2" xfId="36312" xr:uid="{58C64800-7D4A-4ABE-AC36-D3728A82E214}"/>
    <cellStyle name="Linked Cell 4 3 6 3" xfId="36313" xr:uid="{1DCB2FF2-82B4-4F2C-B5A9-DD5280E61CE9}"/>
    <cellStyle name="Linked Cell 4 3 7" xfId="36314" xr:uid="{97722B32-308E-4B43-BD38-DBE7350F75F8}"/>
    <cellStyle name="Linked Cell 4 3 7 2" xfId="36315" xr:uid="{C60930FF-67DE-406A-BC0F-CCBD590F71D4}"/>
    <cellStyle name="Linked Cell 4 3 7 2 2" xfId="36316" xr:uid="{5683DCD5-0993-43D9-959E-DFB1B149E27D}"/>
    <cellStyle name="Linked Cell 4 3 7 3" xfId="36317" xr:uid="{BA669496-AAB1-4690-B495-FE446719A416}"/>
    <cellStyle name="Linked Cell 4 3 8" xfId="36318" xr:uid="{13ED0D4D-3506-40F8-82DC-19659C176149}"/>
    <cellStyle name="Linked Cell 4 3 8 2" xfId="36319" xr:uid="{BB05E0C5-7219-466D-A859-5D6B1970C42F}"/>
    <cellStyle name="Linked Cell 4 3 8 2 2" xfId="36320" xr:uid="{110A6B1F-C88F-4F57-8270-182C9DB57185}"/>
    <cellStyle name="Linked Cell 4 3 8 3" xfId="36321" xr:uid="{2723517B-C877-4775-9DF2-5C396ED0A07B}"/>
    <cellStyle name="Linked Cell 4 3 9" xfId="36322" xr:uid="{E861350F-BAB5-456B-84A2-6F2C45080ACF}"/>
    <cellStyle name="Linked Cell 4 3 9 2" xfId="36323" xr:uid="{DF89027F-1454-494B-AB3A-B1B60200D40B}"/>
    <cellStyle name="Linked Cell 4 3 9 2 2" xfId="36324" xr:uid="{9D449F78-BE4B-4E2C-B782-255E85FD0909}"/>
    <cellStyle name="Linked Cell 4 3 9 3" xfId="36325" xr:uid="{0C01B74F-5ED5-4923-8BFB-490AE909925E}"/>
    <cellStyle name="Linked Cell 4 4" xfId="36326" xr:uid="{2BF0215D-459C-4A96-876E-F9118D00FF0D}"/>
    <cellStyle name="Linked Cell 4 4 10" xfId="36327" xr:uid="{46A9A39B-F42D-43CD-A6AA-4B8FAAAA12E0}"/>
    <cellStyle name="Linked Cell 4 4 10 2" xfId="36328" xr:uid="{56F60E6A-1EDE-4689-ADD9-120A0F60BC14}"/>
    <cellStyle name="Linked Cell 4 4 10 2 2" xfId="36329" xr:uid="{45AFECD2-459B-481D-80E0-5B7F15686404}"/>
    <cellStyle name="Linked Cell 4 4 10 3" xfId="36330" xr:uid="{676390FD-C5EC-44B9-B092-287D390F7618}"/>
    <cellStyle name="Linked Cell 4 4 11" xfId="36331" xr:uid="{AB23015C-1C12-4B76-9ABC-AA51A8D3A185}"/>
    <cellStyle name="Linked Cell 4 4 11 2" xfId="36332" xr:uid="{2EBBC56B-1D70-4BD9-87D2-A5A2A1146A4B}"/>
    <cellStyle name="Linked Cell 4 4 11 2 2" xfId="36333" xr:uid="{EF27DC9C-8FE2-4F74-90F8-80C50297FA9D}"/>
    <cellStyle name="Linked Cell 4 4 11 3" xfId="36334" xr:uid="{8FD65C45-3449-4586-A169-871395303139}"/>
    <cellStyle name="Linked Cell 4 4 12" xfId="36335" xr:uid="{4224E17B-1BDE-42E9-9297-C4C72869E554}"/>
    <cellStyle name="Linked Cell 4 4 12 2" xfId="36336" xr:uid="{4EECD1C5-EA12-4132-AD22-7102B50A3634}"/>
    <cellStyle name="Linked Cell 4 4 13" xfId="36337" xr:uid="{1610169D-5391-4212-91CB-94C41E4E86D5}"/>
    <cellStyle name="Linked Cell 4 4 2" xfId="36338" xr:uid="{9083E72D-9DA9-4051-B606-0156F1F2ED86}"/>
    <cellStyle name="Linked Cell 4 4 2 10" xfId="36339" xr:uid="{0CE377FF-48E4-411D-AE66-4627A99B5291}"/>
    <cellStyle name="Linked Cell 4 4 2 10 2" xfId="36340" xr:uid="{DBE3ABCF-18D4-49A9-AC1E-1DD9DA6DC3FC}"/>
    <cellStyle name="Linked Cell 4 4 2 10 2 2" xfId="36341" xr:uid="{5CF339F1-80FE-4014-B98F-32E31595BB2A}"/>
    <cellStyle name="Linked Cell 4 4 2 10 3" xfId="36342" xr:uid="{0CFB5ECA-AD84-4BD3-A07F-F30B2D1877FB}"/>
    <cellStyle name="Linked Cell 4 4 2 11" xfId="36343" xr:uid="{22E703C3-CC5C-4B0F-9662-05221D705621}"/>
    <cellStyle name="Linked Cell 4 4 2 11 2" xfId="36344" xr:uid="{1AF65A8E-C0D8-42A6-A190-22EB0CAD0356}"/>
    <cellStyle name="Linked Cell 4 4 2 12" xfId="36345" xr:uid="{BCC0A891-A3C2-4908-A868-9BE087AFC88C}"/>
    <cellStyle name="Linked Cell 4 4 2 2" xfId="36346" xr:uid="{777DA2CF-5428-491F-9D6E-24E11DFF5714}"/>
    <cellStyle name="Linked Cell 4 4 2 2 2" xfId="36347" xr:uid="{B16F9814-E371-4CE1-B4FA-322BE9D877B2}"/>
    <cellStyle name="Linked Cell 4 4 2 2 2 2" xfId="36348" xr:uid="{5354223B-6D5A-4650-AA8B-2EF95DE0B805}"/>
    <cellStyle name="Linked Cell 4 4 2 2 3" xfId="36349" xr:uid="{36C470E5-AE02-414F-96ED-1990925AF2DB}"/>
    <cellStyle name="Linked Cell 4 4 2 3" xfId="36350" xr:uid="{0842F0F3-9C6F-4766-A16E-92C341E88184}"/>
    <cellStyle name="Linked Cell 4 4 2 3 2" xfId="36351" xr:uid="{76ADE663-98C0-4F18-AC82-B82C7A4CDCD8}"/>
    <cellStyle name="Linked Cell 4 4 2 3 2 2" xfId="36352" xr:uid="{B16F4120-24A9-4091-A601-741286D8515D}"/>
    <cellStyle name="Linked Cell 4 4 2 3 3" xfId="36353" xr:uid="{9E2148EA-B68E-41B7-A670-64CEB553F145}"/>
    <cellStyle name="Linked Cell 4 4 2 4" xfId="36354" xr:uid="{E4E49BBB-A6B5-4CEA-85DB-3D1DBD19D784}"/>
    <cellStyle name="Linked Cell 4 4 2 4 2" xfId="36355" xr:uid="{F057D0BF-6451-4262-A4C8-7481289C3B18}"/>
    <cellStyle name="Linked Cell 4 4 2 4 2 2" xfId="36356" xr:uid="{D5BBC5C2-97D9-4ACD-9200-E89AB80A17EE}"/>
    <cellStyle name="Linked Cell 4 4 2 4 3" xfId="36357" xr:uid="{B0F09BBD-712D-4EB8-A657-CCBDCF42A4E2}"/>
    <cellStyle name="Linked Cell 4 4 2 5" xfId="36358" xr:uid="{67547F6A-03BC-4875-98CD-CCC22A081914}"/>
    <cellStyle name="Linked Cell 4 4 2 5 2" xfId="36359" xr:uid="{D8292563-FCBD-4B24-B0D8-327CAF4BFCB4}"/>
    <cellStyle name="Linked Cell 4 4 2 5 2 2" xfId="36360" xr:uid="{0BBF88D9-AC0F-44EF-9B48-A72A4EE51463}"/>
    <cellStyle name="Linked Cell 4 4 2 5 3" xfId="36361" xr:uid="{B1189CE9-67B8-4EED-839D-167A961AF494}"/>
    <cellStyle name="Linked Cell 4 4 2 6" xfId="36362" xr:uid="{3682E889-1F25-418A-9FAF-5300AD634EA8}"/>
    <cellStyle name="Linked Cell 4 4 2 6 2" xfId="36363" xr:uid="{A9CFFD39-9D6B-47F2-A8DA-1C6D10A81AFD}"/>
    <cellStyle name="Linked Cell 4 4 2 6 2 2" xfId="36364" xr:uid="{27BD4F49-47CF-4061-8F0E-243182426567}"/>
    <cellStyle name="Linked Cell 4 4 2 6 3" xfId="36365" xr:uid="{4F9D81A6-5DA0-4870-A195-001A01791DBD}"/>
    <cellStyle name="Linked Cell 4 4 2 7" xfId="36366" xr:uid="{BA099106-690B-4303-B175-DD5F6F83C096}"/>
    <cellStyle name="Linked Cell 4 4 2 7 2" xfId="36367" xr:uid="{3A01263C-DACF-4467-83DC-B575544FD091}"/>
    <cellStyle name="Linked Cell 4 4 2 7 2 2" xfId="36368" xr:uid="{06C3FA29-922D-43CA-A5F4-64132CE6549C}"/>
    <cellStyle name="Linked Cell 4 4 2 7 3" xfId="36369" xr:uid="{C7CF184A-34DA-497E-9DB8-D0D17CA76CB9}"/>
    <cellStyle name="Linked Cell 4 4 2 8" xfId="36370" xr:uid="{D3C0775E-66EA-4FAF-A9F4-B8646F39A61D}"/>
    <cellStyle name="Linked Cell 4 4 2 8 2" xfId="36371" xr:uid="{F4529FB6-A20A-4053-BE3D-1ECD9347FE99}"/>
    <cellStyle name="Linked Cell 4 4 2 8 2 2" xfId="36372" xr:uid="{45E443F1-C22C-46CB-B59B-66094BE11671}"/>
    <cellStyle name="Linked Cell 4 4 2 8 3" xfId="36373" xr:uid="{ABD2D0D1-362D-4078-A10B-BB312D4C5DF4}"/>
    <cellStyle name="Linked Cell 4 4 2 9" xfId="36374" xr:uid="{DED1A999-D866-4101-B650-B1413914EDF4}"/>
    <cellStyle name="Linked Cell 4 4 2 9 2" xfId="36375" xr:uid="{27B689B0-360D-44C1-9F65-EAFCCD0B1BE1}"/>
    <cellStyle name="Linked Cell 4 4 2 9 2 2" xfId="36376" xr:uid="{8B3067F7-8E25-464D-BD15-71CFCC279D84}"/>
    <cellStyle name="Linked Cell 4 4 2 9 3" xfId="36377" xr:uid="{3538A102-72DC-4CA8-A2B4-EEF1D64985AC}"/>
    <cellStyle name="Linked Cell 4 4 3" xfId="36378" xr:uid="{6721F248-CBE6-4561-99C0-9C8FF5B48BB5}"/>
    <cellStyle name="Linked Cell 4 4 3 10" xfId="36379" xr:uid="{CEA23CB6-F6FB-4846-84D0-57B88DA31814}"/>
    <cellStyle name="Linked Cell 4 4 3 10 2" xfId="36380" xr:uid="{2344FB73-2487-4AFE-82C8-958A2AE0AE6A}"/>
    <cellStyle name="Linked Cell 4 4 3 11" xfId="36381" xr:uid="{6F957EB5-41F5-483C-9943-51B91BFECD2D}"/>
    <cellStyle name="Linked Cell 4 4 3 2" xfId="36382" xr:uid="{DDD4056F-8052-4A70-AEC7-D588E7CD1DAC}"/>
    <cellStyle name="Linked Cell 4 4 3 2 2" xfId="36383" xr:uid="{3F8757FA-13D2-4A93-8613-397A7D252BD1}"/>
    <cellStyle name="Linked Cell 4 4 3 2 2 2" xfId="36384" xr:uid="{D3A672F6-67A5-470C-B6E3-A728CC8BC100}"/>
    <cellStyle name="Linked Cell 4 4 3 2 3" xfId="36385" xr:uid="{2F84A4D2-C509-44B7-8110-9F2236AA4E61}"/>
    <cellStyle name="Linked Cell 4 4 3 3" xfId="36386" xr:uid="{892605E2-7D16-4C95-A3EA-C90CE5ECBC95}"/>
    <cellStyle name="Linked Cell 4 4 3 3 2" xfId="36387" xr:uid="{EC156A5E-F03F-4192-912C-E6C027262B13}"/>
    <cellStyle name="Linked Cell 4 4 3 3 2 2" xfId="36388" xr:uid="{983BFE93-AA46-407E-81B8-3B81C9398206}"/>
    <cellStyle name="Linked Cell 4 4 3 3 3" xfId="36389" xr:uid="{780236CA-1F9B-4570-9960-A020F9168849}"/>
    <cellStyle name="Linked Cell 4 4 3 4" xfId="36390" xr:uid="{7125DBD0-A80B-4CAE-A4D5-90FE8EBB2C82}"/>
    <cellStyle name="Linked Cell 4 4 3 4 2" xfId="36391" xr:uid="{45550856-4B9B-469E-9E05-498D99AF4226}"/>
    <cellStyle name="Linked Cell 4 4 3 4 2 2" xfId="36392" xr:uid="{F6E5113C-8CAB-46F5-8BD3-C162933796E5}"/>
    <cellStyle name="Linked Cell 4 4 3 4 3" xfId="36393" xr:uid="{746B5E8F-0F38-483B-A8DE-4F5273B7F4EE}"/>
    <cellStyle name="Linked Cell 4 4 3 5" xfId="36394" xr:uid="{43AF57AF-C4A9-49CB-92B2-D27F3E59E510}"/>
    <cellStyle name="Linked Cell 4 4 3 5 2" xfId="36395" xr:uid="{3F9EC13A-8E5B-4790-BE2B-D3D10985345D}"/>
    <cellStyle name="Linked Cell 4 4 3 5 2 2" xfId="36396" xr:uid="{8DAF535B-4E42-4371-9319-319613F27B5B}"/>
    <cellStyle name="Linked Cell 4 4 3 5 3" xfId="36397" xr:uid="{BECCE1CB-4E17-46A7-A6CD-60AFA185DB96}"/>
    <cellStyle name="Linked Cell 4 4 3 6" xfId="36398" xr:uid="{67266B25-E8A7-4D60-A1B1-86E27314D183}"/>
    <cellStyle name="Linked Cell 4 4 3 6 2" xfId="36399" xr:uid="{8B2C351A-A64A-44C2-ABBC-8ECA8A2CDE84}"/>
    <cellStyle name="Linked Cell 4 4 3 6 2 2" xfId="36400" xr:uid="{00BCED0F-46FA-49AA-A02E-4A09366045B2}"/>
    <cellStyle name="Linked Cell 4 4 3 6 3" xfId="36401" xr:uid="{63B910BE-17BA-4C3F-BCF1-9BA0C99AAD8C}"/>
    <cellStyle name="Linked Cell 4 4 3 7" xfId="36402" xr:uid="{BE805372-EDF8-4050-9D3D-40B23603B1B6}"/>
    <cellStyle name="Linked Cell 4 4 3 7 2" xfId="36403" xr:uid="{62AAB4F1-CA46-4100-A946-80CCFB46CE8D}"/>
    <cellStyle name="Linked Cell 4 4 3 7 2 2" xfId="36404" xr:uid="{98FB1849-7932-45D7-906B-45DACCB069CF}"/>
    <cellStyle name="Linked Cell 4 4 3 7 3" xfId="36405" xr:uid="{777881C0-BE23-4451-864C-56DDC4E75EF5}"/>
    <cellStyle name="Linked Cell 4 4 3 8" xfId="36406" xr:uid="{35342DC9-437B-44D4-9C14-6C4DF9D72C56}"/>
    <cellStyle name="Linked Cell 4 4 3 8 2" xfId="36407" xr:uid="{A58039A6-5E4E-4647-8DBC-F11C12A46ECB}"/>
    <cellStyle name="Linked Cell 4 4 3 8 2 2" xfId="36408" xr:uid="{8C08359C-8A53-4C52-8927-B21F6BEC5981}"/>
    <cellStyle name="Linked Cell 4 4 3 8 3" xfId="36409" xr:uid="{3B742942-E626-4E5A-B758-DA1AFC58F5BE}"/>
    <cellStyle name="Linked Cell 4 4 3 9" xfId="36410" xr:uid="{DFAAB586-5D3C-4EFA-9A6D-4F2C24BB17D5}"/>
    <cellStyle name="Linked Cell 4 4 3 9 2" xfId="36411" xr:uid="{0DFFEE5D-9F17-45E8-B2F8-B96194220D91}"/>
    <cellStyle name="Linked Cell 4 4 3 9 2 2" xfId="36412" xr:uid="{7654604E-1FF7-4C7B-9D96-4661AC5D8A56}"/>
    <cellStyle name="Linked Cell 4 4 3 9 3" xfId="36413" xr:uid="{D98504B5-311A-4F08-8F1A-A4E3A49EFCAF}"/>
    <cellStyle name="Linked Cell 4 4 4" xfId="36414" xr:uid="{B71B5C61-911F-4DD0-9494-A7AF1595903B}"/>
    <cellStyle name="Linked Cell 4 4 4 2" xfId="36415" xr:uid="{E1DCB686-D1AA-4293-8D33-A900E9636E6B}"/>
    <cellStyle name="Linked Cell 4 4 4 2 2" xfId="36416" xr:uid="{D80620B2-FEA4-4493-8228-9A7EE8FCB103}"/>
    <cellStyle name="Linked Cell 4 4 4 3" xfId="36417" xr:uid="{64EE2014-F76C-4F46-9C85-7C651E9138E0}"/>
    <cellStyle name="Linked Cell 4 4 5" xfId="36418" xr:uid="{84AD3AAC-3185-4795-BEB0-B244AB9890A8}"/>
    <cellStyle name="Linked Cell 4 4 5 2" xfId="36419" xr:uid="{47477085-FDD8-418C-947C-AFE045C34120}"/>
    <cellStyle name="Linked Cell 4 4 5 2 2" xfId="36420" xr:uid="{1789DE12-A98F-4B9A-9DFA-C95D121DEB1C}"/>
    <cellStyle name="Linked Cell 4 4 5 3" xfId="36421" xr:uid="{86AB4B1A-98FF-4804-808C-DA7CDCCBA17C}"/>
    <cellStyle name="Linked Cell 4 4 6" xfId="36422" xr:uid="{486E320C-1316-4F46-8AB7-C319CB4DE9D9}"/>
    <cellStyle name="Linked Cell 4 4 6 2" xfId="36423" xr:uid="{55115700-D7F0-4319-A971-0C32D621BFF7}"/>
    <cellStyle name="Linked Cell 4 4 6 2 2" xfId="36424" xr:uid="{CBB08FFE-A835-4BD9-BB15-0BA40F5FFD2C}"/>
    <cellStyle name="Linked Cell 4 4 6 3" xfId="36425" xr:uid="{59E9A9DD-C4DC-48B6-AFE2-7E93F974CD3F}"/>
    <cellStyle name="Linked Cell 4 4 7" xfId="36426" xr:uid="{3B2ACB64-4BE9-48CF-8887-04B29C92F91C}"/>
    <cellStyle name="Linked Cell 4 4 7 2" xfId="36427" xr:uid="{DF3F2886-7B42-47A3-B589-FB1A3293B5B0}"/>
    <cellStyle name="Linked Cell 4 4 7 2 2" xfId="36428" xr:uid="{EED42B39-BCEA-4A85-9F97-9E75A9206E03}"/>
    <cellStyle name="Linked Cell 4 4 7 3" xfId="36429" xr:uid="{9E351661-408D-4802-BEFA-2AA9889D8ACF}"/>
    <cellStyle name="Linked Cell 4 4 8" xfId="36430" xr:uid="{3D870CBC-0E03-4A5A-953A-9E6AA5668637}"/>
    <cellStyle name="Linked Cell 4 4 8 2" xfId="36431" xr:uid="{E5A194D2-1A99-4FEF-8C62-4E260FA05866}"/>
    <cellStyle name="Linked Cell 4 4 8 2 2" xfId="36432" xr:uid="{DB77D9C8-A7CE-420E-A8DB-7AB7DE22C07B}"/>
    <cellStyle name="Linked Cell 4 4 8 3" xfId="36433" xr:uid="{0DAC882D-1891-44FD-9E9F-75C4FD1DB030}"/>
    <cellStyle name="Linked Cell 4 4 9" xfId="36434" xr:uid="{5404D32C-5107-4E16-9916-4A7BAD2BBBAD}"/>
    <cellStyle name="Linked Cell 4 4 9 2" xfId="36435" xr:uid="{53F3C184-B781-4E08-9D3F-B0B43FCF26A0}"/>
    <cellStyle name="Linked Cell 4 4 9 2 2" xfId="36436" xr:uid="{30492394-D5DE-47B5-8726-13A943430D44}"/>
    <cellStyle name="Linked Cell 4 4 9 3" xfId="36437" xr:uid="{A97CD8C9-54C5-489F-AAAE-4A651B6AEB24}"/>
    <cellStyle name="Linked Cell 5" xfId="36438" xr:uid="{13899626-FA4C-466C-A67D-C8BD089EFCAB}"/>
    <cellStyle name="Linked Cell 5 2" xfId="36439" xr:uid="{65D7009C-947D-4533-A40E-6383EAC81C43}"/>
    <cellStyle name="Linked Cell 5 2 10" xfId="36440" xr:uid="{9A4C53F0-F9DB-49B8-84D7-DAD6C5CB2022}"/>
    <cellStyle name="Linked Cell 5 2 10 2" xfId="36441" xr:uid="{1CF79CF5-6E26-410A-BA9C-21D6B71704DF}"/>
    <cellStyle name="Linked Cell 5 2 10 2 2" xfId="36442" xr:uid="{22BC9F3C-7695-417B-9894-DF5E7BBB1935}"/>
    <cellStyle name="Linked Cell 5 2 10 3" xfId="36443" xr:uid="{FA37C0BE-E7E3-495D-9B68-1527EF676079}"/>
    <cellStyle name="Linked Cell 5 2 11" xfId="36444" xr:uid="{F30C71CA-6B9C-4CE1-8A6B-6D9E18C13A48}"/>
    <cellStyle name="Linked Cell 5 2 11 2" xfId="36445" xr:uid="{033E75BD-1E02-46EB-8E39-2C21676807BC}"/>
    <cellStyle name="Linked Cell 5 2 11 2 2" xfId="36446" xr:uid="{2AF2A819-B3C8-485A-9003-DEC875641327}"/>
    <cellStyle name="Linked Cell 5 2 11 3" xfId="36447" xr:uid="{76ECE1FE-AAAC-4429-A035-5B14D3452973}"/>
    <cellStyle name="Linked Cell 5 2 12" xfId="36448" xr:uid="{BDB53D82-0875-4502-B8DF-C756F28918FA}"/>
    <cellStyle name="Linked Cell 5 2 12 2" xfId="36449" xr:uid="{CE652BBA-260C-4B08-A485-F0A947613F82}"/>
    <cellStyle name="Linked Cell 5 2 12 2 2" xfId="36450" xr:uid="{76AA35C1-87E4-471D-BA5A-6C2DC9437E3F}"/>
    <cellStyle name="Linked Cell 5 2 12 3" xfId="36451" xr:uid="{E3BA5A58-D45F-4525-8B17-73A16A53C914}"/>
    <cellStyle name="Linked Cell 5 2 13" xfId="36452" xr:uid="{2DE599B4-FC8E-407D-99CC-5EF1AEADCF41}"/>
    <cellStyle name="Linked Cell 5 2 13 2" xfId="36453" xr:uid="{97653E7E-B7A6-46B0-B982-8EB3C937A48A}"/>
    <cellStyle name="Linked Cell 5 2 13 2 2" xfId="36454" xr:uid="{ECF57B67-5551-44EE-B47D-588820DFA821}"/>
    <cellStyle name="Linked Cell 5 2 13 3" xfId="36455" xr:uid="{CA0880A2-216D-4E02-A03A-25BEEF16D158}"/>
    <cellStyle name="Linked Cell 5 2 14" xfId="36456" xr:uid="{7BAAD180-06AD-4C55-9608-2663E10F8E2F}"/>
    <cellStyle name="Linked Cell 5 2 14 2" xfId="36457" xr:uid="{BC42A336-637A-4CAC-B4A5-9F848BE40CC4}"/>
    <cellStyle name="Linked Cell 5 2 15" xfId="36458" xr:uid="{367D6809-83B3-41C1-AF29-F9D4BA29D229}"/>
    <cellStyle name="Linked Cell 5 2 2" xfId="36459" xr:uid="{2387E7D6-A8A8-42AE-B2B8-6EC8150662C2}"/>
    <cellStyle name="Linked Cell 5 2 2 10" xfId="36460" xr:uid="{81D129A8-818A-4D06-BED8-3A8378E1269D}"/>
    <cellStyle name="Linked Cell 5 2 2 10 2" xfId="36461" xr:uid="{C04E0B7F-60AF-42A2-9603-54C53F5D6737}"/>
    <cellStyle name="Linked Cell 5 2 2 10 2 2" xfId="36462" xr:uid="{AFDC69CB-86BF-4903-9787-8763DBC43D1A}"/>
    <cellStyle name="Linked Cell 5 2 2 10 3" xfId="36463" xr:uid="{665236F0-D017-4D7A-9FF4-B7FB053ED458}"/>
    <cellStyle name="Linked Cell 5 2 2 11" xfId="36464" xr:uid="{2CF720DA-BFD1-4738-A6AA-2DA3F9271D57}"/>
    <cellStyle name="Linked Cell 5 2 2 11 2" xfId="36465" xr:uid="{8D8B7030-6B41-4203-A971-F28F9FFEF569}"/>
    <cellStyle name="Linked Cell 5 2 2 11 2 2" xfId="36466" xr:uid="{5C17039E-A6E9-4158-BA2E-AD142F2F4B07}"/>
    <cellStyle name="Linked Cell 5 2 2 11 3" xfId="36467" xr:uid="{8F5F5290-5DA1-45B9-B60C-A54222122125}"/>
    <cellStyle name="Linked Cell 5 2 2 12" xfId="36468" xr:uid="{44FABA2F-6E5C-4179-9DA8-140B6B6751D6}"/>
    <cellStyle name="Linked Cell 5 2 2 12 2" xfId="36469" xr:uid="{167E32A9-132B-48C5-B631-F06CD38BF169}"/>
    <cellStyle name="Linked Cell 5 2 2 12 2 2" xfId="36470" xr:uid="{345F2F96-6E7D-4B6E-99ED-0BB8A54DC821}"/>
    <cellStyle name="Linked Cell 5 2 2 12 3" xfId="36471" xr:uid="{A2522E25-1DE6-4A49-973F-6CDF0BD2F4B8}"/>
    <cellStyle name="Linked Cell 5 2 2 13" xfId="36472" xr:uid="{D5003670-8BF4-4C60-8175-1F8BDE8B623F}"/>
    <cellStyle name="Linked Cell 5 2 2 13 2" xfId="36473" xr:uid="{02F7DB54-817A-4ED4-9A3D-85443510D6CF}"/>
    <cellStyle name="Linked Cell 5 2 2 14" xfId="36474" xr:uid="{16ED8317-A44C-4147-9630-95AE3B007D80}"/>
    <cellStyle name="Linked Cell 5 2 2 2" xfId="36475" xr:uid="{5F39E1F2-B443-4D52-A047-3459833AAA7D}"/>
    <cellStyle name="Linked Cell 5 2 2 2 10" xfId="36476" xr:uid="{10999471-21A6-4AF8-848B-D3E02526CDEE}"/>
    <cellStyle name="Linked Cell 5 2 2 2 10 2" xfId="36477" xr:uid="{A0963975-D06B-4B4B-8397-182B7EE6DA28}"/>
    <cellStyle name="Linked Cell 5 2 2 2 10 2 2" xfId="36478" xr:uid="{1D8B890A-22F2-4FED-B600-EF097C36A210}"/>
    <cellStyle name="Linked Cell 5 2 2 2 10 3" xfId="36479" xr:uid="{0E2790C4-EF87-4CD8-9BDD-A98D9B988B04}"/>
    <cellStyle name="Linked Cell 5 2 2 2 11" xfId="36480" xr:uid="{FC7EF430-7C88-45D7-9291-2FBF39DE2882}"/>
    <cellStyle name="Linked Cell 5 2 2 2 11 2" xfId="36481" xr:uid="{A8943BB2-BFBD-447C-8ECD-D15683EC14D7}"/>
    <cellStyle name="Linked Cell 5 2 2 2 11 2 2" xfId="36482" xr:uid="{4F167370-FBA6-4233-9154-61BF47323DAD}"/>
    <cellStyle name="Linked Cell 5 2 2 2 11 3" xfId="36483" xr:uid="{6F19B1DC-E6EA-493D-8457-8D0AA090C7E6}"/>
    <cellStyle name="Linked Cell 5 2 2 2 12" xfId="36484" xr:uid="{B0DA1912-2EA2-4F2D-9030-1FDB93DEBB60}"/>
    <cellStyle name="Linked Cell 5 2 2 2 12 2" xfId="36485" xr:uid="{2A99D6C0-FA67-4DFA-AE67-155242FFEF9A}"/>
    <cellStyle name="Linked Cell 5 2 2 2 13" xfId="36486" xr:uid="{25961197-9C0C-42ED-9C91-8CC66A0C3B90}"/>
    <cellStyle name="Linked Cell 5 2 2 2 2" xfId="36487" xr:uid="{48C406C9-8FD1-49CE-B730-47138866BA21}"/>
    <cellStyle name="Linked Cell 5 2 2 2 2 10" xfId="36488" xr:uid="{1D3D1D77-48A5-47B3-97FF-9AEF0A0F0A6D}"/>
    <cellStyle name="Linked Cell 5 2 2 2 2 10 2" xfId="36489" xr:uid="{C51368C0-C352-4846-B5C0-6571B1BD9117}"/>
    <cellStyle name="Linked Cell 5 2 2 2 2 10 2 2" xfId="36490" xr:uid="{FC6B9883-B826-47BD-A280-36478C8CD2BD}"/>
    <cellStyle name="Linked Cell 5 2 2 2 2 10 3" xfId="36491" xr:uid="{2DDCAE32-0271-41F7-A656-A6F897091ADD}"/>
    <cellStyle name="Linked Cell 5 2 2 2 2 11" xfId="36492" xr:uid="{A2E00799-2032-448A-B2AE-5942F3EF1CDD}"/>
    <cellStyle name="Linked Cell 5 2 2 2 2 11 2" xfId="36493" xr:uid="{021D5739-FAA2-4D60-AD59-E0F06CDE06C7}"/>
    <cellStyle name="Linked Cell 5 2 2 2 2 12" xfId="36494" xr:uid="{1CD9B722-3948-41B1-AD53-381E084882C3}"/>
    <cellStyle name="Linked Cell 5 2 2 2 2 2" xfId="36495" xr:uid="{978BCD40-4EA6-4C00-86FE-14532F847A2C}"/>
    <cellStyle name="Linked Cell 5 2 2 2 2 2 2" xfId="36496" xr:uid="{E3D088E8-00E2-4C3F-90BE-F5AA511F3F88}"/>
    <cellStyle name="Linked Cell 5 2 2 2 2 2 2 2" xfId="36497" xr:uid="{CDAD0842-02EF-4E68-99AE-C0C8A792A717}"/>
    <cellStyle name="Linked Cell 5 2 2 2 2 2 3" xfId="36498" xr:uid="{697A8549-9BD6-4551-B05E-D37DA95F5614}"/>
    <cellStyle name="Linked Cell 5 2 2 2 2 3" xfId="36499" xr:uid="{18C3DCD6-AB3C-4D39-8155-FD466E07BE64}"/>
    <cellStyle name="Linked Cell 5 2 2 2 2 3 2" xfId="36500" xr:uid="{1F8F1972-06E0-4891-943F-F910980CBDBB}"/>
    <cellStyle name="Linked Cell 5 2 2 2 2 3 2 2" xfId="36501" xr:uid="{4407BCBF-192C-447D-AF23-B6DBFCD17B7F}"/>
    <cellStyle name="Linked Cell 5 2 2 2 2 3 3" xfId="36502" xr:uid="{C0DF5908-2511-49D7-A1B6-EE40C89FCE88}"/>
    <cellStyle name="Linked Cell 5 2 2 2 2 4" xfId="36503" xr:uid="{516F2543-7CEB-48CD-86C2-A6C8D7C97987}"/>
    <cellStyle name="Linked Cell 5 2 2 2 2 4 2" xfId="36504" xr:uid="{068C675E-A56E-4D7B-8D79-F27C86230700}"/>
    <cellStyle name="Linked Cell 5 2 2 2 2 4 2 2" xfId="36505" xr:uid="{B8AE7228-851A-4788-A829-F78582160191}"/>
    <cellStyle name="Linked Cell 5 2 2 2 2 4 3" xfId="36506" xr:uid="{FAB87CEC-DE0A-4DB4-956F-13B6FD1F8752}"/>
    <cellStyle name="Linked Cell 5 2 2 2 2 5" xfId="36507" xr:uid="{9B593282-7DF7-4656-A33D-F5D29CBB71BD}"/>
    <cellStyle name="Linked Cell 5 2 2 2 2 5 2" xfId="36508" xr:uid="{FB3CFF74-CCE2-421D-9BB2-9F6ADFED05F9}"/>
    <cellStyle name="Linked Cell 5 2 2 2 2 5 2 2" xfId="36509" xr:uid="{91435850-CEDE-43E7-8067-BEEE9324CBF0}"/>
    <cellStyle name="Linked Cell 5 2 2 2 2 5 3" xfId="36510" xr:uid="{8FBCD3F7-8BBF-42D8-9A7B-EF6D0AEE0704}"/>
    <cellStyle name="Linked Cell 5 2 2 2 2 6" xfId="36511" xr:uid="{E4B9A53E-0978-44E3-8DDE-9AF2C2ADF8BC}"/>
    <cellStyle name="Linked Cell 5 2 2 2 2 6 2" xfId="36512" xr:uid="{7ACF5818-953F-49AC-AC2F-F5C8F0F7D54F}"/>
    <cellStyle name="Linked Cell 5 2 2 2 2 6 2 2" xfId="36513" xr:uid="{E3707147-C043-4AD8-AF3F-9283DCC9F4FD}"/>
    <cellStyle name="Linked Cell 5 2 2 2 2 6 3" xfId="36514" xr:uid="{DD098585-2D2E-45B3-A031-FC4F30E8979A}"/>
    <cellStyle name="Linked Cell 5 2 2 2 2 7" xfId="36515" xr:uid="{F144DABF-9D36-4229-A716-6C612C4683BB}"/>
    <cellStyle name="Linked Cell 5 2 2 2 2 7 2" xfId="36516" xr:uid="{DA322DFE-BD16-4C72-96B6-EAC4761C5955}"/>
    <cellStyle name="Linked Cell 5 2 2 2 2 7 2 2" xfId="36517" xr:uid="{41246F6A-4727-46DA-970D-9B816963E58B}"/>
    <cellStyle name="Linked Cell 5 2 2 2 2 7 3" xfId="36518" xr:uid="{A66C0178-6641-42B9-A7A0-EC6B5412159A}"/>
    <cellStyle name="Linked Cell 5 2 2 2 2 8" xfId="36519" xr:uid="{740E6391-D863-4884-800D-EF66842940B0}"/>
    <cellStyle name="Linked Cell 5 2 2 2 2 8 2" xfId="36520" xr:uid="{BC04AF2C-7B2F-4EC0-B3B1-1F41BEBF8467}"/>
    <cellStyle name="Linked Cell 5 2 2 2 2 8 2 2" xfId="36521" xr:uid="{42E616AF-4F60-473D-8886-865403127772}"/>
    <cellStyle name="Linked Cell 5 2 2 2 2 8 3" xfId="36522" xr:uid="{40F4D7F5-EF10-4C30-A6CE-3021489F4ECD}"/>
    <cellStyle name="Linked Cell 5 2 2 2 2 9" xfId="36523" xr:uid="{1D99B6B1-EAEA-449E-9710-1158FDB93405}"/>
    <cellStyle name="Linked Cell 5 2 2 2 2 9 2" xfId="36524" xr:uid="{98D1F237-AB83-4A67-9848-48D1B59647AF}"/>
    <cellStyle name="Linked Cell 5 2 2 2 2 9 2 2" xfId="36525" xr:uid="{50D15979-1D26-443E-99CC-CBF18360EAF8}"/>
    <cellStyle name="Linked Cell 5 2 2 2 2 9 3" xfId="36526" xr:uid="{E8CFBBFB-2053-4271-AB1C-408CED416F14}"/>
    <cellStyle name="Linked Cell 5 2 2 2 3" xfId="36527" xr:uid="{B4735703-0530-4F11-8318-4024F0EF2B16}"/>
    <cellStyle name="Linked Cell 5 2 2 2 3 10" xfId="36528" xr:uid="{17DF8331-081D-493C-8FBC-60094C84E6AB}"/>
    <cellStyle name="Linked Cell 5 2 2 2 3 10 2" xfId="36529" xr:uid="{703089CB-1F0E-4877-9104-0E77F0B6A100}"/>
    <cellStyle name="Linked Cell 5 2 2 2 3 11" xfId="36530" xr:uid="{0DE3B917-7C29-4209-B20F-D2CA33C2C26E}"/>
    <cellStyle name="Linked Cell 5 2 2 2 3 2" xfId="36531" xr:uid="{D99EE914-0ACB-4631-AF0D-88AEA5D82E67}"/>
    <cellStyle name="Linked Cell 5 2 2 2 3 2 2" xfId="36532" xr:uid="{0551D0A7-2ED6-4BD8-93C8-4018A9803115}"/>
    <cellStyle name="Linked Cell 5 2 2 2 3 2 2 2" xfId="36533" xr:uid="{7F8EC751-048B-463A-A5E0-A5C8E79D7760}"/>
    <cellStyle name="Linked Cell 5 2 2 2 3 2 3" xfId="36534" xr:uid="{73A55352-A9BE-4DA7-B454-6C30CFFA7B25}"/>
    <cellStyle name="Linked Cell 5 2 2 2 3 3" xfId="36535" xr:uid="{6DC08517-40B9-43A0-A99F-363492A485EF}"/>
    <cellStyle name="Linked Cell 5 2 2 2 3 3 2" xfId="36536" xr:uid="{E32A5640-1816-4A30-B042-DB08EC5B5617}"/>
    <cellStyle name="Linked Cell 5 2 2 2 3 3 2 2" xfId="36537" xr:uid="{858E50A3-47A4-4507-AF13-B3B3A56179EA}"/>
    <cellStyle name="Linked Cell 5 2 2 2 3 3 3" xfId="36538" xr:uid="{2541637D-B29B-42AB-879F-A455969D80A7}"/>
    <cellStyle name="Linked Cell 5 2 2 2 3 4" xfId="36539" xr:uid="{D872625A-CDF7-4113-A684-6BA0F8E11428}"/>
    <cellStyle name="Linked Cell 5 2 2 2 3 4 2" xfId="36540" xr:uid="{F1A4236B-11DE-46FA-BBF4-7BE15C1DBC92}"/>
    <cellStyle name="Linked Cell 5 2 2 2 3 4 2 2" xfId="36541" xr:uid="{2D3997F9-F690-4CA7-8178-96323E8711F9}"/>
    <cellStyle name="Linked Cell 5 2 2 2 3 4 3" xfId="36542" xr:uid="{EB850899-F368-4CBA-8A61-3D7F2E96B8FD}"/>
    <cellStyle name="Linked Cell 5 2 2 2 3 5" xfId="36543" xr:uid="{D5904E49-C8B0-4FB2-B5F2-4C8B456D548A}"/>
    <cellStyle name="Linked Cell 5 2 2 2 3 5 2" xfId="36544" xr:uid="{BBE13D74-FFD2-4F09-8D36-40A93A465A82}"/>
    <cellStyle name="Linked Cell 5 2 2 2 3 5 2 2" xfId="36545" xr:uid="{484B5326-B18C-44B2-BE7F-266D0934FD00}"/>
    <cellStyle name="Linked Cell 5 2 2 2 3 5 3" xfId="36546" xr:uid="{42BE15D1-F77B-4662-93D3-2B1366309D3B}"/>
    <cellStyle name="Linked Cell 5 2 2 2 3 6" xfId="36547" xr:uid="{3EEC5F4A-844A-47B4-8A2F-3A43B6E395B8}"/>
    <cellStyle name="Linked Cell 5 2 2 2 3 6 2" xfId="36548" xr:uid="{645886D3-55C9-4468-812A-9E8ADFB7C30B}"/>
    <cellStyle name="Linked Cell 5 2 2 2 3 6 2 2" xfId="36549" xr:uid="{62FC3E62-F422-49F3-849F-10112E0EEDE3}"/>
    <cellStyle name="Linked Cell 5 2 2 2 3 6 3" xfId="36550" xr:uid="{99715ABF-9AF1-4E38-B375-4DEF175603FD}"/>
    <cellStyle name="Linked Cell 5 2 2 2 3 7" xfId="36551" xr:uid="{E8DE8A8D-278D-41A5-BE20-41C4769AC824}"/>
    <cellStyle name="Linked Cell 5 2 2 2 3 7 2" xfId="36552" xr:uid="{60C9AA0C-35A6-4335-B8EC-DF1290E28E66}"/>
    <cellStyle name="Linked Cell 5 2 2 2 3 7 2 2" xfId="36553" xr:uid="{5CB4D48E-8799-4A72-93A5-3D6B3461D95C}"/>
    <cellStyle name="Linked Cell 5 2 2 2 3 7 3" xfId="36554" xr:uid="{46900BC3-0E75-47C8-9CD4-DA83EF3BD289}"/>
    <cellStyle name="Linked Cell 5 2 2 2 3 8" xfId="36555" xr:uid="{F743645A-F6AE-46CA-BAA8-745BA1D9D724}"/>
    <cellStyle name="Linked Cell 5 2 2 2 3 8 2" xfId="36556" xr:uid="{662FF15F-B4EF-49F0-B893-5A67C2BD7792}"/>
    <cellStyle name="Linked Cell 5 2 2 2 3 8 2 2" xfId="36557" xr:uid="{768BC3B6-24CC-44AD-8E95-C99296ED9945}"/>
    <cellStyle name="Linked Cell 5 2 2 2 3 8 3" xfId="36558" xr:uid="{6008C9B9-7FAE-4346-9AF0-3D437E97EE58}"/>
    <cellStyle name="Linked Cell 5 2 2 2 3 9" xfId="36559" xr:uid="{4E12DF6E-2778-41AD-A4B0-BB3990CA03C2}"/>
    <cellStyle name="Linked Cell 5 2 2 2 3 9 2" xfId="36560" xr:uid="{43205855-5259-472A-ADA1-427FE6FBAC39}"/>
    <cellStyle name="Linked Cell 5 2 2 2 3 9 2 2" xfId="36561" xr:uid="{9EDB62CC-7E63-447F-B2DE-03D52DB65A41}"/>
    <cellStyle name="Linked Cell 5 2 2 2 3 9 3" xfId="36562" xr:uid="{3F19D477-7B7F-45A8-BA2A-E0464D4CF58A}"/>
    <cellStyle name="Linked Cell 5 2 2 2 4" xfId="36563" xr:uid="{59E146CD-0248-4541-94F8-B5482B22531A}"/>
    <cellStyle name="Linked Cell 5 2 2 2 4 2" xfId="36564" xr:uid="{B53FC54E-836C-4436-A8AD-AF47E3811EC9}"/>
    <cellStyle name="Linked Cell 5 2 2 2 4 2 2" xfId="36565" xr:uid="{B29C6D18-D086-44C7-B50B-F812743F9DB5}"/>
    <cellStyle name="Linked Cell 5 2 2 2 4 3" xfId="36566" xr:uid="{DC940F21-9A4E-493E-8915-3ED9E451CBD0}"/>
    <cellStyle name="Linked Cell 5 2 2 2 5" xfId="36567" xr:uid="{C853111A-C6F5-40D8-9B08-3E918F27E012}"/>
    <cellStyle name="Linked Cell 5 2 2 2 5 2" xfId="36568" xr:uid="{354A5332-C5BF-4110-84A7-54FC3228705D}"/>
    <cellStyle name="Linked Cell 5 2 2 2 5 2 2" xfId="36569" xr:uid="{71922262-9C4C-473A-B251-4825FC7C4708}"/>
    <cellStyle name="Linked Cell 5 2 2 2 5 3" xfId="36570" xr:uid="{814C9551-1C4F-460A-9838-930A25FD7B08}"/>
    <cellStyle name="Linked Cell 5 2 2 2 6" xfId="36571" xr:uid="{5011831B-7BE6-4FCD-8C99-35ABBEF46E58}"/>
    <cellStyle name="Linked Cell 5 2 2 2 6 2" xfId="36572" xr:uid="{BA450005-4253-4B7F-BD23-7D2CA1EC0998}"/>
    <cellStyle name="Linked Cell 5 2 2 2 6 2 2" xfId="36573" xr:uid="{68B6E3BE-9547-456B-BEB0-723E21A814DB}"/>
    <cellStyle name="Linked Cell 5 2 2 2 6 3" xfId="36574" xr:uid="{A2385E1E-E2E8-4FF3-8193-44ACEF9CACA0}"/>
    <cellStyle name="Linked Cell 5 2 2 2 7" xfId="36575" xr:uid="{981B9887-FE70-42F0-A44F-1F61C2A8481D}"/>
    <cellStyle name="Linked Cell 5 2 2 2 7 2" xfId="36576" xr:uid="{F5EB857F-2658-4A67-8408-DEEF8E3A4D32}"/>
    <cellStyle name="Linked Cell 5 2 2 2 7 2 2" xfId="36577" xr:uid="{1C198F0F-2CCF-4F56-A9DC-8AAC63C979D3}"/>
    <cellStyle name="Linked Cell 5 2 2 2 7 3" xfId="36578" xr:uid="{3B2F202E-B6EB-43F9-99E9-9FEDEFBA57CC}"/>
    <cellStyle name="Linked Cell 5 2 2 2 8" xfId="36579" xr:uid="{148263D7-EBBB-4CD8-A006-0155EDAFB8E9}"/>
    <cellStyle name="Linked Cell 5 2 2 2 8 2" xfId="36580" xr:uid="{F53DB4BE-7E93-4C83-9919-47D2AEC035D8}"/>
    <cellStyle name="Linked Cell 5 2 2 2 8 2 2" xfId="36581" xr:uid="{B5056F3B-F659-4F64-B55D-25A77A0FA90B}"/>
    <cellStyle name="Linked Cell 5 2 2 2 8 3" xfId="36582" xr:uid="{72602DD1-8329-490B-9A15-34E5FC2F5C62}"/>
    <cellStyle name="Linked Cell 5 2 2 2 9" xfId="36583" xr:uid="{5BE459CF-7957-42E5-AE28-C06C496615E9}"/>
    <cellStyle name="Linked Cell 5 2 2 2 9 2" xfId="36584" xr:uid="{AB6B10E3-247B-40E7-ACBE-1E6A893B82F7}"/>
    <cellStyle name="Linked Cell 5 2 2 2 9 2 2" xfId="36585" xr:uid="{F97E0F6A-8BA6-463F-A248-7F55762E99D8}"/>
    <cellStyle name="Linked Cell 5 2 2 2 9 3" xfId="36586" xr:uid="{50A5B902-1BFD-4A47-A8D9-3CF2C85EB8B5}"/>
    <cellStyle name="Linked Cell 5 2 2 3" xfId="36587" xr:uid="{B7C51EA6-29E0-477C-B0D4-727B3CEB524B}"/>
    <cellStyle name="Linked Cell 5 2 2 3 10" xfId="36588" xr:uid="{11D49F77-A706-4F23-AE5A-E2386A2F33B3}"/>
    <cellStyle name="Linked Cell 5 2 2 3 10 2" xfId="36589" xr:uid="{7FA3E60B-39DE-4221-ADD7-82BDF26DEB1B}"/>
    <cellStyle name="Linked Cell 5 2 2 3 10 2 2" xfId="36590" xr:uid="{7071E7F4-C2FD-4827-9AD5-D797F218B7F9}"/>
    <cellStyle name="Linked Cell 5 2 2 3 10 3" xfId="36591" xr:uid="{A9A5AB5F-0495-4B19-A9B9-B2B0A27F1673}"/>
    <cellStyle name="Linked Cell 5 2 2 3 11" xfId="36592" xr:uid="{83E1E4CB-5C7E-4013-AA21-5F0CC549033C}"/>
    <cellStyle name="Linked Cell 5 2 2 3 11 2" xfId="36593" xr:uid="{249C8D6B-7480-4559-93F9-CDC95A130D61}"/>
    <cellStyle name="Linked Cell 5 2 2 3 12" xfId="36594" xr:uid="{B49DD424-AB07-4E75-9B06-DF397F03B871}"/>
    <cellStyle name="Linked Cell 5 2 2 3 2" xfId="36595" xr:uid="{F544927B-BAAB-45FF-B8DB-2D026C290035}"/>
    <cellStyle name="Linked Cell 5 2 2 3 2 10" xfId="36596" xr:uid="{5E476546-32FB-42DE-95F6-E0BDFE46FE5A}"/>
    <cellStyle name="Linked Cell 5 2 2 3 2 10 2" xfId="36597" xr:uid="{C14F0E9C-3E04-4DDE-B059-47DC5CBB8A27}"/>
    <cellStyle name="Linked Cell 5 2 2 3 2 11" xfId="36598" xr:uid="{04F69102-6BC5-4926-9C37-2641E110C2D7}"/>
    <cellStyle name="Linked Cell 5 2 2 3 2 2" xfId="36599" xr:uid="{EE58AA03-AE28-4908-89FF-ACBF0AB7B991}"/>
    <cellStyle name="Linked Cell 5 2 2 3 2 2 2" xfId="36600" xr:uid="{203B6D44-F18D-45A9-99F7-AE219E7786B6}"/>
    <cellStyle name="Linked Cell 5 2 2 3 2 2 2 2" xfId="36601" xr:uid="{F01B26FA-DCF8-4787-8613-1CF263DC2C97}"/>
    <cellStyle name="Linked Cell 5 2 2 3 2 2 3" xfId="36602" xr:uid="{82D069F4-9B42-4296-9BA4-AE87F8430786}"/>
    <cellStyle name="Linked Cell 5 2 2 3 2 3" xfId="36603" xr:uid="{23F98057-2766-4A55-95B8-C7F46764FD00}"/>
    <cellStyle name="Linked Cell 5 2 2 3 2 3 2" xfId="36604" xr:uid="{B3C6ECE2-EFC8-401F-B9DD-FBBE39DC3B12}"/>
    <cellStyle name="Linked Cell 5 2 2 3 2 3 2 2" xfId="36605" xr:uid="{98D29C1F-C92C-4B5C-9937-9B0830B8A1C8}"/>
    <cellStyle name="Linked Cell 5 2 2 3 2 3 3" xfId="36606" xr:uid="{09DDFE48-6E7E-415D-8139-7F4549B7843E}"/>
    <cellStyle name="Linked Cell 5 2 2 3 2 4" xfId="36607" xr:uid="{0922B09C-1798-4209-903E-85E35D65C2D6}"/>
    <cellStyle name="Linked Cell 5 2 2 3 2 4 2" xfId="36608" xr:uid="{0EE49196-88DF-4C70-9DD1-553ABCF898FD}"/>
    <cellStyle name="Linked Cell 5 2 2 3 2 4 2 2" xfId="36609" xr:uid="{2402125A-8A7A-4BF7-B73D-74A4DBDD7D71}"/>
    <cellStyle name="Linked Cell 5 2 2 3 2 4 3" xfId="36610" xr:uid="{B85B11E6-FAC6-49E3-9617-AA5A45EE6CA6}"/>
    <cellStyle name="Linked Cell 5 2 2 3 2 5" xfId="36611" xr:uid="{F625F74B-5A22-4EF6-AF58-06D01013BC93}"/>
    <cellStyle name="Linked Cell 5 2 2 3 2 5 2" xfId="36612" xr:uid="{00755E06-0A31-40DF-AE87-B0F11DD9FF25}"/>
    <cellStyle name="Linked Cell 5 2 2 3 2 5 2 2" xfId="36613" xr:uid="{7732244F-9E98-4503-9B70-F71E775D8C60}"/>
    <cellStyle name="Linked Cell 5 2 2 3 2 5 3" xfId="36614" xr:uid="{6A83D3B0-96F0-42A2-9E6A-16B5A0649CAA}"/>
    <cellStyle name="Linked Cell 5 2 2 3 2 6" xfId="36615" xr:uid="{FC96EA1D-65B6-4686-A317-F4865BD2B8CD}"/>
    <cellStyle name="Linked Cell 5 2 2 3 2 6 2" xfId="36616" xr:uid="{E33C5FCB-A544-4A39-BFEE-B2FE972B6605}"/>
    <cellStyle name="Linked Cell 5 2 2 3 2 6 2 2" xfId="36617" xr:uid="{BE932515-718F-4511-92E8-9B1A4941E651}"/>
    <cellStyle name="Linked Cell 5 2 2 3 2 6 3" xfId="36618" xr:uid="{3AA19513-BD2A-4928-B8C6-437A7E658523}"/>
    <cellStyle name="Linked Cell 5 2 2 3 2 7" xfId="36619" xr:uid="{ABE4275E-BDCB-421C-858B-EF4A2A2E617E}"/>
    <cellStyle name="Linked Cell 5 2 2 3 2 7 2" xfId="36620" xr:uid="{BF12C4FF-042D-4F8A-BAEA-BDC12D2F7906}"/>
    <cellStyle name="Linked Cell 5 2 2 3 2 7 2 2" xfId="36621" xr:uid="{EF2BA632-4B22-4E30-867F-83DDD033DD7E}"/>
    <cellStyle name="Linked Cell 5 2 2 3 2 7 3" xfId="36622" xr:uid="{609CB9FD-0934-4F83-AF72-3244B1E09A63}"/>
    <cellStyle name="Linked Cell 5 2 2 3 2 8" xfId="36623" xr:uid="{FF624A39-3D6A-46A5-BBDD-03F652B5E2D8}"/>
    <cellStyle name="Linked Cell 5 2 2 3 2 8 2" xfId="36624" xr:uid="{8432C813-313D-45DE-B1A5-17EE6D9A2851}"/>
    <cellStyle name="Linked Cell 5 2 2 3 2 8 2 2" xfId="36625" xr:uid="{4D0F71D5-66AE-43CF-8914-34C403692A20}"/>
    <cellStyle name="Linked Cell 5 2 2 3 2 8 3" xfId="36626" xr:uid="{4946910F-B49D-41EE-B51E-03482CDF3229}"/>
    <cellStyle name="Linked Cell 5 2 2 3 2 9" xfId="36627" xr:uid="{1DD90B49-FA14-478A-A3C1-F600344A1CF9}"/>
    <cellStyle name="Linked Cell 5 2 2 3 2 9 2" xfId="36628" xr:uid="{A47D85CE-66F7-4B69-AE0C-124F463488BA}"/>
    <cellStyle name="Linked Cell 5 2 2 3 2 9 2 2" xfId="36629" xr:uid="{3588B47E-6047-4BE1-80F8-77542F8D0334}"/>
    <cellStyle name="Linked Cell 5 2 2 3 2 9 3" xfId="36630" xr:uid="{1C94BDE6-089C-40C9-BC45-77CB307DD90F}"/>
    <cellStyle name="Linked Cell 5 2 2 3 3" xfId="36631" xr:uid="{11C08B2D-2FBE-48E1-B320-8B782607C74C}"/>
    <cellStyle name="Linked Cell 5 2 2 3 3 2" xfId="36632" xr:uid="{F1C7B1F8-FABF-4FE7-A3A7-E710A285BCB0}"/>
    <cellStyle name="Linked Cell 5 2 2 3 3 2 2" xfId="36633" xr:uid="{639AEA2E-5C22-49FF-9145-DA6F39FBECB2}"/>
    <cellStyle name="Linked Cell 5 2 2 3 3 3" xfId="36634" xr:uid="{3A74E735-90C9-479B-9FF0-6DE6E3BAB12F}"/>
    <cellStyle name="Linked Cell 5 2 2 3 4" xfId="36635" xr:uid="{FD891705-3D07-4DD4-8EC1-0AC5C99A72B7}"/>
    <cellStyle name="Linked Cell 5 2 2 3 4 2" xfId="36636" xr:uid="{BE92A3D5-700E-4F57-A5A4-476BB5D0ACA8}"/>
    <cellStyle name="Linked Cell 5 2 2 3 4 2 2" xfId="36637" xr:uid="{FB690E23-48D4-46B3-9F50-586C0425D1B3}"/>
    <cellStyle name="Linked Cell 5 2 2 3 4 3" xfId="36638" xr:uid="{E41C52E1-185B-4976-80DC-C8C7497776F1}"/>
    <cellStyle name="Linked Cell 5 2 2 3 5" xfId="36639" xr:uid="{AFD507B5-1150-45C8-B68E-27ADAF06B107}"/>
    <cellStyle name="Linked Cell 5 2 2 3 5 2" xfId="36640" xr:uid="{7EB52452-D5ED-4F16-9184-F3B5D6650825}"/>
    <cellStyle name="Linked Cell 5 2 2 3 5 2 2" xfId="36641" xr:uid="{60D3347F-7033-4F31-A5B2-8F9DECEEF9AD}"/>
    <cellStyle name="Linked Cell 5 2 2 3 5 3" xfId="36642" xr:uid="{5331D321-0218-4667-A793-B068091850AE}"/>
    <cellStyle name="Linked Cell 5 2 2 3 6" xfId="36643" xr:uid="{662B7C72-DCB0-4E83-AD6F-7D3308AFDF79}"/>
    <cellStyle name="Linked Cell 5 2 2 3 6 2" xfId="36644" xr:uid="{EE173A6B-3CB6-4B47-8BC7-9314FE449B37}"/>
    <cellStyle name="Linked Cell 5 2 2 3 6 2 2" xfId="36645" xr:uid="{16869D19-B9B1-49A4-9427-1C519A373434}"/>
    <cellStyle name="Linked Cell 5 2 2 3 6 3" xfId="36646" xr:uid="{31896E33-CD2E-4D4F-8FF8-BAD8122249C7}"/>
    <cellStyle name="Linked Cell 5 2 2 3 7" xfId="36647" xr:uid="{3757AC44-52E9-4922-A31D-0D07158E4B53}"/>
    <cellStyle name="Linked Cell 5 2 2 3 7 2" xfId="36648" xr:uid="{0E5B8C97-9CA7-4136-8865-7BF2F608C253}"/>
    <cellStyle name="Linked Cell 5 2 2 3 7 2 2" xfId="36649" xr:uid="{9A9C816C-50DD-4D24-B01D-B7487348D6F1}"/>
    <cellStyle name="Linked Cell 5 2 2 3 7 3" xfId="36650" xr:uid="{8280814B-4F4D-49D0-A848-22639EAFAF64}"/>
    <cellStyle name="Linked Cell 5 2 2 3 8" xfId="36651" xr:uid="{7DDDFE00-D250-4662-A5DE-2D43D10685F1}"/>
    <cellStyle name="Linked Cell 5 2 2 3 8 2" xfId="36652" xr:uid="{95D6E500-3233-4A4F-8B62-A1B244D88FDA}"/>
    <cellStyle name="Linked Cell 5 2 2 3 8 2 2" xfId="36653" xr:uid="{652651F5-863D-4641-89CE-E9E1075039CF}"/>
    <cellStyle name="Linked Cell 5 2 2 3 8 3" xfId="36654" xr:uid="{E600C402-ED6F-4808-AAF1-7039E29CB5C2}"/>
    <cellStyle name="Linked Cell 5 2 2 3 9" xfId="36655" xr:uid="{0E3091F6-83AC-456E-9CF4-B8D924FEF573}"/>
    <cellStyle name="Linked Cell 5 2 2 3 9 2" xfId="36656" xr:uid="{B112C3EA-5F5B-43B0-80F7-222C5D8A0FE9}"/>
    <cellStyle name="Linked Cell 5 2 2 3 9 2 2" xfId="36657" xr:uid="{A76A03EF-3CEF-40B3-A633-0234E6F203A1}"/>
    <cellStyle name="Linked Cell 5 2 2 3 9 3" xfId="36658" xr:uid="{B7E5A527-204C-416D-9765-2DD7B1200582}"/>
    <cellStyle name="Linked Cell 5 2 2 4" xfId="36659" xr:uid="{23FF7635-60EF-404F-B522-F27810F82E1E}"/>
    <cellStyle name="Linked Cell 5 2 2 4 10" xfId="36660" xr:uid="{7BEA2A6A-6A47-4298-8E3F-D9EC433C8E91}"/>
    <cellStyle name="Linked Cell 5 2 2 4 10 2" xfId="36661" xr:uid="{CE6B7891-7CBB-4B5C-8723-FCEE483E8458}"/>
    <cellStyle name="Linked Cell 5 2 2 4 11" xfId="36662" xr:uid="{65ED2B35-E7AF-44FC-8366-5B67CF088D7D}"/>
    <cellStyle name="Linked Cell 5 2 2 4 2" xfId="36663" xr:uid="{00B95E92-4ED2-43D3-8823-EE9D838F66FA}"/>
    <cellStyle name="Linked Cell 5 2 2 4 2 2" xfId="36664" xr:uid="{B3F9066E-FB29-42B7-A72F-DF2D9CD98174}"/>
    <cellStyle name="Linked Cell 5 2 2 4 2 2 2" xfId="36665" xr:uid="{E028C77A-28FC-4146-9446-3D8B691A8BD2}"/>
    <cellStyle name="Linked Cell 5 2 2 4 2 3" xfId="36666" xr:uid="{6D916228-CE03-4863-93D1-0BC8F6C46117}"/>
    <cellStyle name="Linked Cell 5 2 2 4 3" xfId="36667" xr:uid="{F0D9BD5D-CF4F-401A-8ED9-B226D704FB0E}"/>
    <cellStyle name="Linked Cell 5 2 2 4 3 2" xfId="36668" xr:uid="{C36C39C7-96CE-4FD9-8F63-59434C8C5893}"/>
    <cellStyle name="Linked Cell 5 2 2 4 3 2 2" xfId="36669" xr:uid="{EDBC71BE-EB9E-4C47-9DCA-C65660FB7B3E}"/>
    <cellStyle name="Linked Cell 5 2 2 4 3 3" xfId="36670" xr:uid="{45A40FC2-0996-4944-B2C3-D405AC477CC0}"/>
    <cellStyle name="Linked Cell 5 2 2 4 4" xfId="36671" xr:uid="{B56CC6EF-FFAF-4A6F-8B9C-5A8F0B148FA8}"/>
    <cellStyle name="Linked Cell 5 2 2 4 4 2" xfId="36672" xr:uid="{11C3C120-8AD8-4AB5-999D-2758E1B28555}"/>
    <cellStyle name="Linked Cell 5 2 2 4 4 2 2" xfId="36673" xr:uid="{1F5DEDE7-21F9-49A5-BEA8-9C36C6BF907A}"/>
    <cellStyle name="Linked Cell 5 2 2 4 4 3" xfId="36674" xr:uid="{8D0E6F0E-223C-4F4A-91CC-3BF073B0BCA4}"/>
    <cellStyle name="Linked Cell 5 2 2 4 5" xfId="36675" xr:uid="{B60AAB2A-916C-4C99-8583-4EF2760DEC59}"/>
    <cellStyle name="Linked Cell 5 2 2 4 5 2" xfId="36676" xr:uid="{27303931-97BD-41D8-8426-6B76BCE8F75A}"/>
    <cellStyle name="Linked Cell 5 2 2 4 5 2 2" xfId="36677" xr:uid="{912B51CA-3AB8-4784-B013-B3AEE4D50404}"/>
    <cellStyle name="Linked Cell 5 2 2 4 5 3" xfId="36678" xr:uid="{35500369-3C74-4D09-B95D-E06914977A4F}"/>
    <cellStyle name="Linked Cell 5 2 2 4 6" xfId="36679" xr:uid="{2902F868-FB7E-4F83-973D-48FE61551594}"/>
    <cellStyle name="Linked Cell 5 2 2 4 6 2" xfId="36680" xr:uid="{2B044022-FCD3-487C-9D81-5554DF714839}"/>
    <cellStyle name="Linked Cell 5 2 2 4 6 2 2" xfId="36681" xr:uid="{A4E28BF8-258A-41BE-A67D-F603E5C20AE8}"/>
    <cellStyle name="Linked Cell 5 2 2 4 6 3" xfId="36682" xr:uid="{CE4BBC7B-E53B-4F9B-A9B5-A89A67F930E6}"/>
    <cellStyle name="Linked Cell 5 2 2 4 7" xfId="36683" xr:uid="{FEB6E511-3EC5-444E-B75A-8FFB2773AF2F}"/>
    <cellStyle name="Linked Cell 5 2 2 4 7 2" xfId="36684" xr:uid="{CAD32B03-E1C6-4B8D-B55D-D969A71D5559}"/>
    <cellStyle name="Linked Cell 5 2 2 4 7 2 2" xfId="36685" xr:uid="{EE3CC030-771B-4366-8059-860CDD801107}"/>
    <cellStyle name="Linked Cell 5 2 2 4 7 3" xfId="36686" xr:uid="{86B8FAA7-B7D6-480A-BE65-39EB469D7F82}"/>
    <cellStyle name="Linked Cell 5 2 2 4 8" xfId="36687" xr:uid="{5B108233-5305-4AA9-892A-52CD6732017F}"/>
    <cellStyle name="Linked Cell 5 2 2 4 8 2" xfId="36688" xr:uid="{57BBF2AC-35DC-4030-B2C1-ED7E1A246F6A}"/>
    <cellStyle name="Linked Cell 5 2 2 4 8 2 2" xfId="36689" xr:uid="{ABE8BA8F-E5A8-443F-89BC-D6F1BA32A94D}"/>
    <cellStyle name="Linked Cell 5 2 2 4 8 3" xfId="36690" xr:uid="{6502FBCE-F494-47A8-B064-3B4A5B4DE785}"/>
    <cellStyle name="Linked Cell 5 2 2 4 9" xfId="36691" xr:uid="{DECF5B90-F688-4862-95C6-ED4BD7ADF26B}"/>
    <cellStyle name="Linked Cell 5 2 2 4 9 2" xfId="36692" xr:uid="{477B643D-46E9-4C96-89D6-C5A2F14E3A1F}"/>
    <cellStyle name="Linked Cell 5 2 2 4 9 2 2" xfId="36693" xr:uid="{3793FA23-328E-49D2-8536-B357BB3ECCA9}"/>
    <cellStyle name="Linked Cell 5 2 2 4 9 3" xfId="36694" xr:uid="{141C1E6A-B1F2-4E19-BC68-0749B8F45241}"/>
    <cellStyle name="Linked Cell 5 2 2 5" xfId="36695" xr:uid="{21678B00-460A-4D08-B24A-6242241C10C7}"/>
    <cellStyle name="Linked Cell 5 2 2 5 2" xfId="36696" xr:uid="{3AAE4460-11F8-4E57-A607-13B0DECE8A51}"/>
    <cellStyle name="Linked Cell 5 2 2 5 2 2" xfId="36697" xr:uid="{B17EE4DF-5850-4E08-98EB-62AD06AB77C4}"/>
    <cellStyle name="Linked Cell 5 2 2 5 3" xfId="36698" xr:uid="{346695AB-C4A6-45B8-AEBD-FD7034CC116B}"/>
    <cellStyle name="Linked Cell 5 2 2 6" xfId="36699" xr:uid="{B6A1FA69-5BF9-4275-9AE8-079CE0684606}"/>
    <cellStyle name="Linked Cell 5 2 2 6 2" xfId="36700" xr:uid="{78BB8DBE-5242-488A-AF06-D8823F06E9AF}"/>
    <cellStyle name="Linked Cell 5 2 2 6 2 2" xfId="36701" xr:uid="{FDBBF7E3-062D-42E6-9192-01EBA8620234}"/>
    <cellStyle name="Linked Cell 5 2 2 6 3" xfId="36702" xr:uid="{6E28A6AD-537B-4DCB-A88B-7F4BDB9D500C}"/>
    <cellStyle name="Linked Cell 5 2 2 7" xfId="36703" xr:uid="{ADF78E14-E171-40E0-914C-842DD2C5145C}"/>
    <cellStyle name="Linked Cell 5 2 2 7 2" xfId="36704" xr:uid="{23CB1D27-AE18-42B0-9169-7329C39FD191}"/>
    <cellStyle name="Linked Cell 5 2 2 7 2 2" xfId="36705" xr:uid="{3EC7024C-A93A-420A-B107-6031C4EDEC8B}"/>
    <cellStyle name="Linked Cell 5 2 2 7 3" xfId="36706" xr:uid="{AFAEFC96-78D0-42E8-A2EE-9E4AC909ECAC}"/>
    <cellStyle name="Linked Cell 5 2 2 8" xfId="36707" xr:uid="{403DF07A-F657-428D-9700-0656997B9038}"/>
    <cellStyle name="Linked Cell 5 2 2 8 2" xfId="36708" xr:uid="{7E406B54-1E72-4F27-9DC4-B1B5287DC992}"/>
    <cellStyle name="Linked Cell 5 2 2 8 2 2" xfId="36709" xr:uid="{6CCC4B80-F68A-42C7-8DC7-B70FB2B66DCE}"/>
    <cellStyle name="Linked Cell 5 2 2 8 3" xfId="36710" xr:uid="{67BD966A-F343-4900-846C-057ED2DC9C39}"/>
    <cellStyle name="Linked Cell 5 2 2 9" xfId="36711" xr:uid="{71ACF617-90A5-49AE-9904-E7DE57F93947}"/>
    <cellStyle name="Linked Cell 5 2 2 9 2" xfId="36712" xr:uid="{00F52C26-864C-4896-B661-40CA6EA3846F}"/>
    <cellStyle name="Linked Cell 5 2 2 9 2 2" xfId="36713" xr:uid="{08480ED4-FB79-4066-A1FC-E988651EEC33}"/>
    <cellStyle name="Linked Cell 5 2 2 9 3" xfId="36714" xr:uid="{4647057D-4557-43E3-AC91-4D70A630BCF5}"/>
    <cellStyle name="Linked Cell 5 2 3" xfId="36715" xr:uid="{BE6971EC-A790-492C-95C5-47E47FF6A1AD}"/>
    <cellStyle name="Linked Cell 5 2 3 10" xfId="36716" xr:uid="{E5668ABF-F382-4E7A-AB73-2E2B2EB9FD8E}"/>
    <cellStyle name="Linked Cell 5 2 3 10 2" xfId="36717" xr:uid="{4B5ABAB5-F3ED-45F1-BE8B-878E084BBDDD}"/>
    <cellStyle name="Linked Cell 5 2 3 10 2 2" xfId="36718" xr:uid="{37F4EC70-1E67-45A9-9A5E-1072523CB861}"/>
    <cellStyle name="Linked Cell 5 2 3 10 3" xfId="36719" xr:uid="{86EA26B6-EB8A-4A2C-B09E-5DAD88B360AE}"/>
    <cellStyle name="Linked Cell 5 2 3 11" xfId="36720" xr:uid="{8EA84281-4B59-4A88-AE1A-59BB8986F2FE}"/>
    <cellStyle name="Linked Cell 5 2 3 11 2" xfId="36721" xr:uid="{A502AEDB-C724-44D4-A9DF-D5FE3D175C80}"/>
    <cellStyle name="Linked Cell 5 2 3 11 2 2" xfId="36722" xr:uid="{55179EB1-41BF-4165-9906-E1F6C7E9A1D8}"/>
    <cellStyle name="Linked Cell 5 2 3 11 3" xfId="36723" xr:uid="{27E433EE-BBF7-4139-A9D6-5713CF52B7A1}"/>
    <cellStyle name="Linked Cell 5 2 3 12" xfId="36724" xr:uid="{C50824F5-5129-4519-94C2-7F93D9B33C16}"/>
    <cellStyle name="Linked Cell 5 2 3 12 2" xfId="36725" xr:uid="{B3652B30-B13D-4A7A-AE8C-21006DF31801}"/>
    <cellStyle name="Linked Cell 5 2 3 13" xfId="36726" xr:uid="{A7CC4B17-6141-44EA-81C2-3C830B0D9AB5}"/>
    <cellStyle name="Linked Cell 5 2 3 2" xfId="36727" xr:uid="{B3959823-FD41-43B0-8166-2323AD74B2EF}"/>
    <cellStyle name="Linked Cell 5 2 3 2 10" xfId="36728" xr:uid="{A249BBE5-1A76-469B-80A6-8791AFA72516}"/>
    <cellStyle name="Linked Cell 5 2 3 2 10 2" xfId="36729" xr:uid="{DD59FB4A-604F-4A79-A715-ABDA8E070C45}"/>
    <cellStyle name="Linked Cell 5 2 3 2 10 2 2" xfId="36730" xr:uid="{7E98DA90-EAD8-4987-B4FC-4212E2E3B0D7}"/>
    <cellStyle name="Linked Cell 5 2 3 2 10 3" xfId="36731" xr:uid="{97718495-9DE0-4DA2-BE50-51CAEF2973F5}"/>
    <cellStyle name="Linked Cell 5 2 3 2 11" xfId="36732" xr:uid="{4895D035-2AEB-4288-8646-F99B5B7B1891}"/>
    <cellStyle name="Linked Cell 5 2 3 2 11 2" xfId="36733" xr:uid="{6BA01EB5-B8F4-4284-BA78-45892E340323}"/>
    <cellStyle name="Linked Cell 5 2 3 2 12" xfId="36734" xr:uid="{CF2A2DE9-52E2-45D8-8A19-01330F920C33}"/>
    <cellStyle name="Linked Cell 5 2 3 2 2" xfId="36735" xr:uid="{2E8D8C84-1A3F-4288-BB9A-0B679F511827}"/>
    <cellStyle name="Linked Cell 5 2 3 2 2 2" xfId="36736" xr:uid="{2D53A736-8443-49B9-B11A-C3CDB04395B8}"/>
    <cellStyle name="Linked Cell 5 2 3 2 2 2 2" xfId="36737" xr:uid="{B8CEAF9D-6664-4454-8E73-923E05CBA99F}"/>
    <cellStyle name="Linked Cell 5 2 3 2 2 3" xfId="36738" xr:uid="{F8695B2A-9020-4E2B-B15E-0001CD5BA2D4}"/>
    <cellStyle name="Linked Cell 5 2 3 2 3" xfId="36739" xr:uid="{1E47EAD7-2E76-47A1-A227-44A5CB969CBC}"/>
    <cellStyle name="Linked Cell 5 2 3 2 3 2" xfId="36740" xr:uid="{A1D65FF2-1707-4229-B482-B3FA2C9319C7}"/>
    <cellStyle name="Linked Cell 5 2 3 2 3 2 2" xfId="36741" xr:uid="{2B881861-1F94-4857-95DF-C43B256567AD}"/>
    <cellStyle name="Linked Cell 5 2 3 2 3 3" xfId="36742" xr:uid="{FBAFE65E-3BCE-4EAB-AE25-E6B36B84959E}"/>
    <cellStyle name="Linked Cell 5 2 3 2 4" xfId="36743" xr:uid="{60453817-9FB1-4725-B819-FA19DFB5FC19}"/>
    <cellStyle name="Linked Cell 5 2 3 2 4 2" xfId="36744" xr:uid="{7BFA384D-AB0C-42EE-A6A5-D2BBDE0CDDEE}"/>
    <cellStyle name="Linked Cell 5 2 3 2 4 2 2" xfId="36745" xr:uid="{127D7BC6-54A3-43A9-B41B-B133FCCF65C9}"/>
    <cellStyle name="Linked Cell 5 2 3 2 4 3" xfId="36746" xr:uid="{D436813D-00CC-4337-A519-82891A12A394}"/>
    <cellStyle name="Linked Cell 5 2 3 2 5" xfId="36747" xr:uid="{1D46ADBD-99B9-485E-AB1E-C63AE5C22FCE}"/>
    <cellStyle name="Linked Cell 5 2 3 2 5 2" xfId="36748" xr:uid="{7B1762CB-83C0-4987-AAFB-C6BF8C35ED25}"/>
    <cellStyle name="Linked Cell 5 2 3 2 5 2 2" xfId="36749" xr:uid="{DEC4BE14-B24E-4A3E-82AA-93E2E05BC76F}"/>
    <cellStyle name="Linked Cell 5 2 3 2 5 3" xfId="36750" xr:uid="{2A50D3DA-174B-46D3-A502-7FFAAF68F880}"/>
    <cellStyle name="Linked Cell 5 2 3 2 6" xfId="36751" xr:uid="{A67D7BD4-D391-4372-B348-FC4DD80BC378}"/>
    <cellStyle name="Linked Cell 5 2 3 2 6 2" xfId="36752" xr:uid="{57566D1D-F624-4076-BEE2-56E237F2C3A9}"/>
    <cellStyle name="Linked Cell 5 2 3 2 6 2 2" xfId="36753" xr:uid="{E4528CB6-9E26-4CDE-980D-3888A4C0031A}"/>
    <cellStyle name="Linked Cell 5 2 3 2 6 3" xfId="36754" xr:uid="{D2BB1461-4191-4E33-A85B-2EAFEADEC6A1}"/>
    <cellStyle name="Linked Cell 5 2 3 2 7" xfId="36755" xr:uid="{5DA46D1A-FEBA-4D32-AD2F-6F0422B72F4B}"/>
    <cellStyle name="Linked Cell 5 2 3 2 7 2" xfId="36756" xr:uid="{0FE8821B-0327-4552-8A19-026634DECC7E}"/>
    <cellStyle name="Linked Cell 5 2 3 2 7 2 2" xfId="36757" xr:uid="{70421C9F-9342-45CB-ADB7-28B9B4737738}"/>
    <cellStyle name="Linked Cell 5 2 3 2 7 3" xfId="36758" xr:uid="{89CEBF1F-84AF-4FAC-9F04-D319B6626C67}"/>
    <cellStyle name="Linked Cell 5 2 3 2 8" xfId="36759" xr:uid="{06BFA9E9-3828-4F8B-9099-02EA306372A8}"/>
    <cellStyle name="Linked Cell 5 2 3 2 8 2" xfId="36760" xr:uid="{F7ABC3F2-5E08-4A54-A8BA-F46DF7722A5E}"/>
    <cellStyle name="Linked Cell 5 2 3 2 8 2 2" xfId="36761" xr:uid="{D407644B-9809-4600-AD8B-6A6620790B2B}"/>
    <cellStyle name="Linked Cell 5 2 3 2 8 3" xfId="36762" xr:uid="{BC9653F9-3C44-4B81-B1AB-D965E1499B7D}"/>
    <cellStyle name="Linked Cell 5 2 3 2 9" xfId="36763" xr:uid="{397F468B-7A64-4112-97EA-AFEDD59CE3A4}"/>
    <cellStyle name="Linked Cell 5 2 3 2 9 2" xfId="36764" xr:uid="{F865EDF7-2072-4F58-8D5E-C4ED10C666AC}"/>
    <cellStyle name="Linked Cell 5 2 3 2 9 2 2" xfId="36765" xr:uid="{6265612C-D405-497D-B95A-65096CDA40BA}"/>
    <cellStyle name="Linked Cell 5 2 3 2 9 3" xfId="36766" xr:uid="{06BF6260-E31E-4E32-BCE9-8BC6F0EC9447}"/>
    <cellStyle name="Linked Cell 5 2 3 3" xfId="36767" xr:uid="{1260B643-74ED-476B-9B68-06EEB33DE9E3}"/>
    <cellStyle name="Linked Cell 5 2 3 3 10" xfId="36768" xr:uid="{600255CB-A374-42C6-AAFF-1BA625822718}"/>
    <cellStyle name="Linked Cell 5 2 3 3 10 2" xfId="36769" xr:uid="{F72989F5-E5C3-4D49-BFA5-27137A342635}"/>
    <cellStyle name="Linked Cell 5 2 3 3 11" xfId="36770" xr:uid="{07630496-76EA-4F4B-B005-8153EDE7B8B4}"/>
    <cellStyle name="Linked Cell 5 2 3 3 2" xfId="36771" xr:uid="{DB3F0D95-61FF-4EE9-901F-61D48E0E5998}"/>
    <cellStyle name="Linked Cell 5 2 3 3 2 2" xfId="36772" xr:uid="{DB805EDD-6AD5-4AF1-8B7F-731970AE67E6}"/>
    <cellStyle name="Linked Cell 5 2 3 3 2 2 2" xfId="36773" xr:uid="{948E919F-FDEA-46C5-BDC9-7B8E6AFF660B}"/>
    <cellStyle name="Linked Cell 5 2 3 3 2 3" xfId="36774" xr:uid="{FE9B71EC-5703-449B-BA2B-B033F72D270A}"/>
    <cellStyle name="Linked Cell 5 2 3 3 3" xfId="36775" xr:uid="{6881E17F-7C68-4CC0-8EAA-5E7395EDFEBA}"/>
    <cellStyle name="Linked Cell 5 2 3 3 3 2" xfId="36776" xr:uid="{C1F74417-2216-4B4C-B160-151D713B1BAF}"/>
    <cellStyle name="Linked Cell 5 2 3 3 3 2 2" xfId="36777" xr:uid="{92AA2DE9-A2E3-40B5-9ECD-16D834F93581}"/>
    <cellStyle name="Linked Cell 5 2 3 3 3 3" xfId="36778" xr:uid="{E375F819-4626-4739-8083-A51F0A403107}"/>
    <cellStyle name="Linked Cell 5 2 3 3 4" xfId="36779" xr:uid="{14CB5E79-5863-434D-91CC-6569CCB06BCC}"/>
    <cellStyle name="Linked Cell 5 2 3 3 4 2" xfId="36780" xr:uid="{AD53C2C4-8F49-4601-93DF-336B5EDE58B5}"/>
    <cellStyle name="Linked Cell 5 2 3 3 4 2 2" xfId="36781" xr:uid="{FFD675DB-44CE-4ED8-A1AE-582F37AA4966}"/>
    <cellStyle name="Linked Cell 5 2 3 3 4 3" xfId="36782" xr:uid="{17C65756-3952-446B-97B8-670312ABFD3B}"/>
    <cellStyle name="Linked Cell 5 2 3 3 5" xfId="36783" xr:uid="{32F99189-F205-4CDB-AD2D-28B1EA1662BA}"/>
    <cellStyle name="Linked Cell 5 2 3 3 5 2" xfId="36784" xr:uid="{2025FF8D-EA2E-4A81-BF36-CFD853266A28}"/>
    <cellStyle name="Linked Cell 5 2 3 3 5 2 2" xfId="36785" xr:uid="{D3D32990-3E16-4B11-A8D4-824E3CA36D0A}"/>
    <cellStyle name="Linked Cell 5 2 3 3 5 3" xfId="36786" xr:uid="{48F4A7CC-4D00-4DCD-9C00-D85E33E8C22F}"/>
    <cellStyle name="Linked Cell 5 2 3 3 6" xfId="36787" xr:uid="{D715045A-3A0D-4271-8095-B0D94821E989}"/>
    <cellStyle name="Linked Cell 5 2 3 3 6 2" xfId="36788" xr:uid="{E5A78344-0B6B-4A02-AAED-47AE0FAB1A75}"/>
    <cellStyle name="Linked Cell 5 2 3 3 6 2 2" xfId="36789" xr:uid="{316D9C3E-7844-4900-99E8-E95F6644F5BB}"/>
    <cellStyle name="Linked Cell 5 2 3 3 6 3" xfId="36790" xr:uid="{EC8A5F6A-AE7D-4456-880B-45631ACFCEA6}"/>
    <cellStyle name="Linked Cell 5 2 3 3 7" xfId="36791" xr:uid="{AADE1240-36AE-4FD1-928A-B969282D2915}"/>
    <cellStyle name="Linked Cell 5 2 3 3 7 2" xfId="36792" xr:uid="{D0B37DE9-36A5-4005-8864-6932D625A175}"/>
    <cellStyle name="Linked Cell 5 2 3 3 7 2 2" xfId="36793" xr:uid="{7434FBAD-C331-4176-A1EA-A7F049FDE727}"/>
    <cellStyle name="Linked Cell 5 2 3 3 7 3" xfId="36794" xr:uid="{A09FB07B-4D47-4607-9B27-5D87AF891D2B}"/>
    <cellStyle name="Linked Cell 5 2 3 3 8" xfId="36795" xr:uid="{BD8793A5-B459-4617-87E2-162FB4938991}"/>
    <cellStyle name="Linked Cell 5 2 3 3 8 2" xfId="36796" xr:uid="{5AD3F1E6-1F68-425A-91DE-DF4F6559AE4D}"/>
    <cellStyle name="Linked Cell 5 2 3 3 8 2 2" xfId="36797" xr:uid="{60C93FC7-B76F-4019-B81B-4EE38411ADFC}"/>
    <cellStyle name="Linked Cell 5 2 3 3 8 3" xfId="36798" xr:uid="{1CC0C9D4-4DCF-4F34-BAA9-51726AFBCA75}"/>
    <cellStyle name="Linked Cell 5 2 3 3 9" xfId="36799" xr:uid="{675CA60F-0852-4ADD-95FC-4A86FE92B407}"/>
    <cellStyle name="Linked Cell 5 2 3 3 9 2" xfId="36800" xr:uid="{2A05F955-2045-4F72-A1FD-C370A76BB02C}"/>
    <cellStyle name="Linked Cell 5 2 3 3 9 2 2" xfId="36801" xr:uid="{D35F4147-935F-43E3-9BE5-0D70F05EED84}"/>
    <cellStyle name="Linked Cell 5 2 3 3 9 3" xfId="36802" xr:uid="{F041BC7E-471D-46DB-B2F0-3009526AC944}"/>
    <cellStyle name="Linked Cell 5 2 3 4" xfId="36803" xr:uid="{6A2E61F9-F900-4A4E-AB70-FB63F65FB602}"/>
    <cellStyle name="Linked Cell 5 2 3 4 2" xfId="36804" xr:uid="{196E5450-CE16-4E84-9029-A9A5BDF45F06}"/>
    <cellStyle name="Linked Cell 5 2 3 4 2 2" xfId="36805" xr:uid="{262244E0-95AE-4C01-B185-51B08B91A989}"/>
    <cellStyle name="Linked Cell 5 2 3 4 3" xfId="36806" xr:uid="{8379EE1A-91D3-44A7-AFB2-15921B89D2E7}"/>
    <cellStyle name="Linked Cell 5 2 3 5" xfId="36807" xr:uid="{6A41A0D2-C3EC-4827-816F-165AFA9337B9}"/>
    <cellStyle name="Linked Cell 5 2 3 5 2" xfId="36808" xr:uid="{739EDA0D-8C67-469B-92E5-05709A675174}"/>
    <cellStyle name="Linked Cell 5 2 3 5 2 2" xfId="36809" xr:uid="{68A61FEB-F0B9-4D7C-9449-B561415AF529}"/>
    <cellStyle name="Linked Cell 5 2 3 5 3" xfId="36810" xr:uid="{77ECC633-92C7-462B-865E-BF256A366EF4}"/>
    <cellStyle name="Linked Cell 5 2 3 6" xfId="36811" xr:uid="{ED87398A-9645-48D0-8A0E-4F6EA2F86D4D}"/>
    <cellStyle name="Linked Cell 5 2 3 6 2" xfId="36812" xr:uid="{D84551CB-FA11-40CD-8E4F-94D66B02CD20}"/>
    <cellStyle name="Linked Cell 5 2 3 6 2 2" xfId="36813" xr:uid="{D9EC18E5-4867-44B8-9117-9AB4134CF174}"/>
    <cellStyle name="Linked Cell 5 2 3 6 3" xfId="36814" xr:uid="{E7C3D2FE-3622-4C51-B3F4-79D3DFA8BE14}"/>
    <cellStyle name="Linked Cell 5 2 3 7" xfId="36815" xr:uid="{4916399C-9A92-4C9A-9734-C7D3E14023C8}"/>
    <cellStyle name="Linked Cell 5 2 3 7 2" xfId="36816" xr:uid="{FE4832A5-ADCB-4BBF-8552-1FDF1AEC7574}"/>
    <cellStyle name="Linked Cell 5 2 3 7 2 2" xfId="36817" xr:uid="{B29C3EC8-F6D3-4952-8DC1-58303A8DBF62}"/>
    <cellStyle name="Linked Cell 5 2 3 7 3" xfId="36818" xr:uid="{A8E5123B-287C-4B53-9104-5776B2C455D5}"/>
    <cellStyle name="Linked Cell 5 2 3 8" xfId="36819" xr:uid="{05CFE064-5086-412A-8E63-4E859C569F08}"/>
    <cellStyle name="Linked Cell 5 2 3 8 2" xfId="36820" xr:uid="{7F6598EE-5CB1-4FA5-A043-4BE3B9AC5CA6}"/>
    <cellStyle name="Linked Cell 5 2 3 8 2 2" xfId="36821" xr:uid="{A8BD9C20-381F-4887-915C-09AF0F4308A0}"/>
    <cellStyle name="Linked Cell 5 2 3 8 3" xfId="36822" xr:uid="{17852F68-555D-4B55-8363-7584A4A3E2C8}"/>
    <cellStyle name="Linked Cell 5 2 3 9" xfId="36823" xr:uid="{254DFB86-4D18-4618-ADDD-0D2D66B6C99E}"/>
    <cellStyle name="Linked Cell 5 2 3 9 2" xfId="36824" xr:uid="{B366DDCD-D455-40E4-A1DA-AC765BF12ACF}"/>
    <cellStyle name="Linked Cell 5 2 3 9 2 2" xfId="36825" xr:uid="{A8320F3F-414E-478B-A202-642B95B0CCAD}"/>
    <cellStyle name="Linked Cell 5 2 3 9 3" xfId="36826" xr:uid="{893B4DD3-63C8-46DD-BD6C-0153EC18CD9D}"/>
    <cellStyle name="Linked Cell 5 2 4" xfId="36827" xr:uid="{0909E207-02D3-4615-8B25-5D64CD4D6D36}"/>
    <cellStyle name="Linked Cell 5 2 4 10" xfId="36828" xr:uid="{CDE5BFDE-DD20-4BAF-AEDA-4CAF82C9B8E2}"/>
    <cellStyle name="Linked Cell 5 2 4 10 2" xfId="36829" xr:uid="{3B535BA6-8883-4571-832A-4F2DCEDA98FB}"/>
    <cellStyle name="Linked Cell 5 2 4 10 2 2" xfId="36830" xr:uid="{9022285A-1787-47BB-A199-9A042D057196}"/>
    <cellStyle name="Linked Cell 5 2 4 10 3" xfId="36831" xr:uid="{7AE66177-3BBF-48CC-AE1E-C9633221A6C1}"/>
    <cellStyle name="Linked Cell 5 2 4 11" xfId="36832" xr:uid="{0702BD50-40AB-4FE2-847A-8A52DC52CCF4}"/>
    <cellStyle name="Linked Cell 5 2 4 11 2" xfId="36833" xr:uid="{5DE4F45D-1EA4-477F-AC5E-B0B89148CCED}"/>
    <cellStyle name="Linked Cell 5 2 4 12" xfId="36834" xr:uid="{AC0F6220-B12A-4042-A769-1003A56E2C60}"/>
    <cellStyle name="Linked Cell 5 2 4 2" xfId="36835" xr:uid="{4D1CFC2D-FEC0-455C-9AF3-51A30E403D69}"/>
    <cellStyle name="Linked Cell 5 2 4 2 10" xfId="36836" xr:uid="{E8EBF17B-8B30-4ABF-ADD0-56F54E85F7F0}"/>
    <cellStyle name="Linked Cell 5 2 4 2 10 2" xfId="36837" xr:uid="{72ACF921-B531-41F2-B911-9C87ED52EE9A}"/>
    <cellStyle name="Linked Cell 5 2 4 2 11" xfId="36838" xr:uid="{2FA8CAFA-8A36-4BC9-BC53-071007AAA953}"/>
    <cellStyle name="Linked Cell 5 2 4 2 2" xfId="36839" xr:uid="{6FBFBE5E-2ABB-4656-8356-93362B14974F}"/>
    <cellStyle name="Linked Cell 5 2 4 2 2 2" xfId="36840" xr:uid="{36EC571A-F760-45AB-B31F-22EF062F5A5A}"/>
    <cellStyle name="Linked Cell 5 2 4 2 2 2 2" xfId="36841" xr:uid="{22CDB59C-8408-4E85-87B7-D3BA9F2DD2ED}"/>
    <cellStyle name="Linked Cell 5 2 4 2 2 3" xfId="36842" xr:uid="{0120F520-8D19-477A-8FEB-D3BFD0C08C88}"/>
    <cellStyle name="Linked Cell 5 2 4 2 3" xfId="36843" xr:uid="{165D92BD-7744-46F3-9A1D-D91BE432D9F6}"/>
    <cellStyle name="Linked Cell 5 2 4 2 3 2" xfId="36844" xr:uid="{8DE3158F-F988-4717-A996-512D68A3605D}"/>
    <cellStyle name="Linked Cell 5 2 4 2 3 2 2" xfId="36845" xr:uid="{792CBDB6-2490-4827-9429-08F7AA3D156C}"/>
    <cellStyle name="Linked Cell 5 2 4 2 3 3" xfId="36846" xr:uid="{05FEE707-5744-4C16-878B-F3E87DD1C840}"/>
    <cellStyle name="Linked Cell 5 2 4 2 4" xfId="36847" xr:uid="{B0478EF0-EFCF-4F54-B59F-3EFFB09BDACB}"/>
    <cellStyle name="Linked Cell 5 2 4 2 4 2" xfId="36848" xr:uid="{0E8CA8A1-2CD9-4B1C-83D0-B7B61B82AA13}"/>
    <cellStyle name="Linked Cell 5 2 4 2 4 2 2" xfId="36849" xr:uid="{B57D24E9-82F0-4E8B-80BC-9A816720F367}"/>
    <cellStyle name="Linked Cell 5 2 4 2 4 3" xfId="36850" xr:uid="{B46F1EE2-4AF3-421A-B046-59E73CF58AA8}"/>
    <cellStyle name="Linked Cell 5 2 4 2 5" xfId="36851" xr:uid="{BCE429A1-1572-4513-9F9C-95560BEEA83F}"/>
    <cellStyle name="Linked Cell 5 2 4 2 5 2" xfId="36852" xr:uid="{FBA7C391-D978-4BB0-AEF8-67EA11D11C94}"/>
    <cellStyle name="Linked Cell 5 2 4 2 5 2 2" xfId="36853" xr:uid="{0A84447E-9CC7-4298-BF08-6BB18D112148}"/>
    <cellStyle name="Linked Cell 5 2 4 2 5 3" xfId="36854" xr:uid="{6E94AD4C-C566-415A-AAF8-84EB7030D0CF}"/>
    <cellStyle name="Linked Cell 5 2 4 2 6" xfId="36855" xr:uid="{8EC3D59C-2868-4B91-99F0-4DA3B9BC8AFB}"/>
    <cellStyle name="Linked Cell 5 2 4 2 6 2" xfId="36856" xr:uid="{4F38AAB4-69DE-422C-8762-8029D879896F}"/>
    <cellStyle name="Linked Cell 5 2 4 2 6 2 2" xfId="36857" xr:uid="{E43D28AE-6542-4204-962B-6AEF251E8775}"/>
    <cellStyle name="Linked Cell 5 2 4 2 6 3" xfId="36858" xr:uid="{D18DC937-D0E9-4B72-82A8-B157CCCB5EAC}"/>
    <cellStyle name="Linked Cell 5 2 4 2 7" xfId="36859" xr:uid="{5AB7481E-120E-4866-912B-BC02AFDEB576}"/>
    <cellStyle name="Linked Cell 5 2 4 2 7 2" xfId="36860" xr:uid="{81CCF742-454B-46CD-91FD-6C70646E8B23}"/>
    <cellStyle name="Linked Cell 5 2 4 2 7 2 2" xfId="36861" xr:uid="{203318C2-6A0A-4047-AC72-DEEA1F73797E}"/>
    <cellStyle name="Linked Cell 5 2 4 2 7 3" xfId="36862" xr:uid="{8C749D49-D2D8-4842-AE6C-06841F9A7D82}"/>
    <cellStyle name="Linked Cell 5 2 4 2 8" xfId="36863" xr:uid="{F52F9EFE-9632-4B3E-9284-80F3385CDEEF}"/>
    <cellStyle name="Linked Cell 5 2 4 2 8 2" xfId="36864" xr:uid="{2DA1425B-92C1-4F0D-BF2A-3D0011DCC09F}"/>
    <cellStyle name="Linked Cell 5 2 4 2 8 2 2" xfId="36865" xr:uid="{B65FA510-FC6A-441C-B90C-79BFC849DE77}"/>
    <cellStyle name="Linked Cell 5 2 4 2 8 3" xfId="36866" xr:uid="{EF4FD6D6-88FB-4B32-A4AD-68BFBF4D6B4E}"/>
    <cellStyle name="Linked Cell 5 2 4 2 9" xfId="36867" xr:uid="{673BC31C-A123-46C1-8B9C-807C618C466D}"/>
    <cellStyle name="Linked Cell 5 2 4 2 9 2" xfId="36868" xr:uid="{5C753EC2-0D50-4104-8E3A-9A3A084CFA9E}"/>
    <cellStyle name="Linked Cell 5 2 4 2 9 2 2" xfId="36869" xr:uid="{3853DE3E-F774-49D5-82BD-62591005E1D2}"/>
    <cellStyle name="Linked Cell 5 2 4 2 9 3" xfId="36870" xr:uid="{6EF2381E-6C65-4159-93D1-8ABBD4B7C066}"/>
    <cellStyle name="Linked Cell 5 2 4 3" xfId="36871" xr:uid="{F623C57C-E3C1-4D83-9AC4-3F7FB3A1B06B}"/>
    <cellStyle name="Linked Cell 5 2 4 3 2" xfId="36872" xr:uid="{F0239BF7-98AB-47C2-8C23-6E3B108F3745}"/>
    <cellStyle name="Linked Cell 5 2 4 3 2 2" xfId="36873" xr:uid="{EC1E54F3-02A8-42E5-9EE2-AC99F1CC2204}"/>
    <cellStyle name="Linked Cell 5 2 4 3 3" xfId="36874" xr:uid="{C4ECF16E-BDA2-4B96-B1F0-59804837761E}"/>
    <cellStyle name="Linked Cell 5 2 4 4" xfId="36875" xr:uid="{2CD3733A-7E00-4160-B585-B0A6102FD831}"/>
    <cellStyle name="Linked Cell 5 2 4 4 2" xfId="36876" xr:uid="{6FDCA64B-3820-49C7-90B2-8E5D0CA4EBE9}"/>
    <cellStyle name="Linked Cell 5 2 4 4 2 2" xfId="36877" xr:uid="{22EA430B-11BB-4823-9274-6E3FA4DFA945}"/>
    <cellStyle name="Linked Cell 5 2 4 4 3" xfId="36878" xr:uid="{C1C964BF-41D9-45CE-9824-6B85B1FE4871}"/>
    <cellStyle name="Linked Cell 5 2 4 5" xfId="36879" xr:uid="{F635DB83-201A-4E95-96E2-B51874FDE43E}"/>
    <cellStyle name="Linked Cell 5 2 4 5 2" xfId="36880" xr:uid="{42F88F9F-3AED-4034-8893-D59E85306367}"/>
    <cellStyle name="Linked Cell 5 2 4 5 2 2" xfId="36881" xr:uid="{588433F7-B571-4D84-91DE-73FD29A79EA2}"/>
    <cellStyle name="Linked Cell 5 2 4 5 3" xfId="36882" xr:uid="{84A63CF7-8087-40C3-8479-6C1C471DD17E}"/>
    <cellStyle name="Linked Cell 5 2 4 6" xfId="36883" xr:uid="{68DF5D96-C325-4129-9285-7A13F85CAFB8}"/>
    <cellStyle name="Linked Cell 5 2 4 6 2" xfId="36884" xr:uid="{BDD8F53A-B0D0-4612-9D04-EB71DAE47ECC}"/>
    <cellStyle name="Linked Cell 5 2 4 6 2 2" xfId="36885" xr:uid="{842285D0-736E-447E-9506-BB479A64C344}"/>
    <cellStyle name="Linked Cell 5 2 4 6 3" xfId="36886" xr:uid="{2BBC788D-19C0-4CE6-B444-3ACF6A4F99F9}"/>
    <cellStyle name="Linked Cell 5 2 4 7" xfId="36887" xr:uid="{8FC268E0-5D42-44C5-AC1C-F27E5B65728D}"/>
    <cellStyle name="Linked Cell 5 2 4 7 2" xfId="36888" xr:uid="{516257D6-3B90-4902-BAAB-4DBBDC2560D6}"/>
    <cellStyle name="Linked Cell 5 2 4 7 2 2" xfId="36889" xr:uid="{8C249B9B-465D-4B65-9E7A-E358AF2A62B6}"/>
    <cellStyle name="Linked Cell 5 2 4 7 3" xfId="36890" xr:uid="{AF852D6C-EAC5-4D8B-A91C-A3B5552E2804}"/>
    <cellStyle name="Linked Cell 5 2 4 8" xfId="36891" xr:uid="{54DF028A-3A06-4DFB-B3E1-3714E78A738E}"/>
    <cellStyle name="Linked Cell 5 2 4 8 2" xfId="36892" xr:uid="{EC0EC568-047D-4F1B-BE3D-9D9C8B6BFBF1}"/>
    <cellStyle name="Linked Cell 5 2 4 8 2 2" xfId="36893" xr:uid="{A38D7121-1BF4-48E4-82CA-2A4ABB76650A}"/>
    <cellStyle name="Linked Cell 5 2 4 8 3" xfId="36894" xr:uid="{55E904AE-1118-4EA2-B929-A4AC48BAA4DA}"/>
    <cellStyle name="Linked Cell 5 2 4 9" xfId="36895" xr:uid="{DC8B324B-2CF1-48E9-AAE6-30161C409D11}"/>
    <cellStyle name="Linked Cell 5 2 4 9 2" xfId="36896" xr:uid="{747DA4DB-98A0-414A-840F-61E2BA9E10E4}"/>
    <cellStyle name="Linked Cell 5 2 4 9 2 2" xfId="36897" xr:uid="{101A059E-91C2-4DCD-A020-F8C4D0B4BF9B}"/>
    <cellStyle name="Linked Cell 5 2 4 9 3" xfId="36898" xr:uid="{8268F60D-CFF6-4791-AC9C-758EA6974C6D}"/>
    <cellStyle name="Linked Cell 5 2 5" xfId="36899" xr:uid="{06F6BA3F-EC53-4DF9-B5B2-672C7E975F37}"/>
    <cellStyle name="Linked Cell 5 2 5 10" xfId="36900" xr:uid="{69D8911B-C3CF-4E00-AD25-9304CCF045FA}"/>
    <cellStyle name="Linked Cell 5 2 5 10 2" xfId="36901" xr:uid="{186F5B49-08B9-4C74-B1AA-D38DD29865E5}"/>
    <cellStyle name="Linked Cell 5 2 5 11" xfId="36902" xr:uid="{BFA72CA4-A078-48C6-BF78-B8945016C510}"/>
    <cellStyle name="Linked Cell 5 2 5 2" xfId="36903" xr:uid="{1DD68871-AAA7-4FF9-AA81-41005C5A7A68}"/>
    <cellStyle name="Linked Cell 5 2 5 2 2" xfId="36904" xr:uid="{15D34C20-F335-43C9-965D-29A565463EBD}"/>
    <cellStyle name="Linked Cell 5 2 5 2 2 2" xfId="36905" xr:uid="{F7F96379-8D91-4DD0-9ACC-3AAEB066336C}"/>
    <cellStyle name="Linked Cell 5 2 5 2 3" xfId="36906" xr:uid="{4865D1A8-F25D-49A6-949E-E59EFED8162D}"/>
    <cellStyle name="Linked Cell 5 2 5 3" xfId="36907" xr:uid="{FEC7EAC1-1F49-4AFF-95CF-A75D97FE6600}"/>
    <cellStyle name="Linked Cell 5 2 5 3 2" xfId="36908" xr:uid="{CD4266EA-A1A0-44C5-953F-4FA03D76E68E}"/>
    <cellStyle name="Linked Cell 5 2 5 3 2 2" xfId="36909" xr:uid="{F4B256E2-5A00-49AC-A45B-91BA74ACC78E}"/>
    <cellStyle name="Linked Cell 5 2 5 3 3" xfId="36910" xr:uid="{551B2BFA-100A-43F0-8CDD-38AE05823791}"/>
    <cellStyle name="Linked Cell 5 2 5 4" xfId="36911" xr:uid="{945444D3-0D8E-4F16-88D1-6B119F2E7983}"/>
    <cellStyle name="Linked Cell 5 2 5 4 2" xfId="36912" xr:uid="{6DD8E295-F338-4B63-8B52-8E1592023CFB}"/>
    <cellStyle name="Linked Cell 5 2 5 4 2 2" xfId="36913" xr:uid="{D0207300-8088-46EB-A7E1-AF5362065100}"/>
    <cellStyle name="Linked Cell 5 2 5 4 3" xfId="36914" xr:uid="{BD24A7AD-1E1E-4A28-9201-5EC5C63CA62D}"/>
    <cellStyle name="Linked Cell 5 2 5 5" xfId="36915" xr:uid="{CA8CB610-BA2C-4C79-B704-80D9DEE6681E}"/>
    <cellStyle name="Linked Cell 5 2 5 5 2" xfId="36916" xr:uid="{A47845A5-A5AC-49E3-AEFA-7DA2D4AEEEC6}"/>
    <cellStyle name="Linked Cell 5 2 5 5 2 2" xfId="36917" xr:uid="{B1F3B8DA-AD19-49DA-BC3F-308FFC8BC1AB}"/>
    <cellStyle name="Linked Cell 5 2 5 5 3" xfId="36918" xr:uid="{A96AF1B4-BFAE-41B1-B7EB-D10EABDE4CAF}"/>
    <cellStyle name="Linked Cell 5 2 5 6" xfId="36919" xr:uid="{7C0F830F-0A8C-4CC7-963C-D73EC9FF1274}"/>
    <cellStyle name="Linked Cell 5 2 5 6 2" xfId="36920" xr:uid="{6A0BF8A0-21A1-451E-B70A-58994BDC4295}"/>
    <cellStyle name="Linked Cell 5 2 5 6 2 2" xfId="36921" xr:uid="{2DBE61B5-BEA0-4815-84C2-ADF0234F6AA0}"/>
    <cellStyle name="Linked Cell 5 2 5 6 3" xfId="36922" xr:uid="{28BCB51C-1AB2-4A3D-8452-CB6A44CCF9BF}"/>
    <cellStyle name="Linked Cell 5 2 5 7" xfId="36923" xr:uid="{085A6AB3-257A-4D34-9674-13A5075146B1}"/>
    <cellStyle name="Linked Cell 5 2 5 7 2" xfId="36924" xr:uid="{E0E073BA-2627-4CC9-A558-CC7184CC61F5}"/>
    <cellStyle name="Linked Cell 5 2 5 7 2 2" xfId="36925" xr:uid="{67C9A2DA-F736-4389-BC4C-1C76F4CA9B76}"/>
    <cellStyle name="Linked Cell 5 2 5 7 3" xfId="36926" xr:uid="{9DA5B8C2-C7DD-4882-B74D-4851CE8B3524}"/>
    <cellStyle name="Linked Cell 5 2 5 8" xfId="36927" xr:uid="{415646F0-C542-43E3-9D9A-6246E0683703}"/>
    <cellStyle name="Linked Cell 5 2 5 8 2" xfId="36928" xr:uid="{212EB496-85B4-4EDE-AFDC-8D98689E4E5E}"/>
    <cellStyle name="Linked Cell 5 2 5 8 2 2" xfId="36929" xr:uid="{3137628E-C9C1-4CD3-8E11-4189A57B1EF5}"/>
    <cellStyle name="Linked Cell 5 2 5 8 3" xfId="36930" xr:uid="{A84A2A1B-5A3D-47D9-9DFF-7A0902C27954}"/>
    <cellStyle name="Linked Cell 5 2 5 9" xfId="36931" xr:uid="{AD523512-0712-40F7-8CA6-B3F2FF4191F2}"/>
    <cellStyle name="Linked Cell 5 2 5 9 2" xfId="36932" xr:uid="{C061217D-55B8-482C-B8BE-45DB400EAED4}"/>
    <cellStyle name="Linked Cell 5 2 5 9 2 2" xfId="36933" xr:uid="{F14CF441-0B92-4ED4-80BC-E9B0536A2D29}"/>
    <cellStyle name="Linked Cell 5 2 5 9 3" xfId="36934" xr:uid="{8CA0AF11-02FC-481B-8806-1AB75C11B95A}"/>
    <cellStyle name="Linked Cell 5 2 6" xfId="36935" xr:uid="{01864128-9C0E-4D08-A5C0-81202DCD0B8A}"/>
    <cellStyle name="Linked Cell 5 2 6 2" xfId="36936" xr:uid="{2C7CA424-3229-4189-A5CA-7FCC2A72C799}"/>
    <cellStyle name="Linked Cell 5 2 6 2 2" xfId="36937" xr:uid="{E5EDCB0A-5959-41CB-A4D2-54AC067610DD}"/>
    <cellStyle name="Linked Cell 5 2 6 3" xfId="36938" xr:uid="{1F823D2D-FDA4-49D3-BC9B-0930F355052D}"/>
    <cellStyle name="Linked Cell 5 2 7" xfId="36939" xr:uid="{D2C36CFE-3087-4AF6-88DB-B2A7308134F0}"/>
    <cellStyle name="Linked Cell 5 2 7 2" xfId="36940" xr:uid="{3D9448D2-A186-4A35-BE3A-C396DF6B8DC1}"/>
    <cellStyle name="Linked Cell 5 2 7 2 2" xfId="36941" xr:uid="{8EF71B26-B8FA-4D69-982F-6DDC545FFA28}"/>
    <cellStyle name="Linked Cell 5 2 7 3" xfId="36942" xr:uid="{CF41E61B-29D2-40DF-BBE7-66EFEFAA9782}"/>
    <cellStyle name="Linked Cell 5 2 8" xfId="36943" xr:uid="{45923BD7-8C71-4AE0-A329-BCC075C1CA08}"/>
    <cellStyle name="Linked Cell 5 2 8 2" xfId="36944" xr:uid="{C5BE45E2-54BA-40FF-9BA2-12C419D68EF7}"/>
    <cellStyle name="Linked Cell 5 2 8 2 2" xfId="36945" xr:uid="{DF43EF82-4DBF-460F-A84F-9535EF4B933F}"/>
    <cellStyle name="Linked Cell 5 2 8 3" xfId="36946" xr:uid="{648C42D0-0F63-46F3-BFA2-88C9419AE219}"/>
    <cellStyle name="Linked Cell 5 2 9" xfId="36947" xr:uid="{2E79FBEB-CDB4-4E55-A3B2-B5317D242747}"/>
    <cellStyle name="Linked Cell 5 2 9 2" xfId="36948" xr:uid="{5F3CD1AB-8F48-42B3-9EB3-4A37572E892E}"/>
    <cellStyle name="Linked Cell 5 2 9 2 2" xfId="36949" xr:uid="{A42BD4C5-7D33-4707-B208-291BCD103A6A}"/>
    <cellStyle name="Linked Cell 5 2 9 3" xfId="36950" xr:uid="{821FB1F0-FD01-45F2-983F-258967820157}"/>
    <cellStyle name="Linked Cell 5 3" xfId="36951" xr:uid="{B457987B-7DD4-445C-BCE9-F7CA84DA09C7}"/>
    <cellStyle name="Linked Cell 5 3 10" xfId="36952" xr:uid="{D17290A9-700F-4344-B643-5C1883D953D0}"/>
    <cellStyle name="Linked Cell 5 3 10 2" xfId="36953" xr:uid="{205AA58C-CCB5-45A5-BC33-FD0AEEF76F1A}"/>
    <cellStyle name="Linked Cell 5 3 10 2 2" xfId="36954" xr:uid="{FF5C4CCC-996D-4D62-AEEF-FBBCF3F36266}"/>
    <cellStyle name="Linked Cell 5 3 10 3" xfId="36955" xr:uid="{B54DF0C0-4EE3-4C6C-B5CA-103EF51E60AD}"/>
    <cellStyle name="Linked Cell 5 3 11" xfId="36956" xr:uid="{3C9CBB16-9909-4BDA-946C-A2DBB60EEC50}"/>
    <cellStyle name="Linked Cell 5 3 11 2" xfId="36957" xr:uid="{E9585FD3-BCF8-45A9-9DB8-E2FA0072CA61}"/>
    <cellStyle name="Linked Cell 5 3 11 2 2" xfId="36958" xr:uid="{856C70BB-783E-4939-882D-E021FC9661A5}"/>
    <cellStyle name="Linked Cell 5 3 11 3" xfId="36959" xr:uid="{222E8151-C5C7-4F55-94CA-7908B68CD0E6}"/>
    <cellStyle name="Linked Cell 5 3 12" xfId="36960" xr:uid="{BAAFF54E-AE09-4AD7-B05C-7311FC9661F7}"/>
    <cellStyle name="Linked Cell 5 3 12 2" xfId="36961" xr:uid="{092CF44A-7CAB-4052-9913-DDF6DE0B3D78}"/>
    <cellStyle name="Linked Cell 5 3 12 2 2" xfId="36962" xr:uid="{6C76CBC3-6B90-4E86-91BD-631D81CC4CF0}"/>
    <cellStyle name="Linked Cell 5 3 12 3" xfId="36963" xr:uid="{A79175F9-981B-49E1-9B2F-C984ADBD2DB4}"/>
    <cellStyle name="Linked Cell 5 3 13" xfId="36964" xr:uid="{2A6C647E-E1DF-429F-BF4A-C9F2BBB4D8E8}"/>
    <cellStyle name="Linked Cell 5 3 13 2" xfId="36965" xr:uid="{782F48C8-B52B-44E4-B2A8-7EACB4D2733D}"/>
    <cellStyle name="Linked Cell 5 3 14" xfId="36966" xr:uid="{B2776B15-E22D-42FF-9333-D97E200ACCC0}"/>
    <cellStyle name="Linked Cell 5 3 2" xfId="36967" xr:uid="{DCFE45CE-B342-4B93-9582-A8D876FB1D56}"/>
    <cellStyle name="Linked Cell 5 3 2 10" xfId="36968" xr:uid="{6ADE61A4-F599-4E5C-8BE0-F786661EF929}"/>
    <cellStyle name="Linked Cell 5 3 2 10 2" xfId="36969" xr:uid="{FDD9458C-A3F4-45AA-B4D1-453D1B8142B0}"/>
    <cellStyle name="Linked Cell 5 3 2 10 2 2" xfId="36970" xr:uid="{39536C0E-659C-49C2-BEBC-65E16FD6935D}"/>
    <cellStyle name="Linked Cell 5 3 2 10 3" xfId="36971" xr:uid="{096719FA-8454-423B-AEB5-8E8B2B5B6E69}"/>
    <cellStyle name="Linked Cell 5 3 2 11" xfId="36972" xr:uid="{DF430B59-BD19-4777-8CF0-F9D7D877FD8A}"/>
    <cellStyle name="Linked Cell 5 3 2 11 2" xfId="36973" xr:uid="{324735E8-C652-4E82-8F13-70DFEB74ACAA}"/>
    <cellStyle name="Linked Cell 5 3 2 11 2 2" xfId="36974" xr:uid="{8EE88552-7D9D-4F83-811B-E212E2BE1F59}"/>
    <cellStyle name="Linked Cell 5 3 2 11 3" xfId="36975" xr:uid="{EDA10590-63EB-44DD-89F8-D6022B380E4C}"/>
    <cellStyle name="Linked Cell 5 3 2 12" xfId="36976" xr:uid="{23CC262C-D076-42E3-808F-A01328F870D8}"/>
    <cellStyle name="Linked Cell 5 3 2 12 2" xfId="36977" xr:uid="{A9F78CF9-9650-403C-BDD2-D8AE96D089CE}"/>
    <cellStyle name="Linked Cell 5 3 2 13" xfId="36978" xr:uid="{9DAFE8F7-9FEF-4B8C-BC8A-978E546A7268}"/>
    <cellStyle name="Linked Cell 5 3 2 2" xfId="36979" xr:uid="{DD188B52-35EF-4CF6-9841-232B2335663F}"/>
    <cellStyle name="Linked Cell 5 3 2 2 10" xfId="36980" xr:uid="{E232ACCC-DB10-495A-85E8-A3B7550E629D}"/>
    <cellStyle name="Linked Cell 5 3 2 2 10 2" xfId="36981" xr:uid="{CFBC1687-33AA-43E8-8AA5-C0BBB01F9345}"/>
    <cellStyle name="Linked Cell 5 3 2 2 10 2 2" xfId="36982" xr:uid="{CF6D74AB-60E4-4FAC-AB7A-0D6D1DBAAF22}"/>
    <cellStyle name="Linked Cell 5 3 2 2 10 3" xfId="36983" xr:uid="{550359DC-A66D-4BE9-B3A7-E44F4B7C3002}"/>
    <cellStyle name="Linked Cell 5 3 2 2 11" xfId="36984" xr:uid="{AC1F10E6-1330-4109-BC3E-45C8C5247586}"/>
    <cellStyle name="Linked Cell 5 3 2 2 11 2" xfId="36985" xr:uid="{4E254563-050F-46FE-A8B7-AC4C1E52C11A}"/>
    <cellStyle name="Linked Cell 5 3 2 2 12" xfId="36986" xr:uid="{4EB10796-A82C-4FFC-A3C5-4BE67470CC91}"/>
    <cellStyle name="Linked Cell 5 3 2 2 2" xfId="36987" xr:uid="{F0EC5000-80A5-4ED3-A493-447520B44EF0}"/>
    <cellStyle name="Linked Cell 5 3 2 2 2 2" xfId="36988" xr:uid="{6CB26E69-2AFB-469E-949B-06A68DDE22F9}"/>
    <cellStyle name="Linked Cell 5 3 2 2 2 2 2" xfId="36989" xr:uid="{BACF41CB-2A08-4887-92F4-8B4B4B0853F7}"/>
    <cellStyle name="Linked Cell 5 3 2 2 2 3" xfId="36990" xr:uid="{6A943201-82EF-4FA5-B7CE-F8E5479D1875}"/>
    <cellStyle name="Linked Cell 5 3 2 2 3" xfId="36991" xr:uid="{E9483219-8113-48A9-9149-1D1FCFBB10B2}"/>
    <cellStyle name="Linked Cell 5 3 2 2 3 2" xfId="36992" xr:uid="{F63328CB-EA3C-4FF3-B067-7BC0D1AB1416}"/>
    <cellStyle name="Linked Cell 5 3 2 2 3 2 2" xfId="36993" xr:uid="{371679F1-FB4F-427A-9670-5E23AFC81F10}"/>
    <cellStyle name="Linked Cell 5 3 2 2 3 3" xfId="36994" xr:uid="{E0D64713-C6A2-4534-ADFB-C2B6DB85416A}"/>
    <cellStyle name="Linked Cell 5 3 2 2 4" xfId="36995" xr:uid="{62212B03-6B26-4027-B1F6-4422D9612AFA}"/>
    <cellStyle name="Linked Cell 5 3 2 2 4 2" xfId="36996" xr:uid="{370FB636-3E6E-4BD6-BB73-019E66E7B33A}"/>
    <cellStyle name="Linked Cell 5 3 2 2 4 2 2" xfId="36997" xr:uid="{0A0A9AF9-E88A-4861-BF24-B9121D26D885}"/>
    <cellStyle name="Linked Cell 5 3 2 2 4 3" xfId="36998" xr:uid="{F322696A-7612-4821-BB6F-1138C0475310}"/>
    <cellStyle name="Linked Cell 5 3 2 2 5" xfId="36999" xr:uid="{802D2DBC-C045-4800-A7D1-93116799772C}"/>
    <cellStyle name="Linked Cell 5 3 2 2 5 2" xfId="37000" xr:uid="{B3596F88-AC64-429A-8BD2-A79ED50F1F0B}"/>
    <cellStyle name="Linked Cell 5 3 2 2 5 2 2" xfId="37001" xr:uid="{B5EB62FA-A5A4-49CE-AF83-1C7873645B3E}"/>
    <cellStyle name="Linked Cell 5 3 2 2 5 3" xfId="37002" xr:uid="{D2B478CB-354A-47C6-935D-FB58A9972EAB}"/>
    <cellStyle name="Linked Cell 5 3 2 2 6" xfId="37003" xr:uid="{CF22DF9A-944B-4562-8824-376B3B41D25F}"/>
    <cellStyle name="Linked Cell 5 3 2 2 6 2" xfId="37004" xr:uid="{62F9BB50-D55D-4858-A1B4-23F8E94311C1}"/>
    <cellStyle name="Linked Cell 5 3 2 2 6 2 2" xfId="37005" xr:uid="{64F925D5-928A-4DBF-AFB5-1AFAB790D63C}"/>
    <cellStyle name="Linked Cell 5 3 2 2 6 3" xfId="37006" xr:uid="{8CAB04E4-5A10-43B9-ADA1-62A2F9F6DE40}"/>
    <cellStyle name="Linked Cell 5 3 2 2 7" xfId="37007" xr:uid="{66DC41FD-C565-4376-8896-962A81413452}"/>
    <cellStyle name="Linked Cell 5 3 2 2 7 2" xfId="37008" xr:uid="{A74661F9-042A-4EA6-9FD4-FDBF3CB24B9F}"/>
    <cellStyle name="Linked Cell 5 3 2 2 7 2 2" xfId="37009" xr:uid="{B4273017-05E5-482F-8044-EA7E85AF618D}"/>
    <cellStyle name="Linked Cell 5 3 2 2 7 3" xfId="37010" xr:uid="{69B5014C-EC9E-4B18-983B-23022017321F}"/>
    <cellStyle name="Linked Cell 5 3 2 2 8" xfId="37011" xr:uid="{C0E252BD-67AB-4E1A-9804-ABC075D69BDE}"/>
    <cellStyle name="Linked Cell 5 3 2 2 8 2" xfId="37012" xr:uid="{4711D66B-174B-41C5-8106-DF3A61AA254F}"/>
    <cellStyle name="Linked Cell 5 3 2 2 8 2 2" xfId="37013" xr:uid="{47729AFE-6E82-40F4-9236-794053C46F85}"/>
    <cellStyle name="Linked Cell 5 3 2 2 8 3" xfId="37014" xr:uid="{4844BAC8-EBF3-419D-A98C-7F97D4FB54B3}"/>
    <cellStyle name="Linked Cell 5 3 2 2 9" xfId="37015" xr:uid="{DED98311-8028-4773-83C2-30565E41E490}"/>
    <cellStyle name="Linked Cell 5 3 2 2 9 2" xfId="37016" xr:uid="{B2331774-F092-4877-9271-DD76514A493F}"/>
    <cellStyle name="Linked Cell 5 3 2 2 9 2 2" xfId="37017" xr:uid="{DDFFE02A-3775-47CC-A5A8-321DDF50A972}"/>
    <cellStyle name="Linked Cell 5 3 2 2 9 3" xfId="37018" xr:uid="{8BD01AC8-AF32-46E7-8B22-3E0D3290F6AC}"/>
    <cellStyle name="Linked Cell 5 3 2 3" xfId="37019" xr:uid="{3496D593-A1D9-49CD-95C0-260BC7E5BE6B}"/>
    <cellStyle name="Linked Cell 5 3 2 3 10" xfId="37020" xr:uid="{BB601B0A-52F0-4580-8745-45F2256B7B5F}"/>
    <cellStyle name="Linked Cell 5 3 2 3 10 2" xfId="37021" xr:uid="{3A455406-7822-48A3-9865-72AE11DDA334}"/>
    <cellStyle name="Linked Cell 5 3 2 3 11" xfId="37022" xr:uid="{4BD695DB-82C4-4974-B2A7-28F75B79A9FE}"/>
    <cellStyle name="Linked Cell 5 3 2 3 2" xfId="37023" xr:uid="{61D0C126-A72F-4895-8650-28C7B02E3AC4}"/>
    <cellStyle name="Linked Cell 5 3 2 3 2 2" xfId="37024" xr:uid="{93ACB9C4-086F-4FD4-B81F-B077E8535C6D}"/>
    <cellStyle name="Linked Cell 5 3 2 3 2 2 2" xfId="37025" xr:uid="{397F48E6-3F1F-47DE-9123-6270975966B6}"/>
    <cellStyle name="Linked Cell 5 3 2 3 2 3" xfId="37026" xr:uid="{D2F551B6-740B-458C-A9C2-812DDECFD87E}"/>
    <cellStyle name="Linked Cell 5 3 2 3 3" xfId="37027" xr:uid="{A2E086AA-4DDF-40F0-BD02-716FE0089F1E}"/>
    <cellStyle name="Linked Cell 5 3 2 3 3 2" xfId="37028" xr:uid="{D9C15FF9-28E8-459A-B788-8CF2B6187E0D}"/>
    <cellStyle name="Linked Cell 5 3 2 3 3 2 2" xfId="37029" xr:uid="{AACE5E19-2CC3-4807-A24E-1CA55B2A4E0B}"/>
    <cellStyle name="Linked Cell 5 3 2 3 3 3" xfId="37030" xr:uid="{3B16B4EA-BA26-4783-9740-B257AC7EFB50}"/>
    <cellStyle name="Linked Cell 5 3 2 3 4" xfId="37031" xr:uid="{3FE1BD10-6628-43DF-AAD7-D87EC9F1F5A4}"/>
    <cellStyle name="Linked Cell 5 3 2 3 4 2" xfId="37032" xr:uid="{78347EEC-9668-4091-B6C4-6E0346E4A4D0}"/>
    <cellStyle name="Linked Cell 5 3 2 3 4 2 2" xfId="37033" xr:uid="{62DD1DD4-DB72-407F-BDF0-8E10F914DC12}"/>
    <cellStyle name="Linked Cell 5 3 2 3 4 3" xfId="37034" xr:uid="{9B24EB5A-5069-493F-A7AB-4008B339D4E3}"/>
    <cellStyle name="Linked Cell 5 3 2 3 5" xfId="37035" xr:uid="{E66CD369-E7C6-42F7-B4CE-C039D3A1993E}"/>
    <cellStyle name="Linked Cell 5 3 2 3 5 2" xfId="37036" xr:uid="{F973544F-0C0B-4959-82EB-109AC00BCEEF}"/>
    <cellStyle name="Linked Cell 5 3 2 3 5 2 2" xfId="37037" xr:uid="{4936302A-9152-4F34-841D-A9A7B4AAD9F7}"/>
    <cellStyle name="Linked Cell 5 3 2 3 5 3" xfId="37038" xr:uid="{D35485F9-A193-4782-9AFC-4F07B49DC95D}"/>
    <cellStyle name="Linked Cell 5 3 2 3 6" xfId="37039" xr:uid="{AAA94637-AD81-423B-B924-CADC96DDB199}"/>
    <cellStyle name="Linked Cell 5 3 2 3 6 2" xfId="37040" xr:uid="{95921ED5-2618-4DD2-9EC0-23322851C71A}"/>
    <cellStyle name="Linked Cell 5 3 2 3 6 2 2" xfId="37041" xr:uid="{BB32D66C-6E8F-4538-9703-C1E200688AE7}"/>
    <cellStyle name="Linked Cell 5 3 2 3 6 3" xfId="37042" xr:uid="{9D0BF4F0-EC0E-4CB4-919B-0D738314F124}"/>
    <cellStyle name="Linked Cell 5 3 2 3 7" xfId="37043" xr:uid="{D10A08BD-A824-4ED3-83C3-1AA87672B655}"/>
    <cellStyle name="Linked Cell 5 3 2 3 7 2" xfId="37044" xr:uid="{45F82BB7-D49C-45D0-87EF-E4EA1E1F1457}"/>
    <cellStyle name="Linked Cell 5 3 2 3 7 2 2" xfId="37045" xr:uid="{5E9AA20E-838D-44B5-A41B-ED0867BDD5A6}"/>
    <cellStyle name="Linked Cell 5 3 2 3 7 3" xfId="37046" xr:uid="{17EBE0C0-E7FD-40B0-989D-C4819AA65AE9}"/>
    <cellStyle name="Linked Cell 5 3 2 3 8" xfId="37047" xr:uid="{CDD0B5D7-C1E1-413C-A265-02D2D2302EE1}"/>
    <cellStyle name="Linked Cell 5 3 2 3 8 2" xfId="37048" xr:uid="{713844E1-5631-495A-9AF3-BFF22BEC7C41}"/>
    <cellStyle name="Linked Cell 5 3 2 3 8 2 2" xfId="37049" xr:uid="{27CF3292-A1C1-47DA-A4CA-6A2E74E834E0}"/>
    <cellStyle name="Linked Cell 5 3 2 3 8 3" xfId="37050" xr:uid="{20DD5FD6-1865-44BE-9245-68A045BBFBA9}"/>
    <cellStyle name="Linked Cell 5 3 2 3 9" xfId="37051" xr:uid="{9D950895-9F78-49B3-9E16-7F5D1C80EFD0}"/>
    <cellStyle name="Linked Cell 5 3 2 3 9 2" xfId="37052" xr:uid="{45033F13-A59D-478C-911C-3BF3FA97FE11}"/>
    <cellStyle name="Linked Cell 5 3 2 3 9 2 2" xfId="37053" xr:uid="{DF5F9B57-EF94-4303-B261-1CAB716E8E74}"/>
    <cellStyle name="Linked Cell 5 3 2 3 9 3" xfId="37054" xr:uid="{78C5A8DE-8953-4F75-9928-2663C41803D3}"/>
    <cellStyle name="Linked Cell 5 3 2 4" xfId="37055" xr:uid="{1A27FF63-BEF6-4840-8922-90014B6788CD}"/>
    <cellStyle name="Linked Cell 5 3 2 4 2" xfId="37056" xr:uid="{D2EADC70-7231-4BE7-9F75-302DA072F7AB}"/>
    <cellStyle name="Linked Cell 5 3 2 4 2 2" xfId="37057" xr:uid="{B24CDBD8-CB55-4773-803E-91F651CAF4AD}"/>
    <cellStyle name="Linked Cell 5 3 2 4 3" xfId="37058" xr:uid="{0A4593C1-EB2E-4D34-B915-9BAE76E1CDD5}"/>
    <cellStyle name="Linked Cell 5 3 2 5" xfId="37059" xr:uid="{7877B6B9-3FFD-44F5-B882-3A4117AF18CF}"/>
    <cellStyle name="Linked Cell 5 3 2 5 2" xfId="37060" xr:uid="{E95FB975-FFB8-47BF-81A2-A3C36DAF924C}"/>
    <cellStyle name="Linked Cell 5 3 2 5 2 2" xfId="37061" xr:uid="{F3E0E2B4-46F4-4904-9E13-D04F842BE8A3}"/>
    <cellStyle name="Linked Cell 5 3 2 5 3" xfId="37062" xr:uid="{DC819872-E6FF-4344-8945-C881400D7BCF}"/>
    <cellStyle name="Linked Cell 5 3 2 6" xfId="37063" xr:uid="{31453EA4-BB18-4246-B4D5-BF2FD24DD339}"/>
    <cellStyle name="Linked Cell 5 3 2 6 2" xfId="37064" xr:uid="{5DA0C1F0-633A-40E2-9AE4-F0F1AD08525B}"/>
    <cellStyle name="Linked Cell 5 3 2 6 2 2" xfId="37065" xr:uid="{7BE6D686-4362-4D93-81A8-07856F5A24A5}"/>
    <cellStyle name="Linked Cell 5 3 2 6 3" xfId="37066" xr:uid="{639A501E-98F7-4E25-BDB7-AE61B004F8CB}"/>
    <cellStyle name="Linked Cell 5 3 2 7" xfId="37067" xr:uid="{E49B654C-79B4-4AAA-9B89-0ABF7EA7EC10}"/>
    <cellStyle name="Linked Cell 5 3 2 7 2" xfId="37068" xr:uid="{5F2DD2B0-604E-4A79-8545-F180B2F46D13}"/>
    <cellStyle name="Linked Cell 5 3 2 7 2 2" xfId="37069" xr:uid="{B9436686-737B-483B-BBA3-E3FCEF69D742}"/>
    <cellStyle name="Linked Cell 5 3 2 7 3" xfId="37070" xr:uid="{AAE1CFD2-3069-45EA-AC84-DF6BADDE63EA}"/>
    <cellStyle name="Linked Cell 5 3 2 8" xfId="37071" xr:uid="{FE9BFD39-26F9-4BE2-A1E8-B66957DF991A}"/>
    <cellStyle name="Linked Cell 5 3 2 8 2" xfId="37072" xr:uid="{2097CEA7-6345-4A49-97BE-2068BE3872A6}"/>
    <cellStyle name="Linked Cell 5 3 2 8 2 2" xfId="37073" xr:uid="{204C0D16-CE08-4599-8A63-932EDA2DE0AD}"/>
    <cellStyle name="Linked Cell 5 3 2 8 3" xfId="37074" xr:uid="{4FE2EF40-43E0-471D-AB54-E5AE4757522A}"/>
    <cellStyle name="Linked Cell 5 3 2 9" xfId="37075" xr:uid="{5D7A901A-FD66-4CAA-9A4B-82C62AA90506}"/>
    <cellStyle name="Linked Cell 5 3 2 9 2" xfId="37076" xr:uid="{90732A8C-3185-4FF9-A280-8AF1909ED12D}"/>
    <cellStyle name="Linked Cell 5 3 2 9 2 2" xfId="37077" xr:uid="{6F630169-8916-45A4-88BE-DEA96EBD8129}"/>
    <cellStyle name="Linked Cell 5 3 2 9 3" xfId="37078" xr:uid="{A22FF6C9-3A7C-4941-BFF0-C7692D4D4531}"/>
    <cellStyle name="Linked Cell 5 3 3" xfId="37079" xr:uid="{063170AA-4F6A-491D-B192-C46D564D63AD}"/>
    <cellStyle name="Linked Cell 5 3 3 10" xfId="37080" xr:uid="{F5493318-C696-41E9-AA75-EAF3F0051B1D}"/>
    <cellStyle name="Linked Cell 5 3 3 10 2" xfId="37081" xr:uid="{D0FDA11B-149C-4729-A9F6-CFF4301D10CB}"/>
    <cellStyle name="Linked Cell 5 3 3 10 2 2" xfId="37082" xr:uid="{D007562A-43B8-472E-AFB8-E7A4F6AD071D}"/>
    <cellStyle name="Linked Cell 5 3 3 10 3" xfId="37083" xr:uid="{8896D60B-B65F-42BC-8F5A-31B9AE772C71}"/>
    <cellStyle name="Linked Cell 5 3 3 11" xfId="37084" xr:uid="{87D9A78D-857D-4BB8-80FD-C15E1DF4A2A1}"/>
    <cellStyle name="Linked Cell 5 3 3 11 2" xfId="37085" xr:uid="{BA656A56-5B7D-4CFD-AF06-E17E849E1D63}"/>
    <cellStyle name="Linked Cell 5 3 3 12" xfId="37086" xr:uid="{45EFE88A-1820-4238-A366-7964F93E65EA}"/>
    <cellStyle name="Linked Cell 5 3 3 2" xfId="37087" xr:uid="{D896DC17-3C5C-4859-94F1-54D291CFF208}"/>
    <cellStyle name="Linked Cell 5 3 3 2 10" xfId="37088" xr:uid="{19893612-D28C-49AB-98C8-8E85018FE4C8}"/>
    <cellStyle name="Linked Cell 5 3 3 2 10 2" xfId="37089" xr:uid="{7EF01D16-F579-4165-ACFB-17E2190C9F50}"/>
    <cellStyle name="Linked Cell 5 3 3 2 11" xfId="37090" xr:uid="{CD860C5E-65CE-4509-A3FC-FBF0DE9949FC}"/>
    <cellStyle name="Linked Cell 5 3 3 2 2" xfId="37091" xr:uid="{3507A752-4F35-4658-AE6A-237CBD231B38}"/>
    <cellStyle name="Linked Cell 5 3 3 2 2 2" xfId="37092" xr:uid="{9E72F85E-4C4B-4517-847E-C27728191BC8}"/>
    <cellStyle name="Linked Cell 5 3 3 2 2 2 2" xfId="37093" xr:uid="{754F196A-8CA2-4D8E-A12A-B9953EF12E5F}"/>
    <cellStyle name="Linked Cell 5 3 3 2 2 3" xfId="37094" xr:uid="{6A79D4AF-7D78-411E-9B89-F2474B5BB575}"/>
    <cellStyle name="Linked Cell 5 3 3 2 3" xfId="37095" xr:uid="{B047D18B-11D7-407B-886A-535ABDB67EBC}"/>
    <cellStyle name="Linked Cell 5 3 3 2 3 2" xfId="37096" xr:uid="{4AF6891E-2191-4197-81B8-B4726265CF80}"/>
    <cellStyle name="Linked Cell 5 3 3 2 3 2 2" xfId="37097" xr:uid="{B6793278-297B-4F3B-BB16-F1348F3E8C42}"/>
    <cellStyle name="Linked Cell 5 3 3 2 3 3" xfId="37098" xr:uid="{CF64CBF0-3BE7-4428-9F56-A53EB5E51D4D}"/>
    <cellStyle name="Linked Cell 5 3 3 2 4" xfId="37099" xr:uid="{467F5081-F004-4B52-B2AD-483A0383203A}"/>
    <cellStyle name="Linked Cell 5 3 3 2 4 2" xfId="37100" xr:uid="{767DB057-13E8-4322-8A48-2172E3039020}"/>
    <cellStyle name="Linked Cell 5 3 3 2 4 2 2" xfId="37101" xr:uid="{A5AB693E-2F74-42AA-9196-69704B4FA72D}"/>
    <cellStyle name="Linked Cell 5 3 3 2 4 3" xfId="37102" xr:uid="{2E7C3852-8C04-475E-8491-32CF55CCDDD0}"/>
    <cellStyle name="Linked Cell 5 3 3 2 5" xfId="37103" xr:uid="{0FBF527E-4844-488C-85C0-FC1563013626}"/>
    <cellStyle name="Linked Cell 5 3 3 2 5 2" xfId="37104" xr:uid="{1D24C178-FB06-4EB0-823F-21260D5FB4B9}"/>
    <cellStyle name="Linked Cell 5 3 3 2 5 2 2" xfId="37105" xr:uid="{0B8DAC23-6612-4DD0-8D11-FB7E8E1B298E}"/>
    <cellStyle name="Linked Cell 5 3 3 2 5 3" xfId="37106" xr:uid="{62D70B93-56B1-4614-A8CB-F8C4792FCEEA}"/>
    <cellStyle name="Linked Cell 5 3 3 2 6" xfId="37107" xr:uid="{ABE436E1-24D6-4752-962A-184845664DDE}"/>
    <cellStyle name="Linked Cell 5 3 3 2 6 2" xfId="37108" xr:uid="{66E7E7EF-CD41-45FC-BD65-E26E82B0EAE6}"/>
    <cellStyle name="Linked Cell 5 3 3 2 6 2 2" xfId="37109" xr:uid="{5BBC10F1-4BE7-421E-9FC9-C5D399E2948C}"/>
    <cellStyle name="Linked Cell 5 3 3 2 6 3" xfId="37110" xr:uid="{F924F813-122F-42B7-A663-75501E67B8DD}"/>
    <cellStyle name="Linked Cell 5 3 3 2 7" xfId="37111" xr:uid="{D6EC0B24-702F-42A2-BDEE-6A243D9B846E}"/>
    <cellStyle name="Linked Cell 5 3 3 2 7 2" xfId="37112" xr:uid="{6C01A24E-DD5E-4EE1-B34E-68E196873025}"/>
    <cellStyle name="Linked Cell 5 3 3 2 7 2 2" xfId="37113" xr:uid="{3E5B9057-5DE3-4C21-9B21-6074DA219B48}"/>
    <cellStyle name="Linked Cell 5 3 3 2 7 3" xfId="37114" xr:uid="{CCB4B328-AB3E-40FC-B08B-C5ECA7DA9AF5}"/>
    <cellStyle name="Linked Cell 5 3 3 2 8" xfId="37115" xr:uid="{E9DD7445-78AC-4F00-B31C-3EB0563359C6}"/>
    <cellStyle name="Linked Cell 5 3 3 2 8 2" xfId="37116" xr:uid="{2F3B8F73-5DC7-4CC5-95D6-64F61DC5EDE0}"/>
    <cellStyle name="Linked Cell 5 3 3 2 8 2 2" xfId="37117" xr:uid="{DF529D80-24E7-427D-A2AE-0BCACDA4A9D3}"/>
    <cellStyle name="Linked Cell 5 3 3 2 8 3" xfId="37118" xr:uid="{252457D5-6FDF-46C1-9D6D-0354AEDCCDCD}"/>
    <cellStyle name="Linked Cell 5 3 3 2 9" xfId="37119" xr:uid="{0E8B5728-08D1-400C-A722-62C18E988ECD}"/>
    <cellStyle name="Linked Cell 5 3 3 2 9 2" xfId="37120" xr:uid="{FD0220D1-E304-4749-9C15-ED57FCEF6F9C}"/>
    <cellStyle name="Linked Cell 5 3 3 2 9 2 2" xfId="37121" xr:uid="{5236A1AA-6236-4CF3-A623-A914A48D4825}"/>
    <cellStyle name="Linked Cell 5 3 3 2 9 3" xfId="37122" xr:uid="{BC30D820-0124-4F26-840E-7A4BCA532D2F}"/>
    <cellStyle name="Linked Cell 5 3 3 3" xfId="37123" xr:uid="{197916F5-4AD2-4697-A3F2-1FEDBBBD79A4}"/>
    <cellStyle name="Linked Cell 5 3 3 3 2" xfId="37124" xr:uid="{BF2B06E2-C5F5-4A34-A439-1F454B783482}"/>
    <cellStyle name="Linked Cell 5 3 3 3 2 2" xfId="37125" xr:uid="{55DEDC07-A542-4280-8DD0-B22CB92DBC55}"/>
    <cellStyle name="Linked Cell 5 3 3 3 3" xfId="37126" xr:uid="{32A7DCC2-CE84-4319-9029-A87DB23540CC}"/>
    <cellStyle name="Linked Cell 5 3 3 4" xfId="37127" xr:uid="{A686E105-4DD8-4173-8A69-C048E68E4CC4}"/>
    <cellStyle name="Linked Cell 5 3 3 4 2" xfId="37128" xr:uid="{1588591D-3C54-4DE6-94AF-9A822F8C1367}"/>
    <cellStyle name="Linked Cell 5 3 3 4 2 2" xfId="37129" xr:uid="{BF1A831E-ADFB-46EA-A101-5FC21E0B8496}"/>
    <cellStyle name="Linked Cell 5 3 3 4 3" xfId="37130" xr:uid="{E4F4DA71-132C-44A1-8897-280F40AB2D04}"/>
    <cellStyle name="Linked Cell 5 3 3 5" xfId="37131" xr:uid="{7BB6F770-0EC7-4F36-A693-F9815D4B1FBD}"/>
    <cellStyle name="Linked Cell 5 3 3 5 2" xfId="37132" xr:uid="{3807ED72-4B3D-42DF-9842-3BDD8C076A2B}"/>
    <cellStyle name="Linked Cell 5 3 3 5 2 2" xfId="37133" xr:uid="{2C5D9468-AD2B-45D7-944A-0BBBB7A8A598}"/>
    <cellStyle name="Linked Cell 5 3 3 5 3" xfId="37134" xr:uid="{6EE65FF1-6B99-414C-9AF1-B41DA9DBD4AB}"/>
    <cellStyle name="Linked Cell 5 3 3 6" xfId="37135" xr:uid="{7AC5649F-E63D-4465-9715-990B26CEB4A6}"/>
    <cellStyle name="Linked Cell 5 3 3 6 2" xfId="37136" xr:uid="{98A38D21-789C-456D-BDE8-5AD9F1B38241}"/>
    <cellStyle name="Linked Cell 5 3 3 6 2 2" xfId="37137" xr:uid="{2CB0AB8A-3081-4BC3-A053-4910F316E8BF}"/>
    <cellStyle name="Linked Cell 5 3 3 6 3" xfId="37138" xr:uid="{F0CD59A4-0B56-42CC-81B5-E76D6D6516E5}"/>
    <cellStyle name="Linked Cell 5 3 3 7" xfId="37139" xr:uid="{CA199639-6D56-4746-A1B8-DA1F99F6A705}"/>
    <cellStyle name="Linked Cell 5 3 3 7 2" xfId="37140" xr:uid="{334A807D-B829-4853-BB3A-A66F146EE0DA}"/>
    <cellStyle name="Linked Cell 5 3 3 7 2 2" xfId="37141" xr:uid="{DD41FFCC-6C64-4B32-965D-D3A032CF2791}"/>
    <cellStyle name="Linked Cell 5 3 3 7 3" xfId="37142" xr:uid="{203906A2-017E-4B92-87DE-2DFCEE6F21B3}"/>
    <cellStyle name="Linked Cell 5 3 3 8" xfId="37143" xr:uid="{29E6C154-ABCC-4217-8E6F-3A66C249D03F}"/>
    <cellStyle name="Linked Cell 5 3 3 8 2" xfId="37144" xr:uid="{4A3A5B3F-11AB-4EDD-8F9C-D922FB2E1053}"/>
    <cellStyle name="Linked Cell 5 3 3 8 2 2" xfId="37145" xr:uid="{2F9FC7F1-AF76-44B7-8512-69B119BAF238}"/>
    <cellStyle name="Linked Cell 5 3 3 8 3" xfId="37146" xr:uid="{5E9DF17A-72A2-49D9-BE3A-96E9D3E21AE1}"/>
    <cellStyle name="Linked Cell 5 3 3 9" xfId="37147" xr:uid="{5F0BB976-38CF-4936-A4E9-274130475668}"/>
    <cellStyle name="Linked Cell 5 3 3 9 2" xfId="37148" xr:uid="{1C084C6C-E749-4BED-8133-76DB71C6BB3C}"/>
    <cellStyle name="Linked Cell 5 3 3 9 2 2" xfId="37149" xr:uid="{6D7E22BA-20E0-4D22-9B32-F4F5CBB12EF4}"/>
    <cellStyle name="Linked Cell 5 3 3 9 3" xfId="37150" xr:uid="{4721033F-6802-46D6-B45F-F3C84379350A}"/>
    <cellStyle name="Linked Cell 5 3 4" xfId="37151" xr:uid="{2D93532B-6641-47C3-BBB6-676511FE42E1}"/>
    <cellStyle name="Linked Cell 5 3 4 10" xfId="37152" xr:uid="{48692B69-1601-4F13-8DAA-19A1B96C2B48}"/>
    <cellStyle name="Linked Cell 5 3 4 10 2" xfId="37153" xr:uid="{704E21F8-B76D-4EA0-98CD-845559FE831C}"/>
    <cellStyle name="Linked Cell 5 3 4 11" xfId="37154" xr:uid="{98499088-6156-448D-B634-0DFC765C007F}"/>
    <cellStyle name="Linked Cell 5 3 4 2" xfId="37155" xr:uid="{058AC207-C450-4A89-BD1A-D1CDDBF21842}"/>
    <cellStyle name="Linked Cell 5 3 4 2 2" xfId="37156" xr:uid="{F8A7D374-B628-43C7-AD9D-97154E6E9BAD}"/>
    <cellStyle name="Linked Cell 5 3 4 2 2 2" xfId="37157" xr:uid="{E81F5C62-C08F-4B00-9A09-F8C6139EAE93}"/>
    <cellStyle name="Linked Cell 5 3 4 2 3" xfId="37158" xr:uid="{ACB876C6-1FC2-483B-8207-57B97C1013E8}"/>
    <cellStyle name="Linked Cell 5 3 4 3" xfId="37159" xr:uid="{6FC1FC6F-90DB-4D70-A311-CBE9BADD3601}"/>
    <cellStyle name="Linked Cell 5 3 4 3 2" xfId="37160" xr:uid="{550F8C77-4E7B-464D-A727-4F54280D56E6}"/>
    <cellStyle name="Linked Cell 5 3 4 3 2 2" xfId="37161" xr:uid="{C1335EC7-3F8D-4C40-96FF-4A7AC726220D}"/>
    <cellStyle name="Linked Cell 5 3 4 3 3" xfId="37162" xr:uid="{686F8064-5DC3-4F13-A642-4437D3FBB02D}"/>
    <cellStyle name="Linked Cell 5 3 4 4" xfId="37163" xr:uid="{1C7AAEF5-BE3D-4DAE-BD62-0AD947E47393}"/>
    <cellStyle name="Linked Cell 5 3 4 4 2" xfId="37164" xr:uid="{DF31A0EC-B658-489A-BA5B-C30F53942148}"/>
    <cellStyle name="Linked Cell 5 3 4 4 2 2" xfId="37165" xr:uid="{832813A0-9B50-4A96-B96E-F624C819CBEA}"/>
    <cellStyle name="Linked Cell 5 3 4 4 3" xfId="37166" xr:uid="{BF2E7C3C-8A83-442E-8F06-A87464C7A7C5}"/>
    <cellStyle name="Linked Cell 5 3 4 5" xfId="37167" xr:uid="{1A549475-AE17-45B0-A2EF-D57DF7E68B16}"/>
    <cellStyle name="Linked Cell 5 3 4 5 2" xfId="37168" xr:uid="{1008930F-E8EA-46FA-A86E-E077EE381ABD}"/>
    <cellStyle name="Linked Cell 5 3 4 5 2 2" xfId="37169" xr:uid="{84A28208-4A95-41BC-AB7C-6A2291948285}"/>
    <cellStyle name="Linked Cell 5 3 4 5 3" xfId="37170" xr:uid="{B81BCF74-059C-4740-AC82-DEAA90B90330}"/>
    <cellStyle name="Linked Cell 5 3 4 6" xfId="37171" xr:uid="{286AB418-65FE-4983-A219-2D1E82957100}"/>
    <cellStyle name="Linked Cell 5 3 4 6 2" xfId="37172" xr:uid="{B83C57C9-7BC6-422B-A738-BD5EF2A7233D}"/>
    <cellStyle name="Linked Cell 5 3 4 6 2 2" xfId="37173" xr:uid="{90AAA1F0-62D0-4B22-A8A0-AEA3B8B3A6F0}"/>
    <cellStyle name="Linked Cell 5 3 4 6 3" xfId="37174" xr:uid="{50D7A2F3-BE1E-4668-BE0B-15978FE052C9}"/>
    <cellStyle name="Linked Cell 5 3 4 7" xfId="37175" xr:uid="{6F643EF1-D067-456E-9EA9-9C0C38AC8FB9}"/>
    <cellStyle name="Linked Cell 5 3 4 7 2" xfId="37176" xr:uid="{E95EC8CA-7A21-4C63-BAA4-4AFF28658778}"/>
    <cellStyle name="Linked Cell 5 3 4 7 2 2" xfId="37177" xr:uid="{0CA12F50-2CF1-4D16-8727-54CA9FDF122E}"/>
    <cellStyle name="Linked Cell 5 3 4 7 3" xfId="37178" xr:uid="{019BF8B3-47DA-48BB-9EB5-FAB770801583}"/>
    <cellStyle name="Linked Cell 5 3 4 8" xfId="37179" xr:uid="{931589DE-C139-4FA5-82EB-D67B3B6715DF}"/>
    <cellStyle name="Linked Cell 5 3 4 8 2" xfId="37180" xr:uid="{6AE87F8D-6CBA-45C1-B117-4F4544DCF708}"/>
    <cellStyle name="Linked Cell 5 3 4 8 2 2" xfId="37181" xr:uid="{67E71DCC-A1C5-4E44-8248-305AF6787138}"/>
    <cellStyle name="Linked Cell 5 3 4 8 3" xfId="37182" xr:uid="{704245B1-4CB1-4F5E-B7AA-014A1C79F21C}"/>
    <cellStyle name="Linked Cell 5 3 4 9" xfId="37183" xr:uid="{F283110C-14FF-4F5F-BBF1-9073A350083A}"/>
    <cellStyle name="Linked Cell 5 3 4 9 2" xfId="37184" xr:uid="{5C4A4E36-6A51-48EA-818F-1F2D6C766044}"/>
    <cellStyle name="Linked Cell 5 3 4 9 2 2" xfId="37185" xr:uid="{331346FC-84E0-4F80-BF6A-3A3877181B68}"/>
    <cellStyle name="Linked Cell 5 3 4 9 3" xfId="37186" xr:uid="{ECD39521-AEA7-4F1D-A326-90813431C383}"/>
    <cellStyle name="Linked Cell 5 3 5" xfId="37187" xr:uid="{1F008493-1A99-4766-AC4A-CB6B8168F813}"/>
    <cellStyle name="Linked Cell 5 3 5 2" xfId="37188" xr:uid="{579DCCAD-DF46-469B-831F-7D27429C3CF7}"/>
    <cellStyle name="Linked Cell 5 3 5 2 2" xfId="37189" xr:uid="{51534CB2-DF4C-44CE-B759-6A578A4D1513}"/>
    <cellStyle name="Linked Cell 5 3 5 3" xfId="37190" xr:uid="{1E1EEBD8-96FF-498F-AEEA-13236C845B29}"/>
    <cellStyle name="Linked Cell 5 3 6" xfId="37191" xr:uid="{73D48D19-460E-4B97-9A99-EDF987870494}"/>
    <cellStyle name="Linked Cell 5 3 6 2" xfId="37192" xr:uid="{6ED0AB03-181E-4D02-8611-61CCFEFC446B}"/>
    <cellStyle name="Linked Cell 5 3 6 2 2" xfId="37193" xr:uid="{9A71135B-1003-49DD-BBA8-6C8538FF7211}"/>
    <cellStyle name="Linked Cell 5 3 6 3" xfId="37194" xr:uid="{1C2FAA0B-1EDC-40E1-850A-7234868E15D5}"/>
    <cellStyle name="Linked Cell 5 3 7" xfId="37195" xr:uid="{A586065A-2296-47F5-9A1D-0BBFE08449D3}"/>
    <cellStyle name="Linked Cell 5 3 7 2" xfId="37196" xr:uid="{314870B6-83CC-46B2-8DA9-692AA80EF06A}"/>
    <cellStyle name="Linked Cell 5 3 7 2 2" xfId="37197" xr:uid="{EDE09D6D-2DF4-42F6-8729-ED5F85A22E13}"/>
    <cellStyle name="Linked Cell 5 3 7 3" xfId="37198" xr:uid="{F2DBF0FA-DF0F-4EE2-B2AC-E0D2E341FD04}"/>
    <cellStyle name="Linked Cell 5 3 8" xfId="37199" xr:uid="{AEA901DA-613B-46B4-8EFF-0D32B06F572D}"/>
    <cellStyle name="Linked Cell 5 3 8 2" xfId="37200" xr:uid="{34AEE10D-75AE-42D4-925B-92DAC7A89A00}"/>
    <cellStyle name="Linked Cell 5 3 8 2 2" xfId="37201" xr:uid="{CA8C8E65-667E-439B-B324-64B971FC8DB4}"/>
    <cellStyle name="Linked Cell 5 3 8 3" xfId="37202" xr:uid="{88ADF72B-14EE-41AC-94E3-6DA1156D732A}"/>
    <cellStyle name="Linked Cell 5 3 9" xfId="37203" xr:uid="{16779375-C0E6-4BE7-8E6A-16396178EFBA}"/>
    <cellStyle name="Linked Cell 5 3 9 2" xfId="37204" xr:uid="{299341F7-BA49-4AFF-8BB7-B53F598E3743}"/>
    <cellStyle name="Linked Cell 5 3 9 2 2" xfId="37205" xr:uid="{6757AC52-E183-4AA3-A432-8C5FA32E8F27}"/>
    <cellStyle name="Linked Cell 5 3 9 3" xfId="37206" xr:uid="{49995501-8F09-4470-BD97-E504A7E4A5F1}"/>
    <cellStyle name="Linked Cell 5 4" xfId="37207" xr:uid="{C9F60BA8-445C-48AF-B7D4-82042EE9FBE9}"/>
    <cellStyle name="Linked Cell 5 4 10" xfId="37208" xr:uid="{3B1A775D-895B-4AFE-B48F-806132B71BF2}"/>
    <cellStyle name="Linked Cell 5 4 10 2" xfId="37209" xr:uid="{277E3785-1BCB-4CA9-B875-3C5CBBD28333}"/>
    <cellStyle name="Linked Cell 5 4 10 2 2" xfId="37210" xr:uid="{1ADE449A-4CD4-44A4-B1BF-D6244C205BD8}"/>
    <cellStyle name="Linked Cell 5 4 10 3" xfId="37211" xr:uid="{B9185082-C21D-42EF-AC88-530771A34677}"/>
    <cellStyle name="Linked Cell 5 4 11" xfId="37212" xr:uid="{0DA9FFCE-B7DA-4A47-9F04-A500C842F804}"/>
    <cellStyle name="Linked Cell 5 4 11 2" xfId="37213" xr:uid="{294485A8-3762-4EDD-B1C5-CA5D98C9D477}"/>
    <cellStyle name="Linked Cell 5 4 11 2 2" xfId="37214" xr:uid="{10E6E199-1B74-46DA-A3AD-33C736255BDB}"/>
    <cellStyle name="Linked Cell 5 4 11 3" xfId="37215" xr:uid="{E81C4C48-3803-4A09-BD15-BCD657BCCC32}"/>
    <cellStyle name="Linked Cell 5 4 12" xfId="37216" xr:uid="{05C8C6CE-2AAF-4064-AC96-07C6B4DCCE0B}"/>
    <cellStyle name="Linked Cell 5 4 12 2" xfId="37217" xr:uid="{40D929BB-600A-4412-90DE-04806F48A408}"/>
    <cellStyle name="Linked Cell 5 4 13" xfId="37218" xr:uid="{010EA8F1-76E8-4607-892E-27733A438DBE}"/>
    <cellStyle name="Linked Cell 5 4 2" xfId="37219" xr:uid="{E792644B-1B41-4794-A935-ACF6F38011E8}"/>
    <cellStyle name="Linked Cell 5 4 2 10" xfId="37220" xr:uid="{3F540478-C679-41A5-A285-1456996992B2}"/>
    <cellStyle name="Linked Cell 5 4 2 10 2" xfId="37221" xr:uid="{AB5BF2DB-9521-48D0-8A35-11CA10467AE2}"/>
    <cellStyle name="Linked Cell 5 4 2 10 2 2" xfId="37222" xr:uid="{AFBACDC8-46DF-4E1D-A64E-AD67E489D0BA}"/>
    <cellStyle name="Linked Cell 5 4 2 10 3" xfId="37223" xr:uid="{71614273-DBD5-4482-A123-280653C5206F}"/>
    <cellStyle name="Linked Cell 5 4 2 11" xfId="37224" xr:uid="{B59338B5-A27C-43A4-B1FE-C7AE60AC5C7E}"/>
    <cellStyle name="Linked Cell 5 4 2 11 2" xfId="37225" xr:uid="{769D532E-91C3-4E63-B7E5-032C8317D204}"/>
    <cellStyle name="Linked Cell 5 4 2 12" xfId="37226" xr:uid="{E6869C36-FA39-4009-8EA6-07BC358938CD}"/>
    <cellStyle name="Linked Cell 5 4 2 2" xfId="37227" xr:uid="{EA99FD74-A799-4D96-AC64-52E22663988C}"/>
    <cellStyle name="Linked Cell 5 4 2 2 2" xfId="37228" xr:uid="{90196F17-3B5F-4DB5-90D8-16F77D1B9ABF}"/>
    <cellStyle name="Linked Cell 5 4 2 2 2 2" xfId="37229" xr:uid="{677D16C9-240C-4F38-8D4E-84EC972C6BD4}"/>
    <cellStyle name="Linked Cell 5 4 2 2 3" xfId="37230" xr:uid="{19B8EBFB-4636-4554-9978-315A767025E4}"/>
    <cellStyle name="Linked Cell 5 4 2 3" xfId="37231" xr:uid="{FA76C92E-8FA3-4783-9E80-6CFC9F3B7E27}"/>
    <cellStyle name="Linked Cell 5 4 2 3 2" xfId="37232" xr:uid="{5BFF0EFB-815E-4FEB-BF9A-4B815F6CBA98}"/>
    <cellStyle name="Linked Cell 5 4 2 3 2 2" xfId="37233" xr:uid="{04AB1223-E9D2-4745-82B7-EEDBD1A9ABAB}"/>
    <cellStyle name="Linked Cell 5 4 2 3 3" xfId="37234" xr:uid="{2870B06F-78A7-4558-826B-EF02C8A3349C}"/>
    <cellStyle name="Linked Cell 5 4 2 4" xfId="37235" xr:uid="{7CB9116E-C9BC-4446-96CE-1126E0406424}"/>
    <cellStyle name="Linked Cell 5 4 2 4 2" xfId="37236" xr:uid="{EEDC0923-9EFE-45D7-A46B-560064618292}"/>
    <cellStyle name="Linked Cell 5 4 2 4 2 2" xfId="37237" xr:uid="{EEC14065-7275-4B93-8B51-EB6B24313988}"/>
    <cellStyle name="Linked Cell 5 4 2 4 3" xfId="37238" xr:uid="{713BA917-A0F0-4C4A-8EA1-FF041EB0B59A}"/>
    <cellStyle name="Linked Cell 5 4 2 5" xfId="37239" xr:uid="{27982CDF-1BB9-4495-9CFC-831BC502F34A}"/>
    <cellStyle name="Linked Cell 5 4 2 5 2" xfId="37240" xr:uid="{05E49B2D-2FC2-4BA2-A3E9-A2C739A0BA46}"/>
    <cellStyle name="Linked Cell 5 4 2 5 2 2" xfId="37241" xr:uid="{BEA17CDC-0E22-4A3C-8D26-771CEF968C73}"/>
    <cellStyle name="Linked Cell 5 4 2 5 3" xfId="37242" xr:uid="{01D493A2-6203-4FE1-8C93-3F7EEB749528}"/>
    <cellStyle name="Linked Cell 5 4 2 6" xfId="37243" xr:uid="{ECA70730-8799-433E-9983-ED5D1190015D}"/>
    <cellStyle name="Linked Cell 5 4 2 6 2" xfId="37244" xr:uid="{EDEAE580-358B-42B6-B759-4CA4B5522778}"/>
    <cellStyle name="Linked Cell 5 4 2 6 2 2" xfId="37245" xr:uid="{269C1850-712B-4029-9FE3-21A57FBCCCB4}"/>
    <cellStyle name="Linked Cell 5 4 2 6 3" xfId="37246" xr:uid="{23F12D77-D170-41DF-9641-7EE0697DF5BC}"/>
    <cellStyle name="Linked Cell 5 4 2 7" xfId="37247" xr:uid="{2BAF53FD-75A6-4A20-8828-E8C28C7B9F0B}"/>
    <cellStyle name="Linked Cell 5 4 2 7 2" xfId="37248" xr:uid="{80B1AFDD-E288-4693-9FC9-E1D12C2A4E33}"/>
    <cellStyle name="Linked Cell 5 4 2 7 2 2" xfId="37249" xr:uid="{8E08C973-38EC-48FB-978A-55E3A7EAFEEC}"/>
    <cellStyle name="Linked Cell 5 4 2 7 3" xfId="37250" xr:uid="{124FC7F7-16AD-4943-86AE-EFA3C417CE57}"/>
    <cellStyle name="Linked Cell 5 4 2 8" xfId="37251" xr:uid="{F0614FCB-8A01-4393-8C8D-4CC8E37801E7}"/>
    <cellStyle name="Linked Cell 5 4 2 8 2" xfId="37252" xr:uid="{07C5C9D5-9B41-494D-B4AA-3846C24249B9}"/>
    <cellStyle name="Linked Cell 5 4 2 8 2 2" xfId="37253" xr:uid="{4EFEABAB-FB92-4EE5-925A-4E6F37EA93CC}"/>
    <cellStyle name="Linked Cell 5 4 2 8 3" xfId="37254" xr:uid="{48ADA6A0-F129-4E11-BB27-A319CF860C51}"/>
    <cellStyle name="Linked Cell 5 4 2 9" xfId="37255" xr:uid="{0DB84D0A-327C-48C6-BFBD-47E8E4983F6F}"/>
    <cellStyle name="Linked Cell 5 4 2 9 2" xfId="37256" xr:uid="{9E3EF726-1282-4FD6-B5D7-3D89FF2102EA}"/>
    <cellStyle name="Linked Cell 5 4 2 9 2 2" xfId="37257" xr:uid="{4B480A46-FFDC-4F4D-91BE-9BE12D46F6A8}"/>
    <cellStyle name="Linked Cell 5 4 2 9 3" xfId="37258" xr:uid="{4967C77F-C6FB-4384-9F8A-667199BD0B36}"/>
    <cellStyle name="Linked Cell 5 4 3" xfId="37259" xr:uid="{7B60EE39-141D-4E2B-947D-A0BF1D0ED63B}"/>
    <cellStyle name="Linked Cell 5 4 3 10" xfId="37260" xr:uid="{2C4A3A80-F1BD-422E-8FB2-99280B1D0CC2}"/>
    <cellStyle name="Linked Cell 5 4 3 10 2" xfId="37261" xr:uid="{71C80AED-B41C-4276-B228-1FE7E8225A4C}"/>
    <cellStyle name="Linked Cell 5 4 3 11" xfId="37262" xr:uid="{50A59F95-C22D-43FC-83AE-FCDB96271D43}"/>
    <cellStyle name="Linked Cell 5 4 3 2" xfId="37263" xr:uid="{ACE171EE-843D-4220-9A4E-5B871DCED248}"/>
    <cellStyle name="Linked Cell 5 4 3 2 2" xfId="37264" xr:uid="{878B6823-DCE3-4CCE-A5B3-26C2BA45F591}"/>
    <cellStyle name="Linked Cell 5 4 3 2 2 2" xfId="37265" xr:uid="{307CA005-083C-4911-B1E8-7F2D75768F87}"/>
    <cellStyle name="Linked Cell 5 4 3 2 3" xfId="37266" xr:uid="{01F7D6A4-48FE-4747-ACB1-C842D435DF0B}"/>
    <cellStyle name="Linked Cell 5 4 3 3" xfId="37267" xr:uid="{5735CC5E-FDEC-4B9A-979E-5567907BA0F9}"/>
    <cellStyle name="Linked Cell 5 4 3 3 2" xfId="37268" xr:uid="{3EB648CF-DE50-42BC-AFC8-0B7E69E7D408}"/>
    <cellStyle name="Linked Cell 5 4 3 3 2 2" xfId="37269" xr:uid="{B41ACAFB-4E0D-40E5-89E9-D76616376859}"/>
    <cellStyle name="Linked Cell 5 4 3 3 3" xfId="37270" xr:uid="{3132A746-FDE1-44A5-B0F2-5AF858F691D3}"/>
    <cellStyle name="Linked Cell 5 4 3 4" xfId="37271" xr:uid="{AF4D9C9D-EF6A-47CB-8D4A-7CBAADD7C7A5}"/>
    <cellStyle name="Linked Cell 5 4 3 4 2" xfId="37272" xr:uid="{F0F05E63-7259-4FAD-A2DC-6F9719DD0DF8}"/>
    <cellStyle name="Linked Cell 5 4 3 4 2 2" xfId="37273" xr:uid="{0C0F3549-05BC-44E3-BDB2-BBEDA8BA3AB3}"/>
    <cellStyle name="Linked Cell 5 4 3 4 3" xfId="37274" xr:uid="{210B64DE-747C-4751-A9E5-F44AB8280F50}"/>
    <cellStyle name="Linked Cell 5 4 3 5" xfId="37275" xr:uid="{F7731740-D003-4A57-A150-2E51733F25BB}"/>
    <cellStyle name="Linked Cell 5 4 3 5 2" xfId="37276" xr:uid="{1A0C4D6E-5BF0-4A0A-A451-DAFF19BA9966}"/>
    <cellStyle name="Linked Cell 5 4 3 5 2 2" xfId="37277" xr:uid="{154441F0-AF09-45CE-8BBA-6F99603C3F84}"/>
    <cellStyle name="Linked Cell 5 4 3 5 3" xfId="37278" xr:uid="{C7BB59B7-90E2-46E9-AB9A-AD64C050BB6D}"/>
    <cellStyle name="Linked Cell 5 4 3 6" xfId="37279" xr:uid="{2186369B-F48A-43C8-80EA-12E9DF1673EE}"/>
    <cellStyle name="Linked Cell 5 4 3 6 2" xfId="37280" xr:uid="{C3020189-7590-4C90-86F2-08217959EA94}"/>
    <cellStyle name="Linked Cell 5 4 3 6 2 2" xfId="37281" xr:uid="{A70ACD2D-6866-4120-891E-0663A95BF571}"/>
    <cellStyle name="Linked Cell 5 4 3 6 3" xfId="37282" xr:uid="{DFC68020-2F90-4C6A-9402-EC7C87DE0AB2}"/>
    <cellStyle name="Linked Cell 5 4 3 7" xfId="37283" xr:uid="{40123C8D-F598-48F6-B62A-EFEE4F33006D}"/>
    <cellStyle name="Linked Cell 5 4 3 7 2" xfId="37284" xr:uid="{7877C02A-D47E-4A41-B07A-FA7BD19E92EE}"/>
    <cellStyle name="Linked Cell 5 4 3 7 2 2" xfId="37285" xr:uid="{D49AC3AA-A9F2-4A65-A1FE-527DD584CA48}"/>
    <cellStyle name="Linked Cell 5 4 3 7 3" xfId="37286" xr:uid="{F8AB17FE-A0F8-4342-9721-144F3B38979D}"/>
    <cellStyle name="Linked Cell 5 4 3 8" xfId="37287" xr:uid="{F7A6F9A9-DF8F-456D-86C3-AF856C159B79}"/>
    <cellStyle name="Linked Cell 5 4 3 8 2" xfId="37288" xr:uid="{8F5C324D-7D5C-4220-9A24-F379BE4165FF}"/>
    <cellStyle name="Linked Cell 5 4 3 8 2 2" xfId="37289" xr:uid="{8E284A1A-ED4E-4B00-9FB5-A997F9E023AB}"/>
    <cellStyle name="Linked Cell 5 4 3 8 3" xfId="37290" xr:uid="{88B98BE2-9741-48A5-B038-6C110AA9D458}"/>
    <cellStyle name="Linked Cell 5 4 3 9" xfId="37291" xr:uid="{CAFEB210-DECE-4CB2-BD38-96021016E39A}"/>
    <cellStyle name="Linked Cell 5 4 3 9 2" xfId="37292" xr:uid="{443FE20B-7FF4-473B-BC16-D23433427C4E}"/>
    <cellStyle name="Linked Cell 5 4 3 9 2 2" xfId="37293" xr:uid="{73B121D0-BD91-4EDE-81F0-E230CD112D82}"/>
    <cellStyle name="Linked Cell 5 4 3 9 3" xfId="37294" xr:uid="{3879DE74-ED1A-4FE4-A065-A22E56C07B61}"/>
    <cellStyle name="Linked Cell 5 4 4" xfId="37295" xr:uid="{0516885A-A1BC-4216-BB4F-EB55A3ABB2EB}"/>
    <cellStyle name="Linked Cell 5 4 4 2" xfId="37296" xr:uid="{C0731E79-4DB7-4053-9CFE-68F46D256590}"/>
    <cellStyle name="Linked Cell 5 4 4 2 2" xfId="37297" xr:uid="{0A550CB0-F053-4504-883F-1870936F322F}"/>
    <cellStyle name="Linked Cell 5 4 4 3" xfId="37298" xr:uid="{68F63D3B-CD64-43E6-9132-5B87DFA9E7C5}"/>
    <cellStyle name="Linked Cell 5 4 5" xfId="37299" xr:uid="{5BEE478D-96DB-4B76-AA60-FC29BBB26BD1}"/>
    <cellStyle name="Linked Cell 5 4 5 2" xfId="37300" xr:uid="{1270A107-26DA-42B3-B758-E80AA0CAE007}"/>
    <cellStyle name="Linked Cell 5 4 5 2 2" xfId="37301" xr:uid="{C130D55A-ABFE-4739-B33B-982716D11631}"/>
    <cellStyle name="Linked Cell 5 4 5 3" xfId="37302" xr:uid="{CBD30FE7-056B-4DF0-B757-A3ADF1D6F4E2}"/>
    <cellStyle name="Linked Cell 5 4 6" xfId="37303" xr:uid="{5145F164-10D9-4DC2-AA44-7097918960B0}"/>
    <cellStyle name="Linked Cell 5 4 6 2" xfId="37304" xr:uid="{523B0D0B-56E0-4E96-AD0E-D3ACE889FC90}"/>
    <cellStyle name="Linked Cell 5 4 6 2 2" xfId="37305" xr:uid="{6373BBB6-02DB-4A1C-B956-17B73A3001B2}"/>
    <cellStyle name="Linked Cell 5 4 6 3" xfId="37306" xr:uid="{783F50CB-631B-4820-987B-999A71904237}"/>
    <cellStyle name="Linked Cell 5 4 7" xfId="37307" xr:uid="{F0EB3326-8124-4CB8-BE02-B34ABF920459}"/>
    <cellStyle name="Linked Cell 5 4 7 2" xfId="37308" xr:uid="{776F7CE1-5909-440C-B08A-C5C5D1D8EAF4}"/>
    <cellStyle name="Linked Cell 5 4 7 2 2" xfId="37309" xr:uid="{F052AF16-8BFC-4313-9819-E2325B7AD6A7}"/>
    <cellStyle name="Linked Cell 5 4 7 3" xfId="37310" xr:uid="{3AC9F492-5195-41D6-822B-0A95E8583D87}"/>
    <cellStyle name="Linked Cell 5 4 8" xfId="37311" xr:uid="{4951AD40-CF87-483E-8380-C4D5D601F827}"/>
    <cellStyle name="Linked Cell 5 4 8 2" xfId="37312" xr:uid="{65CF9CF9-C861-45F7-8DA6-22BE02C5AFCD}"/>
    <cellStyle name="Linked Cell 5 4 8 2 2" xfId="37313" xr:uid="{6E8FD2A3-239F-4F08-AC72-5CA345E0744F}"/>
    <cellStyle name="Linked Cell 5 4 8 3" xfId="37314" xr:uid="{CB8FB046-94F8-450D-AEB3-7CA55EF6A94A}"/>
    <cellStyle name="Linked Cell 5 4 9" xfId="37315" xr:uid="{BC8C52CB-99C6-4165-837C-7E1F729D20A0}"/>
    <cellStyle name="Linked Cell 5 4 9 2" xfId="37316" xr:uid="{902A353E-124B-43B4-969E-736DC686DB2D}"/>
    <cellStyle name="Linked Cell 5 4 9 2 2" xfId="37317" xr:uid="{6248CDAD-49E8-4162-BAC5-45645D585729}"/>
    <cellStyle name="Linked Cell 5 4 9 3" xfId="37318" xr:uid="{2F02634A-A57E-4235-A281-6A248651FA4B}"/>
    <cellStyle name="Linked Cell 6" xfId="37319" xr:uid="{C8149B15-F4A8-4B9C-8D03-86389BC57F9E}"/>
    <cellStyle name="Linked Cell 6 2" xfId="37320" xr:uid="{AC86AB04-8BFE-4D40-86ED-AE37352DBC4F}"/>
    <cellStyle name="Linked Cell 6 2 10" xfId="37321" xr:uid="{E1AB4052-7781-4C56-BF99-9FB321AEB2C9}"/>
    <cellStyle name="Linked Cell 6 2 10 2" xfId="37322" xr:uid="{FDA9AA91-F4DA-4E68-95A6-07C5160CD493}"/>
    <cellStyle name="Linked Cell 6 2 10 2 2" xfId="37323" xr:uid="{D2B18AC2-A37A-4D74-A37B-8DD051395D5A}"/>
    <cellStyle name="Linked Cell 6 2 10 3" xfId="37324" xr:uid="{CAEA43C1-16AF-402B-853B-76C34388156A}"/>
    <cellStyle name="Linked Cell 6 2 11" xfId="37325" xr:uid="{FEAEB0FA-3C0A-470F-BFF3-10F4504577FF}"/>
    <cellStyle name="Linked Cell 6 2 11 2" xfId="37326" xr:uid="{F357EF10-D41B-4141-A81F-19159DB92883}"/>
    <cellStyle name="Linked Cell 6 2 11 2 2" xfId="37327" xr:uid="{6A5BD8BF-8865-49DF-BC08-E495CD1EB3D1}"/>
    <cellStyle name="Linked Cell 6 2 11 3" xfId="37328" xr:uid="{DC94A984-6245-4EE5-9F10-C8203DF246AD}"/>
    <cellStyle name="Linked Cell 6 2 12" xfId="37329" xr:uid="{4A064FD1-8427-4F43-928A-788EFB37FBAD}"/>
    <cellStyle name="Linked Cell 6 2 12 2" xfId="37330" xr:uid="{1C87C821-0701-49AB-8140-F693B035800B}"/>
    <cellStyle name="Linked Cell 6 2 12 2 2" xfId="37331" xr:uid="{A1EDA0E9-7661-4359-A147-66B34CA55B09}"/>
    <cellStyle name="Linked Cell 6 2 12 3" xfId="37332" xr:uid="{7DD52E1E-8CB4-46A6-8F85-28430154AAC7}"/>
    <cellStyle name="Linked Cell 6 2 13" xfId="37333" xr:uid="{039EEB61-30E5-4217-BCEA-1D0464629C6B}"/>
    <cellStyle name="Linked Cell 6 2 13 2" xfId="37334" xr:uid="{34303176-6345-4A9A-9CF6-0349833F9409}"/>
    <cellStyle name="Linked Cell 6 2 13 2 2" xfId="37335" xr:uid="{B1A78D8A-A367-40BC-A09E-C63B8B2D2CA9}"/>
    <cellStyle name="Linked Cell 6 2 13 3" xfId="37336" xr:uid="{15A07F43-8813-40BA-AA24-3F61ADB19C6E}"/>
    <cellStyle name="Linked Cell 6 2 14" xfId="37337" xr:uid="{F38551BD-1E37-4C7E-9512-0E5448A18CAA}"/>
    <cellStyle name="Linked Cell 6 2 14 2" xfId="37338" xr:uid="{18C8FDD3-F666-479C-BC39-DBB7E3A9AC37}"/>
    <cellStyle name="Linked Cell 6 2 15" xfId="37339" xr:uid="{DACC04E1-A498-4E95-A3B4-9B10C106FBC1}"/>
    <cellStyle name="Linked Cell 6 2 2" xfId="37340" xr:uid="{EA9408CE-D818-4B57-A8CF-94F468CAB00D}"/>
    <cellStyle name="Linked Cell 6 2 2 10" xfId="37341" xr:uid="{D06A20CD-C851-43C0-9D7D-FDFD5451EFD0}"/>
    <cellStyle name="Linked Cell 6 2 2 10 2" xfId="37342" xr:uid="{79F61542-B029-4DCE-8686-4A3F7594E44B}"/>
    <cellStyle name="Linked Cell 6 2 2 10 2 2" xfId="37343" xr:uid="{0104D0D7-0AAA-4C13-8A9D-3AE0EDF8309A}"/>
    <cellStyle name="Linked Cell 6 2 2 10 3" xfId="37344" xr:uid="{94DFE738-A585-41B4-B093-B6731577DA55}"/>
    <cellStyle name="Linked Cell 6 2 2 11" xfId="37345" xr:uid="{14372C90-5EC9-4196-8CD2-4C5A0B97B69D}"/>
    <cellStyle name="Linked Cell 6 2 2 11 2" xfId="37346" xr:uid="{A4DBF64B-121D-436F-A43D-275C30FEBE97}"/>
    <cellStyle name="Linked Cell 6 2 2 11 2 2" xfId="37347" xr:uid="{5F7CE016-FCC4-402E-A0A8-8555D4A1B60A}"/>
    <cellStyle name="Linked Cell 6 2 2 11 3" xfId="37348" xr:uid="{82EDC5D7-EF49-4CDC-BE59-7635B115BDD3}"/>
    <cellStyle name="Linked Cell 6 2 2 12" xfId="37349" xr:uid="{12325127-FA5B-4B70-9EDE-E25500254FF6}"/>
    <cellStyle name="Linked Cell 6 2 2 12 2" xfId="37350" xr:uid="{AC690175-FE8B-4715-A753-20B79CD0770F}"/>
    <cellStyle name="Linked Cell 6 2 2 12 2 2" xfId="37351" xr:uid="{75AD97FC-13F1-44D0-BFD0-C733D5B2D52D}"/>
    <cellStyle name="Linked Cell 6 2 2 12 3" xfId="37352" xr:uid="{349B109B-AB8B-420E-AA97-475CCCB035A4}"/>
    <cellStyle name="Linked Cell 6 2 2 13" xfId="37353" xr:uid="{7647ABD7-BBDC-4867-BF2F-540BC36AF4A3}"/>
    <cellStyle name="Linked Cell 6 2 2 13 2" xfId="37354" xr:uid="{51289295-6B6A-4084-B749-705CD8E4DB4E}"/>
    <cellStyle name="Linked Cell 6 2 2 14" xfId="37355" xr:uid="{D54E537A-D996-4E41-99EC-A9362E6825F4}"/>
    <cellStyle name="Linked Cell 6 2 2 2" xfId="37356" xr:uid="{584919C8-ECA3-4DF6-BCA2-BE9C9D9231B0}"/>
    <cellStyle name="Linked Cell 6 2 2 2 10" xfId="37357" xr:uid="{21D684AA-B063-46DF-98B3-51C181471AEC}"/>
    <cellStyle name="Linked Cell 6 2 2 2 10 2" xfId="37358" xr:uid="{A0F6C816-5424-4A12-8EE1-0EEC8D1B38EA}"/>
    <cellStyle name="Linked Cell 6 2 2 2 10 2 2" xfId="37359" xr:uid="{26464040-228D-4479-8DFB-08D94055DE62}"/>
    <cellStyle name="Linked Cell 6 2 2 2 10 3" xfId="37360" xr:uid="{BB41628E-6038-4BAD-9453-6F34782D6CE2}"/>
    <cellStyle name="Linked Cell 6 2 2 2 11" xfId="37361" xr:uid="{FF1FE498-0770-4CDE-BBF6-E16AD9E511A4}"/>
    <cellStyle name="Linked Cell 6 2 2 2 11 2" xfId="37362" xr:uid="{947CF8A6-155B-4536-B01D-9A0F1C30D9D3}"/>
    <cellStyle name="Linked Cell 6 2 2 2 11 2 2" xfId="37363" xr:uid="{C6FE25C9-F0DF-43BC-9B85-8BFB69F6E4F1}"/>
    <cellStyle name="Linked Cell 6 2 2 2 11 3" xfId="37364" xr:uid="{6FBF5210-0BFD-4F1A-8528-05CD1DC361A9}"/>
    <cellStyle name="Linked Cell 6 2 2 2 12" xfId="37365" xr:uid="{F7CEEFFA-A91E-423B-834E-EF5ABC8E7632}"/>
    <cellStyle name="Linked Cell 6 2 2 2 12 2" xfId="37366" xr:uid="{62317034-7598-43F8-84BF-0DCB0C809F3F}"/>
    <cellStyle name="Linked Cell 6 2 2 2 13" xfId="37367" xr:uid="{547E3AD5-16C3-4871-B5DD-5A376FFD915B}"/>
    <cellStyle name="Linked Cell 6 2 2 2 2" xfId="37368" xr:uid="{53107172-45CB-4422-9C81-C809D1DF704F}"/>
    <cellStyle name="Linked Cell 6 2 2 2 2 10" xfId="37369" xr:uid="{F73CE751-DFDF-4056-A550-96D1D7876AF9}"/>
    <cellStyle name="Linked Cell 6 2 2 2 2 10 2" xfId="37370" xr:uid="{929A6776-AFD5-47C8-BF9C-02E90A6306E3}"/>
    <cellStyle name="Linked Cell 6 2 2 2 2 10 2 2" xfId="37371" xr:uid="{2FF2D85B-FFAE-447B-9413-23052AB821C8}"/>
    <cellStyle name="Linked Cell 6 2 2 2 2 10 3" xfId="37372" xr:uid="{ECC3AA35-3672-4213-BC01-56BF59FF1040}"/>
    <cellStyle name="Linked Cell 6 2 2 2 2 11" xfId="37373" xr:uid="{19783CF0-7B3A-44B6-8238-41C1073A28EE}"/>
    <cellStyle name="Linked Cell 6 2 2 2 2 11 2" xfId="37374" xr:uid="{664F9FB2-3946-4285-B8EF-26B338A6DCA6}"/>
    <cellStyle name="Linked Cell 6 2 2 2 2 12" xfId="37375" xr:uid="{52C9826B-1479-4644-A8B3-EFC2F8DD3C7D}"/>
    <cellStyle name="Linked Cell 6 2 2 2 2 2" xfId="37376" xr:uid="{8F51516E-3898-4135-8BCB-6515573904FF}"/>
    <cellStyle name="Linked Cell 6 2 2 2 2 2 2" xfId="37377" xr:uid="{DD27BE7C-82C7-41AB-865F-2031120802E1}"/>
    <cellStyle name="Linked Cell 6 2 2 2 2 2 2 2" xfId="37378" xr:uid="{5B09AC8C-D86B-4177-9D1D-AF8A453F3691}"/>
    <cellStyle name="Linked Cell 6 2 2 2 2 2 3" xfId="37379" xr:uid="{3C7B7E35-A742-4DFD-8CCF-9C84B4543BDA}"/>
    <cellStyle name="Linked Cell 6 2 2 2 2 3" xfId="37380" xr:uid="{81B7256C-4E6E-46D6-AC87-0502EEBFBDDA}"/>
    <cellStyle name="Linked Cell 6 2 2 2 2 3 2" xfId="37381" xr:uid="{F00760D7-C065-4FB0-99C5-C94BCA4FADA8}"/>
    <cellStyle name="Linked Cell 6 2 2 2 2 3 2 2" xfId="37382" xr:uid="{9073E7FF-5F64-4AB7-BC67-76BA0928866E}"/>
    <cellStyle name="Linked Cell 6 2 2 2 2 3 3" xfId="37383" xr:uid="{16A3F07C-5127-4115-9299-1E57A85EA682}"/>
    <cellStyle name="Linked Cell 6 2 2 2 2 4" xfId="37384" xr:uid="{2CFF5D3B-91FF-4A33-8BCB-1DD3425E4D55}"/>
    <cellStyle name="Linked Cell 6 2 2 2 2 4 2" xfId="37385" xr:uid="{A3684A35-5C88-4F22-8D61-A3C2F0DBFC9D}"/>
    <cellStyle name="Linked Cell 6 2 2 2 2 4 2 2" xfId="37386" xr:uid="{EE1068E1-3D12-4043-A55B-D13E75A78458}"/>
    <cellStyle name="Linked Cell 6 2 2 2 2 4 3" xfId="37387" xr:uid="{344CB51C-A6A7-4DFA-B103-BC02D0A11A3F}"/>
    <cellStyle name="Linked Cell 6 2 2 2 2 5" xfId="37388" xr:uid="{54DE8411-B838-474D-8E6F-4B40AA0A78AC}"/>
    <cellStyle name="Linked Cell 6 2 2 2 2 5 2" xfId="37389" xr:uid="{C8079723-31C1-4A44-8FD7-F60B1C6F538D}"/>
    <cellStyle name="Linked Cell 6 2 2 2 2 5 2 2" xfId="37390" xr:uid="{9A9AACA2-F2B9-46EA-B66C-B32D24BC5DC8}"/>
    <cellStyle name="Linked Cell 6 2 2 2 2 5 3" xfId="37391" xr:uid="{046F599B-F977-478D-AC80-7C12066865D8}"/>
    <cellStyle name="Linked Cell 6 2 2 2 2 6" xfId="37392" xr:uid="{5C09DF2F-0D96-4522-A70E-811EDB14D196}"/>
    <cellStyle name="Linked Cell 6 2 2 2 2 6 2" xfId="37393" xr:uid="{F4487560-3E62-4B8B-935C-4A8F7034165E}"/>
    <cellStyle name="Linked Cell 6 2 2 2 2 6 2 2" xfId="37394" xr:uid="{88E43854-141D-4594-94E3-85BB37150AD0}"/>
    <cellStyle name="Linked Cell 6 2 2 2 2 6 3" xfId="37395" xr:uid="{672B466D-0BA7-4C20-91D4-0104376E22B5}"/>
    <cellStyle name="Linked Cell 6 2 2 2 2 7" xfId="37396" xr:uid="{CD21C91D-2989-4936-B7C4-1601741A88FB}"/>
    <cellStyle name="Linked Cell 6 2 2 2 2 7 2" xfId="37397" xr:uid="{392061E9-5586-4674-97EA-CCF02B0C838D}"/>
    <cellStyle name="Linked Cell 6 2 2 2 2 7 2 2" xfId="37398" xr:uid="{64453FCA-63B9-4808-A6DD-8A2D70023091}"/>
    <cellStyle name="Linked Cell 6 2 2 2 2 7 3" xfId="37399" xr:uid="{7AC61358-03A5-41F8-824C-81941A948EEA}"/>
    <cellStyle name="Linked Cell 6 2 2 2 2 8" xfId="37400" xr:uid="{49F9CF7B-A2B9-4D11-B03D-0765FE15E4DB}"/>
    <cellStyle name="Linked Cell 6 2 2 2 2 8 2" xfId="37401" xr:uid="{B48E12F0-2533-41AD-AD1D-FDD779CC24FD}"/>
    <cellStyle name="Linked Cell 6 2 2 2 2 8 2 2" xfId="37402" xr:uid="{70FFCBE4-F84B-4A1D-8172-941380DA0AEE}"/>
    <cellStyle name="Linked Cell 6 2 2 2 2 8 3" xfId="37403" xr:uid="{71FB846D-2798-4095-ACF3-C21A5A784BF1}"/>
    <cellStyle name="Linked Cell 6 2 2 2 2 9" xfId="37404" xr:uid="{B451186B-6D26-48EB-961B-1E27B79E1D6B}"/>
    <cellStyle name="Linked Cell 6 2 2 2 2 9 2" xfId="37405" xr:uid="{9F5F498F-D620-4D04-92C5-1EB07D6E7A08}"/>
    <cellStyle name="Linked Cell 6 2 2 2 2 9 2 2" xfId="37406" xr:uid="{EA53AC01-F90C-4CFC-BF5F-B736CE99560C}"/>
    <cellStyle name="Linked Cell 6 2 2 2 2 9 3" xfId="37407" xr:uid="{52AFAE3F-1DCC-486D-8972-71F2F346D081}"/>
    <cellStyle name="Linked Cell 6 2 2 2 3" xfId="37408" xr:uid="{36DB3AE9-5EC9-42D4-90AD-21338635F098}"/>
    <cellStyle name="Linked Cell 6 2 2 2 3 10" xfId="37409" xr:uid="{123AF898-0290-4495-9628-6E11B1B37F9F}"/>
    <cellStyle name="Linked Cell 6 2 2 2 3 10 2" xfId="37410" xr:uid="{710A63D2-4714-4027-9DEC-5B0CEF537F83}"/>
    <cellStyle name="Linked Cell 6 2 2 2 3 11" xfId="37411" xr:uid="{7FDFD709-C526-4A7A-ABBB-CEFC90A17D38}"/>
    <cellStyle name="Linked Cell 6 2 2 2 3 2" xfId="37412" xr:uid="{8D1BDA41-8CC8-42C3-819F-FF5382B18F14}"/>
    <cellStyle name="Linked Cell 6 2 2 2 3 2 2" xfId="37413" xr:uid="{7F6C921A-B18C-4AC6-A76B-66B5FF6A69F1}"/>
    <cellStyle name="Linked Cell 6 2 2 2 3 2 2 2" xfId="37414" xr:uid="{EA6F09B2-FF63-4349-912A-99655177E980}"/>
    <cellStyle name="Linked Cell 6 2 2 2 3 2 3" xfId="37415" xr:uid="{78BC8EDD-53A0-4E16-8C31-C07D1017CF3D}"/>
    <cellStyle name="Linked Cell 6 2 2 2 3 3" xfId="37416" xr:uid="{A600C585-7408-455B-B824-2F0865920B48}"/>
    <cellStyle name="Linked Cell 6 2 2 2 3 3 2" xfId="37417" xr:uid="{808C8510-C474-4409-9D07-ABF3E3E60F33}"/>
    <cellStyle name="Linked Cell 6 2 2 2 3 3 2 2" xfId="37418" xr:uid="{B40CBE53-3D9C-439B-808E-6692AD745EDD}"/>
    <cellStyle name="Linked Cell 6 2 2 2 3 3 3" xfId="37419" xr:uid="{986460EA-B71C-48EC-A802-75059DE6557B}"/>
    <cellStyle name="Linked Cell 6 2 2 2 3 4" xfId="37420" xr:uid="{691A574F-FFDA-423E-91AC-A4EBCE394160}"/>
    <cellStyle name="Linked Cell 6 2 2 2 3 4 2" xfId="37421" xr:uid="{7C62E2C1-7C9F-423C-81B1-B31BBE0A17B2}"/>
    <cellStyle name="Linked Cell 6 2 2 2 3 4 2 2" xfId="37422" xr:uid="{45ADD2AF-97CA-4A49-A669-7B2A065B266F}"/>
    <cellStyle name="Linked Cell 6 2 2 2 3 4 3" xfId="37423" xr:uid="{51341EA7-40B2-425D-A2C8-12FCACA94A56}"/>
    <cellStyle name="Linked Cell 6 2 2 2 3 5" xfId="37424" xr:uid="{22E0ED8E-2133-4F54-8E16-9A32002FF551}"/>
    <cellStyle name="Linked Cell 6 2 2 2 3 5 2" xfId="37425" xr:uid="{4D8EED2E-4910-4753-B403-C0BEB4CC7B63}"/>
    <cellStyle name="Linked Cell 6 2 2 2 3 5 2 2" xfId="37426" xr:uid="{8B983C38-A828-45B3-91C3-43CA1E2885B6}"/>
    <cellStyle name="Linked Cell 6 2 2 2 3 5 3" xfId="37427" xr:uid="{7538C482-D268-40D2-BA1F-9E2EC9E224F3}"/>
    <cellStyle name="Linked Cell 6 2 2 2 3 6" xfId="37428" xr:uid="{229CDCC4-FAB0-4A22-9C83-F8DC2B1C06A4}"/>
    <cellStyle name="Linked Cell 6 2 2 2 3 6 2" xfId="37429" xr:uid="{43C9F020-3BB3-40C9-964C-FE605DDB13A7}"/>
    <cellStyle name="Linked Cell 6 2 2 2 3 6 2 2" xfId="37430" xr:uid="{57AB938C-9918-4204-B7B2-6608A9BE39AE}"/>
    <cellStyle name="Linked Cell 6 2 2 2 3 6 3" xfId="37431" xr:uid="{FA0E39B6-2FE0-4D95-92F2-57CEC4BCCA61}"/>
    <cellStyle name="Linked Cell 6 2 2 2 3 7" xfId="37432" xr:uid="{17FDE5BF-2580-489B-875D-A3BBF34937AB}"/>
    <cellStyle name="Linked Cell 6 2 2 2 3 7 2" xfId="37433" xr:uid="{86CB5BDC-90ED-4A05-8B63-94DCF115D3B3}"/>
    <cellStyle name="Linked Cell 6 2 2 2 3 7 2 2" xfId="37434" xr:uid="{C055BC27-7236-490E-A461-CD63B3DC4545}"/>
    <cellStyle name="Linked Cell 6 2 2 2 3 7 3" xfId="37435" xr:uid="{63486E4E-5BA0-4348-A045-A436F5778909}"/>
    <cellStyle name="Linked Cell 6 2 2 2 3 8" xfId="37436" xr:uid="{0B8F6BF2-1BC5-4E8B-A0B4-A38034EB6C8F}"/>
    <cellStyle name="Linked Cell 6 2 2 2 3 8 2" xfId="37437" xr:uid="{B1E963E8-7CEA-44AF-9695-D77C1732AD1E}"/>
    <cellStyle name="Linked Cell 6 2 2 2 3 8 2 2" xfId="37438" xr:uid="{8C43EC4A-63EA-41F7-AA9D-6AB1D4BBEF70}"/>
    <cellStyle name="Linked Cell 6 2 2 2 3 8 3" xfId="37439" xr:uid="{9E4C9757-A3D5-4629-9082-7528220C11AA}"/>
    <cellStyle name="Linked Cell 6 2 2 2 3 9" xfId="37440" xr:uid="{931F0879-7B35-4396-843E-D0362C469AC2}"/>
    <cellStyle name="Linked Cell 6 2 2 2 3 9 2" xfId="37441" xr:uid="{51D7E9CE-2EE4-4068-BBE5-472C16D2CCC0}"/>
    <cellStyle name="Linked Cell 6 2 2 2 3 9 2 2" xfId="37442" xr:uid="{6F1DCBD6-C65C-4C00-BA81-8CC91350B1A7}"/>
    <cellStyle name="Linked Cell 6 2 2 2 3 9 3" xfId="37443" xr:uid="{C547F962-625E-4ADC-B018-26CD88B79802}"/>
    <cellStyle name="Linked Cell 6 2 2 2 4" xfId="37444" xr:uid="{48917517-B577-41C1-A3DF-C6BCF2D12C88}"/>
    <cellStyle name="Linked Cell 6 2 2 2 4 2" xfId="37445" xr:uid="{1EB94C5E-A34D-4B21-9CD7-7D77CCD39CCE}"/>
    <cellStyle name="Linked Cell 6 2 2 2 4 2 2" xfId="37446" xr:uid="{CD027645-36EC-4875-8933-E3A8B6DA7D33}"/>
    <cellStyle name="Linked Cell 6 2 2 2 4 3" xfId="37447" xr:uid="{E3D0D3B4-3547-409F-8EA2-753224B71D6B}"/>
    <cellStyle name="Linked Cell 6 2 2 2 5" xfId="37448" xr:uid="{964391AF-0A2E-42CD-873C-BF61016F8FEB}"/>
    <cellStyle name="Linked Cell 6 2 2 2 5 2" xfId="37449" xr:uid="{65999CB8-D9C5-428D-A5A3-1B409A05D5AE}"/>
    <cellStyle name="Linked Cell 6 2 2 2 5 2 2" xfId="37450" xr:uid="{1A8176AD-F1D7-48FF-8559-0CED4042C057}"/>
    <cellStyle name="Linked Cell 6 2 2 2 5 3" xfId="37451" xr:uid="{32DD91D6-1B06-46C4-8850-AF1C0CE373B6}"/>
    <cellStyle name="Linked Cell 6 2 2 2 6" xfId="37452" xr:uid="{D7BBD502-27E6-4350-9FB8-FCE9B8F6168F}"/>
    <cellStyle name="Linked Cell 6 2 2 2 6 2" xfId="37453" xr:uid="{C36D9849-9D92-4ED7-BC6D-49A30A34C153}"/>
    <cellStyle name="Linked Cell 6 2 2 2 6 2 2" xfId="37454" xr:uid="{06625A7A-9CF7-4894-B842-8EA7AE415AF6}"/>
    <cellStyle name="Linked Cell 6 2 2 2 6 3" xfId="37455" xr:uid="{7CE9B209-3B82-4E48-BEA8-9DDAD0EC382D}"/>
    <cellStyle name="Linked Cell 6 2 2 2 7" xfId="37456" xr:uid="{B39E8C5D-EFD4-47A9-A22A-0EB510CAC59A}"/>
    <cellStyle name="Linked Cell 6 2 2 2 7 2" xfId="37457" xr:uid="{5FAB215E-55E7-44B1-9C80-8617986CF04F}"/>
    <cellStyle name="Linked Cell 6 2 2 2 7 2 2" xfId="37458" xr:uid="{6AE18A02-FC9B-4BF1-AF32-5B33DC557CF1}"/>
    <cellStyle name="Linked Cell 6 2 2 2 7 3" xfId="37459" xr:uid="{4C724291-58F0-4511-B94F-F279335F55D9}"/>
    <cellStyle name="Linked Cell 6 2 2 2 8" xfId="37460" xr:uid="{D81AE439-9E2B-4DA7-9DCA-6CB7D0FF175A}"/>
    <cellStyle name="Linked Cell 6 2 2 2 8 2" xfId="37461" xr:uid="{B878B6F7-3116-45EC-8941-46AA4E8E40C0}"/>
    <cellStyle name="Linked Cell 6 2 2 2 8 2 2" xfId="37462" xr:uid="{E60EA6C2-5AAC-4F3F-AA7F-1E38FB88518F}"/>
    <cellStyle name="Linked Cell 6 2 2 2 8 3" xfId="37463" xr:uid="{BC6CCF0D-AF19-407A-B2BA-4ADC6030DDAC}"/>
    <cellStyle name="Linked Cell 6 2 2 2 9" xfId="37464" xr:uid="{CF0F71D6-90DF-484F-AD48-37F1174B7227}"/>
    <cellStyle name="Linked Cell 6 2 2 2 9 2" xfId="37465" xr:uid="{3B3F11EC-39C7-4960-8A54-9A860FCA826E}"/>
    <cellStyle name="Linked Cell 6 2 2 2 9 2 2" xfId="37466" xr:uid="{F01DCF90-74BE-4E60-88FC-185E883B9B42}"/>
    <cellStyle name="Linked Cell 6 2 2 2 9 3" xfId="37467" xr:uid="{582E2546-F62E-4403-A1B8-0A8EB6DFE09E}"/>
    <cellStyle name="Linked Cell 6 2 2 3" xfId="37468" xr:uid="{2D3D2D6C-C547-4BC8-9A09-728CDF93C76F}"/>
    <cellStyle name="Linked Cell 6 2 2 3 10" xfId="37469" xr:uid="{76D8D41B-96C0-426E-9274-BDAC39D4CCA3}"/>
    <cellStyle name="Linked Cell 6 2 2 3 10 2" xfId="37470" xr:uid="{A1E236DE-BB27-430D-97B8-E26302A68EE4}"/>
    <cellStyle name="Linked Cell 6 2 2 3 10 2 2" xfId="37471" xr:uid="{DDCF73FE-07F4-4150-B1B4-5799EAA411EC}"/>
    <cellStyle name="Linked Cell 6 2 2 3 10 3" xfId="37472" xr:uid="{AED75A88-90F7-496C-BD00-C76413F88399}"/>
    <cellStyle name="Linked Cell 6 2 2 3 11" xfId="37473" xr:uid="{BE5E8BA7-8731-47D8-9C5F-3ED27D3BB18C}"/>
    <cellStyle name="Linked Cell 6 2 2 3 11 2" xfId="37474" xr:uid="{AF27B2CB-E3AD-4794-B527-2148E32B736C}"/>
    <cellStyle name="Linked Cell 6 2 2 3 12" xfId="37475" xr:uid="{840C6DE4-2B59-4681-89E4-2ACCDD6DD4CF}"/>
    <cellStyle name="Linked Cell 6 2 2 3 2" xfId="37476" xr:uid="{9F59E350-C0AA-473E-ADA0-EB3E84B97109}"/>
    <cellStyle name="Linked Cell 6 2 2 3 2 10" xfId="37477" xr:uid="{8D42DCD4-FB11-4715-92FE-B685C2634849}"/>
    <cellStyle name="Linked Cell 6 2 2 3 2 10 2" xfId="37478" xr:uid="{4CE980D3-587A-47DF-891D-1F00881DACDC}"/>
    <cellStyle name="Linked Cell 6 2 2 3 2 11" xfId="37479" xr:uid="{059BEA62-56D9-4B75-A8E3-77F5C1C85F34}"/>
    <cellStyle name="Linked Cell 6 2 2 3 2 2" xfId="37480" xr:uid="{2F5F4E69-0338-4D2C-97A4-E366E38C3E44}"/>
    <cellStyle name="Linked Cell 6 2 2 3 2 2 2" xfId="37481" xr:uid="{5BB0987E-399C-4621-9CA1-8F593F2F3B93}"/>
    <cellStyle name="Linked Cell 6 2 2 3 2 2 2 2" xfId="37482" xr:uid="{B4034D1A-5E85-4DEC-BC32-EAB4C5355E07}"/>
    <cellStyle name="Linked Cell 6 2 2 3 2 2 3" xfId="37483" xr:uid="{0CDD877E-004B-4CCB-8F16-80547D96D600}"/>
    <cellStyle name="Linked Cell 6 2 2 3 2 3" xfId="37484" xr:uid="{140885A3-455D-4AA5-99EB-35083A0030E4}"/>
    <cellStyle name="Linked Cell 6 2 2 3 2 3 2" xfId="37485" xr:uid="{15B6EE61-6E8D-497E-A5DC-EBFAE283C1F5}"/>
    <cellStyle name="Linked Cell 6 2 2 3 2 3 2 2" xfId="37486" xr:uid="{8C8E4757-2601-47B9-882A-656F4F203844}"/>
    <cellStyle name="Linked Cell 6 2 2 3 2 3 3" xfId="37487" xr:uid="{6BB1AB6B-DFF4-4AAC-A700-6F5C48650FCA}"/>
    <cellStyle name="Linked Cell 6 2 2 3 2 4" xfId="37488" xr:uid="{0265053C-BB23-4AC2-9DF7-14AC018C1B76}"/>
    <cellStyle name="Linked Cell 6 2 2 3 2 4 2" xfId="37489" xr:uid="{BBE7E5A6-64E0-42DD-95F2-BDFA70C92B4C}"/>
    <cellStyle name="Linked Cell 6 2 2 3 2 4 2 2" xfId="37490" xr:uid="{1D0FF112-BFD2-4E73-B002-82D0CB7E46ED}"/>
    <cellStyle name="Linked Cell 6 2 2 3 2 4 3" xfId="37491" xr:uid="{508808C9-8CA7-47EC-9293-59A7093E4DF5}"/>
    <cellStyle name="Linked Cell 6 2 2 3 2 5" xfId="37492" xr:uid="{18222818-BBB3-41DB-96D6-47A0BC5AAD63}"/>
    <cellStyle name="Linked Cell 6 2 2 3 2 5 2" xfId="37493" xr:uid="{9728F78C-301E-44C5-92C6-5397F7D551F9}"/>
    <cellStyle name="Linked Cell 6 2 2 3 2 5 2 2" xfId="37494" xr:uid="{A527BE80-83F8-4328-B527-8C9E0C8FB8EB}"/>
    <cellStyle name="Linked Cell 6 2 2 3 2 5 3" xfId="37495" xr:uid="{39F5C627-591F-4493-A9EB-B00299E02A12}"/>
    <cellStyle name="Linked Cell 6 2 2 3 2 6" xfId="37496" xr:uid="{4B53F583-0A0D-4E43-9081-D114EDBB2F04}"/>
    <cellStyle name="Linked Cell 6 2 2 3 2 6 2" xfId="37497" xr:uid="{011117B4-6F4C-439F-9851-F004FD60C94D}"/>
    <cellStyle name="Linked Cell 6 2 2 3 2 6 2 2" xfId="37498" xr:uid="{836A6C6F-306C-42FC-8C9D-C9C50210574E}"/>
    <cellStyle name="Linked Cell 6 2 2 3 2 6 3" xfId="37499" xr:uid="{3AD86EE9-16D3-4551-9995-E05BC56EC92D}"/>
    <cellStyle name="Linked Cell 6 2 2 3 2 7" xfId="37500" xr:uid="{D5E0B315-5387-42E5-B3F0-E00135548FDF}"/>
    <cellStyle name="Linked Cell 6 2 2 3 2 7 2" xfId="37501" xr:uid="{92D8924A-D9BF-4B5C-9206-F65E6B47FCD4}"/>
    <cellStyle name="Linked Cell 6 2 2 3 2 7 2 2" xfId="37502" xr:uid="{C75019C7-256B-4AB9-8273-87A62E175066}"/>
    <cellStyle name="Linked Cell 6 2 2 3 2 7 3" xfId="37503" xr:uid="{2C8C0B62-3F57-4B96-8584-B0D796C3F25B}"/>
    <cellStyle name="Linked Cell 6 2 2 3 2 8" xfId="37504" xr:uid="{73C5F2AE-84FB-4CCA-8968-1CD32BD1A00E}"/>
    <cellStyle name="Linked Cell 6 2 2 3 2 8 2" xfId="37505" xr:uid="{45C53060-7BBB-46C9-A0D5-E64F9B093653}"/>
    <cellStyle name="Linked Cell 6 2 2 3 2 8 2 2" xfId="37506" xr:uid="{F41B77DF-437A-49B1-ACEB-C998F12B134C}"/>
    <cellStyle name="Linked Cell 6 2 2 3 2 8 3" xfId="37507" xr:uid="{78AE0501-A3FF-4C7B-8576-9BDC1CD4F5F6}"/>
    <cellStyle name="Linked Cell 6 2 2 3 2 9" xfId="37508" xr:uid="{2D9FCF6C-E867-42FE-9A79-970B8325944A}"/>
    <cellStyle name="Linked Cell 6 2 2 3 2 9 2" xfId="37509" xr:uid="{2AD2AE21-E49D-4E48-BB35-72F9A6C819D9}"/>
    <cellStyle name="Linked Cell 6 2 2 3 2 9 2 2" xfId="37510" xr:uid="{116F83F1-D669-4FC0-8980-6A3A951C241E}"/>
    <cellStyle name="Linked Cell 6 2 2 3 2 9 3" xfId="37511" xr:uid="{85E034CF-9C85-4D88-8B1B-4C2893BA08EC}"/>
    <cellStyle name="Linked Cell 6 2 2 3 3" xfId="37512" xr:uid="{5B8720E3-9E66-4716-87D1-27C585506FDC}"/>
    <cellStyle name="Linked Cell 6 2 2 3 3 2" xfId="37513" xr:uid="{709B7F81-D27D-4E93-B275-B95572F6850A}"/>
    <cellStyle name="Linked Cell 6 2 2 3 3 2 2" xfId="37514" xr:uid="{09E2D07C-0AD7-4B83-8E37-B69EC7959A8C}"/>
    <cellStyle name="Linked Cell 6 2 2 3 3 3" xfId="37515" xr:uid="{278FDF93-5A46-4B3F-8C3F-6F7B0B709368}"/>
    <cellStyle name="Linked Cell 6 2 2 3 4" xfId="37516" xr:uid="{EC6A15A3-55C7-4FBB-88E7-EA66C058C497}"/>
    <cellStyle name="Linked Cell 6 2 2 3 4 2" xfId="37517" xr:uid="{C6C9E27C-AD53-4674-B2DB-1E09980048A7}"/>
    <cellStyle name="Linked Cell 6 2 2 3 4 2 2" xfId="37518" xr:uid="{555CAFFF-B2FD-456F-B3E5-286172555440}"/>
    <cellStyle name="Linked Cell 6 2 2 3 4 3" xfId="37519" xr:uid="{4675ED70-E9C8-49E9-A62B-37977940D6D1}"/>
    <cellStyle name="Linked Cell 6 2 2 3 5" xfId="37520" xr:uid="{091D76FD-5FE5-4757-8BC9-4D59980FC69B}"/>
    <cellStyle name="Linked Cell 6 2 2 3 5 2" xfId="37521" xr:uid="{819A9A24-A055-4192-A37A-C9EC23DEA3B7}"/>
    <cellStyle name="Linked Cell 6 2 2 3 5 2 2" xfId="37522" xr:uid="{6DEFB8E1-3624-433D-A321-649856ABCEB9}"/>
    <cellStyle name="Linked Cell 6 2 2 3 5 3" xfId="37523" xr:uid="{9BE22467-886D-45A8-9935-8FBC7AA7FA91}"/>
    <cellStyle name="Linked Cell 6 2 2 3 6" xfId="37524" xr:uid="{0DA6364C-F9F4-47D3-8A7E-D8D60298F365}"/>
    <cellStyle name="Linked Cell 6 2 2 3 6 2" xfId="37525" xr:uid="{30610CAD-9B16-40E7-A782-86816D4A7C0E}"/>
    <cellStyle name="Linked Cell 6 2 2 3 6 2 2" xfId="37526" xr:uid="{12626448-836D-4286-AC23-08947545CDFD}"/>
    <cellStyle name="Linked Cell 6 2 2 3 6 3" xfId="37527" xr:uid="{DC7E7E5E-3AD3-44C1-AED1-0FA295519021}"/>
    <cellStyle name="Linked Cell 6 2 2 3 7" xfId="37528" xr:uid="{D646B800-16D5-4564-BD09-2D2DE57C44C0}"/>
    <cellStyle name="Linked Cell 6 2 2 3 7 2" xfId="37529" xr:uid="{03AE5C6A-E037-4F5B-8725-91460143271E}"/>
    <cellStyle name="Linked Cell 6 2 2 3 7 2 2" xfId="37530" xr:uid="{592EEA33-5925-447C-A33D-3950936E5607}"/>
    <cellStyle name="Linked Cell 6 2 2 3 7 3" xfId="37531" xr:uid="{F144E067-0606-4806-8177-979DA7015626}"/>
    <cellStyle name="Linked Cell 6 2 2 3 8" xfId="37532" xr:uid="{88F81FFF-32DD-45D3-90BC-26DADD5BC8AA}"/>
    <cellStyle name="Linked Cell 6 2 2 3 8 2" xfId="37533" xr:uid="{4C11AC69-8719-4659-B56D-0D5A540EC6C8}"/>
    <cellStyle name="Linked Cell 6 2 2 3 8 2 2" xfId="37534" xr:uid="{3F8348A8-85D8-4A64-A4A5-1CFDCEB512A0}"/>
    <cellStyle name="Linked Cell 6 2 2 3 8 3" xfId="37535" xr:uid="{69D447B4-FD3A-4ADB-8093-41E9AC4FF771}"/>
    <cellStyle name="Linked Cell 6 2 2 3 9" xfId="37536" xr:uid="{450B1F5A-14AA-4B19-9A5F-1FD6FF6A2B42}"/>
    <cellStyle name="Linked Cell 6 2 2 3 9 2" xfId="37537" xr:uid="{71F855CD-12FB-4A64-B208-DF61E9967611}"/>
    <cellStyle name="Linked Cell 6 2 2 3 9 2 2" xfId="37538" xr:uid="{F57A312A-A211-4196-AA9F-A8A614668955}"/>
    <cellStyle name="Linked Cell 6 2 2 3 9 3" xfId="37539" xr:uid="{0B71523B-63E6-4DBB-9998-BA40CACCAA4F}"/>
    <cellStyle name="Linked Cell 6 2 2 4" xfId="37540" xr:uid="{E2CB4B7E-13DB-4F4F-BCB1-7169F5E0E6C7}"/>
    <cellStyle name="Linked Cell 6 2 2 4 10" xfId="37541" xr:uid="{26CFC1A4-44D3-48EF-B739-F87678DDFDE2}"/>
    <cellStyle name="Linked Cell 6 2 2 4 10 2" xfId="37542" xr:uid="{38DB3521-981D-467D-B977-2BED2F071F50}"/>
    <cellStyle name="Linked Cell 6 2 2 4 11" xfId="37543" xr:uid="{73431EFD-C787-403E-8E27-12D02F1C748C}"/>
    <cellStyle name="Linked Cell 6 2 2 4 2" xfId="37544" xr:uid="{933A3075-7378-4D17-9A3E-37C38B624FE0}"/>
    <cellStyle name="Linked Cell 6 2 2 4 2 2" xfId="37545" xr:uid="{4C0CCC75-A4CB-43BE-A187-C04E57F252C9}"/>
    <cellStyle name="Linked Cell 6 2 2 4 2 2 2" xfId="37546" xr:uid="{FAA4E99E-FD97-4FB3-A4BF-CF20A8A59891}"/>
    <cellStyle name="Linked Cell 6 2 2 4 2 3" xfId="37547" xr:uid="{7B650454-341C-4762-9100-59A9FED90034}"/>
    <cellStyle name="Linked Cell 6 2 2 4 3" xfId="37548" xr:uid="{84035620-C9FD-4C4B-B293-EDBE0D45CC64}"/>
    <cellStyle name="Linked Cell 6 2 2 4 3 2" xfId="37549" xr:uid="{C39A2CD9-2E1B-4E82-AD1F-3864301A1E94}"/>
    <cellStyle name="Linked Cell 6 2 2 4 3 2 2" xfId="37550" xr:uid="{717484BC-8C6A-48CF-B0DA-F33E8E797EDE}"/>
    <cellStyle name="Linked Cell 6 2 2 4 3 3" xfId="37551" xr:uid="{20A678B4-4FFA-4F81-B11A-E7EA36B10D8E}"/>
    <cellStyle name="Linked Cell 6 2 2 4 4" xfId="37552" xr:uid="{E472AE9B-730E-44C7-B1FB-2E8141DA80D1}"/>
    <cellStyle name="Linked Cell 6 2 2 4 4 2" xfId="37553" xr:uid="{09C41C67-5FD9-40ED-B895-C7F605ADB1AE}"/>
    <cellStyle name="Linked Cell 6 2 2 4 4 2 2" xfId="37554" xr:uid="{46CABBD2-86DE-4BF9-891F-8B1186FAEFB2}"/>
    <cellStyle name="Linked Cell 6 2 2 4 4 3" xfId="37555" xr:uid="{A24A179C-8748-4A58-95CF-A42FECBC1F4A}"/>
    <cellStyle name="Linked Cell 6 2 2 4 5" xfId="37556" xr:uid="{0EBF1482-4AA4-4195-A993-7C343F630799}"/>
    <cellStyle name="Linked Cell 6 2 2 4 5 2" xfId="37557" xr:uid="{226EC3C9-3DB7-455A-BA95-85EB1BD3FC6C}"/>
    <cellStyle name="Linked Cell 6 2 2 4 5 2 2" xfId="37558" xr:uid="{B770AF64-52FB-452E-BAB2-82FE68C47462}"/>
    <cellStyle name="Linked Cell 6 2 2 4 5 3" xfId="37559" xr:uid="{19368313-8A65-47CC-BE69-E6A5EB6989DE}"/>
    <cellStyle name="Linked Cell 6 2 2 4 6" xfId="37560" xr:uid="{D41C820F-23BF-4884-AD6A-682378798C39}"/>
    <cellStyle name="Linked Cell 6 2 2 4 6 2" xfId="37561" xr:uid="{BE030B04-91A5-494F-B811-EBC0E28F6B66}"/>
    <cellStyle name="Linked Cell 6 2 2 4 6 2 2" xfId="37562" xr:uid="{58C99648-1ED6-42C1-A9C7-4E7687DD6912}"/>
    <cellStyle name="Linked Cell 6 2 2 4 6 3" xfId="37563" xr:uid="{3917D2B7-016E-4FC2-A2CF-C4019DD46A90}"/>
    <cellStyle name="Linked Cell 6 2 2 4 7" xfId="37564" xr:uid="{47CA6F92-EBC5-40D6-8D54-860775235B68}"/>
    <cellStyle name="Linked Cell 6 2 2 4 7 2" xfId="37565" xr:uid="{C1829E10-83EC-4BAE-8958-1C145774F11D}"/>
    <cellStyle name="Linked Cell 6 2 2 4 7 2 2" xfId="37566" xr:uid="{B4900571-8CAA-4E61-B3BD-0EA96257B4CC}"/>
    <cellStyle name="Linked Cell 6 2 2 4 7 3" xfId="37567" xr:uid="{B5FE14D6-66E3-4358-9017-74E10487C66D}"/>
    <cellStyle name="Linked Cell 6 2 2 4 8" xfId="37568" xr:uid="{7D268DDD-CDE0-481D-A038-78C495391970}"/>
    <cellStyle name="Linked Cell 6 2 2 4 8 2" xfId="37569" xr:uid="{70B6F9F6-BE78-443C-86A3-D47CED4ACBED}"/>
    <cellStyle name="Linked Cell 6 2 2 4 8 2 2" xfId="37570" xr:uid="{4D1A9721-8B0C-4E15-A17C-E1BE87AB2FBB}"/>
    <cellStyle name="Linked Cell 6 2 2 4 8 3" xfId="37571" xr:uid="{A1BFD35F-AF3C-4C5A-87CF-86AD8FA9062E}"/>
    <cellStyle name="Linked Cell 6 2 2 4 9" xfId="37572" xr:uid="{69882422-7D45-443E-91B8-53BB8D39E71F}"/>
    <cellStyle name="Linked Cell 6 2 2 4 9 2" xfId="37573" xr:uid="{1BEBB1E6-2717-4542-BD51-0E444D2E97C9}"/>
    <cellStyle name="Linked Cell 6 2 2 4 9 2 2" xfId="37574" xr:uid="{264D8D98-2967-4486-A242-65F16168FC98}"/>
    <cellStyle name="Linked Cell 6 2 2 4 9 3" xfId="37575" xr:uid="{4637EDB1-816C-471D-8F1F-F3A23D1BCD18}"/>
    <cellStyle name="Linked Cell 6 2 2 5" xfId="37576" xr:uid="{15426133-1D95-40BC-AFB0-3470226771D8}"/>
    <cellStyle name="Linked Cell 6 2 2 5 2" xfId="37577" xr:uid="{49C74756-1AD0-41DC-BDB9-3934BB0E4DB8}"/>
    <cellStyle name="Linked Cell 6 2 2 5 2 2" xfId="37578" xr:uid="{88E6E793-B900-482C-AFA5-250A078FD48E}"/>
    <cellStyle name="Linked Cell 6 2 2 5 3" xfId="37579" xr:uid="{AA44F8D8-0762-4F31-8ABA-648D56827549}"/>
    <cellStyle name="Linked Cell 6 2 2 6" xfId="37580" xr:uid="{B26DE562-5B10-4752-A202-520598E5FE6A}"/>
    <cellStyle name="Linked Cell 6 2 2 6 2" xfId="37581" xr:uid="{7C175F67-D0D8-49DD-B55A-3938E97AA473}"/>
    <cellStyle name="Linked Cell 6 2 2 6 2 2" xfId="37582" xr:uid="{05626DAD-9C8B-41E0-ABAB-9E9E036A6B1D}"/>
    <cellStyle name="Linked Cell 6 2 2 6 3" xfId="37583" xr:uid="{108E1B32-F986-4C51-87B6-CF917D99C6AA}"/>
    <cellStyle name="Linked Cell 6 2 2 7" xfId="37584" xr:uid="{240009D6-C32E-4562-B4AA-5C925886AEC1}"/>
    <cellStyle name="Linked Cell 6 2 2 7 2" xfId="37585" xr:uid="{68CED431-2520-4BDC-8A6A-2F9C045E5BD1}"/>
    <cellStyle name="Linked Cell 6 2 2 7 2 2" xfId="37586" xr:uid="{F032B2E5-1566-4FB3-8EAA-DCE12FFF2E37}"/>
    <cellStyle name="Linked Cell 6 2 2 7 3" xfId="37587" xr:uid="{45DB0CF5-175E-4C46-9ECE-0863DE7F7D7D}"/>
    <cellStyle name="Linked Cell 6 2 2 8" xfId="37588" xr:uid="{B2F62D81-FC5F-491D-B2E9-E7D55A961F45}"/>
    <cellStyle name="Linked Cell 6 2 2 8 2" xfId="37589" xr:uid="{8F664516-6066-47C3-A88B-49EA25827452}"/>
    <cellStyle name="Linked Cell 6 2 2 8 2 2" xfId="37590" xr:uid="{E1634856-D3FC-4B48-A881-164975993163}"/>
    <cellStyle name="Linked Cell 6 2 2 8 3" xfId="37591" xr:uid="{89CBF333-83A8-46D3-8F8A-8927EC1D2875}"/>
    <cellStyle name="Linked Cell 6 2 2 9" xfId="37592" xr:uid="{95C84C12-CC08-49E9-AD60-C5E0F54365B2}"/>
    <cellStyle name="Linked Cell 6 2 2 9 2" xfId="37593" xr:uid="{10CDA42A-1CF1-47BF-AF8B-87358591482B}"/>
    <cellStyle name="Linked Cell 6 2 2 9 2 2" xfId="37594" xr:uid="{A447CB20-1A56-476A-9D8C-ABC104E20258}"/>
    <cellStyle name="Linked Cell 6 2 2 9 3" xfId="37595" xr:uid="{84963EC6-2151-490A-B33E-89A12CE14987}"/>
    <cellStyle name="Linked Cell 6 2 3" xfId="37596" xr:uid="{F86C3FDF-6496-4741-82ED-101CCE8E6CCB}"/>
    <cellStyle name="Linked Cell 6 2 3 10" xfId="37597" xr:uid="{35E2240B-7AA7-4612-8EAD-56F03DBA1E54}"/>
    <cellStyle name="Linked Cell 6 2 3 10 2" xfId="37598" xr:uid="{7E5DA5D9-6FEB-4C6F-9C31-6A3F535D35EE}"/>
    <cellStyle name="Linked Cell 6 2 3 10 2 2" xfId="37599" xr:uid="{B342BDEE-D2B1-4A09-93E4-CE9FE8591D2A}"/>
    <cellStyle name="Linked Cell 6 2 3 10 3" xfId="37600" xr:uid="{933198DA-A098-4B2F-A969-0A89C90BE71A}"/>
    <cellStyle name="Linked Cell 6 2 3 11" xfId="37601" xr:uid="{EEFAFB44-E4DA-42D4-A2ED-D182B7A7E661}"/>
    <cellStyle name="Linked Cell 6 2 3 11 2" xfId="37602" xr:uid="{CF7FAC9A-D8F0-4E2B-9010-8C992F8EE33A}"/>
    <cellStyle name="Linked Cell 6 2 3 11 2 2" xfId="37603" xr:uid="{ECAE806B-3770-4012-A16E-E0A08F1373CA}"/>
    <cellStyle name="Linked Cell 6 2 3 11 3" xfId="37604" xr:uid="{272944FC-5BB7-49D5-BFE5-E75F3AF27294}"/>
    <cellStyle name="Linked Cell 6 2 3 12" xfId="37605" xr:uid="{9D06EAC1-CF3D-411D-99D9-848644E11F46}"/>
    <cellStyle name="Linked Cell 6 2 3 12 2" xfId="37606" xr:uid="{F9ACD63A-20FD-4B64-8F64-2EDC0346824B}"/>
    <cellStyle name="Linked Cell 6 2 3 13" xfId="37607" xr:uid="{BDB9CAF1-C5B1-4F35-B50F-C72DABB1ACAE}"/>
    <cellStyle name="Linked Cell 6 2 3 2" xfId="37608" xr:uid="{387F8F4E-1DCE-4357-A6E3-1A7214DE6A0C}"/>
    <cellStyle name="Linked Cell 6 2 3 2 10" xfId="37609" xr:uid="{8EF945C6-FAF7-4AD6-98FE-81DBDD35A352}"/>
    <cellStyle name="Linked Cell 6 2 3 2 10 2" xfId="37610" xr:uid="{1C685D94-4D7F-4024-AC87-44ACCA2B81ED}"/>
    <cellStyle name="Linked Cell 6 2 3 2 10 2 2" xfId="37611" xr:uid="{A348EA70-BEDC-454B-B975-F1AD839FBA9F}"/>
    <cellStyle name="Linked Cell 6 2 3 2 10 3" xfId="37612" xr:uid="{6CB6F5F4-89D7-4865-9C57-85A83AB02777}"/>
    <cellStyle name="Linked Cell 6 2 3 2 11" xfId="37613" xr:uid="{E1A51A36-95DF-4D6D-94DE-E185B0B08FA8}"/>
    <cellStyle name="Linked Cell 6 2 3 2 11 2" xfId="37614" xr:uid="{2D841BDB-9F22-4D9B-AE36-CF5E2A89C99F}"/>
    <cellStyle name="Linked Cell 6 2 3 2 12" xfId="37615" xr:uid="{422B98B6-DBB7-412E-8CB0-F57195C73E12}"/>
    <cellStyle name="Linked Cell 6 2 3 2 2" xfId="37616" xr:uid="{535D2626-2779-462B-8FA8-E4B9DBEB12E4}"/>
    <cellStyle name="Linked Cell 6 2 3 2 2 2" xfId="37617" xr:uid="{86F23C2C-64FA-4AF4-8FD6-DFE9AA359ACC}"/>
    <cellStyle name="Linked Cell 6 2 3 2 2 2 2" xfId="37618" xr:uid="{E42206C0-7102-4DE0-879A-F491C53C2BE0}"/>
    <cellStyle name="Linked Cell 6 2 3 2 2 3" xfId="37619" xr:uid="{A222081B-5610-4295-B44E-C75DBB5FE428}"/>
    <cellStyle name="Linked Cell 6 2 3 2 3" xfId="37620" xr:uid="{03FC8A12-E0C2-4B07-96C2-25E179DD03C2}"/>
    <cellStyle name="Linked Cell 6 2 3 2 3 2" xfId="37621" xr:uid="{C3FCEC68-218E-4E34-96CD-C9294BFE00E8}"/>
    <cellStyle name="Linked Cell 6 2 3 2 3 2 2" xfId="37622" xr:uid="{EE71EA79-019A-4870-97B6-A96BAE623B90}"/>
    <cellStyle name="Linked Cell 6 2 3 2 3 3" xfId="37623" xr:uid="{61EBE333-8965-4B91-A94E-5521BFB7942F}"/>
    <cellStyle name="Linked Cell 6 2 3 2 4" xfId="37624" xr:uid="{475A30A9-5FDB-4F34-BF04-E9207EA8CE9E}"/>
    <cellStyle name="Linked Cell 6 2 3 2 4 2" xfId="37625" xr:uid="{B4F4E138-FF9E-42E1-B10A-44667CE7317D}"/>
    <cellStyle name="Linked Cell 6 2 3 2 4 2 2" xfId="37626" xr:uid="{01423B22-866A-468F-B073-9D2F4249E69C}"/>
    <cellStyle name="Linked Cell 6 2 3 2 4 3" xfId="37627" xr:uid="{91644844-2467-4FE7-963F-C37793C84E3C}"/>
    <cellStyle name="Linked Cell 6 2 3 2 5" xfId="37628" xr:uid="{B47168D3-D857-4A18-8E54-8DE8EDE2C377}"/>
    <cellStyle name="Linked Cell 6 2 3 2 5 2" xfId="37629" xr:uid="{859B8E4C-35D6-4AAE-BA7A-C1CCE2B0D7CC}"/>
    <cellStyle name="Linked Cell 6 2 3 2 5 2 2" xfId="37630" xr:uid="{E7D9E713-AB51-4384-9468-876825D442D5}"/>
    <cellStyle name="Linked Cell 6 2 3 2 5 3" xfId="37631" xr:uid="{093B03FB-B820-4090-B0CD-2D09A51578E0}"/>
    <cellStyle name="Linked Cell 6 2 3 2 6" xfId="37632" xr:uid="{0EA489B8-08B3-4C65-8386-A057C911A356}"/>
    <cellStyle name="Linked Cell 6 2 3 2 6 2" xfId="37633" xr:uid="{72A66A22-4B76-44EE-BD6C-B0D917923ADC}"/>
    <cellStyle name="Linked Cell 6 2 3 2 6 2 2" xfId="37634" xr:uid="{35A18B87-1474-4847-807A-50A4422B4807}"/>
    <cellStyle name="Linked Cell 6 2 3 2 6 3" xfId="37635" xr:uid="{D99D268F-CCD3-4BEC-B83F-942D46345FDE}"/>
    <cellStyle name="Linked Cell 6 2 3 2 7" xfId="37636" xr:uid="{4FB0B4AB-F26B-48BF-833B-BE5BB5819D2F}"/>
    <cellStyle name="Linked Cell 6 2 3 2 7 2" xfId="37637" xr:uid="{21861211-B2B5-4F3C-89E5-A9D16C30D4E7}"/>
    <cellStyle name="Linked Cell 6 2 3 2 7 2 2" xfId="37638" xr:uid="{21F8B39B-F1D4-4C4B-8808-A7929E29DD50}"/>
    <cellStyle name="Linked Cell 6 2 3 2 7 3" xfId="37639" xr:uid="{4BDED79F-65BE-404C-8703-021DF745345B}"/>
    <cellStyle name="Linked Cell 6 2 3 2 8" xfId="37640" xr:uid="{C75B1CEA-04D1-4325-90CA-8DDA73007932}"/>
    <cellStyle name="Linked Cell 6 2 3 2 8 2" xfId="37641" xr:uid="{85C466F7-B30C-474C-BC07-29CF5AF5013A}"/>
    <cellStyle name="Linked Cell 6 2 3 2 8 2 2" xfId="37642" xr:uid="{48946072-5EFE-469C-B952-491C96770BEA}"/>
    <cellStyle name="Linked Cell 6 2 3 2 8 3" xfId="37643" xr:uid="{89546676-2B66-491B-88E6-68BB0F4B79D9}"/>
    <cellStyle name="Linked Cell 6 2 3 2 9" xfId="37644" xr:uid="{66D601B7-460F-4AE5-B0C0-4282873A0F85}"/>
    <cellStyle name="Linked Cell 6 2 3 2 9 2" xfId="37645" xr:uid="{1D290752-A82B-4E22-AF47-A937F757B064}"/>
    <cellStyle name="Linked Cell 6 2 3 2 9 2 2" xfId="37646" xr:uid="{067DE3D6-630E-43C9-B71D-849AEC487ACF}"/>
    <cellStyle name="Linked Cell 6 2 3 2 9 3" xfId="37647" xr:uid="{01CF59C8-4DA6-4CC5-BF7E-8381ECC06D2A}"/>
    <cellStyle name="Linked Cell 6 2 3 3" xfId="37648" xr:uid="{21EF111A-F4C4-41CF-AC7F-1F3130C29A61}"/>
    <cellStyle name="Linked Cell 6 2 3 3 10" xfId="37649" xr:uid="{8AD7B86D-FFC6-468E-A106-667F3D67F849}"/>
    <cellStyle name="Linked Cell 6 2 3 3 10 2" xfId="37650" xr:uid="{A4E69E79-E9E5-4D59-A88C-5B4D72C54D5F}"/>
    <cellStyle name="Linked Cell 6 2 3 3 11" xfId="37651" xr:uid="{21D540C5-DD0E-4E83-93CF-FF8298688C93}"/>
    <cellStyle name="Linked Cell 6 2 3 3 2" xfId="37652" xr:uid="{87ECAFC9-8145-4EDF-A674-48532401165A}"/>
    <cellStyle name="Linked Cell 6 2 3 3 2 2" xfId="37653" xr:uid="{54DDCE61-F7F2-4F22-BDB3-F96631F261D0}"/>
    <cellStyle name="Linked Cell 6 2 3 3 2 2 2" xfId="37654" xr:uid="{5ABC204F-7180-4D4A-9204-1485FAFBB94E}"/>
    <cellStyle name="Linked Cell 6 2 3 3 2 3" xfId="37655" xr:uid="{40F7B55F-A64C-4A23-A050-F593BC855BB4}"/>
    <cellStyle name="Linked Cell 6 2 3 3 3" xfId="37656" xr:uid="{CAA94900-1A22-428C-9D53-EF2294136B37}"/>
    <cellStyle name="Linked Cell 6 2 3 3 3 2" xfId="37657" xr:uid="{8E7EEB41-5509-44DD-949D-B0EAB31EABBE}"/>
    <cellStyle name="Linked Cell 6 2 3 3 3 2 2" xfId="37658" xr:uid="{00CDC3CA-A51C-4A89-A5D2-AAFC9BD190F4}"/>
    <cellStyle name="Linked Cell 6 2 3 3 3 3" xfId="37659" xr:uid="{C412B4F5-0355-4934-A3E0-4629B00B9A65}"/>
    <cellStyle name="Linked Cell 6 2 3 3 4" xfId="37660" xr:uid="{46FD92FB-533C-45B0-AB3F-4F31D05CA352}"/>
    <cellStyle name="Linked Cell 6 2 3 3 4 2" xfId="37661" xr:uid="{43DAFE29-9A36-4E31-97CD-BCA5DB921D64}"/>
    <cellStyle name="Linked Cell 6 2 3 3 4 2 2" xfId="37662" xr:uid="{5FC33853-79FA-46DE-89E9-281D9576F73B}"/>
    <cellStyle name="Linked Cell 6 2 3 3 4 3" xfId="37663" xr:uid="{4420C516-F541-4CCD-8330-138688BFC4E9}"/>
    <cellStyle name="Linked Cell 6 2 3 3 5" xfId="37664" xr:uid="{85DBF4A7-1E1F-48E6-AC4B-A2D005BB8290}"/>
    <cellStyle name="Linked Cell 6 2 3 3 5 2" xfId="37665" xr:uid="{C08AADAF-54A2-47DC-A951-24D83D9718EB}"/>
    <cellStyle name="Linked Cell 6 2 3 3 5 2 2" xfId="37666" xr:uid="{472382FF-AC09-4172-94F0-1DA3A2BF8E9A}"/>
    <cellStyle name="Linked Cell 6 2 3 3 5 3" xfId="37667" xr:uid="{0358B6BB-292E-42DB-B0A0-DA3D4422F29E}"/>
    <cellStyle name="Linked Cell 6 2 3 3 6" xfId="37668" xr:uid="{5C5761CA-3E60-4852-BDDE-DFBC8A7CEF38}"/>
    <cellStyle name="Linked Cell 6 2 3 3 6 2" xfId="37669" xr:uid="{C9671500-0B43-4404-8D28-DB7EC2257E2E}"/>
    <cellStyle name="Linked Cell 6 2 3 3 6 2 2" xfId="37670" xr:uid="{CA665315-6B99-4D86-8D9C-ED81710333A8}"/>
    <cellStyle name="Linked Cell 6 2 3 3 6 3" xfId="37671" xr:uid="{935E3F43-C05F-4F3B-B97B-922CCD031731}"/>
    <cellStyle name="Linked Cell 6 2 3 3 7" xfId="37672" xr:uid="{A7103AC5-3B90-4030-B19D-FF8397A27CFA}"/>
    <cellStyle name="Linked Cell 6 2 3 3 7 2" xfId="37673" xr:uid="{D9CB1542-17DE-4C39-BBC3-473173388507}"/>
    <cellStyle name="Linked Cell 6 2 3 3 7 2 2" xfId="37674" xr:uid="{42189AFC-41A7-4F86-A1EF-6B5C4ABA5E0B}"/>
    <cellStyle name="Linked Cell 6 2 3 3 7 3" xfId="37675" xr:uid="{496295D8-75E4-4250-A90E-521A7D0031FF}"/>
    <cellStyle name="Linked Cell 6 2 3 3 8" xfId="37676" xr:uid="{E1F0245F-8D5C-4D70-B368-0349E84EF3AA}"/>
    <cellStyle name="Linked Cell 6 2 3 3 8 2" xfId="37677" xr:uid="{1E48915D-D805-41FD-ABF9-1286F21611F1}"/>
    <cellStyle name="Linked Cell 6 2 3 3 8 2 2" xfId="37678" xr:uid="{904B778B-0D32-4DAB-9124-EA37DD59F8AF}"/>
    <cellStyle name="Linked Cell 6 2 3 3 8 3" xfId="37679" xr:uid="{B1871A3B-62A5-422A-A3F9-CB85A49390A0}"/>
    <cellStyle name="Linked Cell 6 2 3 3 9" xfId="37680" xr:uid="{495605AD-61F3-4718-B8BD-CA5B819823CA}"/>
    <cellStyle name="Linked Cell 6 2 3 3 9 2" xfId="37681" xr:uid="{828B05C8-2E59-4DE7-9077-02516E9E4109}"/>
    <cellStyle name="Linked Cell 6 2 3 3 9 2 2" xfId="37682" xr:uid="{2D12D03B-D2BE-4237-9606-F51A6DE0D232}"/>
    <cellStyle name="Linked Cell 6 2 3 3 9 3" xfId="37683" xr:uid="{1B94AC99-E34F-45FC-9443-71108ABC6592}"/>
    <cellStyle name="Linked Cell 6 2 3 4" xfId="37684" xr:uid="{7F1E5F58-FC40-4A37-AB9A-353548C000AA}"/>
    <cellStyle name="Linked Cell 6 2 3 4 2" xfId="37685" xr:uid="{F6399A38-3C91-4DA5-B8EA-31F98D908A36}"/>
    <cellStyle name="Linked Cell 6 2 3 4 2 2" xfId="37686" xr:uid="{FD9F73AD-3466-4C3D-B70E-53100F8C4E5A}"/>
    <cellStyle name="Linked Cell 6 2 3 4 3" xfId="37687" xr:uid="{A348A9ED-5387-4397-B1CF-E7D10DE69789}"/>
    <cellStyle name="Linked Cell 6 2 3 5" xfId="37688" xr:uid="{B50C8D8D-52BF-408B-B163-C3C872DB939F}"/>
    <cellStyle name="Linked Cell 6 2 3 5 2" xfId="37689" xr:uid="{A4A88A63-D565-41D9-82D3-1EFA8469AEF5}"/>
    <cellStyle name="Linked Cell 6 2 3 5 2 2" xfId="37690" xr:uid="{F4C0BFCB-7824-4689-9F23-C16B3575985D}"/>
    <cellStyle name="Linked Cell 6 2 3 5 3" xfId="37691" xr:uid="{89E26D22-F9E3-4676-BF58-C79644C6ECFD}"/>
    <cellStyle name="Linked Cell 6 2 3 6" xfId="37692" xr:uid="{A17651AF-B2AF-4D5F-BF74-548469232894}"/>
    <cellStyle name="Linked Cell 6 2 3 6 2" xfId="37693" xr:uid="{F7A38D50-B170-4AD2-9461-6B586656B127}"/>
    <cellStyle name="Linked Cell 6 2 3 6 2 2" xfId="37694" xr:uid="{77DA92DF-BE94-43C1-A4E9-873A65DD5C90}"/>
    <cellStyle name="Linked Cell 6 2 3 6 3" xfId="37695" xr:uid="{8E52C57C-9DBF-4BAF-B032-FB4940613262}"/>
    <cellStyle name="Linked Cell 6 2 3 7" xfId="37696" xr:uid="{6B847A66-A809-4632-8E07-FBA769F804FC}"/>
    <cellStyle name="Linked Cell 6 2 3 7 2" xfId="37697" xr:uid="{51A5BED0-8B94-4710-969B-87CA7E448562}"/>
    <cellStyle name="Linked Cell 6 2 3 7 2 2" xfId="37698" xr:uid="{C5528EAB-4952-4C41-A56D-1DC11E174B01}"/>
    <cellStyle name="Linked Cell 6 2 3 7 3" xfId="37699" xr:uid="{EEC6E2E8-E720-4B94-AFA0-9C9F64227A8D}"/>
    <cellStyle name="Linked Cell 6 2 3 8" xfId="37700" xr:uid="{CD883F55-6140-409E-B9C2-8503A3031574}"/>
    <cellStyle name="Linked Cell 6 2 3 8 2" xfId="37701" xr:uid="{F93927F2-8FF5-4B11-82E2-86B3B2F070D6}"/>
    <cellStyle name="Linked Cell 6 2 3 8 2 2" xfId="37702" xr:uid="{63DA67EC-2C1D-4156-B5C1-1B8F48145FAE}"/>
    <cellStyle name="Linked Cell 6 2 3 8 3" xfId="37703" xr:uid="{2FA061A4-6197-45AD-80B7-016DAF1DA2DB}"/>
    <cellStyle name="Linked Cell 6 2 3 9" xfId="37704" xr:uid="{2B71D6EB-5399-4938-B2DD-5891A4A1EEED}"/>
    <cellStyle name="Linked Cell 6 2 3 9 2" xfId="37705" xr:uid="{8166DFA3-EAC0-4AD9-95AC-0C714D6B08E0}"/>
    <cellStyle name="Linked Cell 6 2 3 9 2 2" xfId="37706" xr:uid="{1D8807EA-AAF7-4F7D-9C06-500293370C68}"/>
    <cellStyle name="Linked Cell 6 2 3 9 3" xfId="37707" xr:uid="{4B3D4587-B9C3-429B-8FE5-A567FE88CFA7}"/>
    <cellStyle name="Linked Cell 6 2 4" xfId="37708" xr:uid="{141740AC-8B1A-4D88-A04E-02A142130644}"/>
    <cellStyle name="Linked Cell 6 2 4 10" xfId="37709" xr:uid="{36D3F869-FB18-4B70-A887-5A7C0D61AB18}"/>
    <cellStyle name="Linked Cell 6 2 4 10 2" xfId="37710" xr:uid="{D975C38C-5489-4529-8322-3BE380663D21}"/>
    <cellStyle name="Linked Cell 6 2 4 10 2 2" xfId="37711" xr:uid="{5AB50522-8647-4588-BC0F-BC19E2251209}"/>
    <cellStyle name="Linked Cell 6 2 4 10 3" xfId="37712" xr:uid="{404231DE-2630-46F8-BD16-4C2FE7CCC4ED}"/>
    <cellStyle name="Linked Cell 6 2 4 11" xfId="37713" xr:uid="{CB089EF5-EBE6-4160-96FA-D93EAA1A8EB9}"/>
    <cellStyle name="Linked Cell 6 2 4 11 2" xfId="37714" xr:uid="{C50192DC-A8DC-404F-BB62-F2CE44FF9028}"/>
    <cellStyle name="Linked Cell 6 2 4 12" xfId="37715" xr:uid="{736A4FAC-F4F5-4907-9DA4-AD6F0F963C13}"/>
    <cellStyle name="Linked Cell 6 2 4 2" xfId="37716" xr:uid="{0C58AFC8-3113-499E-83DD-BC2F354A03BF}"/>
    <cellStyle name="Linked Cell 6 2 4 2 10" xfId="37717" xr:uid="{806055C0-1B85-47CE-AC86-1A93818809B6}"/>
    <cellStyle name="Linked Cell 6 2 4 2 10 2" xfId="37718" xr:uid="{C87C2A04-3991-42BB-9534-32E7673CC0C9}"/>
    <cellStyle name="Linked Cell 6 2 4 2 11" xfId="37719" xr:uid="{B2A5248C-3C48-4EF4-BD0E-1A071B730899}"/>
    <cellStyle name="Linked Cell 6 2 4 2 2" xfId="37720" xr:uid="{92B61ED4-D2C4-4430-9582-7A506C32965B}"/>
    <cellStyle name="Linked Cell 6 2 4 2 2 2" xfId="37721" xr:uid="{320E6315-D199-4060-A008-99A467912CC7}"/>
    <cellStyle name="Linked Cell 6 2 4 2 2 2 2" xfId="37722" xr:uid="{9BC71ECD-CC6D-4A45-98DA-B419202D8747}"/>
    <cellStyle name="Linked Cell 6 2 4 2 2 3" xfId="37723" xr:uid="{522310AF-0080-42FD-B82A-AFF9F1E32B4D}"/>
    <cellStyle name="Linked Cell 6 2 4 2 3" xfId="37724" xr:uid="{2CE38192-F5E8-46AD-90AD-04E8E7BF3036}"/>
    <cellStyle name="Linked Cell 6 2 4 2 3 2" xfId="37725" xr:uid="{A12CD323-5AD1-434E-9A04-45B99543C6D8}"/>
    <cellStyle name="Linked Cell 6 2 4 2 3 2 2" xfId="37726" xr:uid="{7509C4E9-54B5-4602-9952-2642AA6B29E7}"/>
    <cellStyle name="Linked Cell 6 2 4 2 3 3" xfId="37727" xr:uid="{3680508D-B70B-47D8-ADF8-D0C94309E4DF}"/>
    <cellStyle name="Linked Cell 6 2 4 2 4" xfId="37728" xr:uid="{F8831932-D153-4562-9339-F256F6D91E1E}"/>
    <cellStyle name="Linked Cell 6 2 4 2 4 2" xfId="37729" xr:uid="{D62F63BA-ECBB-45C4-8640-CD9A812D0458}"/>
    <cellStyle name="Linked Cell 6 2 4 2 4 2 2" xfId="37730" xr:uid="{6795B014-5274-4464-BDB1-87665F7FD82C}"/>
    <cellStyle name="Linked Cell 6 2 4 2 4 3" xfId="37731" xr:uid="{A437C4FA-5C92-4F48-BE87-70365AAC2DCD}"/>
    <cellStyle name="Linked Cell 6 2 4 2 5" xfId="37732" xr:uid="{4B6EDF75-64C0-41C0-9C70-DF1CF4F1264D}"/>
    <cellStyle name="Linked Cell 6 2 4 2 5 2" xfId="37733" xr:uid="{C8B310C3-38FF-4D99-8494-2B1D26A1F2B9}"/>
    <cellStyle name="Linked Cell 6 2 4 2 5 2 2" xfId="37734" xr:uid="{4C7BB54E-2437-4A20-B1FB-5285FA5A85FB}"/>
    <cellStyle name="Linked Cell 6 2 4 2 5 3" xfId="37735" xr:uid="{C8DE2BC5-9AF4-4946-A6FA-66915C5AB908}"/>
    <cellStyle name="Linked Cell 6 2 4 2 6" xfId="37736" xr:uid="{50C920B6-9618-4EAA-8E3E-B4C42A400B7B}"/>
    <cellStyle name="Linked Cell 6 2 4 2 6 2" xfId="37737" xr:uid="{610FC7E2-0363-4BB7-A69C-6EC5AA19234C}"/>
    <cellStyle name="Linked Cell 6 2 4 2 6 2 2" xfId="37738" xr:uid="{FE42910B-26AB-417F-B17C-1F7B1FA694C2}"/>
    <cellStyle name="Linked Cell 6 2 4 2 6 3" xfId="37739" xr:uid="{041434CB-D401-4419-B357-B973539BC14E}"/>
    <cellStyle name="Linked Cell 6 2 4 2 7" xfId="37740" xr:uid="{A16DC9E9-BA59-40A2-82D3-4A0E5CA371ED}"/>
    <cellStyle name="Linked Cell 6 2 4 2 7 2" xfId="37741" xr:uid="{12807E51-65C5-429E-AD4B-238AC3E39F97}"/>
    <cellStyle name="Linked Cell 6 2 4 2 7 2 2" xfId="37742" xr:uid="{6197640D-ECC7-4212-8C94-84046C2B3817}"/>
    <cellStyle name="Linked Cell 6 2 4 2 7 3" xfId="37743" xr:uid="{F9E5E732-FC3B-44C9-993C-F0976908706E}"/>
    <cellStyle name="Linked Cell 6 2 4 2 8" xfId="37744" xr:uid="{BD9E6F4D-AA1E-4AC9-98D5-F57D7FD0BD0F}"/>
    <cellStyle name="Linked Cell 6 2 4 2 8 2" xfId="37745" xr:uid="{9D16C6C8-C361-4BC7-992B-50FE4116B695}"/>
    <cellStyle name="Linked Cell 6 2 4 2 8 2 2" xfId="37746" xr:uid="{32ACB7A3-A3B7-4B09-8B2F-C1F096941B93}"/>
    <cellStyle name="Linked Cell 6 2 4 2 8 3" xfId="37747" xr:uid="{2A3A5A20-4E62-4A6B-B986-D920018955FD}"/>
    <cellStyle name="Linked Cell 6 2 4 2 9" xfId="37748" xr:uid="{0693372A-8792-4EF7-BD39-C1AAE2A23DF2}"/>
    <cellStyle name="Linked Cell 6 2 4 2 9 2" xfId="37749" xr:uid="{8750C355-944E-4AF4-9D92-13757B862CB9}"/>
    <cellStyle name="Linked Cell 6 2 4 2 9 2 2" xfId="37750" xr:uid="{47D4CEF4-539C-4A5F-9A57-F8A8EDC670C5}"/>
    <cellStyle name="Linked Cell 6 2 4 2 9 3" xfId="37751" xr:uid="{BB4D63F9-E3EB-43FC-8A90-B294E9566316}"/>
    <cellStyle name="Linked Cell 6 2 4 3" xfId="37752" xr:uid="{B6AE52AF-2F52-4B83-B8F2-EC032814E378}"/>
    <cellStyle name="Linked Cell 6 2 4 3 2" xfId="37753" xr:uid="{4CA34B2C-B2CD-42E7-BBFC-EA8C66A78075}"/>
    <cellStyle name="Linked Cell 6 2 4 3 2 2" xfId="37754" xr:uid="{3FBD3C5B-3C1A-402F-A5AD-207D7413C147}"/>
    <cellStyle name="Linked Cell 6 2 4 3 3" xfId="37755" xr:uid="{3924242E-3913-48B7-B4B7-18A04ED66313}"/>
    <cellStyle name="Linked Cell 6 2 4 4" xfId="37756" xr:uid="{B5D310F7-4287-4B42-8346-BE1DF0956BFA}"/>
    <cellStyle name="Linked Cell 6 2 4 4 2" xfId="37757" xr:uid="{E7029913-87BF-41A3-8354-7811CA679576}"/>
    <cellStyle name="Linked Cell 6 2 4 4 2 2" xfId="37758" xr:uid="{F9AD7080-93E6-41EB-8F5C-62CBB13AFA2E}"/>
    <cellStyle name="Linked Cell 6 2 4 4 3" xfId="37759" xr:uid="{83A8D0C5-ED70-4D0F-A588-64CC68880824}"/>
    <cellStyle name="Linked Cell 6 2 4 5" xfId="37760" xr:uid="{B44CCFBC-5610-4F4F-B1AD-4DBC9F867B63}"/>
    <cellStyle name="Linked Cell 6 2 4 5 2" xfId="37761" xr:uid="{618C7A0D-9679-4DB4-811B-12EF7A3F51EB}"/>
    <cellStyle name="Linked Cell 6 2 4 5 2 2" xfId="37762" xr:uid="{7BA2579B-8707-4FDC-ACDA-E954FCC6B7AD}"/>
    <cellStyle name="Linked Cell 6 2 4 5 3" xfId="37763" xr:uid="{45AB962C-F5B2-4182-B4D6-BEB4A91ECD40}"/>
    <cellStyle name="Linked Cell 6 2 4 6" xfId="37764" xr:uid="{2E1D85FA-07EC-4CB8-8502-3D681BACA5E5}"/>
    <cellStyle name="Linked Cell 6 2 4 6 2" xfId="37765" xr:uid="{EEA20E0E-15C3-44FD-AF02-3FFCCDE91D11}"/>
    <cellStyle name="Linked Cell 6 2 4 6 2 2" xfId="37766" xr:uid="{74689CD9-497A-43F8-BF58-0312B0CDD452}"/>
    <cellStyle name="Linked Cell 6 2 4 6 3" xfId="37767" xr:uid="{E9A16604-AC02-4B06-ADE8-B92D722A7B4B}"/>
    <cellStyle name="Linked Cell 6 2 4 7" xfId="37768" xr:uid="{514FC1DE-F458-4C01-9C46-81CDD20FB208}"/>
    <cellStyle name="Linked Cell 6 2 4 7 2" xfId="37769" xr:uid="{C87D774A-328D-4FD0-90C0-EC06C09CB4E5}"/>
    <cellStyle name="Linked Cell 6 2 4 7 2 2" xfId="37770" xr:uid="{D7BBC969-CBA7-4A04-A56A-1BAD9B5E2FEF}"/>
    <cellStyle name="Linked Cell 6 2 4 7 3" xfId="37771" xr:uid="{D40312D6-1AC3-44AA-9FAF-32953A02E8DF}"/>
    <cellStyle name="Linked Cell 6 2 4 8" xfId="37772" xr:uid="{61290B8D-219A-4849-805F-00C9BB63C245}"/>
    <cellStyle name="Linked Cell 6 2 4 8 2" xfId="37773" xr:uid="{E7A4D2A7-A8FD-405E-91ED-AFF96E27C154}"/>
    <cellStyle name="Linked Cell 6 2 4 8 2 2" xfId="37774" xr:uid="{DCE6C556-C0AB-4F50-ABD6-4799F998E7E5}"/>
    <cellStyle name="Linked Cell 6 2 4 8 3" xfId="37775" xr:uid="{0705EE44-3A96-40D8-A852-180778926142}"/>
    <cellStyle name="Linked Cell 6 2 4 9" xfId="37776" xr:uid="{78B383D4-521D-4782-8E29-EE512C85D0CD}"/>
    <cellStyle name="Linked Cell 6 2 4 9 2" xfId="37777" xr:uid="{9C6C7488-84DD-4630-B710-A273232E753B}"/>
    <cellStyle name="Linked Cell 6 2 4 9 2 2" xfId="37778" xr:uid="{A93AA74F-2662-40FD-AD3D-A984ACD209DF}"/>
    <cellStyle name="Linked Cell 6 2 4 9 3" xfId="37779" xr:uid="{555A32A4-219E-45C7-B653-AF4BE053BBB2}"/>
    <cellStyle name="Linked Cell 6 2 5" xfId="37780" xr:uid="{D85FFA81-0B36-4A7B-96E9-9B3DD3BA08F3}"/>
    <cellStyle name="Linked Cell 6 2 5 10" xfId="37781" xr:uid="{EAC76629-4369-41BF-9103-74C6E586DA88}"/>
    <cellStyle name="Linked Cell 6 2 5 10 2" xfId="37782" xr:uid="{FCA9CB4F-FF15-423A-88A3-19CFD0F5AABB}"/>
    <cellStyle name="Linked Cell 6 2 5 11" xfId="37783" xr:uid="{0B4CC95E-2072-4996-9220-A892502B5763}"/>
    <cellStyle name="Linked Cell 6 2 5 2" xfId="37784" xr:uid="{9AA6A1E9-7890-4A2A-AD9E-A37E087E5FE4}"/>
    <cellStyle name="Linked Cell 6 2 5 2 2" xfId="37785" xr:uid="{B65C12AE-9375-470F-AA45-EAE9C71A8A6F}"/>
    <cellStyle name="Linked Cell 6 2 5 2 2 2" xfId="37786" xr:uid="{C6B5AEB8-6AAB-4D15-A92B-96C282B946B9}"/>
    <cellStyle name="Linked Cell 6 2 5 2 3" xfId="37787" xr:uid="{0F3241FC-8408-4B01-A871-828E379573EC}"/>
    <cellStyle name="Linked Cell 6 2 5 3" xfId="37788" xr:uid="{0A030DD5-AE38-45C6-9892-EE7AD9679423}"/>
    <cellStyle name="Linked Cell 6 2 5 3 2" xfId="37789" xr:uid="{5D56F3A5-0A94-4380-957E-8EC763A576AA}"/>
    <cellStyle name="Linked Cell 6 2 5 3 2 2" xfId="37790" xr:uid="{CFD4BA14-8459-492C-BA60-0B36A3751B48}"/>
    <cellStyle name="Linked Cell 6 2 5 3 3" xfId="37791" xr:uid="{8CC3EE76-2B89-433D-BA66-6CD8A3294B43}"/>
    <cellStyle name="Linked Cell 6 2 5 4" xfId="37792" xr:uid="{5B1EAEFB-003D-4B74-8D27-D23CE6AEEC09}"/>
    <cellStyle name="Linked Cell 6 2 5 4 2" xfId="37793" xr:uid="{63B3E023-E999-4E25-8C1E-76E0196A4F04}"/>
    <cellStyle name="Linked Cell 6 2 5 4 2 2" xfId="37794" xr:uid="{7211F24B-1D1D-4C40-9656-9F21F36B583F}"/>
    <cellStyle name="Linked Cell 6 2 5 4 3" xfId="37795" xr:uid="{69F1655A-AF67-4AF4-B9DD-01F50D583A5C}"/>
    <cellStyle name="Linked Cell 6 2 5 5" xfId="37796" xr:uid="{27373FB6-182E-448F-AFEA-24171D661A7B}"/>
    <cellStyle name="Linked Cell 6 2 5 5 2" xfId="37797" xr:uid="{AD18CEAF-208E-4D0B-BFEF-6888D2B15BA4}"/>
    <cellStyle name="Linked Cell 6 2 5 5 2 2" xfId="37798" xr:uid="{5287B6C8-9ED6-457A-A23B-16A36BF79F40}"/>
    <cellStyle name="Linked Cell 6 2 5 5 3" xfId="37799" xr:uid="{C6B5A997-E936-4205-BB93-BEF8F009E19F}"/>
    <cellStyle name="Linked Cell 6 2 5 6" xfId="37800" xr:uid="{A8213383-A71D-4492-926C-28F08CB278EC}"/>
    <cellStyle name="Linked Cell 6 2 5 6 2" xfId="37801" xr:uid="{962A8D77-D059-4C31-A03F-1F907558E123}"/>
    <cellStyle name="Linked Cell 6 2 5 6 2 2" xfId="37802" xr:uid="{951830C7-C8A7-4B77-8EB2-C3402A2B83CE}"/>
    <cellStyle name="Linked Cell 6 2 5 6 3" xfId="37803" xr:uid="{AAC0143D-6DC6-4C49-BD92-E9F26E9F1D3C}"/>
    <cellStyle name="Linked Cell 6 2 5 7" xfId="37804" xr:uid="{5DFEDAA2-9E6D-41F5-9E4E-3205D5EFFF27}"/>
    <cellStyle name="Linked Cell 6 2 5 7 2" xfId="37805" xr:uid="{8C7CE12D-ECD4-464C-B6D5-82AF6707007E}"/>
    <cellStyle name="Linked Cell 6 2 5 7 2 2" xfId="37806" xr:uid="{099D7326-0D38-462D-B677-99ABE75A41CE}"/>
    <cellStyle name="Linked Cell 6 2 5 7 3" xfId="37807" xr:uid="{F72944AD-CAA5-4E80-AF40-00ADEBCAEEC2}"/>
    <cellStyle name="Linked Cell 6 2 5 8" xfId="37808" xr:uid="{A61FDCD5-C82B-48B5-BBC8-6350B77516B8}"/>
    <cellStyle name="Linked Cell 6 2 5 8 2" xfId="37809" xr:uid="{DC78560E-052D-4EB5-B127-9CA645A4FD66}"/>
    <cellStyle name="Linked Cell 6 2 5 8 2 2" xfId="37810" xr:uid="{2D999675-B560-48A6-8D81-05F725F30EF9}"/>
    <cellStyle name="Linked Cell 6 2 5 8 3" xfId="37811" xr:uid="{74AC1A59-DCEC-415D-BF76-602B0852587F}"/>
    <cellStyle name="Linked Cell 6 2 5 9" xfId="37812" xr:uid="{D2100A8D-2ED4-4D98-B07F-4AB8B85260B9}"/>
    <cellStyle name="Linked Cell 6 2 5 9 2" xfId="37813" xr:uid="{20E10E9B-C70D-4822-A483-543E98CF2B90}"/>
    <cellStyle name="Linked Cell 6 2 5 9 2 2" xfId="37814" xr:uid="{59853F1C-9D2C-420A-83FB-949A72051EEF}"/>
    <cellStyle name="Linked Cell 6 2 5 9 3" xfId="37815" xr:uid="{E97F4FEF-B475-4016-969E-7FBC691CCEB6}"/>
    <cellStyle name="Linked Cell 6 2 6" xfId="37816" xr:uid="{D3988F59-500C-45B9-B33B-4FF2F4E314BF}"/>
    <cellStyle name="Linked Cell 6 2 6 2" xfId="37817" xr:uid="{684F3357-401D-48C1-B772-8031F406549E}"/>
    <cellStyle name="Linked Cell 6 2 6 2 2" xfId="37818" xr:uid="{EB6D13A7-23E9-4B8A-A797-600ACF842047}"/>
    <cellStyle name="Linked Cell 6 2 6 3" xfId="37819" xr:uid="{2C57FA2C-F923-4F29-B22F-659AC7A5474C}"/>
    <cellStyle name="Linked Cell 6 2 7" xfId="37820" xr:uid="{7F29280B-BBBA-47CD-9537-F035B932FF52}"/>
    <cellStyle name="Linked Cell 6 2 7 2" xfId="37821" xr:uid="{10252015-F073-4DD1-B57B-EE2B1662E0B5}"/>
    <cellStyle name="Linked Cell 6 2 7 2 2" xfId="37822" xr:uid="{0315AC6B-571B-4E14-BD92-AE71386B66BA}"/>
    <cellStyle name="Linked Cell 6 2 7 3" xfId="37823" xr:uid="{3125E4AA-3DBF-4357-89BA-7093A7FC59BA}"/>
    <cellStyle name="Linked Cell 6 2 8" xfId="37824" xr:uid="{8632C055-7C3D-4DCA-8FCA-D6530E4AEFEA}"/>
    <cellStyle name="Linked Cell 6 2 8 2" xfId="37825" xr:uid="{776FA4B1-A306-45FF-9B2A-D3375868F067}"/>
    <cellStyle name="Linked Cell 6 2 8 2 2" xfId="37826" xr:uid="{50D72E82-F759-43A9-BD66-9F00021118AC}"/>
    <cellStyle name="Linked Cell 6 2 8 3" xfId="37827" xr:uid="{EBB4C879-70E1-4A07-9680-21BFC5A7390A}"/>
    <cellStyle name="Linked Cell 6 2 9" xfId="37828" xr:uid="{B9E64540-C534-423F-8616-454E120C36E9}"/>
    <cellStyle name="Linked Cell 6 2 9 2" xfId="37829" xr:uid="{8ABA3985-463B-43F7-B1EC-9A23D90968A9}"/>
    <cellStyle name="Linked Cell 6 2 9 2 2" xfId="37830" xr:uid="{E77E9CF7-FD4A-47BD-9618-331FEFB12157}"/>
    <cellStyle name="Linked Cell 6 2 9 3" xfId="37831" xr:uid="{D3291D79-E403-4403-81E0-836E99320E15}"/>
    <cellStyle name="Linked Cell 6 3" xfId="37832" xr:uid="{9C40815D-64F2-461D-B860-9963294A2A1A}"/>
    <cellStyle name="Linked Cell 6 3 10" xfId="37833" xr:uid="{E3F8CAB7-17FD-4612-89E3-14A0A9180922}"/>
    <cellStyle name="Linked Cell 6 3 10 2" xfId="37834" xr:uid="{CE210FA3-43EF-4605-81AA-8B714370BAEC}"/>
    <cellStyle name="Linked Cell 6 3 10 2 2" xfId="37835" xr:uid="{48EDA482-8FE6-4958-BC8F-38E3A57D8D67}"/>
    <cellStyle name="Linked Cell 6 3 10 3" xfId="37836" xr:uid="{22FB5B25-672F-4308-B425-C01559F8E90D}"/>
    <cellStyle name="Linked Cell 6 3 11" xfId="37837" xr:uid="{8D623A45-43D4-4DED-9A8B-1756E2F1A72C}"/>
    <cellStyle name="Linked Cell 6 3 11 2" xfId="37838" xr:uid="{C369A38A-96EA-4469-9E63-FE52A482B1D0}"/>
    <cellStyle name="Linked Cell 6 3 11 2 2" xfId="37839" xr:uid="{903EE978-62A2-42EF-8F59-116A8ACF040D}"/>
    <cellStyle name="Linked Cell 6 3 11 3" xfId="37840" xr:uid="{3006B8B5-5023-4651-A2F1-3320F38AB885}"/>
    <cellStyle name="Linked Cell 6 3 12" xfId="37841" xr:uid="{A74F1E40-FF0D-45D5-BC35-B9FC30B3764B}"/>
    <cellStyle name="Linked Cell 6 3 12 2" xfId="37842" xr:uid="{E5A01DBA-F8E1-49EC-B09E-34947DB58A29}"/>
    <cellStyle name="Linked Cell 6 3 12 2 2" xfId="37843" xr:uid="{B27C1FE1-8C81-4246-AB29-33E7AE57A8CE}"/>
    <cellStyle name="Linked Cell 6 3 12 3" xfId="37844" xr:uid="{5714BBC2-5368-4265-B9BB-AC0E00ADD861}"/>
    <cellStyle name="Linked Cell 6 3 13" xfId="37845" xr:uid="{9E5FF0D3-4343-4B28-ABD4-9BEA3E42980A}"/>
    <cellStyle name="Linked Cell 6 3 13 2" xfId="37846" xr:uid="{98986792-E59E-4CC6-998C-ADE39C8EBD5F}"/>
    <cellStyle name="Linked Cell 6 3 14" xfId="37847" xr:uid="{3E35E5E7-D0DE-447D-A15E-79E11075F956}"/>
    <cellStyle name="Linked Cell 6 3 2" xfId="37848" xr:uid="{000A854C-D8DE-4B79-AA3A-6E513DCCA9D4}"/>
    <cellStyle name="Linked Cell 6 3 2 10" xfId="37849" xr:uid="{AD68CDB3-BED8-47FD-AD7D-A793D1589C74}"/>
    <cellStyle name="Linked Cell 6 3 2 10 2" xfId="37850" xr:uid="{60766038-08A4-422E-A0BE-CBC88C0A8F26}"/>
    <cellStyle name="Linked Cell 6 3 2 10 2 2" xfId="37851" xr:uid="{7F4B1131-51C1-4691-AEF8-B61D1C63DB62}"/>
    <cellStyle name="Linked Cell 6 3 2 10 3" xfId="37852" xr:uid="{830B4872-1EEA-4184-94A0-D805AFFD3E5B}"/>
    <cellStyle name="Linked Cell 6 3 2 11" xfId="37853" xr:uid="{FEC7306F-FB4B-4E55-8F58-C4752F9510D3}"/>
    <cellStyle name="Linked Cell 6 3 2 11 2" xfId="37854" xr:uid="{FDD8C32C-F798-49A2-9C8F-33E1245F0606}"/>
    <cellStyle name="Linked Cell 6 3 2 11 2 2" xfId="37855" xr:uid="{66725B7A-FA59-4141-85D4-5386153D2AD0}"/>
    <cellStyle name="Linked Cell 6 3 2 11 3" xfId="37856" xr:uid="{3A1ED382-AE52-4A48-AC89-093B50A0073F}"/>
    <cellStyle name="Linked Cell 6 3 2 12" xfId="37857" xr:uid="{6B230A6E-0C6C-40FD-9B9F-9E23327243BE}"/>
    <cellStyle name="Linked Cell 6 3 2 12 2" xfId="37858" xr:uid="{89F9C1C3-0F16-4CAB-A2D0-7EC7C67ADE05}"/>
    <cellStyle name="Linked Cell 6 3 2 13" xfId="37859" xr:uid="{8940775E-11B3-4209-AA3D-4A6EB59FE803}"/>
    <cellStyle name="Linked Cell 6 3 2 2" xfId="37860" xr:uid="{C1774540-8153-498A-A38F-7F3CDF11E733}"/>
    <cellStyle name="Linked Cell 6 3 2 2 10" xfId="37861" xr:uid="{BC2BCE37-8B01-404F-BC6A-D567D06D9BEF}"/>
    <cellStyle name="Linked Cell 6 3 2 2 10 2" xfId="37862" xr:uid="{663BF3DB-D31F-490A-B36A-CE8173253E6E}"/>
    <cellStyle name="Linked Cell 6 3 2 2 10 2 2" xfId="37863" xr:uid="{08270BB0-77D3-4F63-A621-C42FC98796C3}"/>
    <cellStyle name="Linked Cell 6 3 2 2 10 3" xfId="37864" xr:uid="{9467FB9D-8B29-4FE3-B434-9DEC0F742E0C}"/>
    <cellStyle name="Linked Cell 6 3 2 2 11" xfId="37865" xr:uid="{A1906D9A-2BEF-45E8-9DAB-4E2EE8251365}"/>
    <cellStyle name="Linked Cell 6 3 2 2 11 2" xfId="37866" xr:uid="{51FD1917-C39D-48C9-A569-CC6896FCD46A}"/>
    <cellStyle name="Linked Cell 6 3 2 2 12" xfId="37867" xr:uid="{696E07AC-9E2A-40CA-BE69-1B08FEB67552}"/>
    <cellStyle name="Linked Cell 6 3 2 2 2" xfId="37868" xr:uid="{90284878-DD04-42D6-9483-DAE1D8D80369}"/>
    <cellStyle name="Linked Cell 6 3 2 2 2 2" xfId="37869" xr:uid="{A1EFE351-7438-43E7-ABA6-0A64C60E232B}"/>
    <cellStyle name="Linked Cell 6 3 2 2 2 2 2" xfId="37870" xr:uid="{1276CA1F-28C9-42C9-A3CE-63C92A5C7F26}"/>
    <cellStyle name="Linked Cell 6 3 2 2 2 3" xfId="37871" xr:uid="{DB813BB9-7502-4219-8714-628179A192EA}"/>
    <cellStyle name="Linked Cell 6 3 2 2 3" xfId="37872" xr:uid="{161CD83E-CADE-4191-A30F-C5ECD1746068}"/>
    <cellStyle name="Linked Cell 6 3 2 2 3 2" xfId="37873" xr:uid="{8AE4E88C-3E5B-4E3A-A222-AA07B531CECE}"/>
    <cellStyle name="Linked Cell 6 3 2 2 3 2 2" xfId="37874" xr:uid="{4F50D79A-0750-4062-9596-EE1D70263C03}"/>
    <cellStyle name="Linked Cell 6 3 2 2 3 3" xfId="37875" xr:uid="{6CA843D1-8888-4800-A7CC-1B3409126142}"/>
    <cellStyle name="Linked Cell 6 3 2 2 4" xfId="37876" xr:uid="{C62FF278-78C5-44C0-8DD4-676493B65A3D}"/>
    <cellStyle name="Linked Cell 6 3 2 2 4 2" xfId="37877" xr:uid="{D9CDDEFE-AF7F-4424-A437-C0768FCE160D}"/>
    <cellStyle name="Linked Cell 6 3 2 2 4 2 2" xfId="37878" xr:uid="{B5F82279-9CA0-4A17-BD3A-904A6BF7FFFA}"/>
    <cellStyle name="Linked Cell 6 3 2 2 4 3" xfId="37879" xr:uid="{BC21F97B-EF11-4F75-8D5F-DE00777E8FC6}"/>
    <cellStyle name="Linked Cell 6 3 2 2 5" xfId="37880" xr:uid="{7FB3BACC-1E42-4F5F-BAEA-4F81CD99B4AE}"/>
    <cellStyle name="Linked Cell 6 3 2 2 5 2" xfId="37881" xr:uid="{802DB7C5-C22A-4414-9AD0-1B62E39C4D07}"/>
    <cellStyle name="Linked Cell 6 3 2 2 5 2 2" xfId="37882" xr:uid="{43795754-D6A1-484D-B6E6-746CB9E23F33}"/>
    <cellStyle name="Linked Cell 6 3 2 2 5 3" xfId="37883" xr:uid="{FD1DF3AC-8913-436D-AF29-1FDB2DF16DCD}"/>
    <cellStyle name="Linked Cell 6 3 2 2 6" xfId="37884" xr:uid="{81A2BC2F-3E49-4F40-B1AE-3BD1A130785E}"/>
    <cellStyle name="Linked Cell 6 3 2 2 6 2" xfId="37885" xr:uid="{0285B7A3-E0FF-41AD-A656-D0A2B4FA1379}"/>
    <cellStyle name="Linked Cell 6 3 2 2 6 2 2" xfId="37886" xr:uid="{83A34944-9966-446D-8ACC-ABD3072779F3}"/>
    <cellStyle name="Linked Cell 6 3 2 2 6 3" xfId="37887" xr:uid="{A8F315A0-D19E-4356-A588-F792AEFB611E}"/>
    <cellStyle name="Linked Cell 6 3 2 2 7" xfId="37888" xr:uid="{34AC74A7-E4BC-4B6F-82E6-2210A74827F8}"/>
    <cellStyle name="Linked Cell 6 3 2 2 7 2" xfId="37889" xr:uid="{755CD410-5E10-46E8-8E99-0A7AEDC9141C}"/>
    <cellStyle name="Linked Cell 6 3 2 2 7 2 2" xfId="37890" xr:uid="{ECFAB828-B041-4550-8812-4D110C95D402}"/>
    <cellStyle name="Linked Cell 6 3 2 2 7 3" xfId="37891" xr:uid="{CA9A029D-2EB4-4465-93E3-868AAAC437BC}"/>
    <cellStyle name="Linked Cell 6 3 2 2 8" xfId="37892" xr:uid="{333DDDCB-9031-4832-B1E8-AC796E3F925A}"/>
    <cellStyle name="Linked Cell 6 3 2 2 8 2" xfId="37893" xr:uid="{0FB21B04-4C58-4E0B-B055-BCF61663CC15}"/>
    <cellStyle name="Linked Cell 6 3 2 2 8 2 2" xfId="37894" xr:uid="{29F623D6-F71D-40B1-BA83-BE89F7A790AE}"/>
    <cellStyle name="Linked Cell 6 3 2 2 8 3" xfId="37895" xr:uid="{E5F5F841-AF40-4378-A6FE-AE0B115E78BE}"/>
    <cellStyle name="Linked Cell 6 3 2 2 9" xfId="37896" xr:uid="{3D695F8E-3498-484C-8FF4-60AC10498EB1}"/>
    <cellStyle name="Linked Cell 6 3 2 2 9 2" xfId="37897" xr:uid="{36839349-AD14-4148-8203-2CF88D0782A8}"/>
    <cellStyle name="Linked Cell 6 3 2 2 9 2 2" xfId="37898" xr:uid="{4E989C4C-A72E-4E99-9A3C-54BFA9E1D224}"/>
    <cellStyle name="Linked Cell 6 3 2 2 9 3" xfId="37899" xr:uid="{04977591-0FE9-4BAB-BCE5-20A959F560F4}"/>
    <cellStyle name="Linked Cell 6 3 2 3" xfId="37900" xr:uid="{E7E90D81-21C5-418F-BEBA-9B1410B02D76}"/>
    <cellStyle name="Linked Cell 6 3 2 3 10" xfId="37901" xr:uid="{6723DA54-9C77-4177-B21F-26B215E74457}"/>
    <cellStyle name="Linked Cell 6 3 2 3 10 2" xfId="37902" xr:uid="{686B0B94-F997-4EF1-BE02-A4A4271C49E5}"/>
    <cellStyle name="Linked Cell 6 3 2 3 11" xfId="37903" xr:uid="{9E5A87B2-E1A2-4BCC-9AF7-AB6DCE5428B1}"/>
    <cellStyle name="Linked Cell 6 3 2 3 2" xfId="37904" xr:uid="{D6850791-72E3-4428-AD17-7BB6B6B2E056}"/>
    <cellStyle name="Linked Cell 6 3 2 3 2 2" xfId="37905" xr:uid="{D34051AE-EB58-40C2-B632-570E5924A6B8}"/>
    <cellStyle name="Linked Cell 6 3 2 3 2 2 2" xfId="37906" xr:uid="{2FF90C9E-B925-4C7A-A610-E61131D54434}"/>
    <cellStyle name="Linked Cell 6 3 2 3 2 3" xfId="37907" xr:uid="{20F9B281-ACF2-4C0D-A4DF-860CBA6F32C6}"/>
    <cellStyle name="Linked Cell 6 3 2 3 3" xfId="37908" xr:uid="{8EE93688-C378-4E83-BED9-439B0C1FB19D}"/>
    <cellStyle name="Linked Cell 6 3 2 3 3 2" xfId="37909" xr:uid="{681C4FB3-98F4-482A-A3BD-2C24016DD716}"/>
    <cellStyle name="Linked Cell 6 3 2 3 3 2 2" xfId="37910" xr:uid="{273CDC0F-F497-4914-AF19-03D41F8D408E}"/>
    <cellStyle name="Linked Cell 6 3 2 3 3 3" xfId="37911" xr:uid="{795E0745-BB1D-4280-A685-926EA6A4F108}"/>
    <cellStyle name="Linked Cell 6 3 2 3 4" xfId="37912" xr:uid="{7A75669A-BB6B-49F8-859E-DD75CBC72334}"/>
    <cellStyle name="Linked Cell 6 3 2 3 4 2" xfId="37913" xr:uid="{062BEBF3-AD7F-40B4-8B5F-0CE8F9CA5BD9}"/>
    <cellStyle name="Linked Cell 6 3 2 3 4 2 2" xfId="37914" xr:uid="{524E86E6-9A53-493C-AB70-98BB249DC2ED}"/>
    <cellStyle name="Linked Cell 6 3 2 3 4 3" xfId="37915" xr:uid="{4EFF848C-711A-4FF2-91BA-70A15F298D4F}"/>
    <cellStyle name="Linked Cell 6 3 2 3 5" xfId="37916" xr:uid="{AC8007C4-49D3-4B9C-9FEC-B60FE2C99EB7}"/>
    <cellStyle name="Linked Cell 6 3 2 3 5 2" xfId="37917" xr:uid="{BF3FBB37-921C-4FB6-B3B0-39E64561D4C4}"/>
    <cellStyle name="Linked Cell 6 3 2 3 5 2 2" xfId="37918" xr:uid="{EB8BFD23-5DF2-4FA3-889E-15E51429A3D7}"/>
    <cellStyle name="Linked Cell 6 3 2 3 5 3" xfId="37919" xr:uid="{2CD46CF7-2DB4-4384-A8A1-885221A5FD1D}"/>
    <cellStyle name="Linked Cell 6 3 2 3 6" xfId="37920" xr:uid="{30690433-30DD-406C-8511-3112B7EA96CC}"/>
    <cellStyle name="Linked Cell 6 3 2 3 6 2" xfId="37921" xr:uid="{B3F819AC-F037-49AB-BD23-E272D984DD5B}"/>
    <cellStyle name="Linked Cell 6 3 2 3 6 2 2" xfId="37922" xr:uid="{DE5FCC48-5E3E-448E-B0B9-AF3334CC2600}"/>
    <cellStyle name="Linked Cell 6 3 2 3 6 3" xfId="37923" xr:uid="{FD64C024-B0D4-47EB-85F3-76E934DB3595}"/>
    <cellStyle name="Linked Cell 6 3 2 3 7" xfId="37924" xr:uid="{5EE60EAB-6D12-4B7B-A711-B1C0BE4959B1}"/>
    <cellStyle name="Linked Cell 6 3 2 3 7 2" xfId="37925" xr:uid="{0E06AF46-E1D3-4380-BC87-5AAD8737CF5F}"/>
    <cellStyle name="Linked Cell 6 3 2 3 7 2 2" xfId="37926" xr:uid="{F34EABEA-29C1-4A68-92B2-B149CC28295A}"/>
    <cellStyle name="Linked Cell 6 3 2 3 7 3" xfId="37927" xr:uid="{E20A5DEB-CEBE-47C8-BF58-9446A1B29AE9}"/>
    <cellStyle name="Linked Cell 6 3 2 3 8" xfId="37928" xr:uid="{F24699E4-09AB-46E0-9319-F10741DBE110}"/>
    <cellStyle name="Linked Cell 6 3 2 3 8 2" xfId="37929" xr:uid="{B63FF319-02E4-45F4-8486-F7771B654F3B}"/>
    <cellStyle name="Linked Cell 6 3 2 3 8 2 2" xfId="37930" xr:uid="{64210E7E-CDB3-4466-AB58-49C137E4D85D}"/>
    <cellStyle name="Linked Cell 6 3 2 3 8 3" xfId="37931" xr:uid="{9E1ACB6C-A1E4-4AE0-A273-1FD2EE445800}"/>
    <cellStyle name="Linked Cell 6 3 2 3 9" xfId="37932" xr:uid="{306F8E54-40D2-4737-BF26-0AE07099D0C7}"/>
    <cellStyle name="Linked Cell 6 3 2 3 9 2" xfId="37933" xr:uid="{E2CC2B06-49DE-44E4-9D40-178B5C4FBD90}"/>
    <cellStyle name="Linked Cell 6 3 2 3 9 2 2" xfId="37934" xr:uid="{2A0B3EBA-DD95-457A-B91E-956C17E22202}"/>
    <cellStyle name="Linked Cell 6 3 2 3 9 3" xfId="37935" xr:uid="{4CF8F91F-4B6F-46CC-8530-18F19A4F20E1}"/>
    <cellStyle name="Linked Cell 6 3 2 4" xfId="37936" xr:uid="{4DA53B73-D3A3-42D5-AEDA-0D00186EA9FC}"/>
    <cellStyle name="Linked Cell 6 3 2 4 2" xfId="37937" xr:uid="{709AB73F-835A-4A12-B385-BD84C5B704C6}"/>
    <cellStyle name="Linked Cell 6 3 2 4 2 2" xfId="37938" xr:uid="{7C108E4A-D394-47A2-9F43-E0E2C0D9663B}"/>
    <cellStyle name="Linked Cell 6 3 2 4 3" xfId="37939" xr:uid="{81AD470F-D12E-4748-98CD-08AD6CCB2358}"/>
    <cellStyle name="Linked Cell 6 3 2 5" xfId="37940" xr:uid="{F46B2790-4B19-4270-A7B0-0F02A8DC61F3}"/>
    <cellStyle name="Linked Cell 6 3 2 5 2" xfId="37941" xr:uid="{D9374D44-46D7-4B8A-A965-56AC89AE9269}"/>
    <cellStyle name="Linked Cell 6 3 2 5 2 2" xfId="37942" xr:uid="{6A1115F5-4474-49CC-884E-215A969798B2}"/>
    <cellStyle name="Linked Cell 6 3 2 5 3" xfId="37943" xr:uid="{B7F67F16-A8C2-40F0-9B65-A327057DFC4F}"/>
    <cellStyle name="Linked Cell 6 3 2 6" xfId="37944" xr:uid="{A98DBF25-4D46-4D47-9DDB-B1601671E8B3}"/>
    <cellStyle name="Linked Cell 6 3 2 6 2" xfId="37945" xr:uid="{97488588-CA4E-432B-9DA5-0A2E895037A6}"/>
    <cellStyle name="Linked Cell 6 3 2 6 2 2" xfId="37946" xr:uid="{D0A544E0-08FE-49AF-889A-EE9F1D069218}"/>
    <cellStyle name="Linked Cell 6 3 2 6 3" xfId="37947" xr:uid="{98A90FFF-D462-4312-BA1D-B17B87048536}"/>
    <cellStyle name="Linked Cell 6 3 2 7" xfId="37948" xr:uid="{312187D6-4B03-49C5-AE9F-FBF46F30DCD4}"/>
    <cellStyle name="Linked Cell 6 3 2 7 2" xfId="37949" xr:uid="{6F6F7059-6280-45CC-85BB-E474D5D34682}"/>
    <cellStyle name="Linked Cell 6 3 2 7 2 2" xfId="37950" xr:uid="{A8EB80EE-8D7C-4F78-8EFD-3022E1E5F2D3}"/>
    <cellStyle name="Linked Cell 6 3 2 7 3" xfId="37951" xr:uid="{8383AEBA-C2EE-4B2C-B108-D79FA1137BFC}"/>
    <cellStyle name="Linked Cell 6 3 2 8" xfId="37952" xr:uid="{662054FF-6BBC-4C8B-A0D2-9ADDBFE8B134}"/>
    <cellStyle name="Linked Cell 6 3 2 8 2" xfId="37953" xr:uid="{B749E036-AAE3-4EEA-ADDA-6AC40DB2B34C}"/>
    <cellStyle name="Linked Cell 6 3 2 8 2 2" xfId="37954" xr:uid="{DCCEDA96-8190-4FE9-8B35-789C144E952F}"/>
    <cellStyle name="Linked Cell 6 3 2 8 3" xfId="37955" xr:uid="{565881A5-28D5-4CA5-9CF7-B8370BBE9E81}"/>
    <cellStyle name="Linked Cell 6 3 2 9" xfId="37956" xr:uid="{83DA3D86-A40A-4AF9-BC13-56D4BC5CF941}"/>
    <cellStyle name="Linked Cell 6 3 2 9 2" xfId="37957" xr:uid="{B6E5819F-0EF2-4988-BB26-722A868D71AF}"/>
    <cellStyle name="Linked Cell 6 3 2 9 2 2" xfId="37958" xr:uid="{7036797D-6269-4EF3-AB92-8CBF5988EDCE}"/>
    <cellStyle name="Linked Cell 6 3 2 9 3" xfId="37959" xr:uid="{ADC2461B-648D-4EBD-A485-56028EBA510E}"/>
    <cellStyle name="Linked Cell 6 3 3" xfId="37960" xr:uid="{9769EF10-D2A6-4005-91D3-AF238A3275ED}"/>
    <cellStyle name="Linked Cell 6 3 3 10" xfId="37961" xr:uid="{6BAC8626-E56B-4935-B843-689F91007030}"/>
    <cellStyle name="Linked Cell 6 3 3 10 2" xfId="37962" xr:uid="{6E7CF5DD-868E-46F9-8FC6-647F541FFEF4}"/>
    <cellStyle name="Linked Cell 6 3 3 10 2 2" xfId="37963" xr:uid="{DAF389A0-0273-4DC4-AA44-8D93E2C7FCBF}"/>
    <cellStyle name="Linked Cell 6 3 3 10 3" xfId="37964" xr:uid="{DD1AFF69-8D00-41A8-8C46-3C40D77A4081}"/>
    <cellStyle name="Linked Cell 6 3 3 11" xfId="37965" xr:uid="{B0D25FBB-0AEF-4DA3-87E3-7D90BDD1320A}"/>
    <cellStyle name="Linked Cell 6 3 3 11 2" xfId="37966" xr:uid="{04D3CBDD-9896-4032-811D-28EB94F58F49}"/>
    <cellStyle name="Linked Cell 6 3 3 12" xfId="37967" xr:uid="{5C887209-AF65-4A69-99A3-25196B901C41}"/>
    <cellStyle name="Linked Cell 6 3 3 2" xfId="37968" xr:uid="{E7B9FF03-AA10-4589-BAB6-6EFC4885CBBE}"/>
    <cellStyle name="Linked Cell 6 3 3 2 10" xfId="37969" xr:uid="{D0A3EA17-2568-4414-B877-7B4945719B40}"/>
    <cellStyle name="Linked Cell 6 3 3 2 10 2" xfId="37970" xr:uid="{684B5071-4B74-4393-AB02-610678BD5789}"/>
    <cellStyle name="Linked Cell 6 3 3 2 11" xfId="37971" xr:uid="{E5A957D5-E917-4A53-921D-4E22FB9D272D}"/>
    <cellStyle name="Linked Cell 6 3 3 2 2" xfId="37972" xr:uid="{68FA8C92-A2DB-4F13-879E-8D5A5E465B52}"/>
    <cellStyle name="Linked Cell 6 3 3 2 2 2" xfId="37973" xr:uid="{5E11311A-9704-494D-84D4-6F3504408678}"/>
    <cellStyle name="Linked Cell 6 3 3 2 2 2 2" xfId="37974" xr:uid="{BF7D6D1E-96B8-42F4-90FD-64A2A65748E2}"/>
    <cellStyle name="Linked Cell 6 3 3 2 2 3" xfId="37975" xr:uid="{4930E688-C290-4364-A484-9BDA8DCCE026}"/>
    <cellStyle name="Linked Cell 6 3 3 2 3" xfId="37976" xr:uid="{460EAA80-71F0-4AED-9DFF-F74C7B71C4E6}"/>
    <cellStyle name="Linked Cell 6 3 3 2 3 2" xfId="37977" xr:uid="{130E184D-3811-4B94-B46E-AA0C933DB3B3}"/>
    <cellStyle name="Linked Cell 6 3 3 2 3 2 2" xfId="37978" xr:uid="{C1844363-A190-4680-A0A8-88130675CFCF}"/>
    <cellStyle name="Linked Cell 6 3 3 2 3 3" xfId="37979" xr:uid="{FFBFB06C-B3C3-45D0-97BD-44D8548AFF23}"/>
    <cellStyle name="Linked Cell 6 3 3 2 4" xfId="37980" xr:uid="{7D33184A-E089-4EEE-BE5B-2374F5705900}"/>
    <cellStyle name="Linked Cell 6 3 3 2 4 2" xfId="37981" xr:uid="{2C1EFF93-4157-4271-9111-48772C90F216}"/>
    <cellStyle name="Linked Cell 6 3 3 2 4 2 2" xfId="37982" xr:uid="{D8481DE4-C7EE-432E-B8A8-ECFC8563DB19}"/>
    <cellStyle name="Linked Cell 6 3 3 2 4 3" xfId="37983" xr:uid="{2A6D4818-F7CA-466F-9875-15AAC18BEAB9}"/>
    <cellStyle name="Linked Cell 6 3 3 2 5" xfId="37984" xr:uid="{40F4E4CB-3A19-4AF2-A9E9-DC0333D0B355}"/>
    <cellStyle name="Linked Cell 6 3 3 2 5 2" xfId="37985" xr:uid="{FC10CB56-C935-4E75-A789-1FB7784BB0B3}"/>
    <cellStyle name="Linked Cell 6 3 3 2 5 2 2" xfId="37986" xr:uid="{31C248BF-57FC-48A1-A556-2897C2D76EEF}"/>
    <cellStyle name="Linked Cell 6 3 3 2 5 3" xfId="37987" xr:uid="{1CCB9976-7E19-4741-B7FA-4FD129770D5F}"/>
    <cellStyle name="Linked Cell 6 3 3 2 6" xfId="37988" xr:uid="{2575398D-A194-48DD-B5CD-9929765C7235}"/>
    <cellStyle name="Linked Cell 6 3 3 2 6 2" xfId="37989" xr:uid="{88A8EFDA-9654-49ED-B9F2-DE0B469483F4}"/>
    <cellStyle name="Linked Cell 6 3 3 2 6 2 2" xfId="37990" xr:uid="{A23AD40D-2264-4A2C-A0B9-E380F47B692A}"/>
    <cellStyle name="Linked Cell 6 3 3 2 6 3" xfId="37991" xr:uid="{7A8B8187-99BC-4A43-AD66-27CC69351B77}"/>
    <cellStyle name="Linked Cell 6 3 3 2 7" xfId="37992" xr:uid="{3D2C4139-B13E-4455-836D-BA0D75EEBCC2}"/>
    <cellStyle name="Linked Cell 6 3 3 2 7 2" xfId="37993" xr:uid="{263C04DB-7B6F-4EE4-BF57-7E12B2CE09CF}"/>
    <cellStyle name="Linked Cell 6 3 3 2 7 2 2" xfId="37994" xr:uid="{4AC04F4D-CB74-44FD-9132-C0FF8A3F72E8}"/>
    <cellStyle name="Linked Cell 6 3 3 2 7 3" xfId="37995" xr:uid="{F5512996-6E6D-41A6-87B5-2EF2903AB44A}"/>
    <cellStyle name="Linked Cell 6 3 3 2 8" xfId="37996" xr:uid="{09596161-67F8-4CA9-8CFE-E327C32E7229}"/>
    <cellStyle name="Linked Cell 6 3 3 2 8 2" xfId="37997" xr:uid="{7FFB5CD9-ACD5-4544-854D-D8A5FCA96486}"/>
    <cellStyle name="Linked Cell 6 3 3 2 8 2 2" xfId="37998" xr:uid="{63DF258D-135C-4910-9C4C-02A58691E0D0}"/>
    <cellStyle name="Linked Cell 6 3 3 2 8 3" xfId="37999" xr:uid="{3D95F500-1471-414B-8F11-78C32840BDDC}"/>
    <cellStyle name="Linked Cell 6 3 3 2 9" xfId="38000" xr:uid="{02AEEA23-81F4-4D07-8236-AC0477930DE2}"/>
    <cellStyle name="Linked Cell 6 3 3 2 9 2" xfId="38001" xr:uid="{1416EE11-0A84-4700-9ED2-692FD7719823}"/>
    <cellStyle name="Linked Cell 6 3 3 2 9 2 2" xfId="38002" xr:uid="{5838882F-126C-484C-B57F-988CEAFB8BE7}"/>
    <cellStyle name="Linked Cell 6 3 3 2 9 3" xfId="38003" xr:uid="{A04787F2-A7B4-462A-97C6-F59951CF300E}"/>
    <cellStyle name="Linked Cell 6 3 3 3" xfId="38004" xr:uid="{765BFE43-D5C8-4387-B519-2F24315A26BE}"/>
    <cellStyle name="Linked Cell 6 3 3 3 2" xfId="38005" xr:uid="{25398B34-3D04-47E4-800F-A69038449723}"/>
    <cellStyle name="Linked Cell 6 3 3 3 2 2" xfId="38006" xr:uid="{B2037D57-8C82-4DD5-BA7B-B293F2CB3743}"/>
    <cellStyle name="Linked Cell 6 3 3 3 3" xfId="38007" xr:uid="{AF2D0474-A342-4E94-B5E7-24A3A76172C1}"/>
    <cellStyle name="Linked Cell 6 3 3 4" xfId="38008" xr:uid="{0F69FD36-DE71-4B7A-B8AF-65E92442513E}"/>
    <cellStyle name="Linked Cell 6 3 3 4 2" xfId="38009" xr:uid="{670B2D78-EECE-42BF-A9A0-69B5E2BFE3EE}"/>
    <cellStyle name="Linked Cell 6 3 3 4 2 2" xfId="38010" xr:uid="{F1FFD61E-7CB7-4E76-B2B4-37CCD1AA152D}"/>
    <cellStyle name="Linked Cell 6 3 3 4 3" xfId="38011" xr:uid="{1216CC89-D095-4575-9D6C-1774E6B1BA86}"/>
    <cellStyle name="Linked Cell 6 3 3 5" xfId="38012" xr:uid="{CC74599D-9A7F-40DF-9304-4479CEDD3B78}"/>
    <cellStyle name="Linked Cell 6 3 3 5 2" xfId="38013" xr:uid="{D4D378A2-A9D3-412C-BADE-5D11B1BC125A}"/>
    <cellStyle name="Linked Cell 6 3 3 5 2 2" xfId="38014" xr:uid="{742F2EAB-6F46-4AF9-A381-FC8B2ABF9B60}"/>
    <cellStyle name="Linked Cell 6 3 3 5 3" xfId="38015" xr:uid="{1C6A0141-848D-44ED-96FA-6B2E9FB52307}"/>
    <cellStyle name="Linked Cell 6 3 3 6" xfId="38016" xr:uid="{A218AF9B-1CDC-43E0-B905-EA92F462A89D}"/>
    <cellStyle name="Linked Cell 6 3 3 6 2" xfId="38017" xr:uid="{E1672393-3BFD-40DD-A37F-89F30BE37B00}"/>
    <cellStyle name="Linked Cell 6 3 3 6 2 2" xfId="38018" xr:uid="{8D1A79A2-5D04-4B9A-A985-6C45E197A6FE}"/>
    <cellStyle name="Linked Cell 6 3 3 6 3" xfId="38019" xr:uid="{B192E87D-A6D1-42C6-831B-C2C934078412}"/>
    <cellStyle name="Linked Cell 6 3 3 7" xfId="38020" xr:uid="{B5C07F91-9D97-44BA-93C7-7DEFA8062E51}"/>
    <cellStyle name="Linked Cell 6 3 3 7 2" xfId="38021" xr:uid="{1456AEE9-E74E-4C86-8235-C8617F1E168C}"/>
    <cellStyle name="Linked Cell 6 3 3 7 2 2" xfId="38022" xr:uid="{3E370700-6BE2-404E-A8F3-A1AC802D318A}"/>
    <cellStyle name="Linked Cell 6 3 3 7 3" xfId="38023" xr:uid="{48943ECC-0FB6-429F-A1BE-B5CD806A8449}"/>
    <cellStyle name="Linked Cell 6 3 3 8" xfId="38024" xr:uid="{15A432F8-C2E0-422D-9849-6236964A4C18}"/>
    <cellStyle name="Linked Cell 6 3 3 8 2" xfId="38025" xr:uid="{02C7ACDF-4080-4BCC-BD63-A7AD66A1F31C}"/>
    <cellStyle name="Linked Cell 6 3 3 8 2 2" xfId="38026" xr:uid="{8C88E674-F6F3-49DB-AB05-10D4F883F4B5}"/>
    <cellStyle name="Linked Cell 6 3 3 8 3" xfId="38027" xr:uid="{67CF1710-F496-428D-B4F4-BAEEAB2E9A52}"/>
    <cellStyle name="Linked Cell 6 3 3 9" xfId="38028" xr:uid="{B7D987A8-9307-4022-858F-4D3E1246F292}"/>
    <cellStyle name="Linked Cell 6 3 3 9 2" xfId="38029" xr:uid="{FE003D9D-D347-4228-B406-DD472C2C0B6D}"/>
    <cellStyle name="Linked Cell 6 3 3 9 2 2" xfId="38030" xr:uid="{04D62045-F62D-4127-AD92-96BC39900173}"/>
    <cellStyle name="Linked Cell 6 3 3 9 3" xfId="38031" xr:uid="{5AC9C157-F915-4221-A349-6D815E7A4B0E}"/>
    <cellStyle name="Linked Cell 6 3 4" xfId="38032" xr:uid="{30EDBFDC-2A30-4959-AC15-39A3C1099705}"/>
    <cellStyle name="Linked Cell 6 3 4 10" xfId="38033" xr:uid="{F831BD6B-2974-4080-942C-51E7BE6F6281}"/>
    <cellStyle name="Linked Cell 6 3 4 10 2" xfId="38034" xr:uid="{A5702B9F-A0C4-4E52-9092-754C70E8D4D8}"/>
    <cellStyle name="Linked Cell 6 3 4 11" xfId="38035" xr:uid="{05557BFF-FF98-4E3A-899D-167025820DE9}"/>
    <cellStyle name="Linked Cell 6 3 4 2" xfId="38036" xr:uid="{0B2F30AE-5B74-49B6-A7EA-FEE2B87E4B4A}"/>
    <cellStyle name="Linked Cell 6 3 4 2 2" xfId="38037" xr:uid="{527A1DB2-FEBE-4907-84D8-1E983BC660C6}"/>
    <cellStyle name="Linked Cell 6 3 4 2 2 2" xfId="38038" xr:uid="{3E78C9A6-59B0-41DA-871F-2DB9B381D67F}"/>
    <cellStyle name="Linked Cell 6 3 4 2 3" xfId="38039" xr:uid="{91CF0A0C-6D90-49E6-A442-2EE6B246844B}"/>
    <cellStyle name="Linked Cell 6 3 4 3" xfId="38040" xr:uid="{43F4ABEE-A799-4211-968B-9D84E3FD902B}"/>
    <cellStyle name="Linked Cell 6 3 4 3 2" xfId="38041" xr:uid="{1D1A92CB-5373-476D-84B7-19312C8B0504}"/>
    <cellStyle name="Linked Cell 6 3 4 3 2 2" xfId="38042" xr:uid="{3F119B78-153C-4084-9121-5755A375426D}"/>
    <cellStyle name="Linked Cell 6 3 4 3 3" xfId="38043" xr:uid="{516998E2-15B8-4425-A828-EB2EA006031A}"/>
    <cellStyle name="Linked Cell 6 3 4 4" xfId="38044" xr:uid="{2D12FE01-0A67-40C3-A756-536F230EC833}"/>
    <cellStyle name="Linked Cell 6 3 4 4 2" xfId="38045" xr:uid="{9ED7444F-CFFB-4211-B5E3-BD32A1975E04}"/>
    <cellStyle name="Linked Cell 6 3 4 4 2 2" xfId="38046" xr:uid="{5D7989CE-F58A-4C5C-A56D-E63E0BD57773}"/>
    <cellStyle name="Linked Cell 6 3 4 4 3" xfId="38047" xr:uid="{6319437B-D37A-45BD-B74E-47553E4A4B43}"/>
    <cellStyle name="Linked Cell 6 3 4 5" xfId="38048" xr:uid="{8F1D5003-B49A-42D5-9F1C-6469DBC10AF0}"/>
    <cellStyle name="Linked Cell 6 3 4 5 2" xfId="38049" xr:uid="{D4385D8D-D7A5-433B-949E-790DABB11134}"/>
    <cellStyle name="Linked Cell 6 3 4 5 2 2" xfId="38050" xr:uid="{E2EE59A4-D619-4316-9BEC-C0721AD650BA}"/>
    <cellStyle name="Linked Cell 6 3 4 5 3" xfId="38051" xr:uid="{0CA25302-29E3-40FC-8719-4A3B1FC57854}"/>
    <cellStyle name="Linked Cell 6 3 4 6" xfId="38052" xr:uid="{3FD12856-859F-417C-B4FF-D8D19B56158E}"/>
    <cellStyle name="Linked Cell 6 3 4 6 2" xfId="38053" xr:uid="{5863D37D-8892-4DCA-B54B-5CF074C90748}"/>
    <cellStyle name="Linked Cell 6 3 4 6 2 2" xfId="38054" xr:uid="{69554ECA-5D9D-4CD4-BCBB-637477F154C8}"/>
    <cellStyle name="Linked Cell 6 3 4 6 3" xfId="38055" xr:uid="{186B3749-F10E-4955-9C29-AB3A78A2F521}"/>
    <cellStyle name="Linked Cell 6 3 4 7" xfId="38056" xr:uid="{D8044809-88B8-406D-92F0-A9DB1350F2C7}"/>
    <cellStyle name="Linked Cell 6 3 4 7 2" xfId="38057" xr:uid="{8A29BE4B-AD27-4F61-AC92-46D844AB4643}"/>
    <cellStyle name="Linked Cell 6 3 4 7 2 2" xfId="38058" xr:uid="{24886DBD-683C-4ABD-801C-B86B2BA62EFC}"/>
    <cellStyle name="Linked Cell 6 3 4 7 3" xfId="38059" xr:uid="{FEE97F35-5013-4E14-86C9-2E033E6E5B9F}"/>
    <cellStyle name="Linked Cell 6 3 4 8" xfId="38060" xr:uid="{F2DF5F6D-3343-4476-9FE3-A977E921ACCD}"/>
    <cellStyle name="Linked Cell 6 3 4 8 2" xfId="38061" xr:uid="{E319E5F2-6739-49C0-8D83-8CFCBB610D26}"/>
    <cellStyle name="Linked Cell 6 3 4 8 2 2" xfId="38062" xr:uid="{D7C229E3-C249-40E1-B5CF-40701BCA3F39}"/>
    <cellStyle name="Linked Cell 6 3 4 8 3" xfId="38063" xr:uid="{39BADA14-BC92-4FF8-80C9-A419F361AA9B}"/>
    <cellStyle name="Linked Cell 6 3 4 9" xfId="38064" xr:uid="{730B6425-037C-499E-B378-EAEAAC0493A8}"/>
    <cellStyle name="Linked Cell 6 3 4 9 2" xfId="38065" xr:uid="{75145562-4107-4FA2-BEEC-4117BB786CF6}"/>
    <cellStyle name="Linked Cell 6 3 4 9 2 2" xfId="38066" xr:uid="{72823772-577C-447B-88B2-7BE039A8FE07}"/>
    <cellStyle name="Linked Cell 6 3 4 9 3" xfId="38067" xr:uid="{418CD2C0-BF1F-42B1-921C-5FC79C33D075}"/>
    <cellStyle name="Linked Cell 6 3 5" xfId="38068" xr:uid="{50FD674A-02A5-46D1-8A3E-2A0A93AD7512}"/>
    <cellStyle name="Linked Cell 6 3 5 2" xfId="38069" xr:uid="{255FFC52-9CD6-4118-9530-4F3595595900}"/>
    <cellStyle name="Linked Cell 6 3 5 2 2" xfId="38070" xr:uid="{DC1C99BC-8921-4399-A9B6-FC201E9B9511}"/>
    <cellStyle name="Linked Cell 6 3 5 3" xfId="38071" xr:uid="{9E6DB7C9-4E6C-43F7-BC6B-45A117B0A247}"/>
    <cellStyle name="Linked Cell 6 3 6" xfId="38072" xr:uid="{EE8B1061-50FB-4E4A-8441-8988AB967E4C}"/>
    <cellStyle name="Linked Cell 6 3 6 2" xfId="38073" xr:uid="{4B721980-3356-437B-A6E3-27F685CD3428}"/>
    <cellStyle name="Linked Cell 6 3 6 2 2" xfId="38074" xr:uid="{B0434407-7100-4A8A-91A3-C489C21A17A2}"/>
    <cellStyle name="Linked Cell 6 3 6 3" xfId="38075" xr:uid="{6179FB6B-5F65-4AA0-AB86-2CA1A37DED00}"/>
    <cellStyle name="Linked Cell 6 3 7" xfId="38076" xr:uid="{33471A96-BF0C-4A1E-AC19-74673F3031AC}"/>
    <cellStyle name="Linked Cell 6 3 7 2" xfId="38077" xr:uid="{DECFF82C-F1B8-446B-B0E2-195D22549931}"/>
    <cellStyle name="Linked Cell 6 3 7 2 2" xfId="38078" xr:uid="{BBF8D67C-5722-4EE4-91C8-D72DFDEECFFA}"/>
    <cellStyle name="Linked Cell 6 3 7 3" xfId="38079" xr:uid="{2BA48764-6ECC-4E71-8564-06FD067B2D6A}"/>
    <cellStyle name="Linked Cell 6 3 8" xfId="38080" xr:uid="{B67BCDEB-569C-4A81-9540-F5306B829127}"/>
    <cellStyle name="Linked Cell 6 3 8 2" xfId="38081" xr:uid="{ACCF7063-3113-4BE0-B16D-969D4DF2E29F}"/>
    <cellStyle name="Linked Cell 6 3 8 2 2" xfId="38082" xr:uid="{6BBD535B-C710-4147-8903-D31864D4CB29}"/>
    <cellStyle name="Linked Cell 6 3 8 3" xfId="38083" xr:uid="{67AE97A7-86A9-4D12-93F3-2ABA2E6CA542}"/>
    <cellStyle name="Linked Cell 6 3 9" xfId="38084" xr:uid="{5159934D-6892-4E97-8C0F-2BD1A76DFEED}"/>
    <cellStyle name="Linked Cell 6 3 9 2" xfId="38085" xr:uid="{A55D1451-B08D-4BF4-8E25-081845063805}"/>
    <cellStyle name="Linked Cell 6 3 9 2 2" xfId="38086" xr:uid="{A345EBF4-8E01-473E-B3D6-65D8AD186A4E}"/>
    <cellStyle name="Linked Cell 6 3 9 3" xfId="38087" xr:uid="{4E8B485A-5ECB-4020-839E-25DBA5E28963}"/>
    <cellStyle name="Linked Cell 6 4" xfId="38088" xr:uid="{FAFACEE4-E058-468A-B333-AA7E06AEE6B5}"/>
    <cellStyle name="Linked Cell 6 4 10" xfId="38089" xr:uid="{91B46741-CF80-4DA3-A7D7-F114D8D6A95A}"/>
    <cellStyle name="Linked Cell 6 4 10 2" xfId="38090" xr:uid="{F742E889-B217-4107-B5FC-A12F0DE73BB8}"/>
    <cellStyle name="Linked Cell 6 4 10 2 2" xfId="38091" xr:uid="{0C5914E9-B97D-4044-9376-8A848235F8B0}"/>
    <cellStyle name="Linked Cell 6 4 10 3" xfId="38092" xr:uid="{4D6C034E-E93F-4D36-A2FB-701B99B5F019}"/>
    <cellStyle name="Linked Cell 6 4 11" xfId="38093" xr:uid="{E7F7755A-CAC4-4E9A-B235-38C3DD8D83FC}"/>
    <cellStyle name="Linked Cell 6 4 11 2" xfId="38094" xr:uid="{27E64C59-DF00-459E-96BF-8D576C2F997D}"/>
    <cellStyle name="Linked Cell 6 4 11 2 2" xfId="38095" xr:uid="{12B5C54A-8BE0-42D5-B81A-15202DED2B4F}"/>
    <cellStyle name="Linked Cell 6 4 11 3" xfId="38096" xr:uid="{E25DE4C9-7ADF-4F4D-A9A3-3385835982F4}"/>
    <cellStyle name="Linked Cell 6 4 12" xfId="38097" xr:uid="{D6C940C1-0477-48CA-A0F9-91B8F2D58B2B}"/>
    <cellStyle name="Linked Cell 6 4 12 2" xfId="38098" xr:uid="{DBB34CE0-F2B6-4F19-91EF-7A5DD48E9872}"/>
    <cellStyle name="Linked Cell 6 4 13" xfId="38099" xr:uid="{DD0E3E7F-C72C-41D9-AD40-E7E1FAF5ABEB}"/>
    <cellStyle name="Linked Cell 6 4 2" xfId="38100" xr:uid="{77860C72-860A-48F2-A15E-3CBA1C0463DC}"/>
    <cellStyle name="Linked Cell 6 4 2 10" xfId="38101" xr:uid="{6DB918A4-ABF5-4FCA-B210-26647752644F}"/>
    <cellStyle name="Linked Cell 6 4 2 10 2" xfId="38102" xr:uid="{057A44C8-D395-4C95-83D8-AFEA4CAB9D14}"/>
    <cellStyle name="Linked Cell 6 4 2 10 2 2" xfId="38103" xr:uid="{CB5F61CC-97EF-4EEB-BB70-C5C552FDDD11}"/>
    <cellStyle name="Linked Cell 6 4 2 10 3" xfId="38104" xr:uid="{6BA9A74A-6AC9-4E1D-B2AD-77654C4E5CD5}"/>
    <cellStyle name="Linked Cell 6 4 2 11" xfId="38105" xr:uid="{AC10D150-8F8D-4E5B-BCA0-AD505E76DF40}"/>
    <cellStyle name="Linked Cell 6 4 2 11 2" xfId="38106" xr:uid="{70B8ECD2-8CDD-44EB-B47E-5CB10391641C}"/>
    <cellStyle name="Linked Cell 6 4 2 12" xfId="38107" xr:uid="{B29995E1-CD10-4375-BD67-9C3E4C3D899B}"/>
    <cellStyle name="Linked Cell 6 4 2 2" xfId="38108" xr:uid="{F832EE54-636A-414E-8615-985172097E8B}"/>
    <cellStyle name="Linked Cell 6 4 2 2 2" xfId="38109" xr:uid="{1E1228F2-3174-483E-A4A2-8E224AFBF1CF}"/>
    <cellStyle name="Linked Cell 6 4 2 2 2 2" xfId="38110" xr:uid="{A18BA20C-774E-4B0B-A192-FBD25108CF45}"/>
    <cellStyle name="Linked Cell 6 4 2 2 3" xfId="38111" xr:uid="{6946DD0A-3E32-4500-9B64-DB8AF23A2F0E}"/>
    <cellStyle name="Linked Cell 6 4 2 3" xfId="38112" xr:uid="{98F8DA83-1226-4AF1-8BDC-2154C692609D}"/>
    <cellStyle name="Linked Cell 6 4 2 3 2" xfId="38113" xr:uid="{7A857BCE-14AF-49A8-8009-3CB34C5CDA57}"/>
    <cellStyle name="Linked Cell 6 4 2 3 2 2" xfId="38114" xr:uid="{49D0C2C8-EE81-4DF0-AD10-49072B3B114A}"/>
    <cellStyle name="Linked Cell 6 4 2 3 3" xfId="38115" xr:uid="{84F11C39-68E6-4970-A045-6A83244B78B5}"/>
    <cellStyle name="Linked Cell 6 4 2 4" xfId="38116" xr:uid="{BAED98D4-2D69-4BE5-B667-50C9737DE6BC}"/>
    <cellStyle name="Linked Cell 6 4 2 4 2" xfId="38117" xr:uid="{091FE52B-5228-4EA2-AC97-4C00EBDFE9FF}"/>
    <cellStyle name="Linked Cell 6 4 2 4 2 2" xfId="38118" xr:uid="{7C491642-12D3-4585-9F48-D89BC7D4D571}"/>
    <cellStyle name="Linked Cell 6 4 2 4 3" xfId="38119" xr:uid="{B2C43624-039B-4868-B6E5-03B8168DDDE4}"/>
    <cellStyle name="Linked Cell 6 4 2 5" xfId="38120" xr:uid="{4491DD3E-A488-469E-B18C-AC213EF04DC6}"/>
    <cellStyle name="Linked Cell 6 4 2 5 2" xfId="38121" xr:uid="{E9924CDC-51CB-459B-A238-5CA0E95DA0A3}"/>
    <cellStyle name="Linked Cell 6 4 2 5 2 2" xfId="38122" xr:uid="{85E933D9-5D9D-459F-B6F9-68EE280C904E}"/>
    <cellStyle name="Linked Cell 6 4 2 5 3" xfId="38123" xr:uid="{4529FB1B-DF9A-4BA2-9660-3326CD196912}"/>
    <cellStyle name="Linked Cell 6 4 2 6" xfId="38124" xr:uid="{6C378B30-3FD6-480E-A7CA-927ECEFDF854}"/>
    <cellStyle name="Linked Cell 6 4 2 6 2" xfId="38125" xr:uid="{D1188C2D-DBB2-4C10-84B3-D48023CAF200}"/>
    <cellStyle name="Linked Cell 6 4 2 6 2 2" xfId="38126" xr:uid="{E333E5FE-E76A-43C0-9E51-C73CA85DFE82}"/>
    <cellStyle name="Linked Cell 6 4 2 6 3" xfId="38127" xr:uid="{9428AF91-7CF5-497A-A286-024290E38748}"/>
    <cellStyle name="Linked Cell 6 4 2 7" xfId="38128" xr:uid="{A788AA62-55CC-4AC2-BE4E-C29623F26562}"/>
    <cellStyle name="Linked Cell 6 4 2 7 2" xfId="38129" xr:uid="{E74E49F6-7C80-4651-8671-7E3567482C69}"/>
    <cellStyle name="Linked Cell 6 4 2 7 2 2" xfId="38130" xr:uid="{B7E3998D-D084-4A5B-9BB1-6C0F67A0E390}"/>
    <cellStyle name="Linked Cell 6 4 2 7 3" xfId="38131" xr:uid="{6011B3E8-B942-4253-8D20-0B144D6B30B7}"/>
    <cellStyle name="Linked Cell 6 4 2 8" xfId="38132" xr:uid="{FD253F19-350D-4F5C-AD5D-4C5DA02654CF}"/>
    <cellStyle name="Linked Cell 6 4 2 8 2" xfId="38133" xr:uid="{4E3CE0D6-AA56-4A8C-9862-98D3E664FFDD}"/>
    <cellStyle name="Linked Cell 6 4 2 8 2 2" xfId="38134" xr:uid="{281E2969-E1B6-4CDC-9B30-CFF50F032FD8}"/>
    <cellStyle name="Linked Cell 6 4 2 8 3" xfId="38135" xr:uid="{1D15A4C1-2F35-43AB-B790-8C0F1BE1D061}"/>
    <cellStyle name="Linked Cell 6 4 2 9" xfId="38136" xr:uid="{EFE2B0F5-1B1F-4096-AA5E-503B1B92932A}"/>
    <cellStyle name="Linked Cell 6 4 2 9 2" xfId="38137" xr:uid="{D0493D4A-C2DD-428D-A4C2-A0FE3391A47F}"/>
    <cellStyle name="Linked Cell 6 4 2 9 2 2" xfId="38138" xr:uid="{C06AEFCA-0615-48C6-B955-A63D59B3B354}"/>
    <cellStyle name="Linked Cell 6 4 2 9 3" xfId="38139" xr:uid="{6BC92A07-2F6D-44A1-9021-CDFF98189FB9}"/>
    <cellStyle name="Linked Cell 6 4 3" xfId="38140" xr:uid="{E720AFD5-E097-4184-9CE7-E8B2B5206E3E}"/>
    <cellStyle name="Linked Cell 6 4 3 10" xfId="38141" xr:uid="{87B2CBB1-0889-40C1-87CA-93AE724C4704}"/>
    <cellStyle name="Linked Cell 6 4 3 10 2" xfId="38142" xr:uid="{CD35CEDC-D477-43AE-8492-82F22F5395AC}"/>
    <cellStyle name="Linked Cell 6 4 3 11" xfId="38143" xr:uid="{567F96EC-FA69-45D8-BD92-8D995D3A1251}"/>
    <cellStyle name="Linked Cell 6 4 3 2" xfId="38144" xr:uid="{52AF2049-87F6-4A44-8D17-C5A2B734686E}"/>
    <cellStyle name="Linked Cell 6 4 3 2 2" xfId="38145" xr:uid="{47600A68-F2DF-425B-8670-7FCC91EBA05C}"/>
    <cellStyle name="Linked Cell 6 4 3 2 2 2" xfId="38146" xr:uid="{BD13C6A2-B954-4BD2-8738-FDACC3169A45}"/>
    <cellStyle name="Linked Cell 6 4 3 2 3" xfId="38147" xr:uid="{B435EEDC-C9BB-490E-9374-F3F8B4A698E5}"/>
    <cellStyle name="Linked Cell 6 4 3 3" xfId="38148" xr:uid="{DB7B4051-445F-401F-ACD6-5B6D474EFC77}"/>
    <cellStyle name="Linked Cell 6 4 3 3 2" xfId="38149" xr:uid="{D6D22E3B-1795-4FA6-B29F-54BDB81DC0DB}"/>
    <cellStyle name="Linked Cell 6 4 3 3 2 2" xfId="38150" xr:uid="{CBB8A6CA-4685-40D9-B0F9-635DDF933076}"/>
    <cellStyle name="Linked Cell 6 4 3 3 3" xfId="38151" xr:uid="{6FEA9D2B-BEBC-4F82-A98B-EEF124DA08BB}"/>
    <cellStyle name="Linked Cell 6 4 3 4" xfId="38152" xr:uid="{0BA285D9-A913-4BC3-AE90-59EC0F0194F7}"/>
    <cellStyle name="Linked Cell 6 4 3 4 2" xfId="38153" xr:uid="{543CE4AD-288E-4797-8657-EB22E2126C95}"/>
    <cellStyle name="Linked Cell 6 4 3 4 2 2" xfId="38154" xr:uid="{4366C9B2-7AE7-497B-A76B-8FE8CDD0A9D4}"/>
    <cellStyle name="Linked Cell 6 4 3 4 3" xfId="38155" xr:uid="{23B6078B-DDD8-45CC-B88B-E21818283355}"/>
    <cellStyle name="Linked Cell 6 4 3 5" xfId="38156" xr:uid="{83837269-7C34-4472-905F-B38D7840F30A}"/>
    <cellStyle name="Linked Cell 6 4 3 5 2" xfId="38157" xr:uid="{21B53172-4790-4D1B-8B7C-F2592D6D4515}"/>
    <cellStyle name="Linked Cell 6 4 3 5 2 2" xfId="38158" xr:uid="{1A57F08D-F6E1-41EC-B84B-90A651C4DD6F}"/>
    <cellStyle name="Linked Cell 6 4 3 5 3" xfId="38159" xr:uid="{D37AD2F1-6744-4B09-9638-B0C6DCBD4C8B}"/>
    <cellStyle name="Linked Cell 6 4 3 6" xfId="38160" xr:uid="{05E02AC5-E307-480A-A986-E94A41A14E13}"/>
    <cellStyle name="Linked Cell 6 4 3 6 2" xfId="38161" xr:uid="{E7C07921-D647-4410-AB73-806EF9C327DB}"/>
    <cellStyle name="Linked Cell 6 4 3 6 2 2" xfId="38162" xr:uid="{80396C69-49BB-477D-881E-A08780EDE498}"/>
    <cellStyle name="Linked Cell 6 4 3 6 3" xfId="38163" xr:uid="{D340B59E-8090-4AC8-A103-92B86F4DF75E}"/>
    <cellStyle name="Linked Cell 6 4 3 7" xfId="38164" xr:uid="{8974B2A2-31B4-4B7F-BB4E-232A076443E1}"/>
    <cellStyle name="Linked Cell 6 4 3 7 2" xfId="38165" xr:uid="{0B02CB28-044D-4042-8EE3-5CAA91EBD6D2}"/>
    <cellStyle name="Linked Cell 6 4 3 7 2 2" xfId="38166" xr:uid="{E805B533-1974-4EDC-8115-AF64F400B52E}"/>
    <cellStyle name="Linked Cell 6 4 3 7 3" xfId="38167" xr:uid="{DFA729D1-3DA7-452E-8EB4-5F997F564A12}"/>
    <cellStyle name="Linked Cell 6 4 3 8" xfId="38168" xr:uid="{10AAA3D6-E13D-4363-945C-3EAEEAFFEFA4}"/>
    <cellStyle name="Linked Cell 6 4 3 8 2" xfId="38169" xr:uid="{1605D214-3B6A-45A3-B377-7F868923C41C}"/>
    <cellStyle name="Linked Cell 6 4 3 8 2 2" xfId="38170" xr:uid="{F2872C44-FCCA-4910-8912-63C716F98C75}"/>
    <cellStyle name="Linked Cell 6 4 3 8 3" xfId="38171" xr:uid="{7B1AE5F9-FD8C-4583-9B1B-5CB9EE1B6BD8}"/>
    <cellStyle name="Linked Cell 6 4 3 9" xfId="38172" xr:uid="{BC1FC155-7D77-42E3-BFF0-D3B4743E49E3}"/>
    <cellStyle name="Linked Cell 6 4 3 9 2" xfId="38173" xr:uid="{CDC4BC55-0FBD-423B-8B2D-D2CEC6D2FFD7}"/>
    <cellStyle name="Linked Cell 6 4 3 9 2 2" xfId="38174" xr:uid="{A3A8AA09-48D1-4AD6-ACD8-B61BB2BE8874}"/>
    <cellStyle name="Linked Cell 6 4 3 9 3" xfId="38175" xr:uid="{72C562EE-4068-450F-92A4-C44CA5E1579E}"/>
    <cellStyle name="Linked Cell 6 4 4" xfId="38176" xr:uid="{AE4EA591-0A75-40BA-B410-BE3ED2FB226D}"/>
    <cellStyle name="Linked Cell 6 4 4 2" xfId="38177" xr:uid="{C791F3F9-4D53-4922-820B-CB9F1EC91C8C}"/>
    <cellStyle name="Linked Cell 6 4 4 2 2" xfId="38178" xr:uid="{9320E60E-EA9E-45AF-B8D0-210FDEC75947}"/>
    <cellStyle name="Linked Cell 6 4 4 3" xfId="38179" xr:uid="{D9BC1647-66D5-4020-BBF4-32E489484755}"/>
    <cellStyle name="Linked Cell 6 4 5" xfId="38180" xr:uid="{C2D4994C-E7C7-4192-8581-04807A8D7409}"/>
    <cellStyle name="Linked Cell 6 4 5 2" xfId="38181" xr:uid="{3A310562-52BD-49B0-B31E-4AE3155400D8}"/>
    <cellStyle name="Linked Cell 6 4 5 2 2" xfId="38182" xr:uid="{8120E6C4-CBF6-4398-BA8E-EDCD14FEDA8C}"/>
    <cellStyle name="Linked Cell 6 4 5 3" xfId="38183" xr:uid="{973EB50F-1F12-4B02-B950-FCC7580F9E1F}"/>
    <cellStyle name="Linked Cell 6 4 6" xfId="38184" xr:uid="{08035288-EC3E-400C-BA75-03A34494AE65}"/>
    <cellStyle name="Linked Cell 6 4 6 2" xfId="38185" xr:uid="{856C6422-5AD3-462A-AD39-D2BF0043236B}"/>
    <cellStyle name="Linked Cell 6 4 6 2 2" xfId="38186" xr:uid="{2772124F-68F7-4869-8FF2-4B21911FB9CF}"/>
    <cellStyle name="Linked Cell 6 4 6 3" xfId="38187" xr:uid="{82F8C82F-3130-4C07-BE6B-CC5641E3A67A}"/>
    <cellStyle name="Linked Cell 6 4 7" xfId="38188" xr:uid="{E53A9F5C-2E10-4393-85D9-4E08BF7AE738}"/>
    <cellStyle name="Linked Cell 6 4 7 2" xfId="38189" xr:uid="{5ED77F5F-D59C-4EA8-897B-EFDEB20954A1}"/>
    <cellStyle name="Linked Cell 6 4 7 2 2" xfId="38190" xr:uid="{161CC3D6-6CF3-4790-B219-2C461D7F0A36}"/>
    <cellStyle name="Linked Cell 6 4 7 3" xfId="38191" xr:uid="{3D16E139-EAEA-47EE-B752-6CA4CABCC54B}"/>
    <cellStyle name="Linked Cell 6 4 8" xfId="38192" xr:uid="{CF5B074D-3FEA-45F4-B2FA-F7DC95536AE3}"/>
    <cellStyle name="Linked Cell 6 4 8 2" xfId="38193" xr:uid="{294CDF33-8680-489C-8743-5C53ACD71F6A}"/>
    <cellStyle name="Linked Cell 6 4 8 2 2" xfId="38194" xr:uid="{49E3FEAE-8517-464B-8F6F-70C835B78849}"/>
    <cellStyle name="Linked Cell 6 4 8 3" xfId="38195" xr:uid="{8AFA2BAA-7C2F-4C2E-BA4D-A201722BD58A}"/>
    <cellStyle name="Linked Cell 6 4 9" xfId="38196" xr:uid="{B6BDED92-F0CA-4903-82D5-538DB75A8208}"/>
    <cellStyle name="Linked Cell 6 4 9 2" xfId="38197" xr:uid="{D2165FDE-3C61-4CBD-9EC4-E0CD9B44566A}"/>
    <cellStyle name="Linked Cell 6 4 9 2 2" xfId="38198" xr:uid="{FFB4F462-7CEE-4EF4-A236-79A208DA8270}"/>
    <cellStyle name="Linked Cell 6 4 9 3" xfId="38199" xr:uid="{ABF65050-D5B3-4856-BE8C-76C5DE910191}"/>
    <cellStyle name="Linked Cell 7" xfId="38200" xr:uid="{E987D17C-9977-428F-BA20-FFFE37319B18}"/>
    <cellStyle name="Linked Cell 7 2" xfId="38201" xr:uid="{A9B586F7-8523-47BB-8B0A-97444FAC53A3}"/>
    <cellStyle name="Linked Cell 7 2 10" xfId="38202" xr:uid="{7EE07458-AFA0-47B0-80BD-B03DCABCD631}"/>
    <cellStyle name="Linked Cell 7 2 10 2" xfId="38203" xr:uid="{2711CCB5-8A62-4F0D-B85C-789B31D8D64C}"/>
    <cellStyle name="Linked Cell 7 2 10 2 2" xfId="38204" xr:uid="{F9C27D63-294F-4F23-B6B7-5413328AFB5E}"/>
    <cellStyle name="Linked Cell 7 2 10 3" xfId="38205" xr:uid="{5105D441-7CDD-4E16-BC0D-68A61052A6B5}"/>
    <cellStyle name="Linked Cell 7 2 11" xfId="38206" xr:uid="{99E03F33-48ED-4E33-AC27-9B2700B77309}"/>
    <cellStyle name="Linked Cell 7 2 11 2" xfId="38207" xr:uid="{23ED0282-F10A-43BA-8E13-30F07B44C29D}"/>
    <cellStyle name="Linked Cell 7 2 11 2 2" xfId="38208" xr:uid="{7AB93F65-12DE-4C25-B930-DB5EAF85189C}"/>
    <cellStyle name="Linked Cell 7 2 11 3" xfId="38209" xr:uid="{2C494954-A31C-4390-A442-A8882C6BDD9C}"/>
    <cellStyle name="Linked Cell 7 2 12" xfId="38210" xr:uid="{FE0D653B-49C5-414E-8163-60828C28FC8D}"/>
    <cellStyle name="Linked Cell 7 2 12 2" xfId="38211" xr:uid="{08E0436D-FB15-4CE7-A532-E8A9A3A69B7D}"/>
    <cellStyle name="Linked Cell 7 2 12 2 2" xfId="38212" xr:uid="{092BB08C-7BE3-4CDF-853E-67E7159FD4FD}"/>
    <cellStyle name="Linked Cell 7 2 12 3" xfId="38213" xr:uid="{28C1B0F9-0521-4087-88CD-65DE6FD8B18D}"/>
    <cellStyle name="Linked Cell 7 2 13" xfId="38214" xr:uid="{EC402EDE-48CA-4E69-BD78-500697730840}"/>
    <cellStyle name="Linked Cell 7 2 13 2" xfId="38215" xr:uid="{E75098E0-6918-4FD3-B9C9-AD625E5DDF13}"/>
    <cellStyle name="Linked Cell 7 2 13 2 2" xfId="38216" xr:uid="{8F98001B-E008-4698-A2B4-221703D414D9}"/>
    <cellStyle name="Linked Cell 7 2 13 3" xfId="38217" xr:uid="{10B40CAA-86B1-4825-8293-353DC36A8908}"/>
    <cellStyle name="Linked Cell 7 2 14" xfId="38218" xr:uid="{358F43EF-C041-4B3F-8A1D-90D54D7DECAA}"/>
    <cellStyle name="Linked Cell 7 2 14 2" xfId="38219" xr:uid="{B92D547B-93FB-4819-AD17-459C71B86B48}"/>
    <cellStyle name="Linked Cell 7 2 15" xfId="38220" xr:uid="{BFFB984C-B925-406C-8EB9-5650F52F79DF}"/>
    <cellStyle name="Linked Cell 7 2 2" xfId="38221" xr:uid="{2AD9C28F-9F00-4C42-A117-BF7DC1F6C0C6}"/>
    <cellStyle name="Linked Cell 7 2 2 10" xfId="38222" xr:uid="{3E53AEAF-DE4B-432D-B4FD-298AABCCEDFD}"/>
    <cellStyle name="Linked Cell 7 2 2 10 2" xfId="38223" xr:uid="{FF49CCDB-F609-43B6-826B-E88071EDFFC4}"/>
    <cellStyle name="Linked Cell 7 2 2 10 2 2" xfId="38224" xr:uid="{521E66ED-6843-4E5F-8C2B-469C4B6313F9}"/>
    <cellStyle name="Linked Cell 7 2 2 10 3" xfId="38225" xr:uid="{F7B13822-E0D5-4442-8FA6-5049B782EF2F}"/>
    <cellStyle name="Linked Cell 7 2 2 11" xfId="38226" xr:uid="{9BF0248E-5223-4940-A63B-D71B72DA9374}"/>
    <cellStyle name="Linked Cell 7 2 2 11 2" xfId="38227" xr:uid="{1E902EAB-AB26-4230-9027-0976078E343C}"/>
    <cellStyle name="Linked Cell 7 2 2 11 2 2" xfId="38228" xr:uid="{82526017-150F-4141-BECF-DC3A542CC29C}"/>
    <cellStyle name="Linked Cell 7 2 2 11 3" xfId="38229" xr:uid="{44DA8375-F95C-4012-B2F6-0878E172FB79}"/>
    <cellStyle name="Linked Cell 7 2 2 12" xfId="38230" xr:uid="{09A75042-75FC-42F3-8FEA-4F710C67C8D4}"/>
    <cellStyle name="Linked Cell 7 2 2 12 2" xfId="38231" xr:uid="{D13A357E-E23E-4064-AC6B-06A71AE5CC69}"/>
    <cellStyle name="Linked Cell 7 2 2 12 2 2" xfId="38232" xr:uid="{3A576924-B480-4F0F-9EFC-0431581A02FA}"/>
    <cellStyle name="Linked Cell 7 2 2 12 3" xfId="38233" xr:uid="{65818343-35D8-453C-8920-776B8B208457}"/>
    <cellStyle name="Linked Cell 7 2 2 13" xfId="38234" xr:uid="{CE279D2F-39D0-4147-99D7-D3CADCD501B1}"/>
    <cellStyle name="Linked Cell 7 2 2 13 2" xfId="38235" xr:uid="{1B82B464-F68B-4030-BA89-FF5F37C54A93}"/>
    <cellStyle name="Linked Cell 7 2 2 14" xfId="38236" xr:uid="{E03501BA-9BBB-4B90-A832-BA928D86A450}"/>
    <cellStyle name="Linked Cell 7 2 2 2" xfId="38237" xr:uid="{29137382-A6C9-4F78-9760-E67DF45ED540}"/>
    <cellStyle name="Linked Cell 7 2 2 2 10" xfId="38238" xr:uid="{7A1C486B-083A-44E7-8AD4-AFBB035E49B6}"/>
    <cellStyle name="Linked Cell 7 2 2 2 10 2" xfId="38239" xr:uid="{7616CD37-6831-46C6-B9CA-A96D74709EFF}"/>
    <cellStyle name="Linked Cell 7 2 2 2 10 2 2" xfId="38240" xr:uid="{795C3367-393B-4817-B64B-0C5DC60E28CD}"/>
    <cellStyle name="Linked Cell 7 2 2 2 10 3" xfId="38241" xr:uid="{FBB3DBE2-DCF1-46CA-8920-AA3A7FC49966}"/>
    <cellStyle name="Linked Cell 7 2 2 2 11" xfId="38242" xr:uid="{B9A7EEC0-AE5A-4E02-A2B4-6477046D0023}"/>
    <cellStyle name="Linked Cell 7 2 2 2 11 2" xfId="38243" xr:uid="{6B475A3E-3F99-466C-BFE2-CCA9D6831F0E}"/>
    <cellStyle name="Linked Cell 7 2 2 2 11 2 2" xfId="38244" xr:uid="{B8BE13A3-35C2-4415-950B-BB04534045A7}"/>
    <cellStyle name="Linked Cell 7 2 2 2 11 3" xfId="38245" xr:uid="{7E8E967A-6027-4E9B-97D4-09198D2B0FF1}"/>
    <cellStyle name="Linked Cell 7 2 2 2 12" xfId="38246" xr:uid="{E7D00F74-8A47-4C7B-A7E0-B2BC97F92276}"/>
    <cellStyle name="Linked Cell 7 2 2 2 12 2" xfId="38247" xr:uid="{1E29A893-09EF-4464-9F44-6E7C56BE71B8}"/>
    <cellStyle name="Linked Cell 7 2 2 2 13" xfId="38248" xr:uid="{74BA90C8-10E9-4553-B81E-68ABC00F7EDC}"/>
    <cellStyle name="Linked Cell 7 2 2 2 2" xfId="38249" xr:uid="{BC21494B-76F5-4438-A2EA-5030AA098DBB}"/>
    <cellStyle name="Linked Cell 7 2 2 2 2 10" xfId="38250" xr:uid="{32A2CEA0-DD07-4B64-98C0-16F5B82CDDDF}"/>
    <cellStyle name="Linked Cell 7 2 2 2 2 10 2" xfId="38251" xr:uid="{FC16B363-C07F-4FF7-92F0-EB9266BADC3E}"/>
    <cellStyle name="Linked Cell 7 2 2 2 2 10 2 2" xfId="38252" xr:uid="{EEAF9B63-A32A-41DA-9DF9-DE10B22DB7F4}"/>
    <cellStyle name="Linked Cell 7 2 2 2 2 10 3" xfId="38253" xr:uid="{C4812EB0-E733-4E54-8AEB-343FF24FB47C}"/>
    <cellStyle name="Linked Cell 7 2 2 2 2 11" xfId="38254" xr:uid="{B7CCE170-8991-4F09-8BD2-A6D953FF489C}"/>
    <cellStyle name="Linked Cell 7 2 2 2 2 11 2" xfId="38255" xr:uid="{B2062664-B66C-42FF-B033-15E322BD2FF0}"/>
    <cellStyle name="Linked Cell 7 2 2 2 2 12" xfId="38256" xr:uid="{8D44ED9C-F05A-48A3-A915-B5817C4FC4F4}"/>
    <cellStyle name="Linked Cell 7 2 2 2 2 2" xfId="38257" xr:uid="{D69618E2-D63C-4770-93E9-39A17E77D465}"/>
    <cellStyle name="Linked Cell 7 2 2 2 2 2 2" xfId="38258" xr:uid="{CAA33368-4622-43E6-93BC-6948DB42E713}"/>
    <cellStyle name="Linked Cell 7 2 2 2 2 2 2 2" xfId="38259" xr:uid="{B562064E-FCA1-4C6A-BD6F-5B629A4F10DC}"/>
    <cellStyle name="Linked Cell 7 2 2 2 2 2 3" xfId="38260" xr:uid="{8865D1BD-3540-4500-A2C1-98D65F70F223}"/>
    <cellStyle name="Linked Cell 7 2 2 2 2 3" xfId="38261" xr:uid="{2E06B6A4-1E5B-4C18-BAE9-644F1A97E2DF}"/>
    <cellStyle name="Linked Cell 7 2 2 2 2 3 2" xfId="38262" xr:uid="{5C9CF6C4-63CB-4AC5-B95A-26CE6CDE8A7A}"/>
    <cellStyle name="Linked Cell 7 2 2 2 2 3 2 2" xfId="38263" xr:uid="{F8A88619-399A-439B-AC37-2C7834502F70}"/>
    <cellStyle name="Linked Cell 7 2 2 2 2 3 3" xfId="38264" xr:uid="{48E97CFD-1A9B-483F-A673-865F737DA78E}"/>
    <cellStyle name="Linked Cell 7 2 2 2 2 4" xfId="38265" xr:uid="{59F2DAC4-637E-4657-BD54-1E99E711152E}"/>
    <cellStyle name="Linked Cell 7 2 2 2 2 4 2" xfId="38266" xr:uid="{FEFD4BEC-AD20-404B-9250-0F717204072D}"/>
    <cellStyle name="Linked Cell 7 2 2 2 2 4 2 2" xfId="38267" xr:uid="{2ECFB391-5F04-41F3-B007-E16F76D303E8}"/>
    <cellStyle name="Linked Cell 7 2 2 2 2 4 3" xfId="38268" xr:uid="{D664294A-0011-4A57-8123-CAECB6077FA7}"/>
    <cellStyle name="Linked Cell 7 2 2 2 2 5" xfId="38269" xr:uid="{24FA3858-51F0-494D-8329-0981EC868838}"/>
    <cellStyle name="Linked Cell 7 2 2 2 2 5 2" xfId="38270" xr:uid="{11486390-A7C0-41DA-99E0-7FA7DA6F8035}"/>
    <cellStyle name="Linked Cell 7 2 2 2 2 5 2 2" xfId="38271" xr:uid="{BC1382F2-11AE-4E28-B093-73A627E500AA}"/>
    <cellStyle name="Linked Cell 7 2 2 2 2 5 3" xfId="38272" xr:uid="{0343AC62-6FAF-43CD-B24C-B8BB8313A4ED}"/>
    <cellStyle name="Linked Cell 7 2 2 2 2 6" xfId="38273" xr:uid="{131C4964-76F4-4C09-8D6F-6351633DC59A}"/>
    <cellStyle name="Linked Cell 7 2 2 2 2 6 2" xfId="38274" xr:uid="{95D9E404-B89B-4E00-B342-61383C32FEDD}"/>
    <cellStyle name="Linked Cell 7 2 2 2 2 6 2 2" xfId="38275" xr:uid="{1999A410-C048-4B62-A89F-4AF9E4BBC9A8}"/>
    <cellStyle name="Linked Cell 7 2 2 2 2 6 3" xfId="38276" xr:uid="{5C7E3243-16B4-49B8-A247-E3D626F5CA29}"/>
    <cellStyle name="Linked Cell 7 2 2 2 2 7" xfId="38277" xr:uid="{5C43C7A3-222B-4F7C-B0FF-9AB7FF99F9F2}"/>
    <cellStyle name="Linked Cell 7 2 2 2 2 7 2" xfId="38278" xr:uid="{8723D979-3563-4880-B7FB-DB20DE454A7F}"/>
    <cellStyle name="Linked Cell 7 2 2 2 2 7 2 2" xfId="38279" xr:uid="{1856950D-26FB-489C-9A44-59095047A47D}"/>
    <cellStyle name="Linked Cell 7 2 2 2 2 7 3" xfId="38280" xr:uid="{9DADC7E3-D228-4DF3-81D0-1AD1897B723A}"/>
    <cellStyle name="Linked Cell 7 2 2 2 2 8" xfId="38281" xr:uid="{2FAB7260-72D6-4A50-85A7-7B211D23B9C5}"/>
    <cellStyle name="Linked Cell 7 2 2 2 2 8 2" xfId="38282" xr:uid="{BEA1125D-4E61-4D87-B2F1-96D2C1351AF4}"/>
    <cellStyle name="Linked Cell 7 2 2 2 2 8 2 2" xfId="38283" xr:uid="{9A06C561-9724-4A97-A40B-17C2BBDD6CFA}"/>
    <cellStyle name="Linked Cell 7 2 2 2 2 8 3" xfId="38284" xr:uid="{2E7AF32A-C489-4460-998E-5136F45F7D34}"/>
    <cellStyle name="Linked Cell 7 2 2 2 2 9" xfId="38285" xr:uid="{799DC5EF-380D-4E53-A9BA-74E8E4A59028}"/>
    <cellStyle name="Linked Cell 7 2 2 2 2 9 2" xfId="38286" xr:uid="{60DB6DCD-29E3-4C76-AD9A-8D6DA51537BB}"/>
    <cellStyle name="Linked Cell 7 2 2 2 2 9 2 2" xfId="38287" xr:uid="{D5551AB0-C6B4-4606-96BF-6A1FC513B11B}"/>
    <cellStyle name="Linked Cell 7 2 2 2 2 9 3" xfId="38288" xr:uid="{6215FD3A-C6EF-4099-B980-92B6233B315A}"/>
    <cellStyle name="Linked Cell 7 2 2 2 3" xfId="38289" xr:uid="{9760193D-D810-4EBB-88F3-BDB25D562BCE}"/>
    <cellStyle name="Linked Cell 7 2 2 2 3 10" xfId="38290" xr:uid="{8BBBB782-10B9-4D64-A517-E5B296D973AE}"/>
    <cellStyle name="Linked Cell 7 2 2 2 3 10 2" xfId="38291" xr:uid="{9170A7EB-B2AD-4D05-91B1-01045A95A3CC}"/>
    <cellStyle name="Linked Cell 7 2 2 2 3 11" xfId="38292" xr:uid="{82610656-DDB8-4A4F-BC40-A44E8A189EF4}"/>
    <cellStyle name="Linked Cell 7 2 2 2 3 2" xfId="38293" xr:uid="{F3F58DA1-73F8-4DEA-9161-054282BC4825}"/>
    <cellStyle name="Linked Cell 7 2 2 2 3 2 2" xfId="38294" xr:uid="{B5944CFB-6E59-4617-8203-4AE27AFA30B9}"/>
    <cellStyle name="Linked Cell 7 2 2 2 3 2 2 2" xfId="38295" xr:uid="{FBDB4EBF-40EF-4B70-888C-1621CAB531AC}"/>
    <cellStyle name="Linked Cell 7 2 2 2 3 2 3" xfId="38296" xr:uid="{6988638D-CD41-4962-A5D9-DF9C7E003AD7}"/>
    <cellStyle name="Linked Cell 7 2 2 2 3 3" xfId="38297" xr:uid="{A48061EA-3A55-4165-A8C6-2BE890B4BB06}"/>
    <cellStyle name="Linked Cell 7 2 2 2 3 3 2" xfId="38298" xr:uid="{F5FFDEF1-041A-4E07-B33E-7868826748AA}"/>
    <cellStyle name="Linked Cell 7 2 2 2 3 3 2 2" xfId="38299" xr:uid="{D51FDE7F-6D0C-4C01-B116-26A46A586F10}"/>
    <cellStyle name="Linked Cell 7 2 2 2 3 3 3" xfId="38300" xr:uid="{D04E8FA5-6F29-41D3-ABE1-70937AB45154}"/>
    <cellStyle name="Linked Cell 7 2 2 2 3 4" xfId="38301" xr:uid="{246AA2AA-7128-4B33-80B8-C39C286929B3}"/>
    <cellStyle name="Linked Cell 7 2 2 2 3 4 2" xfId="38302" xr:uid="{CDAE6384-9AF1-4A3F-A1DA-13EF178C31B2}"/>
    <cellStyle name="Linked Cell 7 2 2 2 3 4 2 2" xfId="38303" xr:uid="{9BCB8991-F763-44BA-8937-BD928E077E9D}"/>
    <cellStyle name="Linked Cell 7 2 2 2 3 4 3" xfId="38304" xr:uid="{F0B08589-FB79-4F2A-A63A-DD6C7AF18862}"/>
    <cellStyle name="Linked Cell 7 2 2 2 3 5" xfId="38305" xr:uid="{D5216DC5-3D10-4EBD-AA92-35E75B59DD2C}"/>
    <cellStyle name="Linked Cell 7 2 2 2 3 5 2" xfId="38306" xr:uid="{C7B8A935-6215-405C-A2F2-227E80D3FF52}"/>
    <cellStyle name="Linked Cell 7 2 2 2 3 5 2 2" xfId="38307" xr:uid="{A185B7DC-B0D8-426D-877C-1C57D459B6CA}"/>
    <cellStyle name="Linked Cell 7 2 2 2 3 5 3" xfId="38308" xr:uid="{F5104F3B-0FBE-4B24-B0AE-DB2C0222AE42}"/>
    <cellStyle name="Linked Cell 7 2 2 2 3 6" xfId="38309" xr:uid="{48FCF153-BA1F-4ED7-979C-CBD22A927626}"/>
    <cellStyle name="Linked Cell 7 2 2 2 3 6 2" xfId="38310" xr:uid="{41E8728F-375B-4F32-9654-F001FAA114B7}"/>
    <cellStyle name="Linked Cell 7 2 2 2 3 6 2 2" xfId="38311" xr:uid="{12CD0A4A-2A32-4F1A-964A-7E987FD00D6F}"/>
    <cellStyle name="Linked Cell 7 2 2 2 3 6 3" xfId="38312" xr:uid="{560F107B-1B67-4331-A9ED-65CFD9DF22DE}"/>
    <cellStyle name="Linked Cell 7 2 2 2 3 7" xfId="38313" xr:uid="{FC1C3B29-85B7-40DC-B2F2-94CE68B00D0C}"/>
    <cellStyle name="Linked Cell 7 2 2 2 3 7 2" xfId="38314" xr:uid="{7D9EC9F5-EAD0-49BB-8BFB-DE37347FF7D9}"/>
    <cellStyle name="Linked Cell 7 2 2 2 3 7 2 2" xfId="38315" xr:uid="{12375056-5EDF-485F-9A78-E0AEEC210FB5}"/>
    <cellStyle name="Linked Cell 7 2 2 2 3 7 3" xfId="38316" xr:uid="{27BCBD0D-34CF-4B0F-8FBD-0D68C6D56D23}"/>
    <cellStyle name="Linked Cell 7 2 2 2 3 8" xfId="38317" xr:uid="{B818471F-E7BA-4DED-95F8-1F6151754E65}"/>
    <cellStyle name="Linked Cell 7 2 2 2 3 8 2" xfId="38318" xr:uid="{2979F58F-8831-4004-92CC-7AC7495F8411}"/>
    <cellStyle name="Linked Cell 7 2 2 2 3 8 2 2" xfId="38319" xr:uid="{E4360A3C-F52A-47F1-ADBF-8E5E24039B2E}"/>
    <cellStyle name="Linked Cell 7 2 2 2 3 8 3" xfId="38320" xr:uid="{9F4DA653-A600-4939-81B7-9DBE19477262}"/>
    <cellStyle name="Linked Cell 7 2 2 2 3 9" xfId="38321" xr:uid="{7664D9FB-BDAF-4328-B5CC-6D6EC5F878C1}"/>
    <cellStyle name="Linked Cell 7 2 2 2 3 9 2" xfId="38322" xr:uid="{45FAD926-A90C-4F95-9498-51966A32E3C2}"/>
    <cellStyle name="Linked Cell 7 2 2 2 3 9 2 2" xfId="38323" xr:uid="{E9A21794-AEF6-4CFB-A213-024BDFDCA9AB}"/>
    <cellStyle name="Linked Cell 7 2 2 2 3 9 3" xfId="38324" xr:uid="{0CEAB150-348D-4DF0-81CD-2F1E734AA701}"/>
    <cellStyle name="Linked Cell 7 2 2 2 4" xfId="38325" xr:uid="{E6C1A9B8-9D52-411F-AF2E-B4BEFE9DD250}"/>
    <cellStyle name="Linked Cell 7 2 2 2 4 2" xfId="38326" xr:uid="{605ADA4A-5E05-4172-B422-56C80653FC4A}"/>
    <cellStyle name="Linked Cell 7 2 2 2 4 2 2" xfId="38327" xr:uid="{D3C82C85-54E0-4877-83B3-E8FAC928514B}"/>
    <cellStyle name="Linked Cell 7 2 2 2 4 3" xfId="38328" xr:uid="{123D2E4F-7CCD-4B34-88F1-C7E9A22133EE}"/>
    <cellStyle name="Linked Cell 7 2 2 2 5" xfId="38329" xr:uid="{6D01C62E-FBD4-45F5-A717-C31C3D041426}"/>
    <cellStyle name="Linked Cell 7 2 2 2 5 2" xfId="38330" xr:uid="{61CF9D83-C3CB-4B4F-B732-290774E39C92}"/>
    <cellStyle name="Linked Cell 7 2 2 2 5 2 2" xfId="38331" xr:uid="{FB37EC8E-8B3E-4FD5-88EE-94A26B4B7D17}"/>
    <cellStyle name="Linked Cell 7 2 2 2 5 3" xfId="38332" xr:uid="{27BCD753-2584-4E34-A49D-2FB2A16FC315}"/>
    <cellStyle name="Linked Cell 7 2 2 2 6" xfId="38333" xr:uid="{C6394F18-ED14-47FE-B3A2-21E12DEF9C3D}"/>
    <cellStyle name="Linked Cell 7 2 2 2 6 2" xfId="38334" xr:uid="{03584E03-280E-47DB-BF8F-A4E8B6156DDE}"/>
    <cellStyle name="Linked Cell 7 2 2 2 6 2 2" xfId="38335" xr:uid="{F02A7DAD-C9FD-4053-A961-F411F12819E1}"/>
    <cellStyle name="Linked Cell 7 2 2 2 6 3" xfId="38336" xr:uid="{3D81C1A1-6AD6-4D15-BF41-2A5A7AA8A298}"/>
    <cellStyle name="Linked Cell 7 2 2 2 7" xfId="38337" xr:uid="{16734BD2-AC49-41AB-86D6-7DE1CEC45CEA}"/>
    <cellStyle name="Linked Cell 7 2 2 2 7 2" xfId="38338" xr:uid="{91CFED8F-A838-4C49-A553-D6D8DAC28825}"/>
    <cellStyle name="Linked Cell 7 2 2 2 7 2 2" xfId="38339" xr:uid="{99C52830-CE39-4C96-829A-F5AF2F46D3FC}"/>
    <cellStyle name="Linked Cell 7 2 2 2 7 3" xfId="38340" xr:uid="{A98526F0-EB28-430F-AB2C-42CB93DDF248}"/>
    <cellStyle name="Linked Cell 7 2 2 2 8" xfId="38341" xr:uid="{7345A287-D024-477D-B47E-C56DCBCDF8F1}"/>
    <cellStyle name="Linked Cell 7 2 2 2 8 2" xfId="38342" xr:uid="{4FB13B41-C7E1-4044-9AC8-23CDBB8BC229}"/>
    <cellStyle name="Linked Cell 7 2 2 2 8 2 2" xfId="38343" xr:uid="{1822E47C-3EA2-4B67-B2DC-9692DE4BED43}"/>
    <cellStyle name="Linked Cell 7 2 2 2 8 3" xfId="38344" xr:uid="{7B3FB65C-1171-43A5-B983-CF1D1E6AA438}"/>
    <cellStyle name="Linked Cell 7 2 2 2 9" xfId="38345" xr:uid="{8BF7B611-5C23-4A3A-84F7-DC39E3CEE40B}"/>
    <cellStyle name="Linked Cell 7 2 2 2 9 2" xfId="38346" xr:uid="{27A1EBB5-1CFF-4FD9-A495-06F29E9DD6D9}"/>
    <cellStyle name="Linked Cell 7 2 2 2 9 2 2" xfId="38347" xr:uid="{1D5D3CC4-3131-4BA7-A519-61D4628E7FEC}"/>
    <cellStyle name="Linked Cell 7 2 2 2 9 3" xfId="38348" xr:uid="{69ED394C-2DF5-4AA7-A9BA-77A14B31B21A}"/>
    <cellStyle name="Linked Cell 7 2 2 3" xfId="38349" xr:uid="{EA3B061F-6018-4159-B00E-93C1F8289072}"/>
    <cellStyle name="Linked Cell 7 2 2 3 10" xfId="38350" xr:uid="{AA5B9072-787B-4C37-9858-B1B2016DB7C2}"/>
    <cellStyle name="Linked Cell 7 2 2 3 10 2" xfId="38351" xr:uid="{439A15B2-8506-44B5-8676-1BA4D1229C49}"/>
    <cellStyle name="Linked Cell 7 2 2 3 10 2 2" xfId="38352" xr:uid="{3BA1C8EF-A4AF-472B-9DC4-81ECD0839CC0}"/>
    <cellStyle name="Linked Cell 7 2 2 3 10 3" xfId="38353" xr:uid="{13AC6CF1-3CD5-44DB-A9F4-96917BE514CB}"/>
    <cellStyle name="Linked Cell 7 2 2 3 11" xfId="38354" xr:uid="{EE3BBFF7-5A22-4EDF-BD88-312D202E3B5D}"/>
    <cellStyle name="Linked Cell 7 2 2 3 11 2" xfId="38355" xr:uid="{4744330C-3D2A-4D02-820C-A603FED3F93F}"/>
    <cellStyle name="Linked Cell 7 2 2 3 12" xfId="38356" xr:uid="{B0652AA0-8856-4E8F-924C-F47B381620DB}"/>
    <cellStyle name="Linked Cell 7 2 2 3 2" xfId="38357" xr:uid="{F8B4F1BF-CD11-428D-8359-18048A6CA8AA}"/>
    <cellStyle name="Linked Cell 7 2 2 3 2 10" xfId="38358" xr:uid="{2733E125-E4F9-43DB-A778-6195D1304A67}"/>
    <cellStyle name="Linked Cell 7 2 2 3 2 10 2" xfId="38359" xr:uid="{84E41DA6-E61C-4CB7-8884-EDC39447499F}"/>
    <cellStyle name="Linked Cell 7 2 2 3 2 11" xfId="38360" xr:uid="{7D04ADFF-245D-4CEC-9F55-5EABD2F478ED}"/>
    <cellStyle name="Linked Cell 7 2 2 3 2 2" xfId="38361" xr:uid="{6D505C93-E56B-42F9-BBD5-D53D5A64D157}"/>
    <cellStyle name="Linked Cell 7 2 2 3 2 2 2" xfId="38362" xr:uid="{B76DAE5D-2EA4-49D6-9CCC-0362FCA241A0}"/>
    <cellStyle name="Linked Cell 7 2 2 3 2 2 2 2" xfId="38363" xr:uid="{6AB1E74C-6AF8-4929-B276-3A7C37AB0B96}"/>
    <cellStyle name="Linked Cell 7 2 2 3 2 2 3" xfId="38364" xr:uid="{129DF569-1E8F-4C83-B6A0-CB6F0C31659C}"/>
    <cellStyle name="Linked Cell 7 2 2 3 2 3" xfId="38365" xr:uid="{846D6167-C9C6-41DE-88AF-82AFA755FD83}"/>
    <cellStyle name="Linked Cell 7 2 2 3 2 3 2" xfId="38366" xr:uid="{90B5E6EB-5310-4336-9E57-96698439CEFC}"/>
    <cellStyle name="Linked Cell 7 2 2 3 2 3 2 2" xfId="38367" xr:uid="{4960E740-3648-4E11-8893-5C0B6A6D4226}"/>
    <cellStyle name="Linked Cell 7 2 2 3 2 3 3" xfId="38368" xr:uid="{31EA6A8B-9452-4227-BEB8-D42BC219316C}"/>
    <cellStyle name="Linked Cell 7 2 2 3 2 4" xfId="38369" xr:uid="{B09F3483-2ACD-415F-AD42-D93B5FFAB3A1}"/>
    <cellStyle name="Linked Cell 7 2 2 3 2 4 2" xfId="38370" xr:uid="{FFC7E7B1-7D41-4BA2-A3ED-E75EBD09BDEF}"/>
    <cellStyle name="Linked Cell 7 2 2 3 2 4 2 2" xfId="38371" xr:uid="{BE62C94C-20F1-43CB-A96B-C793492800C6}"/>
    <cellStyle name="Linked Cell 7 2 2 3 2 4 3" xfId="38372" xr:uid="{22B2B61D-931F-4979-83C4-8BF1678E408A}"/>
    <cellStyle name="Linked Cell 7 2 2 3 2 5" xfId="38373" xr:uid="{F7197282-AC42-4F08-8D49-4CCBE5F5962C}"/>
    <cellStyle name="Linked Cell 7 2 2 3 2 5 2" xfId="38374" xr:uid="{988C475E-6DC9-4C45-B784-0E2F6690D113}"/>
    <cellStyle name="Linked Cell 7 2 2 3 2 5 2 2" xfId="38375" xr:uid="{98BCBDE2-137C-473A-B93B-E8C4EB513EFE}"/>
    <cellStyle name="Linked Cell 7 2 2 3 2 5 3" xfId="38376" xr:uid="{76B2D726-A96E-4A36-ABC0-6518096F0B7F}"/>
    <cellStyle name="Linked Cell 7 2 2 3 2 6" xfId="38377" xr:uid="{79813AAD-39EF-425B-819F-EC5373611200}"/>
    <cellStyle name="Linked Cell 7 2 2 3 2 6 2" xfId="38378" xr:uid="{2B1BD441-8D31-40C1-8849-5D7BD3A8531F}"/>
    <cellStyle name="Linked Cell 7 2 2 3 2 6 2 2" xfId="38379" xr:uid="{DB2C386C-E74E-4906-87E9-CF987B0BA2CC}"/>
    <cellStyle name="Linked Cell 7 2 2 3 2 6 3" xfId="38380" xr:uid="{9A2AE8A5-7E11-4C55-AB32-424526B63F95}"/>
    <cellStyle name="Linked Cell 7 2 2 3 2 7" xfId="38381" xr:uid="{F71A9757-8BA8-47D0-8DE6-463D208ED11F}"/>
    <cellStyle name="Linked Cell 7 2 2 3 2 7 2" xfId="38382" xr:uid="{F88A3F64-BBD3-41C9-8B56-9643F20AF724}"/>
    <cellStyle name="Linked Cell 7 2 2 3 2 7 2 2" xfId="38383" xr:uid="{641586F9-A8C4-4009-97D6-A5499F37ED6B}"/>
    <cellStyle name="Linked Cell 7 2 2 3 2 7 3" xfId="38384" xr:uid="{CCB96FC6-DECF-4496-8829-58DE7A2C2DDD}"/>
    <cellStyle name="Linked Cell 7 2 2 3 2 8" xfId="38385" xr:uid="{B14A4330-ED14-42FB-8D8C-7F46257D4496}"/>
    <cellStyle name="Linked Cell 7 2 2 3 2 8 2" xfId="38386" xr:uid="{5917F6BF-3913-447E-AED8-AB495D209AA0}"/>
    <cellStyle name="Linked Cell 7 2 2 3 2 8 2 2" xfId="38387" xr:uid="{9215D0B1-450F-4F8D-B2F9-5B94935C1123}"/>
    <cellStyle name="Linked Cell 7 2 2 3 2 8 3" xfId="38388" xr:uid="{0B3EAD25-926D-42E1-BB55-B5252E3F1048}"/>
    <cellStyle name="Linked Cell 7 2 2 3 2 9" xfId="38389" xr:uid="{07B3A53B-FD00-406B-89EB-A0F0EED470FE}"/>
    <cellStyle name="Linked Cell 7 2 2 3 2 9 2" xfId="38390" xr:uid="{2255D950-2BF9-4FE7-A3C9-21517EEC63B8}"/>
    <cellStyle name="Linked Cell 7 2 2 3 2 9 2 2" xfId="38391" xr:uid="{72A87ADF-FF7A-4B18-9CE6-EAD850A16924}"/>
    <cellStyle name="Linked Cell 7 2 2 3 2 9 3" xfId="38392" xr:uid="{3A719D13-1016-4261-A47E-26676F62B6BE}"/>
    <cellStyle name="Linked Cell 7 2 2 3 3" xfId="38393" xr:uid="{C10CFAA6-31F5-4B3A-A60E-F33FEE60005D}"/>
    <cellStyle name="Linked Cell 7 2 2 3 3 2" xfId="38394" xr:uid="{5EB332F2-825E-4192-ABD4-E092CF4A49A2}"/>
    <cellStyle name="Linked Cell 7 2 2 3 3 2 2" xfId="38395" xr:uid="{113AE7CD-2F47-45CE-8E61-98E7CF933C1F}"/>
    <cellStyle name="Linked Cell 7 2 2 3 3 3" xfId="38396" xr:uid="{C40850DB-9C09-4AFD-86F2-8077F9E4ADC8}"/>
    <cellStyle name="Linked Cell 7 2 2 3 4" xfId="38397" xr:uid="{66DDBE47-6C6B-4752-8042-5D18768B7AE6}"/>
    <cellStyle name="Linked Cell 7 2 2 3 4 2" xfId="38398" xr:uid="{E02019AD-1556-4399-B3A3-ECE24A37E4E6}"/>
    <cellStyle name="Linked Cell 7 2 2 3 4 2 2" xfId="38399" xr:uid="{C9F0C28A-B479-4490-A668-799240D72FDF}"/>
    <cellStyle name="Linked Cell 7 2 2 3 4 3" xfId="38400" xr:uid="{C4896657-65B0-45A7-BEB0-8EC993606585}"/>
    <cellStyle name="Linked Cell 7 2 2 3 5" xfId="38401" xr:uid="{DF83FAF3-5F11-4C90-B692-CB0596B38F60}"/>
    <cellStyle name="Linked Cell 7 2 2 3 5 2" xfId="38402" xr:uid="{C523E8E6-56E5-4B2C-8D22-BD5BCEB71954}"/>
    <cellStyle name="Linked Cell 7 2 2 3 5 2 2" xfId="38403" xr:uid="{29657026-134D-4D73-92F5-DA17486EA22E}"/>
    <cellStyle name="Linked Cell 7 2 2 3 5 3" xfId="38404" xr:uid="{4DE66F57-EB81-45BC-895D-9834A103AA9D}"/>
    <cellStyle name="Linked Cell 7 2 2 3 6" xfId="38405" xr:uid="{FFA225B4-1953-44A9-AD08-A268D1243C37}"/>
    <cellStyle name="Linked Cell 7 2 2 3 6 2" xfId="38406" xr:uid="{CE00E3D2-04D7-475B-AA05-4FBD36BED88A}"/>
    <cellStyle name="Linked Cell 7 2 2 3 6 2 2" xfId="38407" xr:uid="{75DC94B7-71F4-4583-9F05-620BD2796F63}"/>
    <cellStyle name="Linked Cell 7 2 2 3 6 3" xfId="38408" xr:uid="{0296D35E-7C09-465A-8DD1-5C6DD4D088C0}"/>
    <cellStyle name="Linked Cell 7 2 2 3 7" xfId="38409" xr:uid="{AD8A81CE-EB57-4A3F-A5C1-F05335DDEC60}"/>
    <cellStyle name="Linked Cell 7 2 2 3 7 2" xfId="38410" xr:uid="{4CF1E992-F0E3-4C14-8C3F-C38D5619E4DE}"/>
    <cellStyle name="Linked Cell 7 2 2 3 7 2 2" xfId="38411" xr:uid="{BF8B1AAA-CE71-447F-93B7-75C63A51DD97}"/>
    <cellStyle name="Linked Cell 7 2 2 3 7 3" xfId="38412" xr:uid="{AE7CFC35-09B2-47E7-86C5-8C2B88125419}"/>
    <cellStyle name="Linked Cell 7 2 2 3 8" xfId="38413" xr:uid="{D766B278-8299-423C-8144-4BDB8A86AAD4}"/>
    <cellStyle name="Linked Cell 7 2 2 3 8 2" xfId="38414" xr:uid="{901AF0A3-F25F-4DCC-8341-DA5D9F8C38C1}"/>
    <cellStyle name="Linked Cell 7 2 2 3 8 2 2" xfId="38415" xr:uid="{3827FD1A-AC7A-4163-8540-4B37A2D1F55B}"/>
    <cellStyle name="Linked Cell 7 2 2 3 8 3" xfId="38416" xr:uid="{7870E415-3928-436D-8C1D-BD885AA02ECA}"/>
    <cellStyle name="Linked Cell 7 2 2 3 9" xfId="38417" xr:uid="{63640FCB-61CD-4D1F-85A1-CDCC8AA93A51}"/>
    <cellStyle name="Linked Cell 7 2 2 3 9 2" xfId="38418" xr:uid="{FF906201-8AE8-4821-B1BC-C0E1229E071B}"/>
    <cellStyle name="Linked Cell 7 2 2 3 9 2 2" xfId="38419" xr:uid="{6F845340-AA92-4292-AA3A-19FE7747F0AB}"/>
    <cellStyle name="Linked Cell 7 2 2 3 9 3" xfId="38420" xr:uid="{1AAA37BE-6496-4FB9-9C5E-BF33012FB149}"/>
    <cellStyle name="Linked Cell 7 2 2 4" xfId="38421" xr:uid="{D6D13F69-9156-4B15-98E3-6B0E1E9EAFF5}"/>
    <cellStyle name="Linked Cell 7 2 2 4 10" xfId="38422" xr:uid="{111EBD82-D4B9-4210-A95A-76E2B3BB875C}"/>
    <cellStyle name="Linked Cell 7 2 2 4 10 2" xfId="38423" xr:uid="{3A7A1785-820B-4C3F-9737-72743C8D6870}"/>
    <cellStyle name="Linked Cell 7 2 2 4 11" xfId="38424" xr:uid="{E626A2E0-5764-478B-B421-9CC20C3216A0}"/>
    <cellStyle name="Linked Cell 7 2 2 4 2" xfId="38425" xr:uid="{4060756C-7D90-4B53-81F1-F8E684B1B048}"/>
    <cellStyle name="Linked Cell 7 2 2 4 2 2" xfId="38426" xr:uid="{E904C500-E9B8-431C-8B41-E009025A1C0A}"/>
    <cellStyle name="Linked Cell 7 2 2 4 2 2 2" xfId="38427" xr:uid="{AD5B466E-8414-4E1D-8182-3804580B56AC}"/>
    <cellStyle name="Linked Cell 7 2 2 4 2 3" xfId="38428" xr:uid="{D4E0DC56-9F40-46F9-A604-5CA948809A0E}"/>
    <cellStyle name="Linked Cell 7 2 2 4 3" xfId="38429" xr:uid="{C42E38E4-036C-4224-82B1-F2E5C56DA686}"/>
    <cellStyle name="Linked Cell 7 2 2 4 3 2" xfId="38430" xr:uid="{210DD4E1-3399-43DA-B1DC-24CF4D1B33C1}"/>
    <cellStyle name="Linked Cell 7 2 2 4 3 2 2" xfId="38431" xr:uid="{31F1EC2C-7E21-4909-AB6B-478365061433}"/>
    <cellStyle name="Linked Cell 7 2 2 4 3 3" xfId="38432" xr:uid="{78EFC117-2070-4355-9CCE-9A26D751AC94}"/>
    <cellStyle name="Linked Cell 7 2 2 4 4" xfId="38433" xr:uid="{0AC926F4-CB2C-4790-8AF3-FE38848AB1C6}"/>
    <cellStyle name="Linked Cell 7 2 2 4 4 2" xfId="38434" xr:uid="{9B8A8B2E-90A6-445A-A83A-5C8098583E9C}"/>
    <cellStyle name="Linked Cell 7 2 2 4 4 2 2" xfId="38435" xr:uid="{D8982846-6A7C-4ED2-A6A2-748377EA516D}"/>
    <cellStyle name="Linked Cell 7 2 2 4 4 3" xfId="38436" xr:uid="{DC91BA36-211A-4C7A-9051-468F38A73AD5}"/>
    <cellStyle name="Linked Cell 7 2 2 4 5" xfId="38437" xr:uid="{F38B4DF3-FFC9-465B-996B-0D137AB86C43}"/>
    <cellStyle name="Linked Cell 7 2 2 4 5 2" xfId="38438" xr:uid="{043C2D3D-804C-4EF1-BACB-3D23D3600DCE}"/>
    <cellStyle name="Linked Cell 7 2 2 4 5 2 2" xfId="38439" xr:uid="{1DFAD30D-569A-4F0E-8BCC-6E153EDE59FE}"/>
    <cellStyle name="Linked Cell 7 2 2 4 5 3" xfId="38440" xr:uid="{482B9133-C24E-439F-B949-667C429BEAFB}"/>
    <cellStyle name="Linked Cell 7 2 2 4 6" xfId="38441" xr:uid="{A424529E-FF63-42C5-96CE-80C3C05E5D0C}"/>
    <cellStyle name="Linked Cell 7 2 2 4 6 2" xfId="38442" xr:uid="{045AF9D7-26E4-482E-9A76-993FE72D9769}"/>
    <cellStyle name="Linked Cell 7 2 2 4 6 2 2" xfId="38443" xr:uid="{0BD2F88E-44B8-4215-B483-B897FDD63D5C}"/>
    <cellStyle name="Linked Cell 7 2 2 4 6 3" xfId="38444" xr:uid="{B6574B54-09F6-4916-98B4-768D72C15004}"/>
    <cellStyle name="Linked Cell 7 2 2 4 7" xfId="38445" xr:uid="{19FE034C-C8D2-48A5-A331-639CE1E28901}"/>
    <cellStyle name="Linked Cell 7 2 2 4 7 2" xfId="38446" xr:uid="{D1097430-AE07-499C-A19F-D5B4EF3736DB}"/>
    <cellStyle name="Linked Cell 7 2 2 4 7 2 2" xfId="38447" xr:uid="{ED4D1009-0CB4-49E3-9DB2-244D1211A5BD}"/>
    <cellStyle name="Linked Cell 7 2 2 4 7 3" xfId="38448" xr:uid="{CE03549E-B795-4928-98F8-A5E85D7B6F90}"/>
    <cellStyle name="Linked Cell 7 2 2 4 8" xfId="38449" xr:uid="{B4D3890D-5279-475E-9EC8-7973E5EFDB27}"/>
    <cellStyle name="Linked Cell 7 2 2 4 8 2" xfId="38450" xr:uid="{0A211FAA-F155-418F-A989-FC607D7323A3}"/>
    <cellStyle name="Linked Cell 7 2 2 4 8 2 2" xfId="38451" xr:uid="{6AB233F8-B106-4BE6-8ACB-BEE932BA0ECB}"/>
    <cellStyle name="Linked Cell 7 2 2 4 8 3" xfId="38452" xr:uid="{861507F6-FBE5-4A65-A45E-3760AA4A9E8A}"/>
    <cellStyle name="Linked Cell 7 2 2 4 9" xfId="38453" xr:uid="{FF02472E-4262-422A-8581-132C30231EDC}"/>
    <cellStyle name="Linked Cell 7 2 2 4 9 2" xfId="38454" xr:uid="{9F623F6C-779F-4885-AD30-1AEDF2A54D69}"/>
    <cellStyle name="Linked Cell 7 2 2 4 9 2 2" xfId="38455" xr:uid="{2964FAE9-F3BF-4616-A0A4-2192EC0334ED}"/>
    <cellStyle name="Linked Cell 7 2 2 4 9 3" xfId="38456" xr:uid="{F4AE8C84-7115-4179-91E2-F9ABD0AE7BD7}"/>
    <cellStyle name="Linked Cell 7 2 2 5" xfId="38457" xr:uid="{9E7CDBE3-7436-4CF3-9976-0C0D1A13B2D2}"/>
    <cellStyle name="Linked Cell 7 2 2 5 2" xfId="38458" xr:uid="{96EFD064-07D6-4682-BAAB-A6DAF19CCE98}"/>
    <cellStyle name="Linked Cell 7 2 2 5 2 2" xfId="38459" xr:uid="{2BA35C37-0118-4ACE-872B-8C472D71FB19}"/>
    <cellStyle name="Linked Cell 7 2 2 5 3" xfId="38460" xr:uid="{40CE49B5-DF35-4E43-AAF0-A672DB9AC8CE}"/>
    <cellStyle name="Linked Cell 7 2 2 6" xfId="38461" xr:uid="{7E977D33-9A2A-4855-8EEE-4462DB3B86B5}"/>
    <cellStyle name="Linked Cell 7 2 2 6 2" xfId="38462" xr:uid="{3F3DEB94-1B1D-4920-A862-6FCD76046930}"/>
    <cellStyle name="Linked Cell 7 2 2 6 2 2" xfId="38463" xr:uid="{E5A9FE4C-F585-46DC-9AA1-21518469A5BF}"/>
    <cellStyle name="Linked Cell 7 2 2 6 3" xfId="38464" xr:uid="{FCB20F5E-B3EA-4311-BA02-74EEE47C0EA5}"/>
    <cellStyle name="Linked Cell 7 2 2 7" xfId="38465" xr:uid="{BA9DB6F2-4FEE-47C0-B266-35CA461FB1CA}"/>
    <cellStyle name="Linked Cell 7 2 2 7 2" xfId="38466" xr:uid="{4450AE42-72F3-47E3-988B-E80B15CB8533}"/>
    <cellStyle name="Linked Cell 7 2 2 7 2 2" xfId="38467" xr:uid="{48F46B19-1D5C-4A1B-8D5C-3C7E5EDBC1A6}"/>
    <cellStyle name="Linked Cell 7 2 2 7 3" xfId="38468" xr:uid="{A798DCAF-2FDE-4B6E-8238-7B13FD844B6D}"/>
    <cellStyle name="Linked Cell 7 2 2 8" xfId="38469" xr:uid="{15AB9EDD-ADD0-4439-B749-21E36CC2C239}"/>
    <cellStyle name="Linked Cell 7 2 2 8 2" xfId="38470" xr:uid="{19284B93-A432-499D-A719-6C2751846A13}"/>
    <cellStyle name="Linked Cell 7 2 2 8 2 2" xfId="38471" xr:uid="{020A4684-2D5E-4402-AFA5-3357B0017152}"/>
    <cellStyle name="Linked Cell 7 2 2 8 3" xfId="38472" xr:uid="{48FF6BE4-E9CF-47F1-BF9D-41375F9320EB}"/>
    <cellStyle name="Linked Cell 7 2 2 9" xfId="38473" xr:uid="{531F25BA-4478-46AA-B598-CDF107885010}"/>
    <cellStyle name="Linked Cell 7 2 2 9 2" xfId="38474" xr:uid="{3B3B1008-77D8-4F73-B5C7-18267FFB5C95}"/>
    <cellStyle name="Linked Cell 7 2 2 9 2 2" xfId="38475" xr:uid="{31903979-D2FE-4D26-8567-4B0E46855840}"/>
    <cellStyle name="Linked Cell 7 2 2 9 3" xfId="38476" xr:uid="{4E5F01C0-C261-443B-AE01-CDC2714E958F}"/>
    <cellStyle name="Linked Cell 7 2 3" xfId="38477" xr:uid="{BBDDA19E-9BA8-4198-A88E-3789E4289146}"/>
    <cellStyle name="Linked Cell 7 2 3 10" xfId="38478" xr:uid="{62A70A46-D937-4862-8824-489A1E12E150}"/>
    <cellStyle name="Linked Cell 7 2 3 10 2" xfId="38479" xr:uid="{FD386EBB-9B2F-4B9D-ACD5-05789F213702}"/>
    <cellStyle name="Linked Cell 7 2 3 10 2 2" xfId="38480" xr:uid="{78D67630-9D33-498E-BE7A-C2A74ED9C433}"/>
    <cellStyle name="Linked Cell 7 2 3 10 3" xfId="38481" xr:uid="{980DA0FC-DB12-4BEA-B93C-CE6725558E99}"/>
    <cellStyle name="Linked Cell 7 2 3 11" xfId="38482" xr:uid="{DF00CDE8-1F91-4F28-AD77-8665DCC3DCDB}"/>
    <cellStyle name="Linked Cell 7 2 3 11 2" xfId="38483" xr:uid="{A3B8632A-B203-44BE-8C1F-757653F75C0F}"/>
    <cellStyle name="Linked Cell 7 2 3 11 2 2" xfId="38484" xr:uid="{861C54E1-A027-48F4-BE41-38B4BEDEF2D6}"/>
    <cellStyle name="Linked Cell 7 2 3 11 3" xfId="38485" xr:uid="{11D9046E-2997-494D-A82D-56C532B7438A}"/>
    <cellStyle name="Linked Cell 7 2 3 12" xfId="38486" xr:uid="{BD0903C6-F890-4F2D-A822-C16B272341D6}"/>
    <cellStyle name="Linked Cell 7 2 3 12 2" xfId="38487" xr:uid="{A84B63B8-43E8-4BC3-9334-384C5C7BFA99}"/>
    <cellStyle name="Linked Cell 7 2 3 13" xfId="38488" xr:uid="{ED1B11C8-9D77-4D1D-8695-EA9462BA69C4}"/>
    <cellStyle name="Linked Cell 7 2 3 2" xfId="38489" xr:uid="{E0A7914A-A298-4EC4-AA47-4F86FB31F5B9}"/>
    <cellStyle name="Linked Cell 7 2 3 2 10" xfId="38490" xr:uid="{C187AF5B-3322-4AD4-9C85-A1FBB6A21895}"/>
    <cellStyle name="Linked Cell 7 2 3 2 10 2" xfId="38491" xr:uid="{1EBAE5BF-4FCA-4DD9-87E9-80DDE77238D1}"/>
    <cellStyle name="Linked Cell 7 2 3 2 10 2 2" xfId="38492" xr:uid="{63C57612-6A11-4853-B9A1-7C35EC3C50ED}"/>
    <cellStyle name="Linked Cell 7 2 3 2 10 3" xfId="38493" xr:uid="{8FA369E8-B286-47EC-85F7-5E3FDBA55BE7}"/>
    <cellStyle name="Linked Cell 7 2 3 2 11" xfId="38494" xr:uid="{92C9DC62-6F48-4BC2-998F-B4BF7A132400}"/>
    <cellStyle name="Linked Cell 7 2 3 2 11 2" xfId="38495" xr:uid="{2514CC39-9A63-4E8F-8782-45D9BA26AAB5}"/>
    <cellStyle name="Linked Cell 7 2 3 2 12" xfId="38496" xr:uid="{8DD313AD-1D1F-48B4-9EAB-B550A85785E1}"/>
    <cellStyle name="Linked Cell 7 2 3 2 2" xfId="38497" xr:uid="{C6455D0B-0F13-4532-8261-98AEF7937685}"/>
    <cellStyle name="Linked Cell 7 2 3 2 2 2" xfId="38498" xr:uid="{AAF28FA7-DA8F-411C-B6B0-93B97FF7DB6D}"/>
    <cellStyle name="Linked Cell 7 2 3 2 2 2 2" xfId="38499" xr:uid="{5BD3B22D-3B8D-4792-81AE-7FC136C4C138}"/>
    <cellStyle name="Linked Cell 7 2 3 2 2 3" xfId="38500" xr:uid="{CF81FCBB-0BC4-4823-A50F-DDD17554359C}"/>
    <cellStyle name="Linked Cell 7 2 3 2 3" xfId="38501" xr:uid="{05E66891-8C08-4EB8-AE17-8AC14A853B5A}"/>
    <cellStyle name="Linked Cell 7 2 3 2 3 2" xfId="38502" xr:uid="{725C4FF3-C6ED-4FC8-93C2-AC285E2E2138}"/>
    <cellStyle name="Linked Cell 7 2 3 2 3 2 2" xfId="38503" xr:uid="{EC749F86-FB15-46A1-A272-D077F312BF01}"/>
    <cellStyle name="Linked Cell 7 2 3 2 3 3" xfId="38504" xr:uid="{0BC07F72-BCBE-4BFE-BF9B-95DB300BF16D}"/>
    <cellStyle name="Linked Cell 7 2 3 2 4" xfId="38505" xr:uid="{DDD58EAB-D99F-4C67-8078-DBF719123645}"/>
    <cellStyle name="Linked Cell 7 2 3 2 4 2" xfId="38506" xr:uid="{78D67E56-42BE-4EB5-A152-969754860BD9}"/>
    <cellStyle name="Linked Cell 7 2 3 2 4 2 2" xfId="38507" xr:uid="{3D8060A8-F026-4484-A894-E3959AD8833C}"/>
    <cellStyle name="Linked Cell 7 2 3 2 4 3" xfId="38508" xr:uid="{3A9C7FF9-E0BF-4C75-BC53-9DB2623A1BFC}"/>
    <cellStyle name="Linked Cell 7 2 3 2 5" xfId="38509" xr:uid="{B63A0192-76F0-4E33-8611-C370277413E5}"/>
    <cellStyle name="Linked Cell 7 2 3 2 5 2" xfId="38510" xr:uid="{F5032733-1A2D-4DC3-9DA3-845681F77264}"/>
    <cellStyle name="Linked Cell 7 2 3 2 5 2 2" xfId="38511" xr:uid="{058522BA-D2E1-44AD-8858-8CB52624B6B1}"/>
    <cellStyle name="Linked Cell 7 2 3 2 5 3" xfId="38512" xr:uid="{68B765FB-45B8-4571-A3BC-7E8E443984F2}"/>
    <cellStyle name="Linked Cell 7 2 3 2 6" xfId="38513" xr:uid="{50E6047E-A647-4E3E-8F00-2E0792D6F88E}"/>
    <cellStyle name="Linked Cell 7 2 3 2 6 2" xfId="38514" xr:uid="{27D00C20-D20D-47D4-B936-E83D43AC4724}"/>
    <cellStyle name="Linked Cell 7 2 3 2 6 2 2" xfId="38515" xr:uid="{ABC0F988-D2BF-4EEA-A81F-4271481B862D}"/>
    <cellStyle name="Linked Cell 7 2 3 2 6 3" xfId="38516" xr:uid="{EE9B2AA0-C054-4CF7-9247-32F790BB8C71}"/>
    <cellStyle name="Linked Cell 7 2 3 2 7" xfId="38517" xr:uid="{473A242C-D5B8-4CBB-9EB4-EFD2AE958CC9}"/>
    <cellStyle name="Linked Cell 7 2 3 2 7 2" xfId="38518" xr:uid="{096C8312-B17C-4B2A-9846-738018E7F208}"/>
    <cellStyle name="Linked Cell 7 2 3 2 7 2 2" xfId="38519" xr:uid="{C5CBBCB9-35F4-4E39-ADE4-8D9CE182608E}"/>
    <cellStyle name="Linked Cell 7 2 3 2 7 3" xfId="38520" xr:uid="{52C5F20E-D8E8-438A-B909-D965E94E9687}"/>
    <cellStyle name="Linked Cell 7 2 3 2 8" xfId="38521" xr:uid="{3B5069AB-A1C8-4B23-8B9C-3B44B973D55A}"/>
    <cellStyle name="Linked Cell 7 2 3 2 8 2" xfId="38522" xr:uid="{4434AB70-DC07-459B-B183-880618BA700A}"/>
    <cellStyle name="Linked Cell 7 2 3 2 8 2 2" xfId="38523" xr:uid="{88DDB0A7-665D-4650-AF6A-7ADB0C98DB2F}"/>
    <cellStyle name="Linked Cell 7 2 3 2 8 3" xfId="38524" xr:uid="{9ED8E294-99F4-4210-9F6E-852482C3FDF2}"/>
    <cellStyle name="Linked Cell 7 2 3 2 9" xfId="38525" xr:uid="{0DD87B1D-346C-4243-934B-6560F2881E86}"/>
    <cellStyle name="Linked Cell 7 2 3 2 9 2" xfId="38526" xr:uid="{9B682B49-0613-4FC0-8D98-62E356E13182}"/>
    <cellStyle name="Linked Cell 7 2 3 2 9 2 2" xfId="38527" xr:uid="{5CF1B053-2F4F-4201-BCA9-68570F7EB958}"/>
    <cellStyle name="Linked Cell 7 2 3 2 9 3" xfId="38528" xr:uid="{E1400FE6-3077-44C4-91D5-13CC8A9C08BB}"/>
    <cellStyle name="Linked Cell 7 2 3 3" xfId="38529" xr:uid="{E139D49B-607A-40B4-AA98-E37882033B5D}"/>
    <cellStyle name="Linked Cell 7 2 3 3 10" xfId="38530" xr:uid="{B5C12CAC-E284-4A0F-8DD6-6AA60C50374D}"/>
    <cellStyle name="Linked Cell 7 2 3 3 10 2" xfId="38531" xr:uid="{F0F2DEEC-90E8-4671-A1A7-EFDCE94426E5}"/>
    <cellStyle name="Linked Cell 7 2 3 3 11" xfId="38532" xr:uid="{AD3F2938-B51E-498F-9677-7CC63518DF1A}"/>
    <cellStyle name="Linked Cell 7 2 3 3 2" xfId="38533" xr:uid="{B8F4BF23-3374-4778-95FE-ABE9DFBDDD8C}"/>
    <cellStyle name="Linked Cell 7 2 3 3 2 2" xfId="38534" xr:uid="{5F93FC70-7B3B-4025-9A56-550AB037DFD8}"/>
    <cellStyle name="Linked Cell 7 2 3 3 2 2 2" xfId="38535" xr:uid="{FADA8145-95B7-41CE-BF1B-650AD05FADD9}"/>
    <cellStyle name="Linked Cell 7 2 3 3 2 3" xfId="38536" xr:uid="{F64D23A5-9EE1-4A93-9737-E0CEAC69E7E0}"/>
    <cellStyle name="Linked Cell 7 2 3 3 3" xfId="38537" xr:uid="{67CDD403-B8BD-47EE-AC5B-8F8B16462587}"/>
    <cellStyle name="Linked Cell 7 2 3 3 3 2" xfId="38538" xr:uid="{D6522205-1B04-44BD-B84B-B507FBA94EF9}"/>
    <cellStyle name="Linked Cell 7 2 3 3 3 2 2" xfId="38539" xr:uid="{EA160ABC-0747-4700-AD2F-EC0ADB2475B5}"/>
    <cellStyle name="Linked Cell 7 2 3 3 3 3" xfId="38540" xr:uid="{B9D22F8F-ADF2-4016-AFE0-E047E8B42146}"/>
    <cellStyle name="Linked Cell 7 2 3 3 4" xfId="38541" xr:uid="{859BE0F1-1567-487B-B96A-07213A568224}"/>
    <cellStyle name="Linked Cell 7 2 3 3 4 2" xfId="38542" xr:uid="{89A0D2E3-35CD-448A-B9D1-4FEA78790EDD}"/>
    <cellStyle name="Linked Cell 7 2 3 3 4 2 2" xfId="38543" xr:uid="{42277276-76C9-489C-B605-FD44A6FD589A}"/>
    <cellStyle name="Linked Cell 7 2 3 3 4 3" xfId="38544" xr:uid="{A3E45012-3BD0-470A-811D-C25480A1B9E7}"/>
    <cellStyle name="Linked Cell 7 2 3 3 5" xfId="38545" xr:uid="{151EAC7B-81CF-49BD-98AC-1AA693631D3D}"/>
    <cellStyle name="Linked Cell 7 2 3 3 5 2" xfId="38546" xr:uid="{92C2B9A3-A319-4A79-9D8B-E92C84B2967A}"/>
    <cellStyle name="Linked Cell 7 2 3 3 5 2 2" xfId="38547" xr:uid="{D0A16BA2-C878-46B6-B177-8060E7E12609}"/>
    <cellStyle name="Linked Cell 7 2 3 3 5 3" xfId="38548" xr:uid="{CC48E9C6-6DF6-4BF0-89D5-3FF122AB0FA7}"/>
    <cellStyle name="Linked Cell 7 2 3 3 6" xfId="38549" xr:uid="{CBA8BB0D-3F56-492D-A1C3-8AE155C22821}"/>
    <cellStyle name="Linked Cell 7 2 3 3 6 2" xfId="38550" xr:uid="{99283AF6-B6AB-49D9-84B7-CB303D3108D3}"/>
    <cellStyle name="Linked Cell 7 2 3 3 6 2 2" xfId="38551" xr:uid="{3859E5CC-EC06-4EC6-BD7B-5CA4D22663D1}"/>
    <cellStyle name="Linked Cell 7 2 3 3 6 3" xfId="38552" xr:uid="{2D3DCDFC-3365-40F8-9AC3-3178952B94D8}"/>
    <cellStyle name="Linked Cell 7 2 3 3 7" xfId="38553" xr:uid="{5F679D81-CCCD-4AD7-A752-CA2778EAD928}"/>
    <cellStyle name="Linked Cell 7 2 3 3 7 2" xfId="38554" xr:uid="{9DFC010D-72FE-4D57-B0EA-FDA8E8F5B361}"/>
    <cellStyle name="Linked Cell 7 2 3 3 7 2 2" xfId="38555" xr:uid="{8777A0D9-8FB8-4C8B-8AD6-2AD408B2F175}"/>
    <cellStyle name="Linked Cell 7 2 3 3 7 3" xfId="38556" xr:uid="{0D0FCDED-B636-461C-92A9-3859B7103161}"/>
    <cellStyle name="Linked Cell 7 2 3 3 8" xfId="38557" xr:uid="{57F55C48-BAED-4544-883A-0DE79DE43CA8}"/>
    <cellStyle name="Linked Cell 7 2 3 3 8 2" xfId="38558" xr:uid="{2D2A6C0D-8FDB-487A-BF77-E221C7679704}"/>
    <cellStyle name="Linked Cell 7 2 3 3 8 2 2" xfId="38559" xr:uid="{E83043A7-096E-4238-853D-D8956B99FAD8}"/>
    <cellStyle name="Linked Cell 7 2 3 3 8 3" xfId="38560" xr:uid="{58A0DE85-8981-4647-9571-4E16AA182BF3}"/>
    <cellStyle name="Linked Cell 7 2 3 3 9" xfId="38561" xr:uid="{35D06A93-1304-4DE7-B428-9C77DBB99131}"/>
    <cellStyle name="Linked Cell 7 2 3 3 9 2" xfId="38562" xr:uid="{DC5E4934-AE66-4209-BA0D-43D7B335D9D5}"/>
    <cellStyle name="Linked Cell 7 2 3 3 9 2 2" xfId="38563" xr:uid="{133901BC-127D-4608-A4B9-174E05286CF7}"/>
    <cellStyle name="Linked Cell 7 2 3 3 9 3" xfId="38564" xr:uid="{8C14EA77-8071-4670-ACCE-DD9712111F9F}"/>
    <cellStyle name="Linked Cell 7 2 3 4" xfId="38565" xr:uid="{DD8D1D55-8E5C-4326-B0F5-DA3164108D3A}"/>
    <cellStyle name="Linked Cell 7 2 3 4 2" xfId="38566" xr:uid="{D3B21CA6-FD80-4FBA-87BC-990A9C966E89}"/>
    <cellStyle name="Linked Cell 7 2 3 4 2 2" xfId="38567" xr:uid="{1D6AA394-87A6-40A8-ACAC-0BB4D883354E}"/>
    <cellStyle name="Linked Cell 7 2 3 4 3" xfId="38568" xr:uid="{52ECECC8-0C49-43E9-A598-839E01A513E0}"/>
    <cellStyle name="Linked Cell 7 2 3 5" xfId="38569" xr:uid="{FE0C48AA-268D-44CF-B7E7-CD0C5B93CA96}"/>
    <cellStyle name="Linked Cell 7 2 3 5 2" xfId="38570" xr:uid="{AA657195-AF9A-4261-BBF6-CC7071B0C752}"/>
    <cellStyle name="Linked Cell 7 2 3 5 2 2" xfId="38571" xr:uid="{7464AB1A-ACD7-4E0A-B17E-07A3D7F6DD78}"/>
    <cellStyle name="Linked Cell 7 2 3 5 3" xfId="38572" xr:uid="{E12E59E2-1CBF-4A05-B46A-8EF2F7B37501}"/>
    <cellStyle name="Linked Cell 7 2 3 6" xfId="38573" xr:uid="{E93BB8AC-7BE0-4238-A733-0100DD08985D}"/>
    <cellStyle name="Linked Cell 7 2 3 6 2" xfId="38574" xr:uid="{262F256C-1F40-4DE0-A3AB-A761A6060075}"/>
    <cellStyle name="Linked Cell 7 2 3 6 2 2" xfId="38575" xr:uid="{C4298E91-18B3-4163-9A48-91C8FD1235ED}"/>
    <cellStyle name="Linked Cell 7 2 3 6 3" xfId="38576" xr:uid="{46B1683F-3DCD-488F-B94C-3927E8F84F55}"/>
    <cellStyle name="Linked Cell 7 2 3 7" xfId="38577" xr:uid="{DF4B0736-24D9-4DEB-B982-D2409E8F57FF}"/>
    <cellStyle name="Linked Cell 7 2 3 7 2" xfId="38578" xr:uid="{33153CC4-06DC-4EE4-B6DB-22C15288D44C}"/>
    <cellStyle name="Linked Cell 7 2 3 7 2 2" xfId="38579" xr:uid="{5BF48E55-E318-41C3-8978-F3AEADD77C11}"/>
    <cellStyle name="Linked Cell 7 2 3 7 3" xfId="38580" xr:uid="{57199212-2FC3-415F-B06E-2BEC0221AB9A}"/>
    <cellStyle name="Linked Cell 7 2 3 8" xfId="38581" xr:uid="{10A582D1-360B-4B6B-867D-DD24D9B3BDCD}"/>
    <cellStyle name="Linked Cell 7 2 3 8 2" xfId="38582" xr:uid="{4F2E8826-DBF4-429E-BCF0-D1CCD7CDAF42}"/>
    <cellStyle name="Linked Cell 7 2 3 8 2 2" xfId="38583" xr:uid="{1C897158-CB83-49D6-AD30-3341C968FB90}"/>
    <cellStyle name="Linked Cell 7 2 3 8 3" xfId="38584" xr:uid="{2BDDB0EB-0619-412A-93D6-CEABDF133575}"/>
    <cellStyle name="Linked Cell 7 2 3 9" xfId="38585" xr:uid="{5B316996-4F1B-4D10-BCFF-2C9AF7D0BABE}"/>
    <cellStyle name="Linked Cell 7 2 3 9 2" xfId="38586" xr:uid="{EBE3ACEA-C91A-4F8B-9E5B-7175BD05EB53}"/>
    <cellStyle name="Linked Cell 7 2 3 9 2 2" xfId="38587" xr:uid="{2348177F-B19F-412B-B2E9-848AEEBE7228}"/>
    <cellStyle name="Linked Cell 7 2 3 9 3" xfId="38588" xr:uid="{AAC7DB63-94E3-43B5-8D94-9E4BAD7925CF}"/>
    <cellStyle name="Linked Cell 7 2 4" xfId="38589" xr:uid="{07765B2A-0149-4D16-B4F2-78A48C28CE62}"/>
    <cellStyle name="Linked Cell 7 2 4 10" xfId="38590" xr:uid="{9FD04D12-63CE-483A-9613-0765CF24F0A6}"/>
    <cellStyle name="Linked Cell 7 2 4 10 2" xfId="38591" xr:uid="{68E8A1DC-FA05-4425-AB6D-1B6624E1AEC2}"/>
    <cellStyle name="Linked Cell 7 2 4 10 2 2" xfId="38592" xr:uid="{B6F03A1F-C5DB-480C-888A-788A5911CFE1}"/>
    <cellStyle name="Linked Cell 7 2 4 10 3" xfId="38593" xr:uid="{F7E743C5-19A8-44E0-AB64-1EFF01A474F3}"/>
    <cellStyle name="Linked Cell 7 2 4 11" xfId="38594" xr:uid="{F21FD31A-9B1E-47DF-95E7-F5C05748144B}"/>
    <cellStyle name="Linked Cell 7 2 4 11 2" xfId="38595" xr:uid="{88A04F2D-2E4D-4ACF-998E-6541321D958F}"/>
    <cellStyle name="Linked Cell 7 2 4 12" xfId="38596" xr:uid="{3B421747-29D6-4E03-BBEB-449DD03A15DF}"/>
    <cellStyle name="Linked Cell 7 2 4 2" xfId="38597" xr:uid="{B7E82F4A-42A1-4CC3-A197-9845887F0FD8}"/>
    <cellStyle name="Linked Cell 7 2 4 2 10" xfId="38598" xr:uid="{CF02DC44-F5E2-4108-88EE-E76AC8F67521}"/>
    <cellStyle name="Linked Cell 7 2 4 2 10 2" xfId="38599" xr:uid="{5CE96990-53CC-4652-AFED-CA6C8D03D41E}"/>
    <cellStyle name="Linked Cell 7 2 4 2 11" xfId="38600" xr:uid="{FB078BFC-7B46-4800-8A81-219F20C43D0D}"/>
    <cellStyle name="Linked Cell 7 2 4 2 2" xfId="38601" xr:uid="{51D82463-6665-45B1-A113-11EB395FE215}"/>
    <cellStyle name="Linked Cell 7 2 4 2 2 2" xfId="38602" xr:uid="{A0D65FB6-E309-4C75-BFF9-23622B15F0F3}"/>
    <cellStyle name="Linked Cell 7 2 4 2 2 2 2" xfId="38603" xr:uid="{59469936-5DC9-43EE-9789-BC0875A3C0A6}"/>
    <cellStyle name="Linked Cell 7 2 4 2 2 3" xfId="38604" xr:uid="{B4B2EA9A-6167-4FCF-863C-2A536AD7AA60}"/>
    <cellStyle name="Linked Cell 7 2 4 2 3" xfId="38605" xr:uid="{A523DCC8-D0C0-42A3-89ED-813B08E58AEE}"/>
    <cellStyle name="Linked Cell 7 2 4 2 3 2" xfId="38606" xr:uid="{46CE0CE0-0C8A-491F-9859-82C7329AEB91}"/>
    <cellStyle name="Linked Cell 7 2 4 2 3 2 2" xfId="38607" xr:uid="{A937696A-B598-4A8D-9779-4CFD84B8121C}"/>
    <cellStyle name="Linked Cell 7 2 4 2 3 3" xfId="38608" xr:uid="{18C1628C-731D-4529-82B8-64291A6F195F}"/>
    <cellStyle name="Linked Cell 7 2 4 2 4" xfId="38609" xr:uid="{418F86DE-DAE2-4D52-9AC3-38212E484AFE}"/>
    <cellStyle name="Linked Cell 7 2 4 2 4 2" xfId="38610" xr:uid="{97C805FF-55E4-4F70-A220-4D51D13B09B5}"/>
    <cellStyle name="Linked Cell 7 2 4 2 4 2 2" xfId="38611" xr:uid="{1A030A82-B36B-4BAA-A31C-916F18D5BBEF}"/>
    <cellStyle name="Linked Cell 7 2 4 2 4 3" xfId="38612" xr:uid="{948C767F-CA2F-40C6-B238-0C305281DC8F}"/>
    <cellStyle name="Linked Cell 7 2 4 2 5" xfId="38613" xr:uid="{85C092DE-6DB6-4704-B7E9-3E9736DFAF7D}"/>
    <cellStyle name="Linked Cell 7 2 4 2 5 2" xfId="38614" xr:uid="{4256D8D1-03D2-4A70-B792-49E5C1299E1B}"/>
    <cellStyle name="Linked Cell 7 2 4 2 5 2 2" xfId="38615" xr:uid="{02D8562B-6D7E-496D-836B-CF2DA7555978}"/>
    <cellStyle name="Linked Cell 7 2 4 2 5 3" xfId="38616" xr:uid="{6EFC886D-A9AF-4C5F-BCD6-62C48A3ED2ED}"/>
    <cellStyle name="Linked Cell 7 2 4 2 6" xfId="38617" xr:uid="{350403B9-FB54-463B-B7B0-63FBD92655E9}"/>
    <cellStyle name="Linked Cell 7 2 4 2 6 2" xfId="38618" xr:uid="{C33A7BB0-CDC6-4C0F-9E27-4DF318C343D1}"/>
    <cellStyle name="Linked Cell 7 2 4 2 6 2 2" xfId="38619" xr:uid="{D8484A51-B43E-43D5-AE85-FA32014D8593}"/>
    <cellStyle name="Linked Cell 7 2 4 2 6 3" xfId="38620" xr:uid="{C114546D-9CA1-48CE-B267-29951E14F214}"/>
    <cellStyle name="Linked Cell 7 2 4 2 7" xfId="38621" xr:uid="{89DA6227-E967-462E-B49D-E80F27A37CB2}"/>
    <cellStyle name="Linked Cell 7 2 4 2 7 2" xfId="38622" xr:uid="{FECD4689-5487-4E11-8473-5FBC74C5F309}"/>
    <cellStyle name="Linked Cell 7 2 4 2 7 2 2" xfId="38623" xr:uid="{B407850C-7E07-4AEC-B40B-DF6F49D43645}"/>
    <cellStyle name="Linked Cell 7 2 4 2 7 3" xfId="38624" xr:uid="{169CD034-5731-45C8-8618-236AB2D33AB1}"/>
    <cellStyle name="Linked Cell 7 2 4 2 8" xfId="38625" xr:uid="{493A78D9-8B6C-470C-82ED-078CD858E92D}"/>
    <cellStyle name="Linked Cell 7 2 4 2 8 2" xfId="38626" xr:uid="{136E34A5-328B-47B6-9236-41CCFD9B6C13}"/>
    <cellStyle name="Linked Cell 7 2 4 2 8 2 2" xfId="38627" xr:uid="{AAF10029-772D-4CAD-80D8-71EEDE3E650D}"/>
    <cellStyle name="Linked Cell 7 2 4 2 8 3" xfId="38628" xr:uid="{5D2FE15A-99BF-424D-8000-EF77D49136FD}"/>
    <cellStyle name="Linked Cell 7 2 4 2 9" xfId="38629" xr:uid="{C4B8DCD5-BD70-4DD0-946F-1DB57BC20664}"/>
    <cellStyle name="Linked Cell 7 2 4 2 9 2" xfId="38630" xr:uid="{D4F5E0A7-8191-4D45-B88C-1539BD68F154}"/>
    <cellStyle name="Linked Cell 7 2 4 2 9 2 2" xfId="38631" xr:uid="{B1C08AAE-1F55-493F-9D41-829588EDF857}"/>
    <cellStyle name="Linked Cell 7 2 4 2 9 3" xfId="38632" xr:uid="{120A8E74-0C13-4244-9928-5D1E26307121}"/>
    <cellStyle name="Linked Cell 7 2 4 3" xfId="38633" xr:uid="{4E05F9F3-C24E-451C-86A9-AD838DD3E3A4}"/>
    <cellStyle name="Linked Cell 7 2 4 3 2" xfId="38634" xr:uid="{B440DB38-658D-4F61-8DEA-34B84B54963B}"/>
    <cellStyle name="Linked Cell 7 2 4 3 2 2" xfId="38635" xr:uid="{6940A6A7-D4DD-4EB5-BBAB-FB6E540957E8}"/>
    <cellStyle name="Linked Cell 7 2 4 3 3" xfId="38636" xr:uid="{A51052B6-729A-4B4E-B3EE-599D5E5F250D}"/>
    <cellStyle name="Linked Cell 7 2 4 4" xfId="38637" xr:uid="{62500942-2FE2-41BE-9910-96F12159AAD0}"/>
    <cellStyle name="Linked Cell 7 2 4 4 2" xfId="38638" xr:uid="{BED0FBD7-D364-4AD9-9F53-882838B5C49A}"/>
    <cellStyle name="Linked Cell 7 2 4 4 2 2" xfId="38639" xr:uid="{E0D10553-4757-48BA-88E3-67A637D4D746}"/>
    <cellStyle name="Linked Cell 7 2 4 4 3" xfId="38640" xr:uid="{AE843A92-FD73-40BA-9BFA-3C8BC7DA83F4}"/>
    <cellStyle name="Linked Cell 7 2 4 5" xfId="38641" xr:uid="{F9FE5E40-6774-4E8C-8A6B-8C02BCE4A38A}"/>
    <cellStyle name="Linked Cell 7 2 4 5 2" xfId="38642" xr:uid="{552A6C2A-473A-4569-A4F0-D64898A4A2AF}"/>
    <cellStyle name="Linked Cell 7 2 4 5 2 2" xfId="38643" xr:uid="{DE5AA62E-392E-4B61-B369-97234CA0EAE6}"/>
    <cellStyle name="Linked Cell 7 2 4 5 3" xfId="38644" xr:uid="{3D7AA1A3-4671-481C-9FAE-92D22C1B3B91}"/>
    <cellStyle name="Linked Cell 7 2 4 6" xfId="38645" xr:uid="{5CD4BDC5-4BF9-49FD-A954-2ECEB008DA17}"/>
    <cellStyle name="Linked Cell 7 2 4 6 2" xfId="38646" xr:uid="{FBF91F29-B31F-4BEC-B7CC-A1A2E3832FC7}"/>
    <cellStyle name="Linked Cell 7 2 4 6 2 2" xfId="38647" xr:uid="{4EBAD67C-4395-4FF4-8E22-0D8F6BC64B5B}"/>
    <cellStyle name="Linked Cell 7 2 4 6 3" xfId="38648" xr:uid="{122FE576-540F-4849-A996-C1C7CC734909}"/>
    <cellStyle name="Linked Cell 7 2 4 7" xfId="38649" xr:uid="{348F5209-7188-4D1E-8B7B-F06BA6BD7E53}"/>
    <cellStyle name="Linked Cell 7 2 4 7 2" xfId="38650" xr:uid="{A8AAB794-9402-4F25-B25F-46000FBED737}"/>
    <cellStyle name="Linked Cell 7 2 4 7 2 2" xfId="38651" xr:uid="{95EAAC59-8BD7-4F29-ADAA-1A4E53502ACE}"/>
    <cellStyle name="Linked Cell 7 2 4 7 3" xfId="38652" xr:uid="{C4D8DDB8-8A29-4B34-BE53-ACD06248E6F0}"/>
    <cellStyle name="Linked Cell 7 2 4 8" xfId="38653" xr:uid="{7E074E83-A8B6-430B-8617-61D2EF027937}"/>
    <cellStyle name="Linked Cell 7 2 4 8 2" xfId="38654" xr:uid="{B3CB883A-21C4-4C14-986A-3D67C56D7FD5}"/>
    <cellStyle name="Linked Cell 7 2 4 8 2 2" xfId="38655" xr:uid="{96102848-F8E3-4147-9309-5113790F42F4}"/>
    <cellStyle name="Linked Cell 7 2 4 8 3" xfId="38656" xr:uid="{99BBD0C9-0C69-4A87-A0A7-CCBE9D6666CE}"/>
    <cellStyle name="Linked Cell 7 2 4 9" xfId="38657" xr:uid="{BC7B657A-0809-4FFD-9789-AD27321453FC}"/>
    <cellStyle name="Linked Cell 7 2 4 9 2" xfId="38658" xr:uid="{7A933D89-3F79-4F22-89B2-478765ED053C}"/>
    <cellStyle name="Linked Cell 7 2 4 9 2 2" xfId="38659" xr:uid="{CF2E9D16-8C06-4F61-8C9F-FA103CAE8B37}"/>
    <cellStyle name="Linked Cell 7 2 4 9 3" xfId="38660" xr:uid="{39E8EF0C-FA5B-4F7B-8FCD-22628AFF5366}"/>
    <cellStyle name="Linked Cell 7 2 5" xfId="38661" xr:uid="{9642E628-C919-4D92-9280-EAEB08E617B4}"/>
    <cellStyle name="Linked Cell 7 2 5 10" xfId="38662" xr:uid="{BB645ED4-61DC-44C9-95D7-ED02042B348B}"/>
    <cellStyle name="Linked Cell 7 2 5 10 2" xfId="38663" xr:uid="{91688B6A-8A28-4325-B585-BD09B923F18E}"/>
    <cellStyle name="Linked Cell 7 2 5 11" xfId="38664" xr:uid="{CAA5FCDB-FBF9-4853-98A5-4C7CFF766F56}"/>
    <cellStyle name="Linked Cell 7 2 5 2" xfId="38665" xr:uid="{20CE80B7-EB6D-4848-9786-0ECADAE98554}"/>
    <cellStyle name="Linked Cell 7 2 5 2 2" xfId="38666" xr:uid="{B9B782DE-8DCA-4FC6-B935-5FB07ED459BA}"/>
    <cellStyle name="Linked Cell 7 2 5 2 2 2" xfId="38667" xr:uid="{0A9B3642-2357-42EA-9CE6-38B4393C1364}"/>
    <cellStyle name="Linked Cell 7 2 5 2 3" xfId="38668" xr:uid="{5E9582A3-BA5E-47B3-AF3C-C76619E13187}"/>
    <cellStyle name="Linked Cell 7 2 5 3" xfId="38669" xr:uid="{A40A562D-7602-4A2A-97A2-126AF5FAB473}"/>
    <cellStyle name="Linked Cell 7 2 5 3 2" xfId="38670" xr:uid="{8A18FEE5-6FCE-4A0D-B8BF-A67610F2D9A0}"/>
    <cellStyle name="Linked Cell 7 2 5 3 2 2" xfId="38671" xr:uid="{3A1AA2B9-4BA4-404B-8360-CCFEC6CDD154}"/>
    <cellStyle name="Linked Cell 7 2 5 3 3" xfId="38672" xr:uid="{63EE58D0-8BDD-4662-87D7-06BA8FB58DED}"/>
    <cellStyle name="Linked Cell 7 2 5 4" xfId="38673" xr:uid="{9AA393BE-94FF-40DD-BC76-FF7D188ED60D}"/>
    <cellStyle name="Linked Cell 7 2 5 4 2" xfId="38674" xr:uid="{BD643A3A-AB6D-46DD-A47D-62191499EC6B}"/>
    <cellStyle name="Linked Cell 7 2 5 4 2 2" xfId="38675" xr:uid="{67DD6A6C-A87B-4AD6-9199-C7F1F6F2A2C9}"/>
    <cellStyle name="Linked Cell 7 2 5 4 3" xfId="38676" xr:uid="{CA1DEB08-D150-46C9-BCFF-846002702578}"/>
    <cellStyle name="Linked Cell 7 2 5 5" xfId="38677" xr:uid="{10847193-6B43-4B02-A6C2-44AD849C496A}"/>
    <cellStyle name="Linked Cell 7 2 5 5 2" xfId="38678" xr:uid="{F29BC1C0-8352-4F22-B174-2872752CC541}"/>
    <cellStyle name="Linked Cell 7 2 5 5 2 2" xfId="38679" xr:uid="{4379DD54-81F0-40B5-B970-1FBBC80CF8ED}"/>
    <cellStyle name="Linked Cell 7 2 5 5 3" xfId="38680" xr:uid="{22E83224-0CC0-4696-A1DE-7EF9A491C484}"/>
    <cellStyle name="Linked Cell 7 2 5 6" xfId="38681" xr:uid="{271F7529-9589-44EC-9925-46839038F9D9}"/>
    <cellStyle name="Linked Cell 7 2 5 6 2" xfId="38682" xr:uid="{F9A6B5A9-6FA9-4B11-A75C-FE6A9C3141FE}"/>
    <cellStyle name="Linked Cell 7 2 5 6 2 2" xfId="38683" xr:uid="{23C56CB1-4A53-45B0-96F8-5CF083FCE12E}"/>
    <cellStyle name="Linked Cell 7 2 5 6 3" xfId="38684" xr:uid="{658FE404-C9E8-41C5-AF96-809BC2A20EB5}"/>
    <cellStyle name="Linked Cell 7 2 5 7" xfId="38685" xr:uid="{7EF593C9-670B-4AD2-BB04-DE485F2B6824}"/>
    <cellStyle name="Linked Cell 7 2 5 7 2" xfId="38686" xr:uid="{9F3A77E3-4390-4F78-9AC2-C8ABC6758A50}"/>
    <cellStyle name="Linked Cell 7 2 5 7 2 2" xfId="38687" xr:uid="{1472FBC3-96BA-47FB-8708-378DCED42D70}"/>
    <cellStyle name="Linked Cell 7 2 5 7 3" xfId="38688" xr:uid="{D94AB540-4FF5-45E9-A0F8-B79FBB537720}"/>
    <cellStyle name="Linked Cell 7 2 5 8" xfId="38689" xr:uid="{560B17FA-415E-4F89-BF4B-E86D1875E6F8}"/>
    <cellStyle name="Linked Cell 7 2 5 8 2" xfId="38690" xr:uid="{210453CB-126E-400D-96B1-BF2FD78767B0}"/>
    <cellStyle name="Linked Cell 7 2 5 8 2 2" xfId="38691" xr:uid="{AA05E93B-057F-4970-ACAD-044642488A4D}"/>
    <cellStyle name="Linked Cell 7 2 5 8 3" xfId="38692" xr:uid="{1285505E-02BE-47C1-8FCD-7A9F3E200222}"/>
    <cellStyle name="Linked Cell 7 2 5 9" xfId="38693" xr:uid="{17410C63-10B5-402F-AB08-33879EC02984}"/>
    <cellStyle name="Linked Cell 7 2 5 9 2" xfId="38694" xr:uid="{34F6E60B-3A13-4D83-9739-306D603EF3F8}"/>
    <cellStyle name="Linked Cell 7 2 5 9 2 2" xfId="38695" xr:uid="{44166D02-6C3C-4B24-98FA-52A26A296C11}"/>
    <cellStyle name="Linked Cell 7 2 5 9 3" xfId="38696" xr:uid="{7C820F2F-68F4-4248-BCDA-A20940AB29B9}"/>
    <cellStyle name="Linked Cell 7 2 6" xfId="38697" xr:uid="{6BE0A907-9905-4983-A3DB-6E96744AF276}"/>
    <cellStyle name="Linked Cell 7 2 6 2" xfId="38698" xr:uid="{5E0C32B1-30D8-49B8-8CE1-2E86767F4BE1}"/>
    <cellStyle name="Linked Cell 7 2 6 2 2" xfId="38699" xr:uid="{1B7D8457-002A-4425-9708-6129504D2C13}"/>
    <cellStyle name="Linked Cell 7 2 6 3" xfId="38700" xr:uid="{CC35B3C1-1577-4868-8517-C16A24B1196D}"/>
    <cellStyle name="Linked Cell 7 2 7" xfId="38701" xr:uid="{B8ADC58D-A9A4-4F36-9ECC-143EFB12116A}"/>
    <cellStyle name="Linked Cell 7 2 7 2" xfId="38702" xr:uid="{FCD43D3D-8916-462E-8E53-9F403ED7374F}"/>
    <cellStyle name="Linked Cell 7 2 7 2 2" xfId="38703" xr:uid="{283D303B-2BE7-4208-91D0-C4E40C6F43F9}"/>
    <cellStyle name="Linked Cell 7 2 7 3" xfId="38704" xr:uid="{FD9FA976-473B-4DAA-B8D9-CC875A3BD499}"/>
    <cellStyle name="Linked Cell 7 2 8" xfId="38705" xr:uid="{2E8C057D-A47D-453D-94D6-8291C51943CF}"/>
    <cellStyle name="Linked Cell 7 2 8 2" xfId="38706" xr:uid="{7C6A825D-F3E9-4EE7-9F11-F38A4D8841C2}"/>
    <cellStyle name="Linked Cell 7 2 8 2 2" xfId="38707" xr:uid="{25B5C386-524F-4AFD-86BE-57B1E4F23D00}"/>
    <cellStyle name="Linked Cell 7 2 8 3" xfId="38708" xr:uid="{7E388F44-599E-4479-B83C-2D4872C47AB4}"/>
    <cellStyle name="Linked Cell 7 2 9" xfId="38709" xr:uid="{4137A453-D123-4D9D-9D49-B01E384347BE}"/>
    <cellStyle name="Linked Cell 7 2 9 2" xfId="38710" xr:uid="{D77DECC5-7518-4E93-A9AB-1FD5B1D92C20}"/>
    <cellStyle name="Linked Cell 7 2 9 2 2" xfId="38711" xr:uid="{61E11718-5C1B-42BA-A77F-B17935C4DE63}"/>
    <cellStyle name="Linked Cell 7 2 9 3" xfId="38712" xr:uid="{BDD7D73E-3FE4-4C82-9E3F-F3186B389690}"/>
    <cellStyle name="Linked Cell 7 3" xfId="38713" xr:uid="{AF06B0F2-54DC-41CF-A6AA-0BB89A229A27}"/>
    <cellStyle name="Linked Cell 7 3 10" xfId="38714" xr:uid="{0DDBCEAC-EEFD-4DDE-AF56-0EADBBA9ECE4}"/>
    <cellStyle name="Linked Cell 7 3 10 2" xfId="38715" xr:uid="{9445986C-801C-4DAF-8B34-8BACFAE30423}"/>
    <cellStyle name="Linked Cell 7 3 10 2 2" xfId="38716" xr:uid="{5AEAA642-47CB-4CD3-B578-7804C24F8DC9}"/>
    <cellStyle name="Linked Cell 7 3 10 3" xfId="38717" xr:uid="{5A7CE50D-48E0-45E1-8D96-1D505E120A9D}"/>
    <cellStyle name="Linked Cell 7 3 11" xfId="38718" xr:uid="{1891BECC-F49D-4AD1-801A-AA647B85E05D}"/>
    <cellStyle name="Linked Cell 7 3 11 2" xfId="38719" xr:uid="{25535DC5-255B-469D-8EE8-8650B3044FF8}"/>
    <cellStyle name="Linked Cell 7 3 11 2 2" xfId="38720" xr:uid="{65D94B2B-E56B-425D-8934-0D9B3408F427}"/>
    <cellStyle name="Linked Cell 7 3 11 3" xfId="38721" xr:uid="{1104410B-E577-488C-90F9-D313C1480579}"/>
    <cellStyle name="Linked Cell 7 3 12" xfId="38722" xr:uid="{C27522CD-03DB-48BE-BCE6-DD10430DF118}"/>
    <cellStyle name="Linked Cell 7 3 12 2" xfId="38723" xr:uid="{AE617529-9314-4B4F-BB4E-FD0E6E1EA7B2}"/>
    <cellStyle name="Linked Cell 7 3 12 2 2" xfId="38724" xr:uid="{88B6E533-5C26-454D-9DFF-C9573AA43A2A}"/>
    <cellStyle name="Linked Cell 7 3 12 3" xfId="38725" xr:uid="{4D635F21-2ED7-415A-86C6-CF858408AA09}"/>
    <cellStyle name="Linked Cell 7 3 13" xfId="38726" xr:uid="{A46529E9-984B-4891-BCB5-3252CF61468A}"/>
    <cellStyle name="Linked Cell 7 3 13 2" xfId="38727" xr:uid="{FB59C201-1C3E-4BD9-972B-6A29ED1E08A9}"/>
    <cellStyle name="Linked Cell 7 3 14" xfId="38728" xr:uid="{F009D972-EA2E-4096-9582-2311B7BFB31E}"/>
    <cellStyle name="Linked Cell 7 3 2" xfId="38729" xr:uid="{62ACC1ED-D7CE-49BD-AFE2-CFBAE5B5F2E6}"/>
    <cellStyle name="Linked Cell 7 3 2 10" xfId="38730" xr:uid="{419D9032-B2C2-4B9E-BD83-92702140C121}"/>
    <cellStyle name="Linked Cell 7 3 2 10 2" xfId="38731" xr:uid="{6BFB8F95-A159-4789-9C9F-00285D128696}"/>
    <cellStyle name="Linked Cell 7 3 2 10 2 2" xfId="38732" xr:uid="{F1B2248B-374F-48F8-819A-015345047C33}"/>
    <cellStyle name="Linked Cell 7 3 2 10 3" xfId="38733" xr:uid="{CA8DAF5D-A7E1-4D71-B618-2FFE99F94FE0}"/>
    <cellStyle name="Linked Cell 7 3 2 11" xfId="38734" xr:uid="{24AB5AF2-A02E-4799-9391-CB58708D22E0}"/>
    <cellStyle name="Linked Cell 7 3 2 11 2" xfId="38735" xr:uid="{F55AD253-6E80-47A8-8207-F5851C0F094F}"/>
    <cellStyle name="Linked Cell 7 3 2 11 2 2" xfId="38736" xr:uid="{8CE1754F-30EB-45DB-98A5-7ED661FA3765}"/>
    <cellStyle name="Linked Cell 7 3 2 11 3" xfId="38737" xr:uid="{2D7B3A2D-9ADA-4AAB-92E1-8874D715C27D}"/>
    <cellStyle name="Linked Cell 7 3 2 12" xfId="38738" xr:uid="{EE9E58C4-19F4-4A48-929E-DEC62BE1D955}"/>
    <cellStyle name="Linked Cell 7 3 2 12 2" xfId="38739" xr:uid="{8C85A42F-5D79-4202-A2E5-5921E9D3EE80}"/>
    <cellStyle name="Linked Cell 7 3 2 13" xfId="38740" xr:uid="{37628B1C-767D-4467-A2D1-CC6E012B79B9}"/>
    <cellStyle name="Linked Cell 7 3 2 2" xfId="38741" xr:uid="{379B20D3-EC2D-405D-BF47-D7301F62B7C0}"/>
    <cellStyle name="Linked Cell 7 3 2 2 10" xfId="38742" xr:uid="{5E4AE1A6-C7A7-4055-AA21-7FBE1078A94A}"/>
    <cellStyle name="Linked Cell 7 3 2 2 10 2" xfId="38743" xr:uid="{8AB7357F-752D-4FC0-8E65-0273EAC4E8ED}"/>
    <cellStyle name="Linked Cell 7 3 2 2 10 2 2" xfId="38744" xr:uid="{83DC41DE-4D48-42F2-8A02-51EC96C58F64}"/>
    <cellStyle name="Linked Cell 7 3 2 2 10 3" xfId="38745" xr:uid="{D47A99AF-6DFE-43EF-97EE-BDCA43FFD19D}"/>
    <cellStyle name="Linked Cell 7 3 2 2 11" xfId="38746" xr:uid="{795DA107-84B1-4E02-80B1-238ADA920F12}"/>
    <cellStyle name="Linked Cell 7 3 2 2 11 2" xfId="38747" xr:uid="{9796AD23-40DE-4535-AF7B-597E174AC342}"/>
    <cellStyle name="Linked Cell 7 3 2 2 12" xfId="38748" xr:uid="{2F15B791-F018-4500-9C11-6BC87FF1852A}"/>
    <cellStyle name="Linked Cell 7 3 2 2 2" xfId="38749" xr:uid="{60D8F63C-3CD3-4292-BFD9-1A57C5566B0B}"/>
    <cellStyle name="Linked Cell 7 3 2 2 2 2" xfId="38750" xr:uid="{1B422146-48F0-4336-B0C8-0FA294BBD89D}"/>
    <cellStyle name="Linked Cell 7 3 2 2 2 2 2" xfId="38751" xr:uid="{40A9A86A-E3DE-42DD-AD5A-EE8C0C9BAD02}"/>
    <cellStyle name="Linked Cell 7 3 2 2 2 3" xfId="38752" xr:uid="{77BBE50A-A336-42C9-89BB-C00FA9F2615C}"/>
    <cellStyle name="Linked Cell 7 3 2 2 3" xfId="38753" xr:uid="{30658622-6283-456B-B89B-42548BCA442A}"/>
    <cellStyle name="Linked Cell 7 3 2 2 3 2" xfId="38754" xr:uid="{197963C4-B9B6-4935-A29D-90D2E3662CD4}"/>
    <cellStyle name="Linked Cell 7 3 2 2 3 2 2" xfId="38755" xr:uid="{0CC1120E-B096-45C2-96FD-20B4818F45F4}"/>
    <cellStyle name="Linked Cell 7 3 2 2 3 3" xfId="38756" xr:uid="{E03BCAB9-7FD0-45D0-9640-EBDB913F137F}"/>
    <cellStyle name="Linked Cell 7 3 2 2 4" xfId="38757" xr:uid="{D92514AB-0B7E-445B-A828-7C27EEE44967}"/>
    <cellStyle name="Linked Cell 7 3 2 2 4 2" xfId="38758" xr:uid="{D0003A7A-A127-4209-9D46-B27BD0AEE47B}"/>
    <cellStyle name="Linked Cell 7 3 2 2 4 2 2" xfId="38759" xr:uid="{754B46F6-FFB3-4E3C-B122-0C9970D3068C}"/>
    <cellStyle name="Linked Cell 7 3 2 2 4 3" xfId="38760" xr:uid="{6637BC7F-BA16-4257-B953-D798344C412B}"/>
    <cellStyle name="Linked Cell 7 3 2 2 5" xfId="38761" xr:uid="{B366932D-3544-4E9E-B195-7378F05029C7}"/>
    <cellStyle name="Linked Cell 7 3 2 2 5 2" xfId="38762" xr:uid="{186C1751-1F86-4BB1-BE71-9E32163126AE}"/>
    <cellStyle name="Linked Cell 7 3 2 2 5 2 2" xfId="38763" xr:uid="{373BED89-C8FC-456F-9D84-8135D62A9FF5}"/>
    <cellStyle name="Linked Cell 7 3 2 2 5 3" xfId="38764" xr:uid="{7A26A133-17B4-470C-A274-A6A8CEC69781}"/>
    <cellStyle name="Linked Cell 7 3 2 2 6" xfId="38765" xr:uid="{42626623-11B7-4062-B776-D542CEBE2F10}"/>
    <cellStyle name="Linked Cell 7 3 2 2 6 2" xfId="38766" xr:uid="{93884CAA-975B-402B-9AC2-0248DE0B78F6}"/>
    <cellStyle name="Linked Cell 7 3 2 2 6 2 2" xfId="38767" xr:uid="{535C9668-BB10-4E2D-B925-E9494BCBB3C9}"/>
    <cellStyle name="Linked Cell 7 3 2 2 6 3" xfId="38768" xr:uid="{1CEC5F94-1726-466D-947B-86E4861AF5AE}"/>
    <cellStyle name="Linked Cell 7 3 2 2 7" xfId="38769" xr:uid="{B2EEB065-F18B-4F00-A746-4ACE163554BB}"/>
    <cellStyle name="Linked Cell 7 3 2 2 7 2" xfId="38770" xr:uid="{6480296C-48FE-492C-B4C9-C8875C250CDA}"/>
    <cellStyle name="Linked Cell 7 3 2 2 7 2 2" xfId="38771" xr:uid="{D15141EB-CAFF-493A-A441-BCCCA375A1F6}"/>
    <cellStyle name="Linked Cell 7 3 2 2 7 3" xfId="38772" xr:uid="{AE3A1A99-4E09-423A-878D-92AE5A48E808}"/>
    <cellStyle name="Linked Cell 7 3 2 2 8" xfId="38773" xr:uid="{EE893A84-1498-4725-848E-9510638ED435}"/>
    <cellStyle name="Linked Cell 7 3 2 2 8 2" xfId="38774" xr:uid="{92730682-1D7A-4309-9050-23AA687FE578}"/>
    <cellStyle name="Linked Cell 7 3 2 2 8 2 2" xfId="38775" xr:uid="{F2DA206A-B205-4E92-A85B-5769DE5CF5A2}"/>
    <cellStyle name="Linked Cell 7 3 2 2 8 3" xfId="38776" xr:uid="{52937829-532D-4C3A-B596-6CA2C4075742}"/>
    <cellStyle name="Linked Cell 7 3 2 2 9" xfId="38777" xr:uid="{98F30E8F-E1CC-495A-B189-C2220BF93BCC}"/>
    <cellStyle name="Linked Cell 7 3 2 2 9 2" xfId="38778" xr:uid="{E0DB1CB2-FD63-4068-AA73-4B58634AD1E6}"/>
    <cellStyle name="Linked Cell 7 3 2 2 9 2 2" xfId="38779" xr:uid="{6A3DE08C-43FF-4179-BC86-C9EA79DC4548}"/>
    <cellStyle name="Linked Cell 7 3 2 2 9 3" xfId="38780" xr:uid="{0F141803-C23B-409C-8CAE-1FA3550FD227}"/>
    <cellStyle name="Linked Cell 7 3 2 3" xfId="38781" xr:uid="{3E162280-F4EE-4AEC-AC6C-4E60C5F6F02E}"/>
    <cellStyle name="Linked Cell 7 3 2 3 10" xfId="38782" xr:uid="{086326A9-901A-45E0-BD32-3BA44AAD777D}"/>
    <cellStyle name="Linked Cell 7 3 2 3 10 2" xfId="38783" xr:uid="{639E8B43-99C6-4346-B659-B8D58D8B8CD8}"/>
    <cellStyle name="Linked Cell 7 3 2 3 11" xfId="38784" xr:uid="{3AEED902-6FA7-4F4B-9F39-122BA4B844C5}"/>
    <cellStyle name="Linked Cell 7 3 2 3 2" xfId="38785" xr:uid="{191D478D-A749-4216-8743-DA8D4F3F765A}"/>
    <cellStyle name="Linked Cell 7 3 2 3 2 2" xfId="38786" xr:uid="{2D663DD6-3738-43A5-B6E9-BDD1451F645D}"/>
    <cellStyle name="Linked Cell 7 3 2 3 2 2 2" xfId="38787" xr:uid="{28A628A2-F1F6-4C28-935F-922473BADB2C}"/>
    <cellStyle name="Linked Cell 7 3 2 3 2 3" xfId="38788" xr:uid="{477939DA-46F1-44D7-BF51-3F2526B51F42}"/>
    <cellStyle name="Linked Cell 7 3 2 3 3" xfId="38789" xr:uid="{F4CA5387-C4D8-4F88-B47F-E784298DF9FE}"/>
    <cellStyle name="Linked Cell 7 3 2 3 3 2" xfId="38790" xr:uid="{618197EF-C134-4105-9F33-D1D67135C56A}"/>
    <cellStyle name="Linked Cell 7 3 2 3 3 2 2" xfId="38791" xr:uid="{E9845891-2C1A-4DF2-BC82-CB9E44A5F071}"/>
    <cellStyle name="Linked Cell 7 3 2 3 3 3" xfId="38792" xr:uid="{917ABE8B-DB2A-4873-B942-B90CAB6D562C}"/>
    <cellStyle name="Linked Cell 7 3 2 3 4" xfId="38793" xr:uid="{A89EBB82-8C6E-495B-9E75-80D2B108CBB1}"/>
    <cellStyle name="Linked Cell 7 3 2 3 4 2" xfId="38794" xr:uid="{3F7071AC-3DB8-4B8E-A4D0-81694FDF0E9E}"/>
    <cellStyle name="Linked Cell 7 3 2 3 4 2 2" xfId="38795" xr:uid="{F9ECA053-61A6-474F-9EC7-5920A439454C}"/>
    <cellStyle name="Linked Cell 7 3 2 3 4 3" xfId="38796" xr:uid="{2C1FFF6D-08D3-41C6-A194-6758988BACA5}"/>
    <cellStyle name="Linked Cell 7 3 2 3 5" xfId="38797" xr:uid="{99D7310D-0423-4BEE-A219-58885A448136}"/>
    <cellStyle name="Linked Cell 7 3 2 3 5 2" xfId="38798" xr:uid="{A33AA9BF-7F92-4B1C-B18A-F3670E820FAB}"/>
    <cellStyle name="Linked Cell 7 3 2 3 5 2 2" xfId="38799" xr:uid="{F5D4DAA3-281C-45E1-BC0C-0D6CA98847D1}"/>
    <cellStyle name="Linked Cell 7 3 2 3 5 3" xfId="38800" xr:uid="{C23753B9-6123-4F8D-A4A7-89C1767F19A7}"/>
    <cellStyle name="Linked Cell 7 3 2 3 6" xfId="38801" xr:uid="{59A1D4D8-14D3-44A5-A671-BF2FE5387F22}"/>
    <cellStyle name="Linked Cell 7 3 2 3 6 2" xfId="38802" xr:uid="{6564E99B-265A-497C-B378-2757B663983C}"/>
    <cellStyle name="Linked Cell 7 3 2 3 6 2 2" xfId="38803" xr:uid="{B9176771-AAD8-462F-BA47-F3568EBB7449}"/>
    <cellStyle name="Linked Cell 7 3 2 3 6 3" xfId="38804" xr:uid="{9F525E9B-1BEC-495C-AA33-04B058B7CFBC}"/>
    <cellStyle name="Linked Cell 7 3 2 3 7" xfId="38805" xr:uid="{1E406A83-B3FE-4F71-B85F-422925047F47}"/>
    <cellStyle name="Linked Cell 7 3 2 3 7 2" xfId="38806" xr:uid="{0D65B074-46B8-4785-BEC9-164B1D34367F}"/>
    <cellStyle name="Linked Cell 7 3 2 3 7 2 2" xfId="38807" xr:uid="{3F4B9731-DD10-4A73-BC79-4A7582F93670}"/>
    <cellStyle name="Linked Cell 7 3 2 3 7 3" xfId="38808" xr:uid="{070F0372-34EF-4627-8F63-9CF06DA49C06}"/>
    <cellStyle name="Linked Cell 7 3 2 3 8" xfId="38809" xr:uid="{29A9E8A6-F81E-4245-9A73-B64DECF9CEC0}"/>
    <cellStyle name="Linked Cell 7 3 2 3 8 2" xfId="38810" xr:uid="{762644B5-743F-4456-9179-3520815ADC5C}"/>
    <cellStyle name="Linked Cell 7 3 2 3 8 2 2" xfId="38811" xr:uid="{1EEA18EC-9189-4F9B-B655-933FE08F0B36}"/>
    <cellStyle name="Linked Cell 7 3 2 3 8 3" xfId="38812" xr:uid="{6E982739-A5C7-4505-B61D-C66412046918}"/>
    <cellStyle name="Linked Cell 7 3 2 3 9" xfId="38813" xr:uid="{B5EC29E2-5AE1-4386-AB59-3A2D3EE9A744}"/>
    <cellStyle name="Linked Cell 7 3 2 3 9 2" xfId="38814" xr:uid="{7553BA0B-9676-4426-A0D3-61351E9A3C44}"/>
    <cellStyle name="Linked Cell 7 3 2 3 9 2 2" xfId="38815" xr:uid="{AC4448E0-FA75-4934-BC10-81D03FD7ADCC}"/>
    <cellStyle name="Linked Cell 7 3 2 3 9 3" xfId="38816" xr:uid="{04EEC18A-BABB-4518-97E0-800CD86F988C}"/>
    <cellStyle name="Linked Cell 7 3 2 4" xfId="38817" xr:uid="{1A798939-2EC0-496F-9641-AD558DA2BFFF}"/>
    <cellStyle name="Linked Cell 7 3 2 4 2" xfId="38818" xr:uid="{93366A87-1561-49E3-858D-03EC577C70B3}"/>
    <cellStyle name="Linked Cell 7 3 2 4 2 2" xfId="38819" xr:uid="{20433547-3C50-4250-8391-B09819D33104}"/>
    <cellStyle name="Linked Cell 7 3 2 4 3" xfId="38820" xr:uid="{8F11A8DC-63DB-4312-87ED-BFF3DAA547AD}"/>
    <cellStyle name="Linked Cell 7 3 2 5" xfId="38821" xr:uid="{0AB00A91-823D-42B0-8AC0-7FC1730648DF}"/>
    <cellStyle name="Linked Cell 7 3 2 5 2" xfId="38822" xr:uid="{98C3BBE4-89E0-4B9D-8868-D9E0B9412516}"/>
    <cellStyle name="Linked Cell 7 3 2 5 2 2" xfId="38823" xr:uid="{1C833E12-648E-4CB4-A13C-49C18E8431E4}"/>
    <cellStyle name="Linked Cell 7 3 2 5 3" xfId="38824" xr:uid="{0A2562D6-7BCC-47F3-8F87-7C15112E601F}"/>
    <cellStyle name="Linked Cell 7 3 2 6" xfId="38825" xr:uid="{51D4452B-DF01-4060-ACA4-5C479F5B6B77}"/>
    <cellStyle name="Linked Cell 7 3 2 6 2" xfId="38826" xr:uid="{8B2B3225-FA3E-4D6A-B113-D740FB829ECA}"/>
    <cellStyle name="Linked Cell 7 3 2 6 2 2" xfId="38827" xr:uid="{101C0049-BA29-455B-B9E3-9B6A4B1616CD}"/>
    <cellStyle name="Linked Cell 7 3 2 6 3" xfId="38828" xr:uid="{507C940C-D4F9-4D62-AF6C-CC1AB6193573}"/>
    <cellStyle name="Linked Cell 7 3 2 7" xfId="38829" xr:uid="{404597D9-9EDE-4197-8F10-A58EF3DE41B5}"/>
    <cellStyle name="Linked Cell 7 3 2 7 2" xfId="38830" xr:uid="{3AA62124-9A09-475C-9761-5E472953DAF8}"/>
    <cellStyle name="Linked Cell 7 3 2 7 2 2" xfId="38831" xr:uid="{1B171B46-2C7B-40D6-B17F-0A15E652D65B}"/>
    <cellStyle name="Linked Cell 7 3 2 7 3" xfId="38832" xr:uid="{593B6787-9B4F-4D0D-935C-B9BDC7AC71F1}"/>
    <cellStyle name="Linked Cell 7 3 2 8" xfId="38833" xr:uid="{D12583E9-D4DE-4A81-9630-92ECA35FDA30}"/>
    <cellStyle name="Linked Cell 7 3 2 8 2" xfId="38834" xr:uid="{A0D06BB6-6640-496A-BCCD-0FEEE091D3D1}"/>
    <cellStyle name="Linked Cell 7 3 2 8 2 2" xfId="38835" xr:uid="{3CF9FAAC-3A22-48E2-87D3-F94076EBD1D2}"/>
    <cellStyle name="Linked Cell 7 3 2 8 3" xfId="38836" xr:uid="{4372AB46-F9AD-4AF2-A818-40E930BE8376}"/>
    <cellStyle name="Linked Cell 7 3 2 9" xfId="38837" xr:uid="{B9BBC179-9D77-4D98-814B-FEEADBB75389}"/>
    <cellStyle name="Linked Cell 7 3 2 9 2" xfId="38838" xr:uid="{E1C2FB2F-123F-43D5-AF2A-13D518EEAD6F}"/>
    <cellStyle name="Linked Cell 7 3 2 9 2 2" xfId="38839" xr:uid="{887825F6-A2E5-48D3-9FC6-82B106387C75}"/>
    <cellStyle name="Linked Cell 7 3 2 9 3" xfId="38840" xr:uid="{27DB532D-2B3E-4D23-A51B-234F65C207DC}"/>
    <cellStyle name="Linked Cell 7 3 3" xfId="38841" xr:uid="{B746CBBA-EA20-4C9E-A0AB-A4E1AA71DB46}"/>
    <cellStyle name="Linked Cell 7 3 3 10" xfId="38842" xr:uid="{7695D281-DD40-4337-9015-A4CF40C8A288}"/>
    <cellStyle name="Linked Cell 7 3 3 10 2" xfId="38843" xr:uid="{5D8183BA-31AE-45A1-80C2-3E2FBA520498}"/>
    <cellStyle name="Linked Cell 7 3 3 10 2 2" xfId="38844" xr:uid="{5DF21ACD-B8B2-4C62-8873-C5A1656FAEDF}"/>
    <cellStyle name="Linked Cell 7 3 3 10 3" xfId="38845" xr:uid="{2E4B7AF2-A604-4FA7-A28D-5D88D7EF0F5A}"/>
    <cellStyle name="Linked Cell 7 3 3 11" xfId="38846" xr:uid="{7901D587-7023-4DE7-9A88-026C9C00D26F}"/>
    <cellStyle name="Linked Cell 7 3 3 11 2" xfId="38847" xr:uid="{FC98A698-8670-4235-8EBB-5D0D53320685}"/>
    <cellStyle name="Linked Cell 7 3 3 12" xfId="38848" xr:uid="{A4203F21-3335-4BF2-B849-9BEA017D504A}"/>
    <cellStyle name="Linked Cell 7 3 3 2" xfId="38849" xr:uid="{E1D38E27-CDA8-4228-9FAB-AE435F6AD8B5}"/>
    <cellStyle name="Linked Cell 7 3 3 2 10" xfId="38850" xr:uid="{8A73D803-2E65-4585-9628-022DD2C999A8}"/>
    <cellStyle name="Linked Cell 7 3 3 2 10 2" xfId="38851" xr:uid="{F7704C5C-4977-4345-9B00-A73FD656AB2F}"/>
    <cellStyle name="Linked Cell 7 3 3 2 11" xfId="38852" xr:uid="{A4ECF618-3A3E-4EF4-9BE7-60D26932DAD0}"/>
    <cellStyle name="Linked Cell 7 3 3 2 2" xfId="38853" xr:uid="{267593E5-59C1-4E8C-BDBB-8C5496409400}"/>
    <cellStyle name="Linked Cell 7 3 3 2 2 2" xfId="38854" xr:uid="{7F1117B8-957E-466F-A4DF-821F31931B0D}"/>
    <cellStyle name="Linked Cell 7 3 3 2 2 2 2" xfId="38855" xr:uid="{DE1FC904-A1AE-4A4F-8556-DC0F9A57A141}"/>
    <cellStyle name="Linked Cell 7 3 3 2 2 3" xfId="38856" xr:uid="{3AC9A687-9ADE-4DBE-BCA5-1DFE6B3E528A}"/>
    <cellStyle name="Linked Cell 7 3 3 2 3" xfId="38857" xr:uid="{D16DA827-1836-4F7E-B332-C4DD68A75A2E}"/>
    <cellStyle name="Linked Cell 7 3 3 2 3 2" xfId="38858" xr:uid="{12A39CAB-B3F5-49D2-BE3E-C0E95F24F8AD}"/>
    <cellStyle name="Linked Cell 7 3 3 2 3 2 2" xfId="38859" xr:uid="{6AAB9649-E599-4DEF-934F-5BC0DF116A6A}"/>
    <cellStyle name="Linked Cell 7 3 3 2 3 3" xfId="38860" xr:uid="{B1E62564-C0F5-42A4-A07D-2B5586709802}"/>
    <cellStyle name="Linked Cell 7 3 3 2 4" xfId="38861" xr:uid="{78FE5FD0-1A7F-4EC4-948F-30E894E3002E}"/>
    <cellStyle name="Linked Cell 7 3 3 2 4 2" xfId="38862" xr:uid="{09689D7D-ECE9-47A7-BD56-C46D015FAA5F}"/>
    <cellStyle name="Linked Cell 7 3 3 2 4 2 2" xfId="38863" xr:uid="{254D0581-E402-4B4D-B302-779774BCEFE1}"/>
    <cellStyle name="Linked Cell 7 3 3 2 4 3" xfId="38864" xr:uid="{304EAF03-D924-442C-BB76-8C3BF596DE10}"/>
    <cellStyle name="Linked Cell 7 3 3 2 5" xfId="38865" xr:uid="{D5164AC8-5765-4D73-AEAA-C24E4EA7907E}"/>
    <cellStyle name="Linked Cell 7 3 3 2 5 2" xfId="38866" xr:uid="{532C03E4-5314-4ACE-8BD8-F02EFE6765B0}"/>
    <cellStyle name="Linked Cell 7 3 3 2 5 2 2" xfId="38867" xr:uid="{5D6F4073-A3D6-4585-BD3B-63D57FBD31D8}"/>
    <cellStyle name="Linked Cell 7 3 3 2 5 3" xfId="38868" xr:uid="{1BA810C2-C8FE-49F6-97B7-DDB4A57DCE28}"/>
    <cellStyle name="Linked Cell 7 3 3 2 6" xfId="38869" xr:uid="{A92ACB5F-E581-4878-8CEA-FE4A35A40DA1}"/>
    <cellStyle name="Linked Cell 7 3 3 2 6 2" xfId="38870" xr:uid="{0F05E3DE-0B44-4CCF-98E0-62DBA1E89573}"/>
    <cellStyle name="Linked Cell 7 3 3 2 6 2 2" xfId="38871" xr:uid="{CE60F8C6-4FC9-45DC-A586-8270B54D5653}"/>
    <cellStyle name="Linked Cell 7 3 3 2 6 3" xfId="38872" xr:uid="{C82635BF-2C58-488A-BA5B-C2B88A78A0DF}"/>
    <cellStyle name="Linked Cell 7 3 3 2 7" xfId="38873" xr:uid="{DB8009E1-8A4F-4F42-AB3A-57E2D015EA02}"/>
    <cellStyle name="Linked Cell 7 3 3 2 7 2" xfId="38874" xr:uid="{E8D4C4C5-7648-4A5B-AA7D-1B64671E0A5F}"/>
    <cellStyle name="Linked Cell 7 3 3 2 7 2 2" xfId="38875" xr:uid="{223AD97E-8FB4-4869-96A4-A68CD249515A}"/>
    <cellStyle name="Linked Cell 7 3 3 2 7 3" xfId="38876" xr:uid="{6B0DE7FA-ED8E-4A7D-BEF3-48651028C0BB}"/>
    <cellStyle name="Linked Cell 7 3 3 2 8" xfId="38877" xr:uid="{642D0A3D-2327-492A-A1DB-B3BE9780684F}"/>
    <cellStyle name="Linked Cell 7 3 3 2 8 2" xfId="38878" xr:uid="{D0039682-D5DA-47F1-B810-D6FF14C76E0A}"/>
    <cellStyle name="Linked Cell 7 3 3 2 8 2 2" xfId="38879" xr:uid="{2B0254AE-80A1-4F5A-A174-12B1BC980092}"/>
    <cellStyle name="Linked Cell 7 3 3 2 8 3" xfId="38880" xr:uid="{0168DD5C-F71B-4C33-BAB0-28DC91014944}"/>
    <cellStyle name="Linked Cell 7 3 3 2 9" xfId="38881" xr:uid="{70A4A910-6442-4948-A411-4AB106076A00}"/>
    <cellStyle name="Linked Cell 7 3 3 2 9 2" xfId="38882" xr:uid="{DB0FF5FF-CADF-4ECE-BCC2-59D893FD8F8B}"/>
    <cellStyle name="Linked Cell 7 3 3 2 9 2 2" xfId="38883" xr:uid="{E674F0FF-5282-4795-BD47-8A922ECD8025}"/>
    <cellStyle name="Linked Cell 7 3 3 2 9 3" xfId="38884" xr:uid="{3C700313-C10A-40CD-8FD9-763BC18F0EEB}"/>
    <cellStyle name="Linked Cell 7 3 3 3" xfId="38885" xr:uid="{1AAC23C2-4397-4852-9D1B-7E319890353D}"/>
    <cellStyle name="Linked Cell 7 3 3 3 2" xfId="38886" xr:uid="{CCE78E2B-7AA4-4266-A156-275B7132A131}"/>
    <cellStyle name="Linked Cell 7 3 3 3 2 2" xfId="38887" xr:uid="{40ECC6AC-F601-4138-8A92-392444684FEB}"/>
    <cellStyle name="Linked Cell 7 3 3 3 3" xfId="38888" xr:uid="{DE4E0597-1933-418C-BA90-DC84838FC391}"/>
    <cellStyle name="Linked Cell 7 3 3 4" xfId="38889" xr:uid="{AE68DF44-F538-42B5-AFF6-FE8E6B8BE220}"/>
    <cellStyle name="Linked Cell 7 3 3 4 2" xfId="38890" xr:uid="{A43ED841-842E-46F6-B40D-E2B6028F6CCB}"/>
    <cellStyle name="Linked Cell 7 3 3 4 2 2" xfId="38891" xr:uid="{E5BD0F02-338B-4BDF-93FC-D02706560407}"/>
    <cellStyle name="Linked Cell 7 3 3 4 3" xfId="38892" xr:uid="{96AEDB2C-16DE-4DAA-AAEA-4E49B8185515}"/>
    <cellStyle name="Linked Cell 7 3 3 5" xfId="38893" xr:uid="{88FAC610-21BF-4D8F-A896-A9EDBA70DE68}"/>
    <cellStyle name="Linked Cell 7 3 3 5 2" xfId="38894" xr:uid="{364A0BC1-9695-4AC0-BD6C-15C534704CEA}"/>
    <cellStyle name="Linked Cell 7 3 3 5 2 2" xfId="38895" xr:uid="{20719C61-1043-412B-B246-E71A29B67DA5}"/>
    <cellStyle name="Linked Cell 7 3 3 5 3" xfId="38896" xr:uid="{D0080A4F-C24B-46C6-814C-EB33A282B792}"/>
    <cellStyle name="Linked Cell 7 3 3 6" xfId="38897" xr:uid="{294A28B4-20AE-48F8-BADD-2CF84D5184B9}"/>
    <cellStyle name="Linked Cell 7 3 3 6 2" xfId="38898" xr:uid="{4C5459FC-A3E6-4040-B698-F76778180612}"/>
    <cellStyle name="Linked Cell 7 3 3 6 2 2" xfId="38899" xr:uid="{F421A0E9-213E-4148-A21C-1EFA3CC20700}"/>
    <cellStyle name="Linked Cell 7 3 3 6 3" xfId="38900" xr:uid="{79604DBC-BA9A-4DA7-B7E6-171E8630D4E9}"/>
    <cellStyle name="Linked Cell 7 3 3 7" xfId="38901" xr:uid="{7B3DD874-759B-4C0B-9F5C-40FF090585BD}"/>
    <cellStyle name="Linked Cell 7 3 3 7 2" xfId="38902" xr:uid="{29D4C943-DBBC-428E-8B10-87C28F1B2C52}"/>
    <cellStyle name="Linked Cell 7 3 3 7 2 2" xfId="38903" xr:uid="{6233677C-215C-4FA9-805C-5E81704E9BC8}"/>
    <cellStyle name="Linked Cell 7 3 3 7 3" xfId="38904" xr:uid="{9496F8BD-E508-4A5A-80FB-BB0AF4B64DB7}"/>
    <cellStyle name="Linked Cell 7 3 3 8" xfId="38905" xr:uid="{A0A87712-0786-452E-8CBE-4E6B1092E49D}"/>
    <cellStyle name="Linked Cell 7 3 3 8 2" xfId="38906" xr:uid="{2A8EA492-AE6C-4E41-89BB-959386010BC9}"/>
    <cellStyle name="Linked Cell 7 3 3 8 2 2" xfId="38907" xr:uid="{9B9EB740-7582-48DC-A323-54409BBA3A86}"/>
    <cellStyle name="Linked Cell 7 3 3 8 3" xfId="38908" xr:uid="{03861A2B-614A-400E-979F-29F23B306AD8}"/>
    <cellStyle name="Linked Cell 7 3 3 9" xfId="38909" xr:uid="{78F9BB46-4994-4BDB-BC3D-0339CD18A409}"/>
    <cellStyle name="Linked Cell 7 3 3 9 2" xfId="38910" xr:uid="{7A9ED354-1B5B-42F4-BDE7-C18D4D31583A}"/>
    <cellStyle name="Linked Cell 7 3 3 9 2 2" xfId="38911" xr:uid="{75EDEE17-ADC5-4954-8A93-019E6EEB6B8B}"/>
    <cellStyle name="Linked Cell 7 3 3 9 3" xfId="38912" xr:uid="{341187E7-7F38-43E8-A54C-5B5D8988711E}"/>
    <cellStyle name="Linked Cell 7 3 4" xfId="38913" xr:uid="{8974719D-6583-47C7-A535-9F1FDC3D0E24}"/>
    <cellStyle name="Linked Cell 7 3 4 10" xfId="38914" xr:uid="{DD6615E9-7927-4998-95AD-DB10F1B69566}"/>
    <cellStyle name="Linked Cell 7 3 4 10 2" xfId="38915" xr:uid="{E19E63D3-E908-4B85-A5B1-53FA2AA5A4F4}"/>
    <cellStyle name="Linked Cell 7 3 4 11" xfId="38916" xr:uid="{2B3E06DF-C54C-4166-8BD7-F3442725093E}"/>
    <cellStyle name="Linked Cell 7 3 4 2" xfId="38917" xr:uid="{6305EBA8-D07F-42E9-8A26-2C1A93994DC5}"/>
    <cellStyle name="Linked Cell 7 3 4 2 2" xfId="38918" xr:uid="{31B38574-B9F8-448D-8825-BFBD1B0E0D42}"/>
    <cellStyle name="Linked Cell 7 3 4 2 2 2" xfId="38919" xr:uid="{F498A0F7-1783-4BC4-8BFB-2C442A872197}"/>
    <cellStyle name="Linked Cell 7 3 4 2 3" xfId="38920" xr:uid="{90036085-3F49-4896-BA5C-5C2B930BA9A8}"/>
    <cellStyle name="Linked Cell 7 3 4 3" xfId="38921" xr:uid="{105481E2-56E3-4CCA-ABF9-9F4E761D7BA4}"/>
    <cellStyle name="Linked Cell 7 3 4 3 2" xfId="38922" xr:uid="{80FD8164-3E0E-4A46-AB96-AB15E9BE6E8F}"/>
    <cellStyle name="Linked Cell 7 3 4 3 2 2" xfId="38923" xr:uid="{B9DFB87F-9D1A-479D-8A69-4CACCB82AAB7}"/>
    <cellStyle name="Linked Cell 7 3 4 3 3" xfId="38924" xr:uid="{019B24CB-7FA3-4BA7-AFD1-EB849F6D1E6B}"/>
    <cellStyle name="Linked Cell 7 3 4 4" xfId="38925" xr:uid="{7E32AFB2-616B-4BDE-A121-066E41CFA390}"/>
    <cellStyle name="Linked Cell 7 3 4 4 2" xfId="38926" xr:uid="{74FF0DB4-17EF-4859-8ADC-E4E590331B5E}"/>
    <cellStyle name="Linked Cell 7 3 4 4 2 2" xfId="38927" xr:uid="{7CEA3AB9-FBA8-4633-8C34-07C8F2A6DC4D}"/>
    <cellStyle name="Linked Cell 7 3 4 4 3" xfId="38928" xr:uid="{17311283-DD95-4D36-998A-63D9C51F6569}"/>
    <cellStyle name="Linked Cell 7 3 4 5" xfId="38929" xr:uid="{8B2B12C4-A1B1-4ADD-9596-951C5D3F7738}"/>
    <cellStyle name="Linked Cell 7 3 4 5 2" xfId="38930" xr:uid="{D39F59BA-03F3-4706-8AEF-4A50534A443C}"/>
    <cellStyle name="Linked Cell 7 3 4 5 2 2" xfId="38931" xr:uid="{BB3B36DA-CA65-4F1A-9368-42EB3DD16AE8}"/>
    <cellStyle name="Linked Cell 7 3 4 5 3" xfId="38932" xr:uid="{E8DC781B-E5D5-4D0B-9D11-04CE23883430}"/>
    <cellStyle name="Linked Cell 7 3 4 6" xfId="38933" xr:uid="{A586EA8E-4A0D-43FA-9D9C-FE01AF7F8551}"/>
    <cellStyle name="Linked Cell 7 3 4 6 2" xfId="38934" xr:uid="{7C74F2BC-0220-401F-AB14-0C033A66D515}"/>
    <cellStyle name="Linked Cell 7 3 4 6 2 2" xfId="38935" xr:uid="{AE48E6D7-14F3-4D44-BBF1-D7AA3138F0B5}"/>
    <cellStyle name="Linked Cell 7 3 4 6 3" xfId="38936" xr:uid="{8CEE183E-92AF-449A-B6C8-E5928E23ADCB}"/>
    <cellStyle name="Linked Cell 7 3 4 7" xfId="38937" xr:uid="{586DC83D-E937-42F7-8B04-B2635C44A6E8}"/>
    <cellStyle name="Linked Cell 7 3 4 7 2" xfId="38938" xr:uid="{DADF4FFE-8ACD-4926-A11C-3CE4FD9BD727}"/>
    <cellStyle name="Linked Cell 7 3 4 7 2 2" xfId="38939" xr:uid="{836B2567-1C8C-4EA7-84CC-48223DDE2FDE}"/>
    <cellStyle name="Linked Cell 7 3 4 7 3" xfId="38940" xr:uid="{35528BA1-7337-4B8F-A153-89BB4176E354}"/>
    <cellStyle name="Linked Cell 7 3 4 8" xfId="38941" xr:uid="{DC79DB30-1B14-4427-84E0-5E92F340EFC7}"/>
    <cellStyle name="Linked Cell 7 3 4 8 2" xfId="38942" xr:uid="{8C300BA1-A117-4D61-B3E0-28C5C44CC774}"/>
    <cellStyle name="Linked Cell 7 3 4 8 2 2" xfId="38943" xr:uid="{C357CD25-D6A7-4931-ABD7-D0C638ADE623}"/>
    <cellStyle name="Linked Cell 7 3 4 8 3" xfId="38944" xr:uid="{685679B7-5806-4C04-BF4A-EB14E0C3AD2E}"/>
    <cellStyle name="Linked Cell 7 3 4 9" xfId="38945" xr:uid="{CABC899C-5587-44D2-9A8E-FC31B72D02FC}"/>
    <cellStyle name="Linked Cell 7 3 4 9 2" xfId="38946" xr:uid="{16839E6B-9CDC-489C-BF10-48D1279A5987}"/>
    <cellStyle name="Linked Cell 7 3 4 9 2 2" xfId="38947" xr:uid="{B1319E4B-9BA5-4A94-A292-BB1B2A464690}"/>
    <cellStyle name="Linked Cell 7 3 4 9 3" xfId="38948" xr:uid="{1ED83B23-6F8F-4F14-A5F1-AA8D18F62EA5}"/>
    <cellStyle name="Linked Cell 7 3 5" xfId="38949" xr:uid="{A89C5630-A169-437F-AFCF-62D3CB8DC5F6}"/>
    <cellStyle name="Linked Cell 7 3 5 2" xfId="38950" xr:uid="{5481A650-D30D-428A-8371-26542C5AC028}"/>
    <cellStyle name="Linked Cell 7 3 5 2 2" xfId="38951" xr:uid="{11AA1A55-3CC7-4C8C-9D72-8AD2583D0DC6}"/>
    <cellStyle name="Linked Cell 7 3 5 3" xfId="38952" xr:uid="{40D7BA20-F372-4814-B854-E1E927443291}"/>
    <cellStyle name="Linked Cell 7 3 6" xfId="38953" xr:uid="{17DC17A4-8175-456D-9651-C5443AB0FBCD}"/>
    <cellStyle name="Linked Cell 7 3 6 2" xfId="38954" xr:uid="{B53D47A0-1D26-4CF8-9902-6F6BCAF8F12E}"/>
    <cellStyle name="Linked Cell 7 3 6 2 2" xfId="38955" xr:uid="{9B8EA329-91CE-438A-A0FB-DD10A0895E20}"/>
    <cellStyle name="Linked Cell 7 3 6 3" xfId="38956" xr:uid="{B3E6D65F-4EC8-4FAD-A3B4-A61316858DAF}"/>
    <cellStyle name="Linked Cell 7 3 7" xfId="38957" xr:uid="{07C86970-4DEC-4140-B47C-85DF986B832C}"/>
    <cellStyle name="Linked Cell 7 3 7 2" xfId="38958" xr:uid="{F06A0404-AA7F-48E3-B249-AAD9A188B81C}"/>
    <cellStyle name="Linked Cell 7 3 7 2 2" xfId="38959" xr:uid="{1E8E35AF-EAB8-42DB-94CD-A86B69BE7E8D}"/>
    <cellStyle name="Linked Cell 7 3 7 3" xfId="38960" xr:uid="{B5966532-8F11-4D84-BCD0-FF2C429B0143}"/>
    <cellStyle name="Linked Cell 7 3 8" xfId="38961" xr:uid="{90440B44-D289-4B58-9B8B-B59E8AF28FE7}"/>
    <cellStyle name="Linked Cell 7 3 8 2" xfId="38962" xr:uid="{B947C1A6-4B54-444D-80AD-FA41BB30804F}"/>
    <cellStyle name="Linked Cell 7 3 8 2 2" xfId="38963" xr:uid="{3B300F1A-6E57-4EC5-9B01-529279B24202}"/>
    <cellStyle name="Linked Cell 7 3 8 3" xfId="38964" xr:uid="{CAFCE465-716E-465D-808C-ABDBB1BF614D}"/>
    <cellStyle name="Linked Cell 7 3 9" xfId="38965" xr:uid="{745ADF87-6E98-4683-9793-A7044B298D6A}"/>
    <cellStyle name="Linked Cell 7 3 9 2" xfId="38966" xr:uid="{AC9F31DD-760E-4C36-8699-E7AE648B021D}"/>
    <cellStyle name="Linked Cell 7 3 9 2 2" xfId="38967" xr:uid="{93468B57-7CC2-4196-A4BF-43151325785E}"/>
    <cellStyle name="Linked Cell 7 3 9 3" xfId="38968" xr:uid="{D9CF9088-6A3E-4B65-86CF-805B17F74F68}"/>
    <cellStyle name="Linked Cell 7 4" xfId="38969" xr:uid="{B93F1CDE-8CB7-449C-8236-49B566F2E133}"/>
    <cellStyle name="Linked Cell 7 4 10" xfId="38970" xr:uid="{0870D55B-8B90-4782-A32A-2399801A664C}"/>
    <cellStyle name="Linked Cell 7 4 10 2" xfId="38971" xr:uid="{85830720-9FAB-4A0C-BD54-0477E8E847C5}"/>
    <cellStyle name="Linked Cell 7 4 10 2 2" xfId="38972" xr:uid="{AED3125E-0D7E-4790-93B4-F9A6B6576914}"/>
    <cellStyle name="Linked Cell 7 4 10 3" xfId="38973" xr:uid="{8CF75350-293B-4AD7-B68A-0A4CBD2A3F03}"/>
    <cellStyle name="Linked Cell 7 4 11" xfId="38974" xr:uid="{7B06D8A8-3B6C-4E34-9CAE-AF08A32C8D64}"/>
    <cellStyle name="Linked Cell 7 4 11 2" xfId="38975" xr:uid="{DDC75C5A-4E1B-4E6F-A002-1C4854F33DB8}"/>
    <cellStyle name="Linked Cell 7 4 11 2 2" xfId="38976" xr:uid="{894E8380-0524-4210-9232-AFA38B5642D7}"/>
    <cellStyle name="Linked Cell 7 4 11 3" xfId="38977" xr:uid="{7CF0DEB0-15C4-4BBC-AA1D-CE26D47E7615}"/>
    <cellStyle name="Linked Cell 7 4 12" xfId="38978" xr:uid="{25DFDA98-596D-4615-9DBE-24C0AB7FED4F}"/>
    <cellStyle name="Linked Cell 7 4 12 2" xfId="38979" xr:uid="{A36A799F-4BFB-4229-B2DC-1632F410BDCA}"/>
    <cellStyle name="Linked Cell 7 4 13" xfId="38980" xr:uid="{8A13B54D-31B2-4B05-8C0A-5C54055ECA62}"/>
    <cellStyle name="Linked Cell 7 4 2" xfId="38981" xr:uid="{253FA364-358B-4BCD-807B-A9DCA18DBF79}"/>
    <cellStyle name="Linked Cell 7 4 2 10" xfId="38982" xr:uid="{7A7118D8-F4D8-410E-A252-4329AE58B4B5}"/>
    <cellStyle name="Linked Cell 7 4 2 10 2" xfId="38983" xr:uid="{11AB408F-DD18-4A6F-91BB-5E17872BF2BB}"/>
    <cellStyle name="Linked Cell 7 4 2 10 2 2" xfId="38984" xr:uid="{DEAA5ED7-3E16-4D92-8CED-48C89B3D3FC1}"/>
    <cellStyle name="Linked Cell 7 4 2 10 3" xfId="38985" xr:uid="{0B81A482-4F67-41F4-AF45-C567CFE3A840}"/>
    <cellStyle name="Linked Cell 7 4 2 11" xfId="38986" xr:uid="{10388191-12A0-4DEA-87E6-C68FF8D57698}"/>
    <cellStyle name="Linked Cell 7 4 2 11 2" xfId="38987" xr:uid="{18A38B07-87E4-4291-9D6F-BC319AD65E90}"/>
    <cellStyle name="Linked Cell 7 4 2 12" xfId="38988" xr:uid="{9141648E-734A-4CD8-BE83-26A604886F4F}"/>
    <cellStyle name="Linked Cell 7 4 2 2" xfId="38989" xr:uid="{4C6F5E34-7432-4C8F-94BA-6332845BDDEE}"/>
    <cellStyle name="Linked Cell 7 4 2 2 2" xfId="38990" xr:uid="{00B31429-0649-4A4B-AF4D-ECB015B303DE}"/>
    <cellStyle name="Linked Cell 7 4 2 2 2 2" xfId="38991" xr:uid="{B0D846F8-2DF5-4F5B-A071-56C9D4FAD106}"/>
    <cellStyle name="Linked Cell 7 4 2 2 3" xfId="38992" xr:uid="{79BCC0C3-A815-4253-95B5-FE45A277252B}"/>
    <cellStyle name="Linked Cell 7 4 2 3" xfId="38993" xr:uid="{E51399E7-9E85-4F99-B047-4243D72D879F}"/>
    <cellStyle name="Linked Cell 7 4 2 3 2" xfId="38994" xr:uid="{1E6F77FB-0564-4923-B14A-83E251FF6DA9}"/>
    <cellStyle name="Linked Cell 7 4 2 3 2 2" xfId="38995" xr:uid="{C32E8950-4B5E-4331-88AC-44FEE3BC87F3}"/>
    <cellStyle name="Linked Cell 7 4 2 3 3" xfId="38996" xr:uid="{DBD62483-0DCB-437D-9D81-E0B3B6767B9E}"/>
    <cellStyle name="Linked Cell 7 4 2 4" xfId="38997" xr:uid="{2215910B-BB40-46AF-A029-4A2AA8DCBDB0}"/>
    <cellStyle name="Linked Cell 7 4 2 4 2" xfId="38998" xr:uid="{830C6F17-6C56-49D2-B187-422AE72D4408}"/>
    <cellStyle name="Linked Cell 7 4 2 4 2 2" xfId="38999" xr:uid="{9CB3C6B3-F677-4E86-A6AE-19CD33D930D3}"/>
    <cellStyle name="Linked Cell 7 4 2 4 3" xfId="39000" xr:uid="{55CC0FA5-1C59-4305-AB61-6BFAC0B94D18}"/>
    <cellStyle name="Linked Cell 7 4 2 5" xfId="39001" xr:uid="{FD42F175-5F6E-4BF1-B50F-A4CFF82C4548}"/>
    <cellStyle name="Linked Cell 7 4 2 5 2" xfId="39002" xr:uid="{022F3DDF-0F16-477B-9920-C2C3270D2D9A}"/>
    <cellStyle name="Linked Cell 7 4 2 5 2 2" xfId="39003" xr:uid="{5FD3827F-D8D1-435E-BE42-2570A35C2B77}"/>
    <cellStyle name="Linked Cell 7 4 2 5 3" xfId="39004" xr:uid="{84A23F2F-B11A-436A-814C-898B8822E891}"/>
    <cellStyle name="Linked Cell 7 4 2 6" xfId="39005" xr:uid="{8159A706-C065-4102-94FF-7C13FCCB7D32}"/>
    <cellStyle name="Linked Cell 7 4 2 6 2" xfId="39006" xr:uid="{6ACB0EC3-A995-425C-998B-0F3C6C39D0DB}"/>
    <cellStyle name="Linked Cell 7 4 2 6 2 2" xfId="39007" xr:uid="{598774CB-0029-4E9A-9A49-7F548378B5E3}"/>
    <cellStyle name="Linked Cell 7 4 2 6 3" xfId="39008" xr:uid="{7B8125DC-B217-46B4-83D4-C3C6B979FA14}"/>
    <cellStyle name="Linked Cell 7 4 2 7" xfId="39009" xr:uid="{1E8D4F90-72F0-4F9B-9F6F-4BF5310C7620}"/>
    <cellStyle name="Linked Cell 7 4 2 7 2" xfId="39010" xr:uid="{9DC36EE3-B144-4223-A993-7443D008EFE6}"/>
    <cellStyle name="Linked Cell 7 4 2 7 2 2" xfId="39011" xr:uid="{56E5C2CE-BD93-4ECC-B736-B25C27F8BD3A}"/>
    <cellStyle name="Linked Cell 7 4 2 7 3" xfId="39012" xr:uid="{083E2726-4247-48CA-AF3C-3005F8A5C849}"/>
    <cellStyle name="Linked Cell 7 4 2 8" xfId="39013" xr:uid="{629B8314-8242-44D0-92DA-F4F79B268F6D}"/>
    <cellStyle name="Linked Cell 7 4 2 8 2" xfId="39014" xr:uid="{BFAABF13-6792-4D1C-A9BE-3CA775D9137D}"/>
    <cellStyle name="Linked Cell 7 4 2 8 2 2" xfId="39015" xr:uid="{F5AA6768-C8B4-4E20-979C-605E119A4944}"/>
    <cellStyle name="Linked Cell 7 4 2 8 3" xfId="39016" xr:uid="{B624EA99-9363-4106-AADC-AB05F910381C}"/>
    <cellStyle name="Linked Cell 7 4 2 9" xfId="39017" xr:uid="{3EDC7D58-9757-4784-A5EE-3E5FE034C991}"/>
    <cellStyle name="Linked Cell 7 4 2 9 2" xfId="39018" xr:uid="{9E32442D-79BA-4923-85DC-74A9A4830C48}"/>
    <cellStyle name="Linked Cell 7 4 2 9 2 2" xfId="39019" xr:uid="{E6700A1D-84F0-4CBE-BCD9-75FFA12E8C10}"/>
    <cellStyle name="Linked Cell 7 4 2 9 3" xfId="39020" xr:uid="{CDA6DD32-4480-40D6-9DEA-97424D4377F0}"/>
    <cellStyle name="Linked Cell 7 4 3" xfId="39021" xr:uid="{F2D63B00-001F-4CE3-9E8F-0B8B3C527149}"/>
    <cellStyle name="Linked Cell 7 4 3 10" xfId="39022" xr:uid="{8AEA0C20-FB65-4CFF-8BB2-DAB651C48FAD}"/>
    <cellStyle name="Linked Cell 7 4 3 10 2" xfId="39023" xr:uid="{311B5743-55EE-43BE-8C00-6CDCE6A35599}"/>
    <cellStyle name="Linked Cell 7 4 3 11" xfId="39024" xr:uid="{CB237805-D6EE-4F1E-BCDC-7E47E981CD99}"/>
    <cellStyle name="Linked Cell 7 4 3 2" xfId="39025" xr:uid="{6E3DF114-59BA-48C9-AF21-5B7369291D49}"/>
    <cellStyle name="Linked Cell 7 4 3 2 2" xfId="39026" xr:uid="{3C8C8D63-6EA7-401D-9687-2621965A9A7C}"/>
    <cellStyle name="Linked Cell 7 4 3 2 2 2" xfId="39027" xr:uid="{F41E7F6C-0C11-495E-978A-6899CACA1DA2}"/>
    <cellStyle name="Linked Cell 7 4 3 2 3" xfId="39028" xr:uid="{C9C74ADB-D388-4580-AD66-24258B8FAB05}"/>
    <cellStyle name="Linked Cell 7 4 3 3" xfId="39029" xr:uid="{2DA1193F-63A6-45B8-9483-981839F7986D}"/>
    <cellStyle name="Linked Cell 7 4 3 3 2" xfId="39030" xr:uid="{8CCEED63-3D4A-457E-8D40-9F437111DEE0}"/>
    <cellStyle name="Linked Cell 7 4 3 3 2 2" xfId="39031" xr:uid="{2EC8CB40-BE4E-41B0-BD85-6FD78569029E}"/>
    <cellStyle name="Linked Cell 7 4 3 3 3" xfId="39032" xr:uid="{FBF615E4-9B70-4A0F-8E10-A3623A98EED8}"/>
    <cellStyle name="Linked Cell 7 4 3 4" xfId="39033" xr:uid="{D6C1CEC8-4D39-462D-BC82-FD065D5BE935}"/>
    <cellStyle name="Linked Cell 7 4 3 4 2" xfId="39034" xr:uid="{7F5748B8-79D6-44E4-A7FD-2696C0885BD5}"/>
    <cellStyle name="Linked Cell 7 4 3 4 2 2" xfId="39035" xr:uid="{90ECF946-BEA9-443D-8BF5-E683329A9200}"/>
    <cellStyle name="Linked Cell 7 4 3 4 3" xfId="39036" xr:uid="{9F5D8BC7-AC5E-4D0C-8A39-4B92F7332458}"/>
    <cellStyle name="Linked Cell 7 4 3 5" xfId="39037" xr:uid="{4FA4EB14-2A09-4495-81A8-CC370CC8EC82}"/>
    <cellStyle name="Linked Cell 7 4 3 5 2" xfId="39038" xr:uid="{A3E24B1C-2F78-4728-8F63-CF5743D95652}"/>
    <cellStyle name="Linked Cell 7 4 3 5 2 2" xfId="39039" xr:uid="{1C3E1358-ECF0-466B-A8FA-578B3AE30A76}"/>
    <cellStyle name="Linked Cell 7 4 3 5 3" xfId="39040" xr:uid="{97547BEB-B248-4FF0-838F-5A1305AA79C3}"/>
    <cellStyle name="Linked Cell 7 4 3 6" xfId="39041" xr:uid="{CDAC5CCC-B394-4226-A660-B2B97C7148B3}"/>
    <cellStyle name="Linked Cell 7 4 3 6 2" xfId="39042" xr:uid="{FCB89261-E0B1-45C7-9FA9-55A23E3AC696}"/>
    <cellStyle name="Linked Cell 7 4 3 6 2 2" xfId="39043" xr:uid="{DACD7F71-9495-4E21-BCAA-BACCB14F6F0E}"/>
    <cellStyle name="Linked Cell 7 4 3 6 3" xfId="39044" xr:uid="{7B202CD5-8815-4C3B-9DFE-9A51F580F5CD}"/>
    <cellStyle name="Linked Cell 7 4 3 7" xfId="39045" xr:uid="{C980B92C-0BA4-4589-B9F4-3934F5434552}"/>
    <cellStyle name="Linked Cell 7 4 3 7 2" xfId="39046" xr:uid="{19E343EA-EE5C-43BD-B172-87E721C5B44A}"/>
    <cellStyle name="Linked Cell 7 4 3 7 2 2" xfId="39047" xr:uid="{60049265-171C-4073-883B-A786B1DD8524}"/>
    <cellStyle name="Linked Cell 7 4 3 7 3" xfId="39048" xr:uid="{CCDBEE7C-2B80-47A0-AD06-3D95462FC508}"/>
    <cellStyle name="Linked Cell 7 4 3 8" xfId="39049" xr:uid="{C0C0BE8C-A6AC-4638-8A66-4A44E4DBC0A1}"/>
    <cellStyle name="Linked Cell 7 4 3 8 2" xfId="39050" xr:uid="{A00AA5C2-301D-4872-B949-D3CBB345C719}"/>
    <cellStyle name="Linked Cell 7 4 3 8 2 2" xfId="39051" xr:uid="{EBC1E1D8-F3C1-45E9-B713-CCF4CE08B6E4}"/>
    <cellStyle name="Linked Cell 7 4 3 8 3" xfId="39052" xr:uid="{C8304935-95B7-409C-9019-7FC3437B6E81}"/>
    <cellStyle name="Linked Cell 7 4 3 9" xfId="39053" xr:uid="{75353FD8-E5DC-4052-B85B-1810E8294831}"/>
    <cellStyle name="Linked Cell 7 4 3 9 2" xfId="39054" xr:uid="{6908223C-EBB1-4278-803D-D7544FBC66AD}"/>
    <cellStyle name="Linked Cell 7 4 3 9 2 2" xfId="39055" xr:uid="{60566F2E-79A6-478F-8526-47EF5DA22419}"/>
    <cellStyle name="Linked Cell 7 4 3 9 3" xfId="39056" xr:uid="{FD49A359-D0E2-4C2A-8D13-E004D3D3BCFB}"/>
    <cellStyle name="Linked Cell 7 4 4" xfId="39057" xr:uid="{50F42849-C432-4FA0-9715-84E5C0D67996}"/>
    <cellStyle name="Linked Cell 7 4 4 2" xfId="39058" xr:uid="{65FF0ACF-F480-4164-B816-F29BF8CCC3EC}"/>
    <cellStyle name="Linked Cell 7 4 4 2 2" xfId="39059" xr:uid="{3151AC97-11D2-482E-B8B3-5192ED327709}"/>
    <cellStyle name="Linked Cell 7 4 4 3" xfId="39060" xr:uid="{A47084D1-1934-47BC-AD45-DD223B02A29D}"/>
    <cellStyle name="Linked Cell 7 4 5" xfId="39061" xr:uid="{F08C6214-D6B1-4164-B9EC-727C343D145D}"/>
    <cellStyle name="Linked Cell 7 4 5 2" xfId="39062" xr:uid="{20011DD5-CF5C-49B0-8AEE-19567180793B}"/>
    <cellStyle name="Linked Cell 7 4 5 2 2" xfId="39063" xr:uid="{8AC7DEA2-9F05-4A9C-845A-D495D415B1FB}"/>
    <cellStyle name="Linked Cell 7 4 5 3" xfId="39064" xr:uid="{3D0F284A-BF6F-4B9A-88AF-C232857FD139}"/>
    <cellStyle name="Linked Cell 7 4 6" xfId="39065" xr:uid="{F251A5F3-E901-405A-BAC3-F4FCDD3CE58E}"/>
    <cellStyle name="Linked Cell 7 4 6 2" xfId="39066" xr:uid="{7BEC245F-7450-4124-85F2-84344E870BCA}"/>
    <cellStyle name="Linked Cell 7 4 6 2 2" xfId="39067" xr:uid="{0A2A66BC-F89C-4968-8F0A-C84795765911}"/>
    <cellStyle name="Linked Cell 7 4 6 3" xfId="39068" xr:uid="{8D7B18A9-C102-4F05-9C14-E9387E9BEB1D}"/>
    <cellStyle name="Linked Cell 7 4 7" xfId="39069" xr:uid="{BD22CFCA-92ED-453B-9BFE-AD77B987B14F}"/>
    <cellStyle name="Linked Cell 7 4 7 2" xfId="39070" xr:uid="{BCBDAD25-FD51-4DCA-8A14-CECB9CA94BEF}"/>
    <cellStyle name="Linked Cell 7 4 7 2 2" xfId="39071" xr:uid="{87BC00B9-301B-48CF-AD4F-BE9194F96E2E}"/>
    <cellStyle name="Linked Cell 7 4 7 3" xfId="39072" xr:uid="{F6C3F01D-E320-42A9-A73D-6ACC2FEA99AB}"/>
    <cellStyle name="Linked Cell 7 4 8" xfId="39073" xr:uid="{DFC2C3C5-47BE-4B52-A784-386962701CCA}"/>
    <cellStyle name="Linked Cell 7 4 8 2" xfId="39074" xr:uid="{E414DF56-C642-4E35-A7FB-82761FE65399}"/>
    <cellStyle name="Linked Cell 7 4 8 2 2" xfId="39075" xr:uid="{687FFDE6-0B02-4F94-8597-37A99872EA3B}"/>
    <cellStyle name="Linked Cell 7 4 8 3" xfId="39076" xr:uid="{EE01A779-E739-440F-AC9E-C5100C0011DC}"/>
    <cellStyle name="Linked Cell 7 4 9" xfId="39077" xr:uid="{510BED1B-3E42-434C-8ADB-BF981590088F}"/>
    <cellStyle name="Linked Cell 7 4 9 2" xfId="39078" xr:uid="{73394BA8-128D-4732-B117-7DCD4A421149}"/>
    <cellStyle name="Linked Cell 7 4 9 2 2" xfId="39079" xr:uid="{0CAFBB83-92DF-422D-85CC-8A2A4C602118}"/>
    <cellStyle name="Linked Cell 7 4 9 3" xfId="39080" xr:uid="{E968A7B5-A681-4C68-A73D-4C77F82EB8D0}"/>
    <cellStyle name="Linked Cell 8" xfId="39081" xr:uid="{9D5E1AAD-5B61-4B90-BE98-E11B51738B3E}"/>
    <cellStyle name="Linked Cell 8 2" xfId="39082" xr:uid="{BB0595FA-5FB2-4B10-982A-F9D00B8B24BA}"/>
    <cellStyle name="Linked Cell 8 2 10" xfId="39083" xr:uid="{F9D4CEA3-71B0-4750-8B4B-5192FE0F1EF3}"/>
    <cellStyle name="Linked Cell 8 2 10 2" xfId="39084" xr:uid="{20278B72-783B-4D49-AF7B-0F8BA0935CBA}"/>
    <cellStyle name="Linked Cell 8 2 10 2 2" xfId="39085" xr:uid="{FF3318F7-DB73-4976-83AF-31A0D67D33DA}"/>
    <cellStyle name="Linked Cell 8 2 10 3" xfId="39086" xr:uid="{C2421B17-7C48-454B-9DDD-D72E40D52CA2}"/>
    <cellStyle name="Linked Cell 8 2 11" xfId="39087" xr:uid="{F4648487-B0C1-4B23-8E7A-0026930363DA}"/>
    <cellStyle name="Linked Cell 8 2 11 2" xfId="39088" xr:uid="{982C9D0E-E115-4A9A-95E2-92AAC489DEBB}"/>
    <cellStyle name="Linked Cell 8 2 11 2 2" xfId="39089" xr:uid="{914DD3E8-5148-445F-8E8D-64A73228AE6E}"/>
    <cellStyle name="Linked Cell 8 2 11 3" xfId="39090" xr:uid="{194C433E-969A-411D-BFE5-7E0A53777AC7}"/>
    <cellStyle name="Linked Cell 8 2 12" xfId="39091" xr:uid="{5925CA69-8F19-4001-BBDC-7D6C723579BD}"/>
    <cellStyle name="Linked Cell 8 2 12 2" xfId="39092" xr:uid="{2B05D373-B7D4-4360-9351-9B6447631D1F}"/>
    <cellStyle name="Linked Cell 8 2 12 2 2" xfId="39093" xr:uid="{5291598F-7B7B-41AF-BDB9-B43E18C24931}"/>
    <cellStyle name="Linked Cell 8 2 12 3" xfId="39094" xr:uid="{85F92DC7-FFD7-46C2-92B4-31089A175111}"/>
    <cellStyle name="Linked Cell 8 2 13" xfId="39095" xr:uid="{6B4567AF-9F14-44F2-B87A-DF3468909E0C}"/>
    <cellStyle name="Linked Cell 8 2 13 2" xfId="39096" xr:uid="{6057F660-29D7-4BA3-8A27-2B796F0B7A50}"/>
    <cellStyle name="Linked Cell 8 2 13 2 2" xfId="39097" xr:uid="{C74FC0B3-90FC-40BD-BAC0-DD383FE8CA26}"/>
    <cellStyle name="Linked Cell 8 2 13 3" xfId="39098" xr:uid="{015B7730-83FA-4515-8E50-132FB5F82E96}"/>
    <cellStyle name="Linked Cell 8 2 14" xfId="39099" xr:uid="{36413AF4-49E7-4532-A79C-65BF82DEE9CD}"/>
    <cellStyle name="Linked Cell 8 2 14 2" xfId="39100" xr:uid="{DB065060-F406-4943-B18C-563123945524}"/>
    <cellStyle name="Linked Cell 8 2 15" xfId="39101" xr:uid="{72CD975F-2ECA-40AE-8766-8792173497CE}"/>
    <cellStyle name="Linked Cell 8 2 2" xfId="39102" xr:uid="{822C002F-CB56-41A1-BD2D-CE6B32479DE6}"/>
    <cellStyle name="Linked Cell 8 2 2 10" xfId="39103" xr:uid="{2FF23CD4-AA2B-43D3-A16F-B7C7AE2D5852}"/>
    <cellStyle name="Linked Cell 8 2 2 10 2" xfId="39104" xr:uid="{7684EBE4-FBC7-44C7-B39C-44EA832B708A}"/>
    <cellStyle name="Linked Cell 8 2 2 10 2 2" xfId="39105" xr:uid="{E78A6BFB-BABB-4A58-A0FC-1ED8C7EEA5DD}"/>
    <cellStyle name="Linked Cell 8 2 2 10 3" xfId="39106" xr:uid="{1600E19D-37C1-4827-928D-F2E34BAC1829}"/>
    <cellStyle name="Linked Cell 8 2 2 11" xfId="39107" xr:uid="{95E9CECA-008B-455A-BBD9-F5D798BED78A}"/>
    <cellStyle name="Linked Cell 8 2 2 11 2" xfId="39108" xr:uid="{E628E581-320E-46C7-B93D-7A408E2B5893}"/>
    <cellStyle name="Linked Cell 8 2 2 11 2 2" xfId="39109" xr:uid="{252D6E9A-E652-4781-8D75-93D52509B239}"/>
    <cellStyle name="Linked Cell 8 2 2 11 3" xfId="39110" xr:uid="{4EE0C845-3050-42F6-96E4-CCA47C1FC4C9}"/>
    <cellStyle name="Linked Cell 8 2 2 12" xfId="39111" xr:uid="{E19C63E7-E025-4447-BFB8-B5CFD12C3C07}"/>
    <cellStyle name="Linked Cell 8 2 2 12 2" xfId="39112" xr:uid="{C7C10BAE-8CC3-467F-B845-7AF5FD007EB2}"/>
    <cellStyle name="Linked Cell 8 2 2 12 2 2" xfId="39113" xr:uid="{F90F2E54-0E73-443F-98A7-E1D1C3C72509}"/>
    <cellStyle name="Linked Cell 8 2 2 12 3" xfId="39114" xr:uid="{765129A0-282B-426C-9422-52764CC801B4}"/>
    <cellStyle name="Linked Cell 8 2 2 13" xfId="39115" xr:uid="{430F2626-4DB2-4B58-84DC-FC10371A79E9}"/>
    <cellStyle name="Linked Cell 8 2 2 13 2" xfId="39116" xr:uid="{F262A03E-394F-4EE6-8EAE-78B1FAC912FD}"/>
    <cellStyle name="Linked Cell 8 2 2 14" xfId="39117" xr:uid="{1490725A-2449-4F52-A0E9-CE86DB5D487A}"/>
    <cellStyle name="Linked Cell 8 2 2 2" xfId="39118" xr:uid="{80E6C46E-D8C8-438D-B313-B2602B2AEF78}"/>
    <cellStyle name="Linked Cell 8 2 2 2 10" xfId="39119" xr:uid="{84FFDB91-DC39-4209-97B4-FC4AF2C0C2ED}"/>
    <cellStyle name="Linked Cell 8 2 2 2 10 2" xfId="39120" xr:uid="{B04EF14B-97EE-4932-814C-44117993B461}"/>
    <cellStyle name="Linked Cell 8 2 2 2 10 2 2" xfId="39121" xr:uid="{EFD76627-3636-4791-9F42-207C0EB8E2E6}"/>
    <cellStyle name="Linked Cell 8 2 2 2 10 3" xfId="39122" xr:uid="{62943888-F255-4656-B0B8-DAE0339400F3}"/>
    <cellStyle name="Linked Cell 8 2 2 2 11" xfId="39123" xr:uid="{41F7D940-2AA9-493A-9615-DF29F0B84906}"/>
    <cellStyle name="Linked Cell 8 2 2 2 11 2" xfId="39124" xr:uid="{F5D53736-9F23-4030-BE24-BD2D8E33C4A5}"/>
    <cellStyle name="Linked Cell 8 2 2 2 11 2 2" xfId="39125" xr:uid="{2B4697B8-4895-4418-8C1B-C06FD74807AB}"/>
    <cellStyle name="Linked Cell 8 2 2 2 11 3" xfId="39126" xr:uid="{4B3F33A8-FA5B-493B-8272-661BE2FEDBA3}"/>
    <cellStyle name="Linked Cell 8 2 2 2 12" xfId="39127" xr:uid="{CA70862B-173E-42EA-9060-FB9E3DD808A7}"/>
    <cellStyle name="Linked Cell 8 2 2 2 12 2" xfId="39128" xr:uid="{06E2CD5F-0606-4FF3-8E1F-0678F689B29C}"/>
    <cellStyle name="Linked Cell 8 2 2 2 13" xfId="39129" xr:uid="{B441B9AF-8E18-40A0-A285-48C935DC601B}"/>
    <cellStyle name="Linked Cell 8 2 2 2 2" xfId="39130" xr:uid="{15FB9D2B-9327-4516-89FB-1F5D7DAC760B}"/>
    <cellStyle name="Linked Cell 8 2 2 2 2 10" xfId="39131" xr:uid="{30C3136E-5638-465E-A294-194C7CA2B2FC}"/>
    <cellStyle name="Linked Cell 8 2 2 2 2 10 2" xfId="39132" xr:uid="{E6319893-DE99-47A2-9083-781A272916C2}"/>
    <cellStyle name="Linked Cell 8 2 2 2 2 10 2 2" xfId="39133" xr:uid="{36E4DE3C-46B7-4B87-AEBC-0CF87BB468AD}"/>
    <cellStyle name="Linked Cell 8 2 2 2 2 10 3" xfId="39134" xr:uid="{A6191E4A-2B60-4CC0-8653-561DDB465961}"/>
    <cellStyle name="Linked Cell 8 2 2 2 2 11" xfId="39135" xr:uid="{096C6FCC-E8B7-44F7-AE77-A106F07436D9}"/>
    <cellStyle name="Linked Cell 8 2 2 2 2 11 2" xfId="39136" xr:uid="{E25E58F3-8B15-4DDA-9DDD-9D29F1F3F0DB}"/>
    <cellStyle name="Linked Cell 8 2 2 2 2 12" xfId="39137" xr:uid="{44F20F1E-A486-48AF-AE69-6E23C156F93C}"/>
    <cellStyle name="Linked Cell 8 2 2 2 2 2" xfId="39138" xr:uid="{2DCA0432-3DCC-4E30-8811-E79FF0C58D75}"/>
    <cellStyle name="Linked Cell 8 2 2 2 2 2 2" xfId="39139" xr:uid="{60BFEA07-255B-4CCB-8016-98FC2DA8F362}"/>
    <cellStyle name="Linked Cell 8 2 2 2 2 2 2 2" xfId="39140" xr:uid="{51ABB99E-B15C-4D65-B506-BF7792121FAD}"/>
    <cellStyle name="Linked Cell 8 2 2 2 2 2 3" xfId="39141" xr:uid="{3720ED67-8100-410D-8F7A-E77A24CBE662}"/>
    <cellStyle name="Linked Cell 8 2 2 2 2 3" xfId="39142" xr:uid="{0170D08D-6B7B-43D1-A810-560A919DAC3F}"/>
    <cellStyle name="Linked Cell 8 2 2 2 2 3 2" xfId="39143" xr:uid="{FC864D88-3DB0-4927-A5AB-BEAF251DB577}"/>
    <cellStyle name="Linked Cell 8 2 2 2 2 3 2 2" xfId="39144" xr:uid="{D229E334-BDD0-4551-9951-4E39115A80E0}"/>
    <cellStyle name="Linked Cell 8 2 2 2 2 3 3" xfId="39145" xr:uid="{A78838D5-F820-48F6-85AA-2F3787F95C9D}"/>
    <cellStyle name="Linked Cell 8 2 2 2 2 4" xfId="39146" xr:uid="{B3756916-B8E6-4094-9E66-2D6580589C9B}"/>
    <cellStyle name="Linked Cell 8 2 2 2 2 4 2" xfId="39147" xr:uid="{E93E184D-4E3B-41D7-8894-8D0351533CA6}"/>
    <cellStyle name="Linked Cell 8 2 2 2 2 4 2 2" xfId="39148" xr:uid="{877D48DA-27FA-4FDE-A54D-97806D578DD3}"/>
    <cellStyle name="Linked Cell 8 2 2 2 2 4 3" xfId="39149" xr:uid="{FBB5BDF1-1930-4E58-86A6-6E2C348D5901}"/>
    <cellStyle name="Linked Cell 8 2 2 2 2 5" xfId="39150" xr:uid="{249C0E2A-6D0C-42F1-9CB6-052F750AAA63}"/>
    <cellStyle name="Linked Cell 8 2 2 2 2 5 2" xfId="39151" xr:uid="{57D417DC-D571-40FF-BF51-858632BEC493}"/>
    <cellStyle name="Linked Cell 8 2 2 2 2 5 2 2" xfId="39152" xr:uid="{34DFDD19-B64C-4189-9C60-5FE84DD8E61D}"/>
    <cellStyle name="Linked Cell 8 2 2 2 2 5 3" xfId="39153" xr:uid="{4166C49C-1E55-4B11-9273-7A017A6D10D8}"/>
    <cellStyle name="Linked Cell 8 2 2 2 2 6" xfId="39154" xr:uid="{6B3541F0-F1ED-4534-BB43-A2C88BA5BF34}"/>
    <cellStyle name="Linked Cell 8 2 2 2 2 6 2" xfId="39155" xr:uid="{4AE55072-5649-4723-AE46-93C039035B7F}"/>
    <cellStyle name="Linked Cell 8 2 2 2 2 6 2 2" xfId="39156" xr:uid="{B8C672BE-F072-4D09-9A5D-BFD771AF795E}"/>
    <cellStyle name="Linked Cell 8 2 2 2 2 6 3" xfId="39157" xr:uid="{46B95D6A-4666-4D6C-9B14-118B82F415C1}"/>
    <cellStyle name="Linked Cell 8 2 2 2 2 7" xfId="39158" xr:uid="{4D61A7DF-7047-42B7-95A5-D7B357FAD585}"/>
    <cellStyle name="Linked Cell 8 2 2 2 2 7 2" xfId="39159" xr:uid="{AC0F1395-DB9C-403F-A234-E5578FAC0F00}"/>
    <cellStyle name="Linked Cell 8 2 2 2 2 7 2 2" xfId="39160" xr:uid="{DFD4CFD4-31A0-4AF4-B516-ED00EBF27217}"/>
    <cellStyle name="Linked Cell 8 2 2 2 2 7 3" xfId="39161" xr:uid="{F2B8D066-6957-441A-A2F1-18D0E014B744}"/>
    <cellStyle name="Linked Cell 8 2 2 2 2 8" xfId="39162" xr:uid="{713312DF-E834-46DA-859F-D2BB43B43F4D}"/>
    <cellStyle name="Linked Cell 8 2 2 2 2 8 2" xfId="39163" xr:uid="{79A03A6B-9FE5-4828-8C61-EE27DDB89AAC}"/>
    <cellStyle name="Linked Cell 8 2 2 2 2 8 2 2" xfId="39164" xr:uid="{99E61CB5-76D1-43C8-A679-C45470A006B2}"/>
    <cellStyle name="Linked Cell 8 2 2 2 2 8 3" xfId="39165" xr:uid="{28F8F155-A113-4652-8826-8B7ECA3CC3FD}"/>
    <cellStyle name="Linked Cell 8 2 2 2 2 9" xfId="39166" xr:uid="{557D5418-B8E1-4CB2-87F1-54BCF1354EDB}"/>
    <cellStyle name="Linked Cell 8 2 2 2 2 9 2" xfId="39167" xr:uid="{243CBFC9-F57B-432F-8FD8-7446B50C6234}"/>
    <cellStyle name="Linked Cell 8 2 2 2 2 9 2 2" xfId="39168" xr:uid="{D5F38CA5-150D-4E3E-A269-0BAB888AF45C}"/>
    <cellStyle name="Linked Cell 8 2 2 2 2 9 3" xfId="39169" xr:uid="{22403149-E0BB-4034-9F00-24BA72931C97}"/>
    <cellStyle name="Linked Cell 8 2 2 2 3" xfId="39170" xr:uid="{46D86207-8797-4263-AF24-C1EC7CDDAAF8}"/>
    <cellStyle name="Linked Cell 8 2 2 2 3 10" xfId="39171" xr:uid="{2DA6854E-BCC7-4C3D-BCE0-B0CF6F1B724A}"/>
    <cellStyle name="Linked Cell 8 2 2 2 3 10 2" xfId="39172" xr:uid="{9CDC0307-EE19-4221-9097-84FFF5120D2C}"/>
    <cellStyle name="Linked Cell 8 2 2 2 3 11" xfId="39173" xr:uid="{C3DC2BA2-3D30-497C-A1B7-368FB9B34C55}"/>
    <cellStyle name="Linked Cell 8 2 2 2 3 2" xfId="39174" xr:uid="{29BD6365-2981-4E9F-9327-F59487256122}"/>
    <cellStyle name="Linked Cell 8 2 2 2 3 2 2" xfId="39175" xr:uid="{21E1DDEC-771B-4E33-A443-EA1EA22B8DAA}"/>
    <cellStyle name="Linked Cell 8 2 2 2 3 2 2 2" xfId="39176" xr:uid="{1B122A48-3B26-4312-9B7E-BA222E5D4CC3}"/>
    <cellStyle name="Linked Cell 8 2 2 2 3 2 3" xfId="39177" xr:uid="{B1380BD9-D8B4-4245-9B61-A748C39A5301}"/>
    <cellStyle name="Linked Cell 8 2 2 2 3 3" xfId="39178" xr:uid="{D6E1EE42-CE80-4CAE-8921-508552755D43}"/>
    <cellStyle name="Linked Cell 8 2 2 2 3 3 2" xfId="39179" xr:uid="{B31D4A72-87E3-4FF7-8835-9945FAA2FCAE}"/>
    <cellStyle name="Linked Cell 8 2 2 2 3 3 2 2" xfId="39180" xr:uid="{0B4D6A78-6F8F-4D20-A3FB-226162E369E9}"/>
    <cellStyle name="Linked Cell 8 2 2 2 3 3 3" xfId="39181" xr:uid="{4DEA3F8F-8A74-4C8F-AFB4-ADD57948024E}"/>
    <cellStyle name="Linked Cell 8 2 2 2 3 4" xfId="39182" xr:uid="{B41D2346-9FF9-48DC-836F-8DDC7CC9B795}"/>
    <cellStyle name="Linked Cell 8 2 2 2 3 4 2" xfId="39183" xr:uid="{55142B55-CFA0-4FD3-A9ED-C09155FB8F9F}"/>
    <cellStyle name="Linked Cell 8 2 2 2 3 4 2 2" xfId="39184" xr:uid="{BA625C0D-2614-432F-903F-BACEEC6F0B6A}"/>
    <cellStyle name="Linked Cell 8 2 2 2 3 4 3" xfId="39185" xr:uid="{9F3ADFDE-3152-4571-A779-010D12305259}"/>
    <cellStyle name="Linked Cell 8 2 2 2 3 5" xfId="39186" xr:uid="{38815521-A257-4D73-8BAF-65FDB5D9D8CE}"/>
    <cellStyle name="Linked Cell 8 2 2 2 3 5 2" xfId="39187" xr:uid="{AD9D74BF-51E2-43E4-8EFE-42B521F4A106}"/>
    <cellStyle name="Linked Cell 8 2 2 2 3 5 2 2" xfId="39188" xr:uid="{90EABB65-5027-45FB-876F-1048F199F299}"/>
    <cellStyle name="Linked Cell 8 2 2 2 3 5 3" xfId="39189" xr:uid="{3289952B-C9C6-47ED-8B9E-383ADC212CB3}"/>
    <cellStyle name="Linked Cell 8 2 2 2 3 6" xfId="39190" xr:uid="{45AF2DA3-7518-449B-8351-9F9311C21215}"/>
    <cellStyle name="Linked Cell 8 2 2 2 3 6 2" xfId="39191" xr:uid="{619F866A-8A18-4F09-9D12-E9D8F324F3E1}"/>
    <cellStyle name="Linked Cell 8 2 2 2 3 6 2 2" xfId="39192" xr:uid="{B29D1640-ED39-4A39-858A-DF5824EAD4DB}"/>
    <cellStyle name="Linked Cell 8 2 2 2 3 6 3" xfId="39193" xr:uid="{3AD2A5D7-B67D-44CA-BC15-FDE8145D2466}"/>
    <cellStyle name="Linked Cell 8 2 2 2 3 7" xfId="39194" xr:uid="{921A29EE-5550-4BDF-B28B-9ED1952C647E}"/>
    <cellStyle name="Linked Cell 8 2 2 2 3 7 2" xfId="39195" xr:uid="{FF7AE501-5438-4FBD-A5A5-FBC66C55F18B}"/>
    <cellStyle name="Linked Cell 8 2 2 2 3 7 2 2" xfId="39196" xr:uid="{F70B0B87-DD75-4A40-985B-D1C694DE1B63}"/>
    <cellStyle name="Linked Cell 8 2 2 2 3 7 3" xfId="39197" xr:uid="{06CDA151-5237-484A-B76E-4F3365ACD036}"/>
    <cellStyle name="Linked Cell 8 2 2 2 3 8" xfId="39198" xr:uid="{F7674D41-8518-4E1F-A7C5-DA3A25F3D96C}"/>
    <cellStyle name="Linked Cell 8 2 2 2 3 8 2" xfId="39199" xr:uid="{5EEB701C-587D-4C74-A393-7E86622970A0}"/>
    <cellStyle name="Linked Cell 8 2 2 2 3 8 2 2" xfId="39200" xr:uid="{B3AF5CC9-B03A-4BB3-88A0-07D783A9EB53}"/>
    <cellStyle name="Linked Cell 8 2 2 2 3 8 3" xfId="39201" xr:uid="{06A4550D-CEE4-4BDA-90CC-DB0A9A53466C}"/>
    <cellStyle name="Linked Cell 8 2 2 2 3 9" xfId="39202" xr:uid="{235C4221-8D6D-4C97-A3D1-D9205EA57B06}"/>
    <cellStyle name="Linked Cell 8 2 2 2 3 9 2" xfId="39203" xr:uid="{4DA6D086-4004-4F58-B311-923DFA669921}"/>
    <cellStyle name="Linked Cell 8 2 2 2 3 9 2 2" xfId="39204" xr:uid="{AE198C99-CF29-4A68-A971-CD1986C16660}"/>
    <cellStyle name="Linked Cell 8 2 2 2 3 9 3" xfId="39205" xr:uid="{BE597DD6-FE25-4D02-A0B4-FF803F1BAB24}"/>
    <cellStyle name="Linked Cell 8 2 2 2 4" xfId="39206" xr:uid="{567B13AC-B4DD-4B99-9F60-D5C46110DE16}"/>
    <cellStyle name="Linked Cell 8 2 2 2 4 2" xfId="39207" xr:uid="{43CDD03E-0CC1-45D4-994C-B1FA8C31775F}"/>
    <cellStyle name="Linked Cell 8 2 2 2 4 2 2" xfId="39208" xr:uid="{544CDFBC-F7B6-4E14-A514-0A8B3B3567B4}"/>
    <cellStyle name="Linked Cell 8 2 2 2 4 3" xfId="39209" xr:uid="{B13380D5-AE7B-48CD-97FC-9EF4DC3DCCEE}"/>
    <cellStyle name="Linked Cell 8 2 2 2 5" xfId="39210" xr:uid="{EC220BA0-3090-4270-9B2F-DA14D3D3EE1C}"/>
    <cellStyle name="Linked Cell 8 2 2 2 5 2" xfId="39211" xr:uid="{63B71C72-DC47-479F-B0DB-683A01F6714A}"/>
    <cellStyle name="Linked Cell 8 2 2 2 5 2 2" xfId="39212" xr:uid="{04CFC540-708F-4078-B4D7-777746F6EF8C}"/>
    <cellStyle name="Linked Cell 8 2 2 2 5 3" xfId="39213" xr:uid="{E044513C-541A-4D5F-BB1E-21CC88DD720B}"/>
    <cellStyle name="Linked Cell 8 2 2 2 6" xfId="39214" xr:uid="{B7F6F999-8665-4B83-B41F-22792005CF79}"/>
    <cellStyle name="Linked Cell 8 2 2 2 6 2" xfId="39215" xr:uid="{6A493F27-7A85-431B-9B80-F0710236C362}"/>
    <cellStyle name="Linked Cell 8 2 2 2 6 2 2" xfId="39216" xr:uid="{DFCB5B67-84CB-4DA7-8F37-35597CD1E454}"/>
    <cellStyle name="Linked Cell 8 2 2 2 6 3" xfId="39217" xr:uid="{08AF8605-ACDB-4CE0-9B47-1617DBAC4026}"/>
    <cellStyle name="Linked Cell 8 2 2 2 7" xfId="39218" xr:uid="{7E9A029B-3A34-4E45-BC1F-1131F91303BC}"/>
    <cellStyle name="Linked Cell 8 2 2 2 7 2" xfId="39219" xr:uid="{BF0DFDD3-B003-4DB2-986C-C13581048596}"/>
    <cellStyle name="Linked Cell 8 2 2 2 7 2 2" xfId="39220" xr:uid="{083C398B-1E44-4B68-BA01-C01FA1CF2A39}"/>
    <cellStyle name="Linked Cell 8 2 2 2 7 3" xfId="39221" xr:uid="{B7279A28-EA2C-4F38-946D-7E0D7C449F8A}"/>
    <cellStyle name="Linked Cell 8 2 2 2 8" xfId="39222" xr:uid="{342ADC20-6045-452D-82C7-EC1C1C58F673}"/>
    <cellStyle name="Linked Cell 8 2 2 2 8 2" xfId="39223" xr:uid="{D1891D7C-DBCB-45FA-9F4E-5EECA6DF74E0}"/>
    <cellStyle name="Linked Cell 8 2 2 2 8 2 2" xfId="39224" xr:uid="{290E3E67-1AB5-484C-A167-EB9EFDF213E1}"/>
    <cellStyle name="Linked Cell 8 2 2 2 8 3" xfId="39225" xr:uid="{E1E48F4E-84C1-4EAB-A74B-42B0855012B3}"/>
    <cellStyle name="Linked Cell 8 2 2 2 9" xfId="39226" xr:uid="{BDAB16E1-ABDF-4A9E-A9B3-424BEBD09764}"/>
    <cellStyle name="Linked Cell 8 2 2 2 9 2" xfId="39227" xr:uid="{5B89E7D8-0616-4814-8042-3351BABBDC0D}"/>
    <cellStyle name="Linked Cell 8 2 2 2 9 2 2" xfId="39228" xr:uid="{3DFE2ABF-0518-4734-B853-EE1DCA87EF60}"/>
    <cellStyle name="Linked Cell 8 2 2 2 9 3" xfId="39229" xr:uid="{58AD9FEC-30B9-4A0A-883F-50A93A1704EC}"/>
    <cellStyle name="Linked Cell 8 2 2 3" xfId="39230" xr:uid="{5A3805BF-3500-4B0C-8E74-856C59509AB0}"/>
    <cellStyle name="Linked Cell 8 2 2 3 10" xfId="39231" xr:uid="{0361B535-9B30-46C4-A1C4-4AB03A06A645}"/>
    <cellStyle name="Linked Cell 8 2 2 3 10 2" xfId="39232" xr:uid="{335C78C6-DA59-4AAA-992C-DCA30EF8429E}"/>
    <cellStyle name="Linked Cell 8 2 2 3 10 2 2" xfId="39233" xr:uid="{FC4A7653-806A-4CA0-AA0C-A990C2609FF7}"/>
    <cellStyle name="Linked Cell 8 2 2 3 10 3" xfId="39234" xr:uid="{6B8332F4-1209-4DE6-8D89-46A2AA943710}"/>
    <cellStyle name="Linked Cell 8 2 2 3 11" xfId="39235" xr:uid="{53D27C02-31DE-4CD1-A46E-4E044335D91A}"/>
    <cellStyle name="Linked Cell 8 2 2 3 11 2" xfId="39236" xr:uid="{AE8F56D8-7A98-4FF4-88DD-F64257EC722B}"/>
    <cellStyle name="Linked Cell 8 2 2 3 12" xfId="39237" xr:uid="{1D69CF0B-1C22-4BB6-AF73-C394F0ED7DFD}"/>
    <cellStyle name="Linked Cell 8 2 2 3 2" xfId="39238" xr:uid="{D37C0DD2-8AA7-469D-ABD6-7BBFC825B27D}"/>
    <cellStyle name="Linked Cell 8 2 2 3 2 10" xfId="39239" xr:uid="{A30E0C33-16DE-4F5F-949B-D44179F35B61}"/>
    <cellStyle name="Linked Cell 8 2 2 3 2 10 2" xfId="39240" xr:uid="{06307BD5-44BF-4516-9C0F-04AF6FD7880A}"/>
    <cellStyle name="Linked Cell 8 2 2 3 2 11" xfId="39241" xr:uid="{041486BD-D2DF-46F3-A9A9-0CE685C533A0}"/>
    <cellStyle name="Linked Cell 8 2 2 3 2 2" xfId="39242" xr:uid="{60D0D964-9B7D-4623-8102-63D74B88CA14}"/>
    <cellStyle name="Linked Cell 8 2 2 3 2 2 2" xfId="39243" xr:uid="{610059B7-F96C-4081-BB11-C82E0616A8E3}"/>
    <cellStyle name="Linked Cell 8 2 2 3 2 2 2 2" xfId="39244" xr:uid="{7677A86C-9152-45FF-B716-F3E0E0B728E2}"/>
    <cellStyle name="Linked Cell 8 2 2 3 2 2 3" xfId="39245" xr:uid="{3CB2B948-D39A-4D42-A36F-8F08178AC596}"/>
    <cellStyle name="Linked Cell 8 2 2 3 2 3" xfId="39246" xr:uid="{61CDA5FA-4DE8-4E9A-9570-BC223AC76E16}"/>
    <cellStyle name="Linked Cell 8 2 2 3 2 3 2" xfId="39247" xr:uid="{7221D7C7-5672-441A-977E-07494E12A4E6}"/>
    <cellStyle name="Linked Cell 8 2 2 3 2 3 2 2" xfId="39248" xr:uid="{41F1FDBB-BBF5-41F5-99CB-51A0E927FB95}"/>
    <cellStyle name="Linked Cell 8 2 2 3 2 3 3" xfId="39249" xr:uid="{E5BEA982-5AC3-4E52-BB65-DEB16F9F6393}"/>
    <cellStyle name="Linked Cell 8 2 2 3 2 4" xfId="39250" xr:uid="{FD94DCAA-F8D4-4493-9295-933B3464F899}"/>
    <cellStyle name="Linked Cell 8 2 2 3 2 4 2" xfId="39251" xr:uid="{A9500322-5ED9-4E4D-90E5-1D2227E99B4C}"/>
    <cellStyle name="Linked Cell 8 2 2 3 2 4 2 2" xfId="39252" xr:uid="{54C443B9-0C44-4F67-A374-CD3DB768E432}"/>
    <cellStyle name="Linked Cell 8 2 2 3 2 4 3" xfId="39253" xr:uid="{027E37C3-B73D-480A-B6B5-C4AA78230477}"/>
    <cellStyle name="Linked Cell 8 2 2 3 2 5" xfId="39254" xr:uid="{349C85A0-8E10-4994-9B96-1FAB9C06774B}"/>
    <cellStyle name="Linked Cell 8 2 2 3 2 5 2" xfId="39255" xr:uid="{53117EE1-3F1B-400A-831A-3E1BEFFEDED0}"/>
    <cellStyle name="Linked Cell 8 2 2 3 2 5 2 2" xfId="39256" xr:uid="{6E6FCF30-52B9-40B0-A61A-2740F9FFE603}"/>
    <cellStyle name="Linked Cell 8 2 2 3 2 5 3" xfId="39257" xr:uid="{3840D56E-0785-44AB-A85D-35FC8A575711}"/>
    <cellStyle name="Linked Cell 8 2 2 3 2 6" xfId="39258" xr:uid="{CA4A5F27-9872-4F46-A66E-4973090D0D62}"/>
    <cellStyle name="Linked Cell 8 2 2 3 2 6 2" xfId="39259" xr:uid="{437F529E-F63C-443A-BE16-F9D85AEA1570}"/>
    <cellStyle name="Linked Cell 8 2 2 3 2 6 2 2" xfId="39260" xr:uid="{568D41B5-E185-47B8-95F8-41C7D3572A19}"/>
    <cellStyle name="Linked Cell 8 2 2 3 2 6 3" xfId="39261" xr:uid="{3214F090-3DB8-439B-83DD-C596B2C08CA1}"/>
    <cellStyle name="Linked Cell 8 2 2 3 2 7" xfId="39262" xr:uid="{CD1FBF38-0022-4100-8261-61AF29293C92}"/>
    <cellStyle name="Linked Cell 8 2 2 3 2 7 2" xfId="39263" xr:uid="{4B8281F8-14FF-4435-960B-CB94920B656B}"/>
    <cellStyle name="Linked Cell 8 2 2 3 2 7 2 2" xfId="39264" xr:uid="{F03DDD7D-03C9-45C2-903B-FB165A0D7974}"/>
    <cellStyle name="Linked Cell 8 2 2 3 2 7 3" xfId="39265" xr:uid="{D86048E2-4588-4896-8A8F-7C92193B085C}"/>
    <cellStyle name="Linked Cell 8 2 2 3 2 8" xfId="39266" xr:uid="{24F4CC6F-1103-4398-B815-D965517EBA77}"/>
    <cellStyle name="Linked Cell 8 2 2 3 2 8 2" xfId="39267" xr:uid="{6E50B8E1-002B-4F20-9EA1-F202F9A2F812}"/>
    <cellStyle name="Linked Cell 8 2 2 3 2 8 2 2" xfId="39268" xr:uid="{A7411FB6-A85C-4CDF-9185-DE0C25ACDB27}"/>
    <cellStyle name="Linked Cell 8 2 2 3 2 8 3" xfId="39269" xr:uid="{36D7F15F-4532-4B1B-AFEA-D92BA4558F9B}"/>
    <cellStyle name="Linked Cell 8 2 2 3 2 9" xfId="39270" xr:uid="{ADD2B14F-4C09-435A-8B28-E9486748E980}"/>
    <cellStyle name="Linked Cell 8 2 2 3 2 9 2" xfId="39271" xr:uid="{F0345DE3-E3DE-4B8C-8567-E87014A931D9}"/>
    <cellStyle name="Linked Cell 8 2 2 3 2 9 2 2" xfId="39272" xr:uid="{3B788DC1-2C09-48A2-A75D-94D397B00766}"/>
    <cellStyle name="Linked Cell 8 2 2 3 2 9 3" xfId="39273" xr:uid="{0AB0316E-56A5-4FF7-BC7B-327C77324D5B}"/>
    <cellStyle name="Linked Cell 8 2 2 3 3" xfId="39274" xr:uid="{035433E0-DBD6-4368-B10A-FCEBE89DC33E}"/>
    <cellStyle name="Linked Cell 8 2 2 3 3 2" xfId="39275" xr:uid="{F9BBF638-3F60-44AE-BDCD-A7D3BB51906E}"/>
    <cellStyle name="Linked Cell 8 2 2 3 3 2 2" xfId="39276" xr:uid="{FB54DA3D-050B-4B96-9BC5-F9BAA8EF2F1C}"/>
    <cellStyle name="Linked Cell 8 2 2 3 3 3" xfId="39277" xr:uid="{C9BC2A46-2B52-4F23-9C27-F09EDD6218FD}"/>
    <cellStyle name="Linked Cell 8 2 2 3 4" xfId="39278" xr:uid="{A6142219-C1BD-4EF1-83A7-88AC3B9A8F56}"/>
    <cellStyle name="Linked Cell 8 2 2 3 4 2" xfId="39279" xr:uid="{07A209FC-4935-4F63-A8B9-E6A2E80B0DD4}"/>
    <cellStyle name="Linked Cell 8 2 2 3 4 2 2" xfId="39280" xr:uid="{8E23C622-CCBA-4366-827D-F596292AD3BB}"/>
    <cellStyle name="Linked Cell 8 2 2 3 4 3" xfId="39281" xr:uid="{5B34A5F6-E4FB-4641-BD82-C926D93F3947}"/>
    <cellStyle name="Linked Cell 8 2 2 3 5" xfId="39282" xr:uid="{9A10D186-B1AA-4ADB-A01B-263B26079392}"/>
    <cellStyle name="Linked Cell 8 2 2 3 5 2" xfId="39283" xr:uid="{33B40C4D-BB98-4D03-8DA2-C2AF315A41D6}"/>
    <cellStyle name="Linked Cell 8 2 2 3 5 2 2" xfId="39284" xr:uid="{13B0F73B-DF02-4021-8E27-5F62D4366DE7}"/>
    <cellStyle name="Linked Cell 8 2 2 3 5 3" xfId="39285" xr:uid="{D06E840A-0C20-413C-9902-EDBE76394F4F}"/>
    <cellStyle name="Linked Cell 8 2 2 3 6" xfId="39286" xr:uid="{48581224-36D7-44F1-A0B2-C68449022906}"/>
    <cellStyle name="Linked Cell 8 2 2 3 6 2" xfId="39287" xr:uid="{DF283A57-84C8-4788-A216-D4E9E922F356}"/>
    <cellStyle name="Linked Cell 8 2 2 3 6 2 2" xfId="39288" xr:uid="{88F8CA53-5155-47C7-B23C-CDE612AB0192}"/>
    <cellStyle name="Linked Cell 8 2 2 3 6 3" xfId="39289" xr:uid="{C4B1CD3D-3D47-4258-A339-828E4543A807}"/>
    <cellStyle name="Linked Cell 8 2 2 3 7" xfId="39290" xr:uid="{78C163AD-6C7D-4DF9-AD60-4B942362BB97}"/>
    <cellStyle name="Linked Cell 8 2 2 3 7 2" xfId="39291" xr:uid="{54CC1F06-7CE6-40DB-9AAC-32B9369151F9}"/>
    <cellStyle name="Linked Cell 8 2 2 3 7 2 2" xfId="39292" xr:uid="{EDD380FC-5A43-4918-825E-158F30A89A20}"/>
    <cellStyle name="Linked Cell 8 2 2 3 7 3" xfId="39293" xr:uid="{15547429-0D54-4843-BB7A-132C4CE154CE}"/>
    <cellStyle name="Linked Cell 8 2 2 3 8" xfId="39294" xr:uid="{7312FA09-D574-419F-A4FC-594F47392E63}"/>
    <cellStyle name="Linked Cell 8 2 2 3 8 2" xfId="39295" xr:uid="{CA3A0EB2-506F-42CF-9B29-018195E0E081}"/>
    <cellStyle name="Linked Cell 8 2 2 3 8 2 2" xfId="39296" xr:uid="{14CA3865-55BD-482A-8E2A-2D2B638DD7B9}"/>
    <cellStyle name="Linked Cell 8 2 2 3 8 3" xfId="39297" xr:uid="{AE3E3E0C-6313-47B0-B13E-FCBC71527873}"/>
    <cellStyle name="Linked Cell 8 2 2 3 9" xfId="39298" xr:uid="{8DAAFB9F-DCA7-4D92-8BC4-4F213548E2C6}"/>
    <cellStyle name="Linked Cell 8 2 2 3 9 2" xfId="39299" xr:uid="{1B721439-47C7-4DAE-A2ED-D89DEBEE002A}"/>
    <cellStyle name="Linked Cell 8 2 2 3 9 2 2" xfId="39300" xr:uid="{0C4A796E-80E4-49CC-9153-75AC3DA0605B}"/>
    <cellStyle name="Linked Cell 8 2 2 3 9 3" xfId="39301" xr:uid="{A8E9B96A-A8A3-4C82-B57A-73521947B346}"/>
    <cellStyle name="Linked Cell 8 2 2 4" xfId="39302" xr:uid="{594C300D-55B0-417D-B8EE-8DF6C389B4B6}"/>
    <cellStyle name="Linked Cell 8 2 2 4 10" xfId="39303" xr:uid="{03571822-08E0-4032-BE77-F25A0814B262}"/>
    <cellStyle name="Linked Cell 8 2 2 4 10 2" xfId="39304" xr:uid="{CB365396-0152-4418-835B-293545E4CD2F}"/>
    <cellStyle name="Linked Cell 8 2 2 4 11" xfId="39305" xr:uid="{53852A5E-C107-4C3D-A842-AC95C75C4282}"/>
    <cellStyle name="Linked Cell 8 2 2 4 2" xfId="39306" xr:uid="{B51A897A-1845-4509-993E-532FA21C8CB2}"/>
    <cellStyle name="Linked Cell 8 2 2 4 2 2" xfId="39307" xr:uid="{9128FE88-C862-490E-9EA9-4ED50771FDED}"/>
    <cellStyle name="Linked Cell 8 2 2 4 2 2 2" xfId="39308" xr:uid="{2A4CC0E9-42AD-40DA-8B61-8FFD7FCF6BE6}"/>
    <cellStyle name="Linked Cell 8 2 2 4 2 3" xfId="39309" xr:uid="{CA3DB735-A527-407B-BDC5-806C3D046AE0}"/>
    <cellStyle name="Linked Cell 8 2 2 4 3" xfId="39310" xr:uid="{7E9AD11A-129E-46ED-8A9F-AABB1226EC83}"/>
    <cellStyle name="Linked Cell 8 2 2 4 3 2" xfId="39311" xr:uid="{BE0991AA-BEE8-422A-8397-3F2F5A53D381}"/>
    <cellStyle name="Linked Cell 8 2 2 4 3 2 2" xfId="39312" xr:uid="{40241ED2-D880-43F2-880F-503A739A667C}"/>
    <cellStyle name="Linked Cell 8 2 2 4 3 3" xfId="39313" xr:uid="{3D3C6AB5-8CDF-40F1-94EE-6449D6042476}"/>
    <cellStyle name="Linked Cell 8 2 2 4 4" xfId="39314" xr:uid="{63610A5C-94BE-442E-BED9-0D1561FF1325}"/>
    <cellStyle name="Linked Cell 8 2 2 4 4 2" xfId="39315" xr:uid="{32582B17-A6BB-45BB-BE63-2EF1E6B93930}"/>
    <cellStyle name="Linked Cell 8 2 2 4 4 2 2" xfId="39316" xr:uid="{AD3512AE-1FE3-4325-8990-C6FCDC52DFAB}"/>
    <cellStyle name="Linked Cell 8 2 2 4 4 3" xfId="39317" xr:uid="{B4FF85C7-F9C7-4E04-AF67-FED0E969F41F}"/>
    <cellStyle name="Linked Cell 8 2 2 4 5" xfId="39318" xr:uid="{16E359AB-80EA-4029-A4A0-2B85EC09EB4A}"/>
    <cellStyle name="Linked Cell 8 2 2 4 5 2" xfId="39319" xr:uid="{5005B3AB-38E2-45C8-A5E3-3ABCC8B0C62E}"/>
    <cellStyle name="Linked Cell 8 2 2 4 5 2 2" xfId="39320" xr:uid="{6B4B05B2-6FC4-4B06-BB4C-296B565C6ACB}"/>
    <cellStyle name="Linked Cell 8 2 2 4 5 3" xfId="39321" xr:uid="{9DF80959-297E-453C-81AA-622FF67DFFC6}"/>
    <cellStyle name="Linked Cell 8 2 2 4 6" xfId="39322" xr:uid="{943D9C5D-A4EE-4B35-A511-E7898C97681A}"/>
    <cellStyle name="Linked Cell 8 2 2 4 6 2" xfId="39323" xr:uid="{676844F5-5240-4932-9E05-B1A539575A68}"/>
    <cellStyle name="Linked Cell 8 2 2 4 6 2 2" xfId="39324" xr:uid="{8C798383-688E-4081-A48D-C9DCD3BED108}"/>
    <cellStyle name="Linked Cell 8 2 2 4 6 3" xfId="39325" xr:uid="{DCE52EB6-9E3F-4FD3-A919-4F2C17C4D685}"/>
    <cellStyle name="Linked Cell 8 2 2 4 7" xfId="39326" xr:uid="{C19E795D-8ACB-457D-811E-1B17C414E012}"/>
    <cellStyle name="Linked Cell 8 2 2 4 7 2" xfId="39327" xr:uid="{84740D37-2637-41BB-82CD-7C6614469B73}"/>
    <cellStyle name="Linked Cell 8 2 2 4 7 2 2" xfId="39328" xr:uid="{F668B456-71F4-4BBC-8943-C1F03C9D5214}"/>
    <cellStyle name="Linked Cell 8 2 2 4 7 3" xfId="39329" xr:uid="{BB554B86-BA99-4A1F-AC50-E92AEEFF05C8}"/>
    <cellStyle name="Linked Cell 8 2 2 4 8" xfId="39330" xr:uid="{F4CFE56E-42C0-4B7B-A876-E4CB28B47267}"/>
    <cellStyle name="Linked Cell 8 2 2 4 8 2" xfId="39331" xr:uid="{F9046033-C10B-46C9-876A-3497415DEE0B}"/>
    <cellStyle name="Linked Cell 8 2 2 4 8 2 2" xfId="39332" xr:uid="{2D2C0B96-E53E-4448-A4B7-98D742C6E898}"/>
    <cellStyle name="Linked Cell 8 2 2 4 8 3" xfId="39333" xr:uid="{927333AE-39CD-4890-8896-7547585A4B21}"/>
    <cellStyle name="Linked Cell 8 2 2 4 9" xfId="39334" xr:uid="{35702238-EBAC-4AA8-AA1D-8803E84D809C}"/>
    <cellStyle name="Linked Cell 8 2 2 4 9 2" xfId="39335" xr:uid="{1CD5CB00-B62F-49F2-AB43-DCA4575066DA}"/>
    <cellStyle name="Linked Cell 8 2 2 4 9 2 2" xfId="39336" xr:uid="{67140E86-C98B-41F9-98C2-A8D92390B361}"/>
    <cellStyle name="Linked Cell 8 2 2 4 9 3" xfId="39337" xr:uid="{3676592A-ADCF-4B76-8BB0-F205C3F928E6}"/>
    <cellStyle name="Linked Cell 8 2 2 5" xfId="39338" xr:uid="{B1400490-9904-4205-B994-B6AFED06D5D0}"/>
    <cellStyle name="Linked Cell 8 2 2 5 2" xfId="39339" xr:uid="{36986F0A-5B0E-4A47-8C74-0B87A60414BE}"/>
    <cellStyle name="Linked Cell 8 2 2 5 2 2" xfId="39340" xr:uid="{E58961EC-A141-4554-82FE-915C83C688CC}"/>
    <cellStyle name="Linked Cell 8 2 2 5 3" xfId="39341" xr:uid="{0FFB6430-0163-4D2A-A51A-0148866B7F0B}"/>
    <cellStyle name="Linked Cell 8 2 2 6" xfId="39342" xr:uid="{3C13DC7C-D678-49F3-8005-D5F6CDCE24FD}"/>
    <cellStyle name="Linked Cell 8 2 2 6 2" xfId="39343" xr:uid="{2975E85F-AA4A-45B3-8981-35C1FB9A1EBE}"/>
    <cellStyle name="Linked Cell 8 2 2 6 2 2" xfId="39344" xr:uid="{1B1540B4-C5B2-4FED-835E-28FC571EC39A}"/>
    <cellStyle name="Linked Cell 8 2 2 6 3" xfId="39345" xr:uid="{4848FFB1-2165-4E2F-9AFF-D1E50358630E}"/>
    <cellStyle name="Linked Cell 8 2 2 7" xfId="39346" xr:uid="{48342AFF-1022-481F-BD44-B3A360AAF53B}"/>
    <cellStyle name="Linked Cell 8 2 2 7 2" xfId="39347" xr:uid="{37A02DA8-DEA2-44AA-AFC9-487E0F41C490}"/>
    <cellStyle name="Linked Cell 8 2 2 7 2 2" xfId="39348" xr:uid="{D6FB21A0-CFC8-4E52-B70E-630989FFA2E2}"/>
    <cellStyle name="Linked Cell 8 2 2 7 3" xfId="39349" xr:uid="{BD5FC1BA-2590-4572-850F-5B0967393950}"/>
    <cellStyle name="Linked Cell 8 2 2 8" xfId="39350" xr:uid="{D93DD89E-6371-4D11-8C6F-DC4F10793586}"/>
    <cellStyle name="Linked Cell 8 2 2 8 2" xfId="39351" xr:uid="{9F77DE04-C2EA-486B-B24E-CE336900EA5F}"/>
    <cellStyle name="Linked Cell 8 2 2 8 2 2" xfId="39352" xr:uid="{35ECC950-367C-43D0-BCB7-5DEE8D8B512B}"/>
    <cellStyle name="Linked Cell 8 2 2 8 3" xfId="39353" xr:uid="{67750C39-6F05-4B59-BA3E-5745FAEAE331}"/>
    <cellStyle name="Linked Cell 8 2 2 9" xfId="39354" xr:uid="{56E003E6-2AC5-4D0D-B786-4FC541ECA148}"/>
    <cellStyle name="Linked Cell 8 2 2 9 2" xfId="39355" xr:uid="{102E8114-F617-4B9D-B09E-EBD5309C4ED9}"/>
    <cellStyle name="Linked Cell 8 2 2 9 2 2" xfId="39356" xr:uid="{D6E300C3-2130-4F90-ACE9-98C1FF536654}"/>
    <cellStyle name="Linked Cell 8 2 2 9 3" xfId="39357" xr:uid="{F1CF7355-0CF0-4218-B0BB-32773FE8ACEA}"/>
    <cellStyle name="Linked Cell 8 2 3" xfId="39358" xr:uid="{B7739AC9-D11B-4AAC-901A-A6D4A27B346D}"/>
    <cellStyle name="Linked Cell 8 2 3 10" xfId="39359" xr:uid="{A2DDDD68-BEDB-491C-AC0E-B5594721D660}"/>
    <cellStyle name="Linked Cell 8 2 3 10 2" xfId="39360" xr:uid="{52A24DD2-C5A0-4BF2-BA65-B634E10F6133}"/>
    <cellStyle name="Linked Cell 8 2 3 10 2 2" xfId="39361" xr:uid="{5212ECD4-3F58-4397-9DD3-4F91766EE3F5}"/>
    <cellStyle name="Linked Cell 8 2 3 10 3" xfId="39362" xr:uid="{4958583B-AAF8-44C7-B2EE-88792F9214C7}"/>
    <cellStyle name="Linked Cell 8 2 3 11" xfId="39363" xr:uid="{AC7F174A-7EA1-4CB9-A1CA-F55B1143F7D9}"/>
    <cellStyle name="Linked Cell 8 2 3 11 2" xfId="39364" xr:uid="{396331BB-D1EA-494D-A704-07B61F830409}"/>
    <cellStyle name="Linked Cell 8 2 3 11 2 2" xfId="39365" xr:uid="{6D8F21A4-0011-43C0-8421-A52150230529}"/>
    <cellStyle name="Linked Cell 8 2 3 11 3" xfId="39366" xr:uid="{5A3B361F-C433-465D-A4A6-4480091329F5}"/>
    <cellStyle name="Linked Cell 8 2 3 12" xfId="39367" xr:uid="{57708579-F074-476C-A21C-303AAC216D15}"/>
    <cellStyle name="Linked Cell 8 2 3 12 2" xfId="39368" xr:uid="{CBE846FA-EDD1-40A8-B2A1-7D807EE6D16A}"/>
    <cellStyle name="Linked Cell 8 2 3 13" xfId="39369" xr:uid="{C300404B-7D0E-4965-A673-9AFFA57F6AA6}"/>
    <cellStyle name="Linked Cell 8 2 3 2" xfId="39370" xr:uid="{7117320D-D71E-49CA-9AE0-437651E986C5}"/>
    <cellStyle name="Linked Cell 8 2 3 2 10" xfId="39371" xr:uid="{4BD79848-6466-4AA5-BA46-1457045B10DA}"/>
    <cellStyle name="Linked Cell 8 2 3 2 10 2" xfId="39372" xr:uid="{681854AD-111F-4BA0-82D7-81792F94D3EE}"/>
    <cellStyle name="Linked Cell 8 2 3 2 10 2 2" xfId="39373" xr:uid="{A444D98C-A2B1-43BB-8678-DD30898F6A1C}"/>
    <cellStyle name="Linked Cell 8 2 3 2 10 3" xfId="39374" xr:uid="{2BFAC265-A87C-4068-A8DE-928B72220380}"/>
    <cellStyle name="Linked Cell 8 2 3 2 11" xfId="39375" xr:uid="{2273FBC9-5A29-46F1-BBE4-47027CB05463}"/>
    <cellStyle name="Linked Cell 8 2 3 2 11 2" xfId="39376" xr:uid="{E13A37DA-3B47-4A19-BCEF-D3C82FD2ECA0}"/>
    <cellStyle name="Linked Cell 8 2 3 2 12" xfId="39377" xr:uid="{EF4D3478-3A8C-437A-A92A-4BB6F5EC6878}"/>
    <cellStyle name="Linked Cell 8 2 3 2 2" xfId="39378" xr:uid="{4EF4FFBB-4C53-4946-ABAF-83EFA5B4B89E}"/>
    <cellStyle name="Linked Cell 8 2 3 2 2 2" xfId="39379" xr:uid="{682DA83D-207A-4142-9F7A-BEB522638A0A}"/>
    <cellStyle name="Linked Cell 8 2 3 2 2 2 2" xfId="39380" xr:uid="{389A3393-0F7C-4B01-9DA8-9A7FCC519743}"/>
    <cellStyle name="Linked Cell 8 2 3 2 2 3" xfId="39381" xr:uid="{5A5A8C64-334D-42F6-9A62-F294C5219320}"/>
    <cellStyle name="Linked Cell 8 2 3 2 3" xfId="39382" xr:uid="{DAD92DA9-5C0A-40B3-A6CE-58D75F54C9CD}"/>
    <cellStyle name="Linked Cell 8 2 3 2 3 2" xfId="39383" xr:uid="{B257A3D8-10E5-4BCA-8979-5D1A6AC1DA2C}"/>
    <cellStyle name="Linked Cell 8 2 3 2 3 2 2" xfId="39384" xr:uid="{772E0059-2F34-4E83-AA86-40DB4845A6A3}"/>
    <cellStyle name="Linked Cell 8 2 3 2 3 3" xfId="39385" xr:uid="{0774547B-D010-43E6-8730-2A666AB79F13}"/>
    <cellStyle name="Linked Cell 8 2 3 2 4" xfId="39386" xr:uid="{9CF42E11-FDE7-449E-AD56-6A6179E34A25}"/>
    <cellStyle name="Linked Cell 8 2 3 2 4 2" xfId="39387" xr:uid="{5FB7D485-56CA-449C-8002-8231F1F51746}"/>
    <cellStyle name="Linked Cell 8 2 3 2 4 2 2" xfId="39388" xr:uid="{9CA81B19-A7C1-460E-B18E-9182B0CF6C8F}"/>
    <cellStyle name="Linked Cell 8 2 3 2 4 3" xfId="39389" xr:uid="{B1808837-5FDE-4E15-A2C4-3180E490BE01}"/>
    <cellStyle name="Linked Cell 8 2 3 2 5" xfId="39390" xr:uid="{2A1DBE61-7C4C-4082-9687-5673981F5B76}"/>
    <cellStyle name="Linked Cell 8 2 3 2 5 2" xfId="39391" xr:uid="{E18C7416-7F21-461D-91CC-6F2666A7AA2A}"/>
    <cellStyle name="Linked Cell 8 2 3 2 5 2 2" xfId="39392" xr:uid="{F12E3127-DC80-4514-BBB2-F08EB56F3157}"/>
    <cellStyle name="Linked Cell 8 2 3 2 5 3" xfId="39393" xr:uid="{5BA27B5B-EC73-4046-AD2E-BD7FE2CDC2DA}"/>
    <cellStyle name="Linked Cell 8 2 3 2 6" xfId="39394" xr:uid="{5FC863E0-E5AF-4038-BC21-3767B3AD8D01}"/>
    <cellStyle name="Linked Cell 8 2 3 2 6 2" xfId="39395" xr:uid="{D6FC0278-425A-4AC2-8E87-37C415F781D4}"/>
    <cellStyle name="Linked Cell 8 2 3 2 6 2 2" xfId="39396" xr:uid="{60DDD716-E592-4A6C-AE70-96B530AFDC10}"/>
    <cellStyle name="Linked Cell 8 2 3 2 6 3" xfId="39397" xr:uid="{AA812D22-59B0-49D0-AC54-BE45DBAA0617}"/>
    <cellStyle name="Linked Cell 8 2 3 2 7" xfId="39398" xr:uid="{DBD165AC-A5C6-46A2-84CF-46A9B321D865}"/>
    <cellStyle name="Linked Cell 8 2 3 2 7 2" xfId="39399" xr:uid="{9468DDB6-77AD-45C9-AD7A-CE9653807875}"/>
    <cellStyle name="Linked Cell 8 2 3 2 7 2 2" xfId="39400" xr:uid="{367237CC-03AA-4C59-8E62-2F9E812B5F15}"/>
    <cellStyle name="Linked Cell 8 2 3 2 7 3" xfId="39401" xr:uid="{BA5F7E39-9828-4D71-849B-A7AE4EFFE922}"/>
    <cellStyle name="Linked Cell 8 2 3 2 8" xfId="39402" xr:uid="{3E8D3B51-21F8-4DE1-92D3-C550BCBD6E42}"/>
    <cellStyle name="Linked Cell 8 2 3 2 8 2" xfId="39403" xr:uid="{E3E8C8AB-1BCA-479F-8493-37D9C335AE59}"/>
    <cellStyle name="Linked Cell 8 2 3 2 8 2 2" xfId="39404" xr:uid="{11E273E3-7FE2-492B-8B4E-F9D3095EBCFF}"/>
    <cellStyle name="Linked Cell 8 2 3 2 8 3" xfId="39405" xr:uid="{9D05EC97-6626-4BBE-AE1B-CE5426227C89}"/>
    <cellStyle name="Linked Cell 8 2 3 2 9" xfId="39406" xr:uid="{CE33F129-0445-4153-8F7C-BB997D79D429}"/>
    <cellStyle name="Linked Cell 8 2 3 2 9 2" xfId="39407" xr:uid="{C5B1D2F9-2A36-4BF2-90D0-F476B2B9BDBB}"/>
    <cellStyle name="Linked Cell 8 2 3 2 9 2 2" xfId="39408" xr:uid="{CFA09F2D-1567-460C-B50E-994C22D04C4D}"/>
    <cellStyle name="Linked Cell 8 2 3 2 9 3" xfId="39409" xr:uid="{7967851E-5680-444C-BCD1-4556ED875FAC}"/>
    <cellStyle name="Linked Cell 8 2 3 3" xfId="39410" xr:uid="{7696E3E5-4941-442A-9CE4-972B783DED05}"/>
    <cellStyle name="Linked Cell 8 2 3 3 10" xfId="39411" xr:uid="{3212890D-B1E3-463B-810A-A2444E02E97A}"/>
    <cellStyle name="Linked Cell 8 2 3 3 10 2" xfId="39412" xr:uid="{EFB2F0A0-7395-421F-A767-CB233D10D7FB}"/>
    <cellStyle name="Linked Cell 8 2 3 3 11" xfId="39413" xr:uid="{E9BC2121-6B52-41E0-A78A-9359EA5A58D9}"/>
    <cellStyle name="Linked Cell 8 2 3 3 2" xfId="39414" xr:uid="{0988C45B-02E0-425C-B037-6EBE40F60552}"/>
    <cellStyle name="Linked Cell 8 2 3 3 2 2" xfId="39415" xr:uid="{47003695-34B0-4D3E-9E2C-7B615B3AAF84}"/>
    <cellStyle name="Linked Cell 8 2 3 3 2 2 2" xfId="39416" xr:uid="{62C14F2C-EDF6-43A0-AAA0-FA79F89C4779}"/>
    <cellStyle name="Linked Cell 8 2 3 3 2 3" xfId="39417" xr:uid="{B25A6A5A-88B6-44E3-93B2-D2870CF9167E}"/>
    <cellStyle name="Linked Cell 8 2 3 3 3" xfId="39418" xr:uid="{808D2323-648D-461B-95D6-5D9019C55F9A}"/>
    <cellStyle name="Linked Cell 8 2 3 3 3 2" xfId="39419" xr:uid="{80AF2163-041F-4771-A85E-E184A213F549}"/>
    <cellStyle name="Linked Cell 8 2 3 3 3 2 2" xfId="39420" xr:uid="{165E66F7-3603-4675-8373-01AF521D7261}"/>
    <cellStyle name="Linked Cell 8 2 3 3 3 3" xfId="39421" xr:uid="{2D5CF48F-2C9B-4A58-9873-8E7A2FD5B127}"/>
    <cellStyle name="Linked Cell 8 2 3 3 4" xfId="39422" xr:uid="{E5E5DAE6-26B4-448B-B0FB-2DD2F6AB5810}"/>
    <cellStyle name="Linked Cell 8 2 3 3 4 2" xfId="39423" xr:uid="{B69F6F66-C4C5-4B91-8A35-CCCEFB1608B1}"/>
    <cellStyle name="Linked Cell 8 2 3 3 4 2 2" xfId="39424" xr:uid="{4FA74620-6995-44D1-A872-09AD23D3AEB8}"/>
    <cellStyle name="Linked Cell 8 2 3 3 4 3" xfId="39425" xr:uid="{746A600E-CAF5-4903-95AD-758D9AA549EF}"/>
    <cellStyle name="Linked Cell 8 2 3 3 5" xfId="39426" xr:uid="{F3C0DC19-7E25-46C1-BD95-6E86A515BFA5}"/>
    <cellStyle name="Linked Cell 8 2 3 3 5 2" xfId="39427" xr:uid="{023CD3F3-574F-4D81-BC91-CEC9425D2A67}"/>
    <cellStyle name="Linked Cell 8 2 3 3 5 2 2" xfId="39428" xr:uid="{C7505576-10C4-454E-9885-8828DB2D1E9B}"/>
    <cellStyle name="Linked Cell 8 2 3 3 5 3" xfId="39429" xr:uid="{A12AE93E-469A-4BB5-9F96-18062D79C11F}"/>
    <cellStyle name="Linked Cell 8 2 3 3 6" xfId="39430" xr:uid="{5AD3EAE3-8DFE-43D7-9E2F-E3AF4E23AF49}"/>
    <cellStyle name="Linked Cell 8 2 3 3 6 2" xfId="39431" xr:uid="{DEC8F1E1-D1EA-4BE9-B78B-FC54F1CF3278}"/>
    <cellStyle name="Linked Cell 8 2 3 3 6 2 2" xfId="39432" xr:uid="{EA982F06-FCE2-49BB-81F9-E030DA394A3F}"/>
    <cellStyle name="Linked Cell 8 2 3 3 6 3" xfId="39433" xr:uid="{DCE68336-6004-47EE-9CAB-7C504A704242}"/>
    <cellStyle name="Linked Cell 8 2 3 3 7" xfId="39434" xr:uid="{EADB6E08-F7F9-4D46-905D-CD015185D4A7}"/>
    <cellStyle name="Linked Cell 8 2 3 3 7 2" xfId="39435" xr:uid="{074E66D0-9F50-431C-AD80-3FB00B9534D2}"/>
    <cellStyle name="Linked Cell 8 2 3 3 7 2 2" xfId="39436" xr:uid="{5A1E6BEB-4744-4F18-8747-6032EA4546DC}"/>
    <cellStyle name="Linked Cell 8 2 3 3 7 3" xfId="39437" xr:uid="{48B00E90-4E03-4CA9-BC7A-BD67B80FCBB1}"/>
    <cellStyle name="Linked Cell 8 2 3 3 8" xfId="39438" xr:uid="{81321146-EC62-45ED-A0A8-4C0A1AF2AB07}"/>
    <cellStyle name="Linked Cell 8 2 3 3 8 2" xfId="39439" xr:uid="{96F32D6C-43AE-4D5E-A43F-7AD0F23CDB19}"/>
    <cellStyle name="Linked Cell 8 2 3 3 8 2 2" xfId="39440" xr:uid="{AAF0BAC5-58BB-458B-B87A-DF194D057A7A}"/>
    <cellStyle name="Linked Cell 8 2 3 3 8 3" xfId="39441" xr:uid="{3A7403FA-F030-478A-B052-A5BF937A1F33}"/>
    <cellStyle name="Linked Cell 8 2 3 3 9" xfId="39442" xr:uid="{CFE03355-68EF-4442-93AF-BED6A423FF27}"/>
    <cellStyle name="Linked Cell 8 2 3 3 9 2" xfId="39443" xr:uid="{12199A61-7EB6-426B-BD94-DC00C8D222CA}"/>
    <cellStyle name="Linked Cell 8 2 3 3 9 2 2" xfId="39444" xr:uid="{E49E5C05-1F6D-4692-A884-B380250BDAAC}"/>
    <cellStyle name="Linked Cell 8 2 3 3 9 3" xfId="39445" xr:uid="{41A5754D-6350-424F-8A66-322222C0525E}"/>
    <cellStyle name="Linked Cell 8 2 3 4" xfId="39446" xr:uid="{B893294E-1CD9-416A-A581-1244528F5609}"/>
    <cellStyle name="Linked Cell 8 2 3 4 2" xfId="39447" xr:uid="{53B25014-1177-4BDF-BA67-7DA6A6FE28C0}"/>
    <cellStyle name="Linked Cell 8 2 3 4 2 2" xfId="39448" xr:uid="{B24D196D-7851-4980-B1AE-467B5D7E1B9B}"/>
    <cellStyle name="Linked Cell 8 2 3 4 3" xfId="39449" xr:uid="{42F45B02-BE71-4653-BAF3-CF4C3C6CD734}"/>
    <cellStyle name="Linked Cell 8 2 3 5" xfId="39450" xr:uid="{FAA73244-3F7C-458F-8AE2-20E2C7F43AAE}"/>
    <cellStyle name="Linked Cell 8 2 3 5 2" xfId="39451" xr:uid="{19982083-1A13-4916-8227-8FE74F7AD4AF}"/>
    <cellStyle name="Linked Cell 8 2 3 5 2 2" xfId="39452" xr:uid="{AF471676-A9EC-4133-9488-CAC69F808DCA}"/>
    <cellStyle name="Linked Cell 8 2 3 5 3" xfId="39453" xr:uid="{B3B30A32-FF92-4791-8441-690132B87E23}"/>
    <cellStyle name="Linked Cell 8 2 3 6" xfId="39454" xr:uid="{B113B101-A8B2-4F99-8C02-B2F1E67250C1}"/>
    <cellStyle name="Linked Cell 8 2 3 6 2" xfId="39455" xr:uid="{DE5EB9F4-D7F7-4F95-9872-FF799501FF26}"/>
    <cellStyle name="Linked Cell 8 2 3 6 2 2" xfId="39456" xr:uid="{C9403089-BF7A-4BD4-A460-4EA7F93FB040}"/>
    <cellStyle name="Linked Cell 8 2 3 6 3" xfId="39457" xr:uid="{F6E3EA51-D7A6-46DF-82BB-8566414B21A4}"/>
    <cellStyle name="Linked Cell 8 2 3 7" xfId="39458" xr:uid="{ACD5E571-D0DD-4B8A-B62C-AE557896620B}"/>
    <cellStyle name="Linked Cell 8 2 3 7 2" xfId="39459" xr:uid="{74C0EC0C-BDE7-4509-9563-EAA6A676AC09}"/>
    <cellStyle name="Linked Cell 8 2 3 7 2 2" xfId="39460" xr:uid="{E579063E-BDA9-45AE-A23F-68C22CCDF325}"/>
    <cellStyle name="Linked Cell 8 2 3 7 3" xfId="39461" xr:uid="{43B7AC84-4125-4C89-A0C7-C51DD7E822E8}"/>
    <cellStyle name="Linked Cell 8 2 3 8" xfId="39462" xr:uid="{5649FF03-6B47-4656-9529-3386880DB153}"/>
    <cellStyle name="Linked Cell 8 2 3 8 2" xfId="39463" xr:uid="{C25F33B0-A6B6-467E-BC9B-54E94D2382F8}"/>
    <cellStyle name="Linked Cell 8 2 3 8 2 2" xfId="39464" xr:uid="{B1A4D1DD-1584-422E-BA8C-DE027295ADF2}"/>
    <cellStyle name="Linked Cell 8 2 3 8 3" xfId="39465" xr:uid="{5AF39740-E5F5-4696-87A2-123802BB91F4}"/>
    <cellStyle name="Linked Cell 8 2 3 9" xfId="39466" xr:uid="{17BAF51B-61BB-486A-8522-236AADDC29E7}"/>
    <cellStyle name="Linked Cell 8 2 3 9 2" xfId="39467" xr:uid="{4B06414B-DCC8-4FB9-B509-50A7A4B2A435}"/>
    <cellStyle name="Linked Cell 8 2 3 9 2 2" xfId="39468" xr:uid="{11D19FA1-788D-4492-8B65-75BF3060FD82}"/>
    <cellStyle name="Linked Cell 8 2 3 9 3" xfId="39469" xr:uid="{64CD1B6D-6F1B-4C56-A27F-5F4A1E61380A}"/>
    <cellStyle name="Linked Cell 8 2 4" xfId="39470" xr:uid="{E56FA0BB-FF08-4D1A-8939-5794EA003DC4}"/>
    <cellStyle name="Linked Cell 8 2 4 10" xfId="39471" xr:uid="{0646ECC1-221B-403E-8650-E188635ADB0D}"/>
    <cellStyle name="Linked Cell 8 2 4 10 2" xfId="39472" xr:uid="{8DA0422D-E6FE-4A66-A1E5-964BD44ED13A}"/>
    <cellStyle name="Linked Cell 8 2 4 10 2 2" xfId="39473" xr:uid="{09810E4C-4180-494B-BCEA-916C9B304957}"/>
    <cellStyle name="Linked Cell 8 2 4 10 3" xfId="39474" xr:uid="{3142541B-59E0-40F8-9DB1-1E5D998540CC}"/>
    <cellStyle name="Linked Cell 8 2 4 11" xfId="39475" xr:uid="{30F17C0D-B967-4AD1-87E3-27FF64338786}"/>
    <cellStyle name="Linked Cell 8 2 4 11 2" xfId="39476" xr:uid="{1A628503-5EC7-41D0-9054-9EDEAFB984EA}"/>
    <cellStyle name="Linked Cell 8 2 4 12" xfId="39477" xr:uid="{31D3FA68-2D4E-4405-A2A5-D44E3F6FA2DF}"/>
    <cellStyle name="Linked Cell 8 2 4 2" xfId="39478" xr:uid="{5FFD77D9-17EC-46E3-9A0C-55FC10933CAA}"/>
    <cellStyle name="Linked Cell 8 2 4 2 10" xfId="39479" xr:uid="{522CFDE0-79E7-4562-B060-0DCE9A0B235F}"/>
    <cellStyle name="Linked Cell 8 2 4 2 10 2" xfId="39480" xr:uid="{53F04711-E5EA-4B81-BFD1-15F5BEC733A8}"/>
    <cellStyle name="Linked Cell 8 2 4 2 11" xfId="39481" xr:uid="{831D639D-D257-46F0-A8A8-D9E525C893C0}"/>
    <cellStyle name="Linked Cell 8 2 4 2 2" xfId="39482" xr:uid="{1AB732BE-AD08-4E87-ADA4-81B113D62230}"/>
    <cellStyle name="Linked Cell 8 2 4 2 2 2" xfId="39483" xr:uid="{55E29333-1910-4CED-8510-EBC5100882D3}"/>
    <cellStyle name="Linked Cell 8 2 4 2 2 2 2" xfId="39484" xr:uid="{802BC045-910C-44FE-A552-C86A9DD6FAD2}"/>
    <cellStyle name="Linked Cell 8 2 4 2 2 3" xfId="39485" xr:uid="{EB6DEFA5-B90B-432E-84F3-91A517A3F326}"/>
    <cellStyle name="Linked Cell 8 2 4 2 3" xfId="39486" xr:uid="{CF543AC0-0EA5-4C90-99CA-FFE982ABA679}"/>
    <cellStyle name="Linked Cell 8 2 4 2 3 2" xfId="39487" xr:uid="{AF7E7707-2E3B-4327-8FA5-D031F45AA052}"/>
    <cellStyle name="Linked Cell 8 2 4 2 3 2 2" xfId="39488" xr:uid="{19A4FC07-5CEA-4433-AC98-FDD4FE6DB617}"/>
    <cellStyle name="Linked Cell 8 2 4 2 3 3" xfId="39489" xr:uid="{3317E50D-48A0-4F5E-A05D-42B14D918784}"/>
    <cellStyle name="Linked Cell 8 2 4 2 4" xfId="39490" xr:uid="{89732E60-2267-4F03-A514-80650E45CD06}"/>
    <cellStyle name="Linked Cell 8 2 4 2 4 2" xfId="39491" xr:uid="{96CAFB53-28CA-49CE-9927-1036BB2AF3D0}"/>
    <cellStyle name="Linked Cell 8 2 4 2 4 2 2" xfId="39492" xr:uid="{D2663CC8-D8C2-4987-BCB5-F4F061C0875C}"/>
    <cellStyle name="Linked Cell 8 2 4 2 4 3" xfId="39493" xr:uid="{007CE086-DAA5-4C09-ADF2-0B2E53DA2FFD}"/>
    <cellStyle name="Linked Cell 8 2 4 2 5" xfId="39494" xr:uid="{D23EE3A6-4338-4182-A92D-C87AE4217EF3}"/>
    <cellStyle name="Linked Cell 8 2 4 2 5 2" xfId="39495" xr:uid="{7858472F-43B3-4F36-9044-3D7A3FBE7C27}"/>
    <cellStyle name="Linked Cell 8 2 4 2 5 2 2" xfId="39496" xr:uid="{7596A838-5E4F-45D0-9EA4-7178F5BA31FC}"/>
    <cellStyle name="Linked Cell 8 2 4 2 5 3" xfId="39497" xr:uid="{3574DE64-C218-4267-BD48-67606261BD19}"/>
    <cellStyle name="Linked Cell 8 2 4 2 6" xfId="39498" xr:uid="{534894B1-76A3-40B0-B40D-3A2667D851C4}"/>
    <cellStyle name="Linked Cell 8 2 4 2 6 2" xfId="39499" xr:uid="{B1660F67-E1C7-42FF-AD9F-AB55FE15FC0B}"/>
    <cellStyle name="Linked Cell 8 2 4 2 6 2 2" xfId="39500" xr:uid="{E9D0E1A2-8F7E-4B04-B45A-AF088038CDE5}"/>
    <cellStyle name="Linked Cell 8 2 4 2 6 3" xfId="39501" xr:uid="{D830ADDA-CF05-491E-9003-F780D1C59463}"/>
    <cellStyle name="Linked Cell 8 2 4 2 7" xfId="39502" xr:uid="{54ED3071-B684-4FA4-B33A-2C3DC3863535}"/>
    <cellStyle name="Linked Cell 8 2 4 2 7 2" xfId="39503" xr:uid="{D2E640B3-996E-4CE3-8920-1CF380B87C9E}"/>
    <cellStyle name="Linked Cell 8 2 4 2 7 2 2" xfId="39504" xr:uid="{F071A72A-041F-4F24-82F2-9F297AA94AC0}"/>
    <cellStyle name="Linked Cell 8 2 4 2 7 3" xfId="39505" xr:uid="{EC5252ED-0ECB-47C4-986C-0743279F755F}"/>
    <cellStyle name="Linked Cell 8 2 4 2 8" xfId="39506" xr:uid="{96D24B81-EB01-4CBF-B4C2-5FA963554DBD}"/>
    <cellStyle name="Linked Cell 8 2 4 2 8 2" xfId="39507" xr:uid="{36256C90-F581-4A73-88A7-7B207583DFFC}"/>
    <cellStyle name="Linked Cell 8 2 4 2 8 2 2" xfId="39508" xr:uid="{0680702B-FB63-4BD1-A87F-9DDB9B82126E}"/>
    <cellStyle name="Linked Cell 8 2 4 2 8 3" xfId="39509" xr:uid="{C5E93041-FEBD-4BA8-ACB8-808A1AA822F0}"/>
    <cellStyle name="Linked Cell 8 2 4 2 9" xfId="39510" xr:uid="{EF9DC3EE-3D6D-445E-92C7-EEBF3D96E495}"/>
    <cellStyle name="Linked Cell 8 2 4 2 9 2" xfId="39511" xr:uid="{41101254-69C4-4C9D-BFB0-C6255F30C054}"/>
    <cellStyle name="Linked Cell 8 2 4 2 9 2 2" xfId="39512" xr:uid="{F3032282-6720-44A2-8784-15F2171A312C}"/>
    <cellStyle name="Linked Cell 8 2 4 2 9 3" xfId="39513" xr:uid="{2A4CBDD3-B31D-4665-A72C-ECD2969A519A}"/>
    <cellStyle name="Linked Cell 8 2 4 3" xfId="39514" xr:uid="{13806A63-C7B4-46FC-B1A9-1D78DC6B6738}"/>
    <cellStyle name="Linked Cell 8 2 4 3 2" xfId="39515" xr:uid="{60E41229-6DB6-4E8E-A6DA-7A40C90E06CF}"/>
    <cellStyle name="Linked Cell 8 2 4 3 2 2" xfId="39516" xr:uid="{EE569BBA-6493-4528-A665-5C254D2B2F8A}"/>
    <cellStyle name="Linked Cell 8 2 4 3 3" xfId="39517" xr:uid="{3D0241E0-AA09-4FBA-ACCD-FF89F2338DC5}"/>
    <cellStyle name="Linked Cell 8 2 4 4" xfId="39518" xr:uid="{A96C757A-9F5B-46BB-A529-FD1665D8F157}"/>
    <cellStyle name="Linked Cell 8 2 4 4 2" xfId="39519" xr:uid="{B1AB23E2-5444-41C0-B129-B649C208E2A1}"/>
    <cellStyle name="Linked Cell 8 2 4 4 2 2" xfId="39520" xr:uid="{6706FF94-C23C-4D4C-8E75-E7B03B4C04DA}"/>
    <cellStyle name="Linked Cell 8 2 4 4 3" xfId="39521" xr:uid="{18F27047-BA88-4C44-ABF7-BA5AB78F391E}"/>
    <cellStyle name="Linked Cell 8 2 4 5" xfId="39522" xr:uid="{F8FCBCAA-E40B-4740-AA4D-E4CD3867F397}"/>
    <cellStyle name="Linked Cell 8 2 4 5 2" xfId="39523" xr:uid="{73EB378E-0784-498A-B51B-0FB77EF178AF}"/>
    <cellStyle name="Linked Cell 8 2 4 5 2 2" xfId="39524" xr:uid="{3194E8F5-49DA-4E24-9391-95EF0941A548}"/>
    <cellStyle name="Linked Cell 8 2 4 5 3" xfId="39525" xr:uid="{7606C621-E1DA-40AC-9495-A4353ED6A464}"/>
    <cellStyle name="Linked Cell 8 2 4 6" xfId="39526" xr:uid="{1744681F-2113-4986-9E85-836F6EDE0BA2}"/>
    <cellStyle name="Linked Cell 8 2 4 6 2" xfId="39527" xr:uid="{C536F7F9-7AD1-4CFB-8EFA-B1885C6E27C0}"/>
    <cellStyle name="Linked Cell 8 2 4 6 2 2" xfId="39528" xr:uid="{2B70367B-7F17-4801-B3D7-BFF63AEBBCC6}"/>
    <cellStyle name="Linked Cell 8 2 4 6 3" xfId="39529" xr:uid="{1D2B8EBE-5A65-4428-846B-C5520D4AF39B}"/>
    <cellStyle name="Linked Cell 8 2 4 7" xfId="39530" xr:uid="{64BA086E-C1D4-4C84-896A-BAAE1E90E349}"/>
    <cellStyle name="Linked Cell 8 2 4 7 2" xfId="39531" xr:uid="{CDF7896C-D061-4756-A7A6-C5AE55C774BB}"/>
    <cellStyle name="Linked Cell 8 2 4 7 2 2" xfId="39532" xr:uid="{B4970F51-8E8C-4240-A109-873C213FD13F}"/>
    <cellStyle name="Linked Cell 8 2 4 7 3" xfId="39533" xr:uid="{5EE008B9-657E-413E-BA1C-E1B3B466C9D2}"/>
    <cellStyle name="Linked Cell 8 2 4 8" xfId="39534" xr:uid="{016772B8-E65A-4B47-82D9-A858870DDA53}"/>
    <cellStyle name="Linked Cell 8 2 4 8 2" xfId="39535" xr:uid="{96F1A6F6-14B4-4433-8F90-1D15DABF970D}"/>
    <cellStyle name="Linked Cell 8 2 4 8 2 2" xfId="39536" xr:uid="{1B70763A-6DD2-4904-9377-04E19F0BEC6D}"/>
    <cellStyle name="Linked Cell 8 2 4 8 3" xfId="39537" xr:uid="{F2F26475-12C6-48AF-8282-446B2EF3D59B}"/>
    <cellStyle name="Linked Cell 8 2 4 9" xfId="39538" xr:uid="{07CA6C36-6E45-423A-BAC0-54B73BB5A626}"/>
    <cellStyle name="Linked Cell 8 2 4 9 2" xfId="39539" xr:uid="{F43663E8-40C9-4F2F-9CD8-37204B91FE66}"/>
    <cellStyle name="Linked Cell 8 2 4 9 2 2" xfId="39540" xr:uid="{B28265E2-8425-42DD-9DAE-4ADEA0FABA68}"/>
    <cellStyle name="Linked Cell 8 2 4 9 3" xfId="39541" xr:uid="{FB35176D-67ED-4273-9ECE-6CB5A115AD43}"/>
    <cellStyle name="Linked Cell 8 2 5" xfId="39542" xr:uid="{9577212A-67AF-427C-9557-F97EFF315039}"/>
    <cellStyle name="Linked Cell 8 2 5 10" xfId="39543" xr:uid="{1AED5C2D-58D4-45CC-821B-00CF5F240ECE}"/>
    <cellStyle name="Linked Cell 8 2 5 10 2" xfId="39544" xr:uid="{E4E9D7B1-A8C5-49E9-9309-725B2A7186B8}"/>
    <cellStyle name="Linked Cell 8 2 5 11" xfId="39545" xr:uid="{A115E26E-ACB5-4466-8765-00147D543E86}"/>
    <cellStyle name="Linked Cell 8 2 5 2" xfId="39546" xr:uid="{8157E944-40AD-4855-989B-F94FFEF821FF}"/>
    <cellStyle name="Linked Cell 8 2 5 2 2" xfId="39547" xr:uid="{08CB5EE5-BC4C-49AF-A7F0-E9482B609877}"/>
    <cellStyle name="Linked Cell 8 2 5 2 2 2" xfId="39548" xr:uid="{1052AD66-A444-4E45-AAED-3CCAFF896E1D}"/>
    <cellStyle name="Linked Cell 8 2 5 2 3" xfId="39549" xr:uid="{50FAFD33-FEB5-4374-BD39-A1BDF5F9B6BE}"/>
    <cellStyle name="Linked Cell 8 2 5 3" xfId="39550" xr:uid="{14EB9DA6-7A61-4787-923E-F25175F18EA2}"/>
    <cellStyle name="Linked Cell 8 2 5 3 2" xfId="39551" xr:uid="{46A02C9A-5E54-4A4B-9131-1DD68123B07D}"/>
    <cellStyle name="Linked Cell 8 2 5 3 2 2" xfId="39552" xr:uid="{5BF53662-44D3-46B3-8C3D-8F56E11842C4}"/>
    <cellStyle name="Linked Cell 8 2 5 3 3" xfId="39553" xr:uid="{EC068D2C-EB1C-486D-8112-D732E038E8DB}"/>
    <cellStyle name="Linked Cell 8 2 5 4" xfId="39554" xr:uid="{9D940009-1FCE-4895-86AF-1C8EA8436698}"/>
    <cellStyle name="Linked Cell 8 2 5 4 2" xfId="39555" xr:uid="{1C680623-9710-4F67-A51A-BECBB67300A2}"/>
    <cellStyle name="Linked Cell 8 2 5 4 2 2" xfId="39556" xr:uid="{1345C838-9B4B-467D-9CF3-824A01B502EF}"/>
    <cellStyle name="Linked Cell 8 2 5 4 3" xfId="39557" xr:uid="{085C724B-2721-4928-8A80-7FC616EB4FFF}"/>
    <cellStyle name="Linked Cell 8 2 5 5" xfId="39558" xr:uid="{3F42AE50-D3CB-4C7F-9E3D-1B3387ADA4BE}"/>
    <cellStyle name="Linked Cell 8 2 5 5 2" xfId="39559" xr:uid="{FB4B4BBE-8445-4308-977D-73ADAE9B02FB}"/>
    <cellStyle name="Linked Cell 8 2 5 5 2 2" xfId="39560" xr:uid="{AAF93B03-9073-4C99-BDDB-B81D96C457F5}"/>
    <cellStyle name="Linked Cell 8 2 5 5 3" xfId="39561" xr:uid="{14F8144B-9C01-4E31-BB35-E34038E182CC}"/>
    <cellStyle name="Linked Cell 8 2 5 6" xfId="39562" xr:uid="{C4F2B981-52B3-40F0-8FEE-CF38FDEDE6FB}"/>
    <cellStyle name="Linked Cell 8 2 5 6 2" xfId="39563" xr:uid="{F4C7C135-4C39-4A99-9BE9-CA113324C99D}"/>
    <cellStyle name="Linked Cell 8 2 5 6 2 2" xfId="39564" xr:uid="{03B28893-EFE5-40E8-9D62-4306C5437AF7}"/>
    <cellStyle name="Linked Cell 8 2 5 6 3" xfId="39565" xr:uid="{177DD1DA-2FF8-4109-BC87-A3279556E75F}"/>
    <cellStyle name="Linked Cell 8 2 5 7" xfId="39566" xr:uid="{59FE77C7-C017-4580-9F5F-99FA37B3EE10}"/>
    <cellStyle name="Linked Cell 8 2 5 7 2" xfId="39567" xr:uid="{5DF3B246-1C5C-416B-9F10-94BB18B2C910}"/>
    <cellStyle name="Linked Cell 8 2 5 7 2 2" xfId="39568" xr:uid="{F090FD05-3337-4742-9F46-C61917C809DA}"/>
    <cellStyle name="Linked Cell 8 2 5 7 3" xfId="39569" xr:uid="{27469BFE-A89F-41BF-98F9-D95832945512}"/>
    <cellStyle name="Linked Cell 8 2 5 8" xfId="39570" xr:uid="{0D11B920-1041-4BCC-9136-7A0D16A26F48}"/>
    <cellStyle name="Linked Cell 8 2 5 8 2" xfId="39571" xr:uid="{9BCBBEB8-BBE9-475D-B2CA-B51BC8C6B42C}"/>
    <cellStyle name="Linked Cell 8 2 5 8 2 2" xfId="39572" xr:uid="{D13B50FC-37AB-4A33-A1E5-C420D00ECB91}"/>
    <cellStyle name="Linked Cell 8 2 5 8 3" xfId="39573" xr:uid="{100820FE-0772-4658-88A1-20D5657DD2A6}"/>
    <cellStyle name="Linked Cell 8 2 5 9" xfId="39574" xr:uid="{42FE71E4-51C7-4F09-86E3-A5BDC31D8038}"/>
    <cellStyle name="Linked Cell 8 2 5 9 2" xfId="39575" xr:uid="{58A801E7-919E-4157-BF42-5FF7A70D627E}"/>
    <cellStyle name="Linked Cell 8 2 5 9 2 2" xfId="39576" xr:uid="{2FEE7D89-3249-4E85-917D-5AC7ABA261CD}"/>
    <cellStyle name="Linked Cell 8 2 5 9 3" xfId="39577" xr:uid="{C7264455-0629-4AA1-A861-14E5C452AAC4}"/>
    <cellStyle name="Linked Cell 8 2 6" xfId="39578" xr:uid="{D6726D33-8485-446D-A00F-C798BFE21E64}"/>
    <cellStyle name="Linked Cell 8 2 6 2" xfId="39579" xr:uid="{03E76DE5-4A1A-4E63-82AC-902C13DB1A8C}"/>
    <cellStyle name="Linked Cell 8 2 6 2 2" xfId="39580" xr:uid="{78AAA91B-11FA-4678-9BB7-E3B860167CC0}"/>
    <cellStyle name="Linked Cell 8 2 6 3" xfId="39581" xr:uid="{E95428BF-1D01-4A36-9E94-A975D6F2E6AF}"/>
    <cellStyle name="Linked Cell 8 2 7" xfId="39582" xr:uid="{91D8B069-8F58-48C2-B7D4-DE74436D379E}"/>
    <cellStyle name="Linked Cell 8 2 7 2" xfId="39583" xr:uid="{E71588BC-6BB9-4B07-9BC2-3584C9FF6F39}"/>
    <cellStyle name="Linked Cell 8 2 7 2 2" xfId="39584" xr:uid="{35A7B84E-155F-4FEC-BA8B-10D59BB0ABA5}"/>
    <cellStyle name="Linked Cell 8 2 7 3" xfId="39585" xr:uid="{F7D95976-660A-437E-94A5-C433CC32F966}"/>
    <cellStyle name="Linked Cell 8 2 8" xfId="39586" xr:uid="{46FE0B5A-D29D-457D-A589-D077925CC4B3}"/>
    <cellStyle name="Linked Cell 8 2 8 2" xfId="39587" xr:uid="{CBCDC885-8617-44CE-9127-D72189CC466E}"/>
    <cellStyle name="Linked Cell 8 2 8 2 2" xfId="39588" xr:uid="{93E15E04-AC61-4F09-AAD4-C84E34174F4B}"/>
    <cellStyle name="Linked Cell 8 2 8 3" xfId="39589" xr:uid="{19B45856-84EC-4E28-BF30-2FDF5F08CF4C}"/>
    <cellStyle name="Linked Cell 8 2 9" xfId="39590" xr:uid="{C140C3B8-2728-4F52-BA5E-D064B100A2BC}"/>
    <cellStyle name="Linked Cell 8 2 9 2" xfId="39591" xr:uid="{B40A308E-ED95-44AA-AB5E-9A7809D2E418}"/>
    <cellStyle name="Linked Cell 8 2 9 2 2" xfId="39592" xr:uid="{3577DE9E-A1BD-4D9B-B1EC-F3C1F5A8E99B}"/>
    <cellStyle name="Linked Cell 8 2 9 3" xfId="39593" xr:uid="{F3AF6D21-900B-464A-BD24-A2BFC80D1E16}"/>
    <cellStyle name="Linked Cell 8 3" xfId="39594" xr:uid="{E1799F30-F92E-4B77-8F68-9D30CDE2C24F}"/>
    <cellStyle name="Linked Cell 8 3 10" xfId="39595" xr:uid="{3BE21A88-8435-4855-A979-984675DF15EC}"/>
    <cellStyle name="Linked Cell 8 3 10 2" xfId="39596" xr:uid="{8EE9CF4A-C81F-42A7-8CE6-6EEA7E5059F0}"/>
    <cellStyle name="Linked Cell 8 3 10 2 2" xfId="39597" xr:uid="{94748462-C875-4D29-864C-2A3E690EA893}"/>
    <cellStyle name="Linked Cell 8 3 10 3" xfId="39598" xr:uid="{585947FF-A147-42DE-B22D-950EE025795C}"/>
    <cellStyle name="Linked Cell 8 3 11" xfId="39599" xr:uid="{6712F32F-A180-4B45-B50D-47BBCB43A1BE}"/>
    <cellStyle name="Linked Cell 8 3 11 2" xfId="39600" xr:uid="{A3E8F023-B7D1-42E9-A909-40AD99D6ADCC}"/>
    <cellStyle name="Linked Cell 8 3 11 2 2" xfId="39601" xr:uid="{B2ABE3BF-8506-4CCE-9615-E596B7D045D9}"/>
    <cellStyle name="Linked Cell 8 3 11 3" xfId="39602" xr:uid="{9F12CF60-B20D-4419-90FD-5FCD759EB47C}"/>
    <cellStyle name="Linked Cell 8 3 12" xfId="39603" xr:uid="{BF36F338-7E72-4590-BDC0-B25D5BD0EABF}"/>
    <cellStyle name="Linked Cell 8 3 12 2" xfId="39604" xr:uid="{50B08C32-F181-4415-B4FE-A8A51D248807}"/>
    <cellStyle name="Linked Cell 8 3 12 2 2" xfId="39605" xr:uid="{E8F365D4-EFF3-4FA7-8F1A-637F1986268E}"/>
    <cellStyle name="Linked Cell 8 3 12 3" xfId="39606" xr:uid="{04DE4DD3-097E-4CD6-BF96-D204DAF43AA7}"/>
    <cellStyle name="Linked Cell 8 3 13" xfId="39607" xr:uid="{C22273D8-3A63-4531-B126-A0BE632B1BDF}"/>
    <cellStyle name="Linked Cell 8 3 13 2" xfId="39608" xr:uid="{2043C691-D79C-437A-9276-11082D7C4ECD}"/>
    <cellStyle name="Linked Cell 8 3 14" xfId="39609" xr:uid="{20AA983A-2324-4160-B4CF-885B30CD27A9}"/>
    <cellStyle name="Linked Cell 8 3 2" xfId="39610" xr:uid="{EE1B5118-E610-433C-808B-59655EC6D201}"/>
    <cellStyle name="Linked Cell 8 3 2 10" xfId="39611" xr:uid="{A832A503-F389-41AB-B08A-72C88DC2EBAD}"/>
    <cellStyle name="Linked Cell 8 3 2 10 2" xfId="39612" xr:uid="{0B2C8183-C3A2-4A47-BD27-DD54261BF19B}"/>
    <cellStyle name="Linked Cell 8 3 2 10 2 2" xfId="39613" xr:uid="{AA8F6EB2-9D95-49E8-8E02-7118906EEBC7}"/>
    <cellStyle name="Linked Cell 8 3 2 10 3" xfId="39614" xr:uid="{B207404B-BBE8-4009-BF0D-AB948CD1271A}"/>
    <cellStyle name="Linked Cell 8 3 2 11" xfId="39615" xr:uid="{07871611-9ED7-43E8-95B5-DBAF4C1BB540}"/>
    <cellStyle name="Linked Cell 8 3 2 11 2" xfId="39616" xr:uid="{58F2302A-4EBA-4B9E-B17D-6A0DBB65FBB3}"/>
    <cellStyle name="Linked Cell 8 3 2 11 2 2" xfId="39617" xr:uid="{F0CA2A7D-B4DA-4F95-AAEF-D394FD1276F9}"/>
    <cellStyle name="Linked Cell 8 3 2 11 3" xfId="39618" xr:uid="{D6278D43-0610-4600-BD34-84E3FD5D8B4A}"/>
    <cellStyle name="Linked Cell 8 3 2 12" xfId="39619" xr:uid="{9284A178-6A78-48A8-AA54-7F558A2529BD}"/>
    <cellStyle name="Linked Cell 8 3 2 12 2" xfId="39620" xr:uid="{36D6EAEF-49FB-4623-BAB0-4E4C4F952113}"/>
    <cellStyle name="Linked Cell 8 3 2 13" xfId="39621" xr:uid="{8C5E11BE-72DE-4B0E-91E3-083176207709}"/>
    <cellStyle name="Linked Cell 8 3 2 2" xfId="39622" xr:uid="{808792DD-0E9D-4FB8-8D00-12FCCDCD100E}"/>
    <cellStyle name="Linked Cell 8 3 2 2 10" xfId="39623" xr:uid="{FA90EE58-AB5E-4D86-A08F-0AB1431D1885}"/>
    <cellStyle name="Linked Cell 8 3 2 2 10 2" xfId="39624" xr:uid="{860CCAA5-05C4-4C27-A45E-77BFC781534E}"/>
    <cellStyle name="Linked Cell 8 3 2 2 10 2 2" xfId="39625" xr:uid="{26E5335E-FD66-4F0E-82F7-17F1AF988752}"/>
    <cellStyle name="Linked Cell 8 3 2 2 10 3" xfId="39626" xr:uid="{C4DA1EB9-11ED-4EF7-9C70-D28B4EE7BF02}"/>
    <cellStyle name="Linked Cell 8 3 2 2 11" xfId="39627" xr:uid="{A04A0A12-9F8C-4413-B062-D865FB084EB3}"/>
    <cellStyle name="Linked Cell 8 3 2 2 11 2" xfId="39628" xr:uid="{B6D908C7-5824-42C8-AF7E-1AC9D5ECAA2B}"/>
    <cellStyle name="Linked Cell 8 3 2 2 12" xfId="39629" xr:uid="{96247307-EF4B-4DAF-B8F4-BF76C8E76426}"/>
    <cellStyle name="Linked Cell 8 3 2 2 2" xfId="39630" xr:uid="{FC48CA4A-3F5E-4B40-9880-FF97865CC382}"/>
    <cellStyle name="Linked Cell 8 3 2 2 2 2" xfId="39631" xr:uid="{D65BCEF3-2A81-42EF-B127-5D26B56F8B5B}"/>
    <cellStyle name="Linked Cell 8 3 2 2 2 2 2" xfId="39632" xr:uid="{4CF33A6B-B52C-42E1-9336-F94608ECCC4C}"/>
    <cellStyle name="Linked Cell 8 3 2 2 2 3" xfId="39633" xr:uid="{8C441208-60C4-4EF3-9523-1221E827E800}"/>
    <cellStyle name="Linked Cell 8 3 2 2 3" xfId="39634" xr:uid="{6C1EBFEC-084C-4DAA-8CDB-F28C87D4DC82}"/>
    <cellStyle name="Linked Cell 8 3 2 2 3 2" xfId="39635" xr:uid="{FF76E108-0227-4119-90DC-6DBEB62B6429}"/>
    <cellStyle name="Linked Cell 8 3 2 2 3 2 2" xfId="39636" xr:uid="{16497753-5788-4B61-88D7-6DBFA845CC94}"/>
    <cellStyle name="Linked Cell 8 3 2 2 3 3" xfId="39637" xr:uid="{77345C26-A5DD-4716-ABFE-279CDFEF7E41}"/>
    <cellStyle name="Linked Cell 8 3 2 2 4" xfId="39638" xr:uid="{0BB2DED9-3D19-4AE4-86C4-943098081CAC}"/>
    <cellStyle name="Linked Cell 8 3 2 2 4 2" xfId="39639" xr:uid="{CF430F2C-8C1A-438F-A2F4-DF5FD21808BE}"/>
    <cellStyle name="Linked Cell 8 3 2 2 4 2 2" xfId="39640" xr:uid="{548AC62D-4F04-4292-93FC-D4E04EA909B2}"/>
    <cellStyle name="Linked Cell 8 3 2 2 4 3" xfId="39641" xr:uid="{DFAD3279-FEF8-4CB0-95BE-F8B2019E7A1F}"/>
    <cellStyle name="Linked Cell 8 3 2 2 5" xfId="39642" xr:uid="{5F171C81-B7FA-4919-9CB8-B4B3113AEDC7}"/>
    <cellStyle name="Linked Cell 8 3 2 2 5 2" xfId="39643" xr:uid="{D71D7316-1785-4AD7-A305-4443A0AF854E}"/>
    <cellStyle name="Linked Cell 8 3 2 2 5 2 2" xfId="39644" xr:uid="{711846F1-6F09-45D0-B088-CC63237F93C3}"/>
    <cellStyle name="Linked Cell 8 3 2 2 5 3" xfId="39645" xr:uid="{5795D0D4-20DA-4FA1-BE48-E1BC935020A3}"/>
    <cellStyle name="Linked Cell 8 3 2 2 6" xfId="39646" xr:uid="{D4992939-D964-4F72-AF1F-9A6BFD982C1B}"/>
    <cellStyle name="Linked Cell 8 3 2 2 6 2" xfId="39647" xr:uid="{980A5BE5-2076-4DA0-9E53-0071CF5F80C4}"/>
    <cellStyle name="Linked Cell 8 3 2 2 6 2 2" xfId="39648" xr:uid="{A302640A-C7B0-406F-AF39-E6AC4AA5B143}"/>
    <cellStyle name="Linked Cell 8 3 2 2 6 3" xfId="39649" xr:uid="{8FC0C673-3816-4CF7-ACC5-675AB2E87249}"/>
    <cellStyle name="Linked Cell 8 3 2 2 7" xfId="39650" xr:uid="{C3457CB3-F9D1-4E4F-8FB3-E6D3BC808B11}"/>
    <cellStyle name="Linked Cell 8 3 2 2 7 2" xfId="39651" xr:uid="{568F2933-D3B3-4A7D-B03D-1A89EE9DC667}"/>
    <cellStyle name="Linked Cell 8 3 2 2 7 2 2" xfId="39652" xr:uid="{226084EF-B36D-4BBA-AD6F-BE9D16BA25C0}"/>
    <cellStyle name="Linked Cell 8 3 2 2 7 3" xfId="39653" xr:uid="{CD2FDA12-9920-4467-9F68-7A43F7B69444}"/>
    <cellStyle name="Linked Cell 8 3 2 2 8" xfId="39654" xr:uid="{841A1E16-34C2-4B37-92D1-45066670FF5D}"/>
    <cellStyle name="Linked Cell 8 3 2 2 8 2" xfId="39655" xr:uid="{077B00EE-B404-4FA5-9786-E7C5AFD2E82A}"/>
    <cellStyle name="Linked Cell 8 3 2 2 8 2 2" xfId="39656" xr:uid="{1098A770-9EFF-4740-87BA-7D217A9D797B}"/>
    <cellStyle name="Linked Cell 8 3 2 2 8 3" xfId="39657" xr:uid="{88A31BC9-6B51-45ED-8205-5A5F4C9EA20A}"/>
    <cellStyle name="Linked Cell 8 3 2 2 9" xfId="39658" xr:uid="{E516389C-21B1-4585-9F59-A3A6E2BFCA73}"/>
    <cellStyle name="Linked Cell 8 3 2 2 9 2" xfId="39659" xr:uid="{7F067F81-642B-4BCE-B98F-8B04CE3BF65D}"/>
    <cellStyle name="Linked Cell 8 3 2 2 9 2 2" xfId="39660" xr:uid="{E662C4B4-4897-432C-9407-C070345A6089}"/>
    <cellStyle name="Linked Cell 8 3 2 2 9 3" xfId="39661" xr:uid="{CB6AB850-1901-4F63-85DF-162681EA5E88}"/>
    <cellStyle name="Linked Cell 8 3 2 3" xfId="39662" xr:uid="{ED0B6D34-EFCF-4AAD-BD9B-CA2D33BC3993}"/>
    <cellStyle name="Linked Cell 8 3 2 3 10" xfId="39663" xr:uid="{A63F3A75-6501-434E-A38D-B368F5FF35B4}"/>
    <cellStyle name="Linked Cell 8 3 2 3 10 2" xfId="39664" xr:uid="{142DE3A5-CF07-48D3-B652-5C6A9D6A12C7}"/>
    <cellStyle name="Linked Cell 8 3 2 3 11" xfId="39665" xr:uid="{C8E31600-D6A2-4A5C-A53F-F62FA7B17EDD}"/>
    <cellStyle name="Linked Cell 8 3 2 3 2" xfId="39666" xr:uid="{3BD9A403-938E-4D30-9F51-0FFF9BA9D808}"/>
    <cellStyle name="Linked Cell 8 3 2 3 2 2" xfId="39667" xr:uid="{957E74F9-B0FC-433C-933D-6598F0D73BB2}"/>
    <cellStyle name="Linked Cell 8 3 2 3 2 2 2" xfId="39668" xr:uid="{C7757163-BA9F-4EC0-AEA2-B9DFD7E2C46F}"/>
    <cellStyle name="Linked Cell 8 3 2 3 2 3" xfId="39669" xr:uid="{3C6D71BB-BEE5-4BA2-BCFB-40952EE4089B}"/>
    <cellStyle name="Linked Cell 8 3 2 3 3" xfId="39670" xr:uid="{3F134FE4-A4C3-4D2D-AA98-F1BC436A5998}"/>
    <cellStyle name="Linked Cell 8 3 2 3 3 2" xfId="39671" xr:uid="{ADC7B1E2-C504-41EC-BADD-DB3666F242B4}"/>
    <cellStyle name="Linked Cell 8 3 2 3 3 2 2" xfId="39672" xr:uid="{2B253FBB-FB61-4EF1-AB59-83D0DF26441E}"/>
    <cellStyle name="Linked Cell 8 3 2 3 3 3" xfId="39673" xr:uid="{020F2576-1DAE-405E-AFF4-6E58C442E603}"/>
    <cellStyle name="Linked Cell 8 3 2 3 4" xfId="39674" xr:uid="{888830DD-EB6D-48EA-8EC7-A4758C3B6AA5}"/>
    <cellStyle name="Linked Cell 8 3 2 3 4 2" xfId="39675" xr:uid="{9DE77E27-939F-4034-8643-7AD7839D5051}"/>
    <cellStyle name="Linked Cell 8 3 2 3 4 2 2" xfId="39676" xr:uid="{1BB89164-AF35-4CA3-96B1-1EE5A9FF9265}"/>
    <cellStyle name="Linked Cell 8 3 2 3 4 3" xfId="39677" xr:uid="{C092E39E-6D7A-428A-9223-809A2CEE77AB}"/>
    <cellStyle name="Linked Cell 8 3 2 3 5" xfId="39678" xr:uid="{9D2A5430-FDFD-4537-955B-86B54AE351C8}"/>
    <cellStyle name="Linked Cell 8 3 2 3 5 2" xfId="39679" xr:uid="{4A9E2CA9-193D-47A2-AD68-706AD33B8502}"/>
    <cellStyle name="Linked Cell 8 3 2 3 5 2 2" xfId="39680" xr:uid="{C6F0CD03-CCD7-440B-848E-06A98684406E}"/>
    <cellStyle name="Linked Cell 8 3 2 3 5 3" xfId="39681" xr:uid="{6A4E12C4-BE37-4C34-897B-C398A0B1CCAD}"/>
    <cellStyle name="Linked Cell 8 3 2 3 6" xfId="39682" xr:uid="{B4DF997B-13E4-4710-ABFC-E1ABC4C0153C}"/>
    <cellStyle name="Linked Cell 8 3 2 3 6 2" xfId="39683" xr:uid="{68B2FFF4-3647-4858-9D42-46F5DF4AE428}"/>
    <cellStyle name="Linked Cell 8 3 2 3 6 2 2" xfId="39684" xr:uid="{1CEECEB8-F049-4AD7-A6FC-A73A6F9A7B0A}"/>
    <cellStyle name="Linked Cell 8 3 2 3 6 3" xfId="39685" xr:uid="{93EA9C19-3432-444B-B80C-610396745CDB}"/>
    <cellStyle name="Linked Cell 8 3 2 3 7" xfId="39686" xr:uid="{235F7591-6757-4770-ABDE-88E389A7DDDA}"/>
    <cellStyle name="Linked Cell 8 3 2 3 7 2" xfId="39687" xr:uid="{50CD59AE-8A96-4D5E-8A0B-116BAC8CDC6D}"/>
    <cellStyle name="Linked Cell 8 3 2 3 7 2 2" xfId="39688" xr:uid="{502EC07E-E336-469D-8C6A-2F94AEE8ADD4}"/>
    <cellStyle name="Linked Cell 8 3 2 3 7 3" xfId="39689" xr:uid="{F20DA5DF-93FD-4B65-9836-F3DBCBE8EEA8}"/>
    <cellStyle name="Linked Cell 8 3 2 3 8" xfId="39690" xr:uid="{E10AB68F-3F72-4D41-AFA3-2C2CE27DE9DD}"/>
    <cellStyle name="Linked Cell 8 3 2 3 8 2" xfId="39691" xr:uid="{0D4B670B-2731-41C2-AB0B-3EADF8404C58}"/>
    <cellStyle name="Linked Cell 8 3 2 3 8 2 2" xfId="39692" xr:uid="{2BFB44D1-1AE4-4BBB-9AD5-E11FA1C021FD}"/>
    <cellStyle name="Linked Cell 8 3 2 3 8 3" xfId="39693" xr:uid="{AE37AB6B-46F3-408E-90AB-B1CFB7ADEBA1}"/>
    <cellStyle name="Linked Cell 8 3 2 3 9" xfId="39694" xr:uid="{CEDF351B-74E8-4A62-9E50-DB393B77CAAB}"/>
    <cellStyle name="Linked Cell 8 3 2 3 9 2" xfId="39695" xr:uid="{DFB4329B-E9B0-4B4A-A102-35F18CE10592}"/>
    <cellStyle name="Linked Cell 8 3 2 3 9 2 2" xfId="39696" xr:uid="{D66F828F-5794-4980-98FA-624D6C8DDCB3}"/>
    <cellStyle name="Linked Cell 8 3 2 3 9 3" xfId="39697" xr:uid="{769812C3-2CB7-4E93-BDB4-6B204EC9BB9C}"/>
    <cellStyle name="Linked Cell 8 3 2 4" xfId="39698" xr:uid="{9793684E-25CA-44DA-BB12-15B89490C286}"/>
    <cellStyle name="Linked Cell 8 3 2 4 2" xfId="39699" xr:uid="{5ADE307E-A972-482F-B4A3-2BA1D9B288D9}"/>
    <cellStyle name="Linked Cell 8 3 2 4 2 2" xfId="39700" xr:uid="{1D0425AB-CB97-4972-9B5A-174C427A5CD9}"/>
    <cellStyle name="Linked Cell 8 3 2 4 3" xfId="39701" xr:uid="{5D00B16B-47F9-4897-B316-E2D0B0E4B3AC}"/>
    <cellStyle name="Linked Cell 8 3 2 5" xfId="39702" xr:uid="{A871D479-89CB-4378-85C5-D89B86CBFB4A}"/>
    <cellStyle name="Linked Cell 8 3 2 5 2" xfId="39703" xr:uid="{5D525E9D-FCC0-4781-ABE0-7113D6B0026B}"/>
    <cellStyle name="Linked Cell 8 3 2 5 2 2" xfId="39704" xr:uid="{F14F22A9-7032-4A14-8573-30627DE8472F}"/>
    <cellStyle name="Linked Cell 8 3 2 5 3" xfId="39705" xr:uid="{2778D84C-ACBC-433C-8A3E-FA2031A8D208}"/>
    <cellStyle name="Linked Cell 8 3 2 6" xfId="39706" xr:uid="{F24C8948-166D-4BE4-97AB-B1179BEA7CC9}"/>
    <cellStyle name="Linked Cell 8 3 2 6 2" xfId="39707" xr:uid="{4A134C64-5E3D-40D4-9AF8-15A79A07AB21}"/>
    <cellStyle name="Linked Cell 8 3 2 6 2 2" xfId="39708" xr:uid="{415E421F-01E8-4BDB-BA55-EE8E71EAD32E}"/>
    <cellStyle name="Linked Cell 8 3 2 6 3" xfId="39709" xr:uid="{F20789E3-7034-400F-AE2B-FCDD391337B0}"/>
    <cellStyle name="Linked Cell 8 3 2 7" xfId="39710" xr:uid="{ABAB959C-A832-4172-B69E-9C19DF84ED04}"/>
    <cellStyle name="Linked Cell 8 3 2 7 2" xfId="39711" xr:uid="{F26503EF-9DDE-4D51-9198-2EAF8D22EE7F}"/>
    <cellStyle name="Linked Cell 8 3 2 7 2 2" xfId="39712" xr:uid="{ADF8BE88-B0A1-47E0-9A7A-DF3E73F79F12}"/>
    <cellStyle name="Linked Cell 8 3 2 7 3" xfId="39713" xr:uid="{05C76068-487A-460D-8653-D8C37BFCEE53}"/>
    <cellStyle name="Linked Cell 8 3 2 8" xfId="39714" xr:uid="{235B3C61-77CE-4436-8C88-A92E18A55CD8}"/>
    <cellStyle name="Linked Cell 8 3 2 8 2" xfId="39715" xr:uid="{B7DEBD3E-8E63-43ED-BEBD-BEAA680F0D59}"/>
    <cellStyle name="Linked Cell 8 3 2 8 2 2" xfId="39716" xr:uid="{E454E292-C6D5-40AB-827C-CEF50FD1158A}"/>
    <cellStyle name="Linked Cell 8 3 2 8 3" xfId="39717" xr:uid="{44FB5A2E-6E96-4643-9DF3-17531FCBF395}"/>
    <cellStyle name="Linked Cell 8 3 2 9" xfId="39718" xr:uid="{A5B72DBE-B1EA-4C78-A1EF-73C9B9CC98BF}"/>
    <cellStyle name="Linked Cell 8 3 2 9 2" xfId="39719" xr:uid="{FF3CB45B-B52C-4761-BB70-744CD1E3959F}"/>
    <cellStyle name="Linked Cell 8 3 2 9 2 2" xfId="39720" xr:uid="{74D25DFC-9E56-45B2-80A5-E25E264A2FD5}"/>
    <cellStyle name="Linked Cell 8 3 2 9 3" xfId="39721" xr:uid="{4002F9AB-566E-4FD7-99A4-8CAF9988FA82}"/>
    <cellStyle name="Linked Cell 8 3 3" xfId="39722" xr:uid="{D5F81691-9DE4-44CD-9777-52DF3687CBE1}"/>
    <cellStyle name="Linked Cell 8 3 3 10" xfId="39723" xr:uid="{E036E3BA-5A98-4553-A302-655D15BAB944}"/>
    <cellStyle name="Linked Cell 8 3 3 10 2" xfId="39724" xr:uid="{975085C0-217C-41D7-89DD-300AADF48AEE}"/>
    <cellStyle name="Linked Cell 8 3 3 10 2 2" xfId="39725" xr:uid="{2930BB02-8B31-4EEC-8BAE-3B9AADC7AFFC}"/>
    <cellStyle name="Linked Cell 8 3 3 10 3" xfId="39726" xr:uid="{71966F1E-22BF-4502-AF1C-4ABA33B2E013}"/>
    <cellStyle name="Linked Cell 8 3 3 11" xfId="39727" xr:uid="{01694EAF-EA7A-4655-B559-679529AF51F6}"/>
    <cellStyle name="Linked Cell 8 3 3 11 2" xfId="39728" xr:uid="{BD1FC85C-F8B8-4E46-B4F7-8CD47417C3C9}"/>
    <cellStyle name="Linked Cell 8 3 3 12" xfId="39729" xr:uid="{238419EB-A049-47B1-8D79-558999B7AA5F}"/>
    <cellStyle name="Linked Cell 8 3 3 2" xfId="39730" xr:uid="{C26E1C90-89DF-4885-8C99-0955BD0202E9}"/>
    <cellStyle name="Linked Cell 8 3 3 2 10" xfId="39731" xr:uid="{F1431FF9-0F34-4588-AA85-3FC6F0D8BA4B}"/>
    <cellStyle name="Linked Cell 8 3 3 2 10 2" xfId="39732" xr:uid="{1AE2A757-A96E-4C04-8A10-6CF4A8A03728}"/>
    <cellStyle name="Linked Cell 8 3 3 2 11" xfId="39733" xr:uid="{3AA3D3FB-8714-4CC3-9365-C7BBB3E0718B}"/>
    <cellStyle name="Linked Cell 8 3 3 2 2" xfId="39734" xr:uid="{63116BBB-5067-4108-97E6-CE0319E2EE65}"/>
    <cellStyle name="Linked Cell 8 3 3 2 2 2" xfId="39735" xr:uid="{E3684AB2-EBBB-4902-A549-2A0B852C5D76}"/>
    <cellStyle name="Linked Cell 8 3 3 2 2 2 2" xfId="39736" xr:uid="{631FE979-78BA-4A0D-9992-99E320CB03BC}"/>
    <cellStyle name="Linked Cell 8 3 3 2 2 3" xfId="39737" xr:uid="{5DADB4F9-D0AD-4B91-B61B-C20C6F6A5CAC}"/>
    <cellStyle name="Linked Cell 8 3 3 2 3" xfId="39738" xr:uid="{9B7F936A-4BB6-4D4D-8054-330B689EF089}"/>
    <cellStyle name="Linked Cell 8 3 3 2 3 2" xfId="39739" xr:uid="{03069931-8B2A-483D-942D-EBCD131A2F09}"/>
    <cellStyle name="Linked Cell 8 3 3 2 3 2 2" xfId="39740" xr:uid="{5BF04E10-2E6F-4E2C-A88E-87F0D78839BB}"/>
    <cellStyle name="Linked Cell 8 3 3 2 3 3" xfId="39741" xr:uid="{2D7854A5-36D3-4862-A59E-3E6C2D4C8EDE}"/>
    <cellStyle name="Linked Cell 8 3 3 2 4" xfId="39742" xr:uid="{AF49EAA4-9F25-45A7-95A2-3A913CD83228}"/>
    <cellStyle name="Linked Cell 8 3 3 2 4 2" xfId="39743" xr:uid="{D9DCEB7B-0558-4613-B865-8ECC042C9E05}"/>
    <cellStyle name="Linked Cell 8 3 3 2 4 2 2" xfId="39744" xr:uid="{049F4859-7DFA-4DAF-9E38-F752602E65B6}"/>
    <cellStyle name="Linked Cell 8 3 3 2 4 3" xfId="39745" xr:uid="{BA4D8189-A9A8-4DC5-94DC-AD5AF68C834C}"/>
    <cellStyle name="Linked Cell 8 3 3 2 5" xfId="39746" xr:uid="{B1900497-F5C4-4B63-8356-90CE706615FC}"/>
    <cellStyle name="Linked Cell 8 3 3 2 5 2" xfId="39747" xr:uid="{2E529C16-C3CA-4FE8-AF60-7F705EE996A0}"/>
    <cellStyle name="Linked Cell 8 3 3 2 5 2 2" xfId="39748" xr:uid="{6BC228D0-6141-41C6-8E6F-B0DE8D113137}"/>
    <cellStyle name="Linked Cell 8 3 3 2 5 3" xfId="39749" xr:uid="{9EF438A7-ED7E-4E66-9DEB-3FD7D388E766}"/>
    <cellStyle name="Linked Cell 8 3 3 2 6" xfId="39750" xr:uid="{3A6ED83B-CDE0-4EF4-BD3D-A986308C7251}"/>
    <cellStyle name="Linked Cell 8 3 3 2 6 2" xfId="39751" xr:uid="{04C14287-BB4E-4F65-A486-B4654E8B4C02}"/>
    <cellStyle name="Linked Cell 8 3 3 2 6 2 2" xfId="39752" xr:uid="{DDB835BD-3197-470A-AF30-5664E05697BE}"/>
    <cellStyle name="Linked Cell 8 3 3 2 6 3" xfId="39753" xr:uid="{D2764E80-37F1-4D8C-9E22-D0B86B5F3F40}"/>
    <cellStyle name="Linked Cell 8 3 3 2 7" xfId="39754" xr:uid="{60CA2B71-B0B4-4F07-8E1F-A25ECFB5A065}"/>
    <cellStyle name="Linked Cell 8 3 3 2 7 2" xfId="39755" xr:uid="{4E1D1081-2A8B-4718-99DC-230B703F2CC0}"/>
    <cellStyle name="Linked Cell 8 3 3 2 7 2 2" xfId="39756" xr:uid="{5AB1BCE5-28CC-48C9-A789-CF508F6ABD88}"/>
    <cellStyle name="Linked Cell 8 3 3 2 7 3" xfId="39757" xr:uid="{43EA5574-01E7-40CB-9FB5-2118F38E9995}"/>
    <cellStyle name="Linked Cell 8 3 3 2 8" xfId="39758" xr:uid="{2EFADE41-4CC1-4CFC-8673-C18CC7C5EC04}"/>
    <cellStyle name="Linked Cell 8 3 3 2 8 2" xfId="39759" xr:uid="{1A31E13D-AE9B-4B34-8FED-8D07D718B9C9}"/>
    <cellStyle name="Linked Cell 8 3 3 2 8 2 2" xfId="39760" xr:uid="{FD2730C0-6040-445F-80DB-EFDE90C45649}"/>
    <cellStyle name="Linked Cell 8 3 3 2 8 3" xfId="39761" xr:uid="{5B63F9CB-4EEE-4AA8-A4FC-4B031D3AE41F}"/>
    <cellStyle name="Linked Cell 8 3 3 2 9" xfId="39762" xr:uid="{B12B13F5-2D31-4B8E-9AC1-7074CCE66805}"/>
    <cellStyle name="Linked Cell 8 3 3 2 9 2" xfId="39763" xr:uid="{1A4AFB0A-2213-4D97-AB15-A380511D18BB}"/>
    <cellStyle name="Linked Cell 8 3 3 2 9 2 2" xfId="39764" xr:uid="{887B7628-BAA5-4EE2-ADA9-1CA4914C8B3B}"/>
    <cellStyle name="Linked Cell 8 3 3 2 9 3" xfId="39765" xr:uid="{A456AF7C-6AFC-44BF-A219-DE33BDC67AC5}"/>
    <cellStyle name="Linked Cell 8 3 3 3" xfId="39766" xr:uid="{259FBA9F-9D77-4DE9-B9CE-87F98659BCE3}"/>
    <cellStyle name="Linked Cell 8 3 3 3 2" xfId="39767" xr:uid="{7930A4FD-0C2A-499E-A778-EF4AA8ACF91F}"/>
    <cellStyle name="Linked Cell 8 3 3 3 2 2" xfId="39768" xr:uid="{A74FFCF9-D586-46DE-A780-DA9177244C18}"/>
    <cellStyle name="Linked Cell 8 3 3 3 3" xfId="39769" xr:uid="{A1C3DD23-A57C-4410-A8E5-ADD63C9F4467}"/>
    <cellStyle name="Linked Cell 8 3 3 4" xfId="39770" xr:uid="{55DEAE57-51D7-4698-81D8-A5C6E84FBC31}"/>
    <cellStyle name="Linked Cell 8 3 3 4 2" xfId="39771" xr:uid="{075BED8D-94A5-4BFF-BC45-202EFB324182}"/>
    <cellStyle name="Linked Cell 8 3 3 4 2 2" xfId="39772" xr:uid="{A552CFA3-F89E-4BAC-8D43-EE776C7B5A8D}"/>
    <cellStyle name="Linked Cell 8 3 3 4 3" xfId="39773" xr:uid="{718DA105-ED4D-4C7A-8B5C-461B7B36E272}"/>
    <cellStyle name="Linked Cell 8 3 3 5" xfId="39774" xr:uid="{0D68AC86-7EAF-4981-9839-9DBFB9E32F6E}"/>
    <cellStyle name="Linked Cell 8 3 3 5 2" xfId="39775" xr:uid="{167C76B4-EC96-4551-B9BD-FE9258016A09}"/>
    <cellStyle name="Linked Cell 8 3 3 5 2 2" xfId="39776" xr:uid="{1A0B8A45-BEB7-4FFB-9A25-7A61174513B8}"/>
    <cellStyle name="Linked Cell 8 3 3 5 3" xfId="39777" xr:uid="{ACDD7626-228E-4230-9CDE-8610D6B9B49D}"/>
    <cellStyle name="Linked Cell 8 3 3 6" xfId="39778" xr:uid="{BA0DDC21-CE19-4827-8BDA-B99B06C74AE6}"/>
    <cellStyle name="Linked Cell 8 3 3 6 2" xfId="39779" xr:uid="{3EC3C5A1-89D5-4781-8196-A4BD1D9732B3}"/>
    <cellStyle name="Linked Cell 8 3 3 6 2 2" xfId="39780" xr:uid="{993C103B-8C5F-4A89-9284-A4A536F63963}"/>
    <cellStyle name="Linked Cell 8 3 3 6 3" xfId="39781" xr:uid="{78623FC0-8D8F-4DE2-B918-C09AB6067D3E}"/>
    <cellStyle name="Linked Cell 8 3 3 7" xfId="39782" xr:uid="{E343BEB6-B59D-4317-93DC-EA7B7A6DC0E3}"/>
    <cellStyle name="Linked Cell 8 3 3 7 2" xfId="39783" xr:uid="{065869ED-0A85-4E83-A92D-A3B56439A14B}"/>
    <cellStyle name="Linked Cell 8 3 3 7 2 2" xfId="39784" xr:uid="{31105102-A010-47AB-9C4D-5446519642BB}"/>
    <cellStyle name="Linked Cell 8 3 3 7 3" xfId="39785" xr:uid="{3FB28374-2E23-4EA8-A64D-DB28B5040221}"/>
    <cellStyle name="Linked Cell 8 3 3 8" xfId="39786" xr:uid="{B073490E-4667-49AD-95B0-2326CC7175D3}"/>
    <cellStyle name="Linked Cell 8 3 3 8 2" xfId="39787" xr:uid="{70DC7281-E0AE-4A62-8C43-C467763A4442}"/>
    <cellStyle name="Linked Cell 8 3 3 8 2 2" xfId="39788" xr:uid="{3C64DE5D-27B9-4E50-98D7-E2331BB4F1BA}"/>
    <cellStyle name="Linked Cell 8 3 3 8 3" xfId="39789" xr:uid="{3BF13D7F-3C53-4BFA-81D1-D07C50E3233B}"/>
    <cellStyle name="Linked Cell 8 3 3 9" xfId="39790" xr:uid="{D51A64B1-E09F-40F7-B443-1A0EE2D1DA06}"/>
    <cellStyle name="Linked Cell 8 3 3 9 2" xfId="39791" xr:uid="{7AB502D5-53E6-438D-BFAC-D75EC5E7F0EB}"/>
    <cellStyle name="Linked Cell 8 3 3 9 2 2" xfId="39792" xr:uid="{15F5E7AB-3507-4598-834F-F26AB64B52B5}"/>
    <cellStyle name="Linked Cell 8 3 3 9 3" xfId="39793" xr:uid="{540E6D9E-E567-4D94-96C3-B57B8CC92386}"/>
    <cellStyle name="Linked Cell 8 3 4" xfId="39794" xr:uid="{56B09C34-B307-4095-A0AF-793E4A42D528}"/>
    <cellStyle name="Linked Cell 8 3 4 10" xfId="39795" xr:uid="{DF573BB4-A305-4B4A-8072-9146578ECB00}"/>
    <cellStyle name="Linked Cell 8 3 4 10 2" xfId="39796" xr:uid="{56A2D717-59EC-46C1-9231-827C0E3FA467}"/>
    <cellStyle name="Linked Cell 8 3 4 11" xfId="39797" xr:uid="{CC0614C4-78C6-4615-A852-E967191DEBA4}"/>
    <cellStyle name="Linked Cell 8 3 4 2" xfId="39798" xr:uid="{33F76F47-26AA-43DE-9752-8D9CB91158AB}"/>
    <cellStyle name="Linked Cell 8 3 4 2 2" xfId="39799" xr:uid="{511B9F99-6B00-422B-A4FB-5E6CF66971B2}"/>
    <cellStyle name="Linked Cell 8 3 4 2 2 2" xfId="39800" xr:uid="{07808746-06BF-43A8-B9F5-E8CD8B51F912}"/>
    <cellStyle name="Linked Cell 8 3 4 2 3" xfId="39801" xr:uid="{E961A733-A600-4D26-B292-0E1569708E88}"/>
    <cellStyle name="Linked Cell 8 3 4 3" xfId="39802" xr:uid="{02F3FB5A-8ADA-4549-9BB5-296E8902197A}"/>
    <cellStyle name="Linked Cell 8 3 4 3 2" xfId="39803" xr:uid="{B8D3D87D-BC46-4EBD-931B-3045035A41E4}"/>
    <cellStyle name="Linked Cell 8 3 4 3 2 2" xfId="39804" xr:uid="{E4CF796A-9D28-4EAC-85D7-1F0B49E14763}"/>
    <cellStyle name="Linked Cell 8 3 4 3 3" xfId="39805" xr:uid="{382D999C-5ED7-4DE0-900E-6F482E8A9109}"/>
    <cellStyle name="Linked Cell 8 3 4 4" xfId="39806" xr:uid="{800705DC-B92E-4CD2-8CAA-5646E5D82D9F}"/>
    <cellStyle name="Linked Cell 8 3 4 4 2" xfId="39807" xr:uid="{5E6D04C9-E93D-4BFF-B164-6A8A3694D825}"/>
    <cellStyle name="Linked Cell 8 3 4 4 2 2" xfId="39808" xr:uid="{E5EAFB37-587A-47FE-BA07-28D180F79075}"/>
    <cellStyle name="Linked Cell 8 3 4 4 3" xfId="39809" xr:uid="{1B2DE868-9C86-4D91-A3EB-94D020D89DC6}"/>
    <cellStyle name="Linked Cell 8 3 4 5" xfId="39810" xr:uid="{F4C6E061-17F8-422B-8977-F941CCA6AFE6}"/>
    <cellStyle name="Linked Cell 8 3 4 5 2" xfId="39811" xr:uid="{C432AD27-59B7-4B41-A561-9AD06F654DF4}"/>
    <cellStyle name="Linked Cell 8 3 4 5 2 2" xfId="39812" xr:uid="{2A9DF5E8-CE52-4D54-8A0D-CEF951EFCB26}"/>
    <cellStyle name="Linked Cell 8 3 4 5 3" xfId="39813" xr:uid="{93FF06F0-C140-4F1D-8B55-B3854FD0218F}"/>
    <cellStyle name="Linked Cell 8 3 4 6" xfId="39814" xr:uid="{5320AE56-B5FC-47C1-B664-F1C011012D10}"/>
    <cellStyle name="Linked Cell 8 3 4 6 2" xfId="39815" xr:uid="{0F4313BF-347F-4F07-9A94-69BC980EFADE}"/>
    <cellStyle name="Linked Cell 8 3 4 6 2 2" xfId="39816" xr:uid="{9D080FA7-2C80-4D07-AD47-1AB68ED85A4C}"/>
    <cellStyle name="Linked Cell 8 3 4 6 3" xfId="39817" xr:uid="{632CA4F7-8475-4209-BC6B-643A540D7528}"/>
    <cellStyle name="Linked Cell 8 3 4 7" xfId="39818" xr:uid="{C4CCDC43-2AD8-4B67-AD5E-36427A231103}"/>
    <cellStyle name="Linked Cell 8 3 4 7 2" xfId="39819" xr:uid="{C95C1E00-757D-4584-B03B-402ED3A39F05}"/>
    <cellStyle name="Linked Cell 8 3 4 7 2 2" xfId="39820" xr:uid="{BD834C89-FF67-472C-B8F0-F40C2F5FD09A}"/>
    <cellStyle name="Linked Cell 8 3 4 7 3" xfId="39821" xr:uid="{105216A1-B49B-43B4-8651-56E2694CA8A3}"/>
    <cellStyle name="Linked Cell 8 3 4 8" xfId="39822" xr:uid="{51AC0323-0951-4726-9D3C-124C81D1C1A6}"/>
    <cellStyle name="Linked Cell 8 3 4 8 2" xfId="39823" xr:uid="{3A59DA36-21A7-45AD-9DE8-6E9B307C5BC5}"/>
    <cellStyle name="Linked Cell 8 3 4 8 2 2" xfId="39824" xr:uid="{D9295549-DA83-4ABA-AB67-A8FF1F5FDB9B}"/>
    <cellStyle name="Linked Cell 8 3 4 8 3" xfId="39825" xr:uid="{8BC0A97C-ED0A-4C48-8B04-FE56A8C7FDBE}"/>
    <cellStyle name="Linked Cell 8 3 4 9" xfId="39826" xr:uid="{2C6A453B-E489-426B-A7E0-7878F2108304}"/>
    <cellStyle name="Linked Cell 8 3 4 9 2" xfId="39827" xr:uid="{DE488AEC-214C-4387-92DE-E2D7F419567C}"/>
    <cellStyle name="Linked Cell 8 3 4 9 2 2" xfId="39828" xr:uid="{2657F875-4DBB-4516-A23D-B5192CF6BA0C}"/>
    <cellStyle name="Linked Cell 8 3 4 9 3" xfId="39829" xr:uid="{E745E7A4-550D-4C8A-87B2-82BE4CBABBF8}"/>
    <cellStyle name="Linked Cell 8 3 5" xfId="39830" xr:uid="{FC294534-B144-4FFC-95BF-08B9E303939C}"/>
    <cellStyle name="Linked Cell 8 3 5 2" xfId="39831" xr:uid="{4F5AF9A5-F3C4-476D-B96B-B30118E58012}"/>
    <cellStyle name="Linked Cell 8 3 5 2 2" xfId="39832" xr:uid="{7E7FC775-4A85-4688-BEFF-3BD624F804CA}"/>
    <cellStyle name="Linked Cell 8 3 5 3" xfId="39833" xr:uid="{BE6DCEC4-F144-48D4-80F7-871CE9D3E681}"/>
    <cellStyle name="Linked Cell 8 3 6" xfId="39834" xr:uid="{5815176A-EA92-4DFD-9281-B27E0173EE14}"/>
    <cellStyle name="Linked Cell 8 3 6 2" xfId="39835" xr:uid="{14BEE9BE-EB65-4F22-90D6-A6C235EB8D2A}"/>
    <cellStyle name="Linked Cell 8 3 6 2 2" xfId="39836" xr:uid="{4985DE9D-9689-478A-8FB0-750BA48AA10C}"/>
    <cellStyle name="Linked Cell 8 3 6 3" xfId="39837" xr:uid="{FB6C9003-65DD-4DFF-BA45-A6577DA781F3}"/>
    <cellStyle name="Linked Cell 8 3 7" xfId="39838" xr:uid="{4077C8B9-18ED-4140-BBD7-0CF088402A03}"/>
    <cellStyle name="Linked Cell 8 3 7 2" xfId="39839" xr:uid="{C9226B0B-323D-4E95-9017-0D9B3FE825E6}"/>
    <cellStyle name="Linked Cell 8 3 7 2 2" xfId="39840" xr:uid="{640B75F0-0622-47B9-AF64-6A3C7EBE7ADB}"/>
    <cellStyle name="Linked Cell 8 3 7 3" xfId="39841" xr:uid="{E102326D-F11E-455E-8251-D452948F6964}"/>
    <cellStyle name="Linked Cell 8 3 8" xfId="39842" xr:uid="{48DF735E-C3D7-4ED8-B2B9-A73EA8677AC2}"/>
    <cellStyle name="Linked Cell 8 3 8 2" xfId="39843" xr:uid="{C1CCD4E8-4DCD-4C83-BF30-1125F79ABF6E}"/>
    <cellStyle name="Linked Cell 8 3 8 2 2" xfId="39844" xr:uid="{C6E66B37-B439-42E2-811F-22742F672895}"/>
    <cellStyle name="Linked Cell 8 3 8 3" xfId="39845" xr:uid="{E9A54A82-E959-41AD-BE75-5641A95B5513}"/>
    <cellStyle name="Linked Cell 8 3 9" xfId="39846" xr:uid="{120B303C-AEC5-480E-9B0F-B525E63D88E4}"/>
    <cellStyle name="Linked Cell 8 3 9 2" xfId="39847" xr:uid="{662CEA6A-9227-45A4-8703-79802F3ADA75}"/>
    <cellStyle name="Linked Cell 8 3 9 2 2" xfId="39848" xr:uid="{FF82E68C-CD47-4B3C-92A9-B96BFA96AD37}"/>
    <cellStyle name="Linked Cell 8 3 9 3" xfId="39849" xr:uid="{485788C0-E970-4165-9E88-D6DB2EDDA68A}"/>
    <cellStyle name="Linked Cell 8 4" xfId="39850" xr:uid="{0C642CA8-7289-4A9B-9028-FD1A6AFC9F1D}"/>
    <cellStyle name="Linked Cell 8 4 10" xfId="39851" xr:uid="{6DC3B46E-3FE1-4C17-836A-182DBE36595B}"/>
    <cellStyle name="Linked Cell 8 4 10 2" xfId="39852" xr:uid="{7ABCD08A-FA9B-41EF-ABBC-B25543043471}"/>
    <cellStyle name="Linked Cell 8 4 10 2 2" xfId="39853" xr:uid="{391AD56C-6642-40AD-99C4-EC7B9471092E}"/>
    <cellStyle name="Linked Cell 8 4 10 3" xfId="39854" xr:uid="{348E9FFA-86D9-4D75-9168-169837EF3332}"/>
    <cellStyle name="Linked Cell 8 4 11" xfId="39855" xr:uid="{80D2A8EB-2E6F-415C-B521-37ABCE747DD3}"/>
    <cellStyle name="Linked Cell 8 4 11 2" xfId="39856" xr:uid="{A541BE01-5CBA-43B4-9FFF-AEFA9C393C1D}"/>
    <cellStyle name="Linked Cell 8 4 11 2 2" xfId="39857" xr:uid="{E3415A49-37F3-4F0B-B1EB-B68FB1A40B80}"/>
    <cellStyle name="Linked Cell 8 4 11 3" xfId="39858" xr:uid="{605B5FE6-242A-4305-B727-2EB74CC10790}"/>
    <cellStyle name="Linked Cell 8 4 12" xfId="39859" xr:uid="{41F8D212-13B1-4027-A21D-F4050402AD52}"/>
    <cellStyle name="Linked Cell 8 4 12 2" xfId="39860" xr:uid="{3F55E3E4-C5DD-4850-8221-E4A05D1445ED}"/>
    <cellStyle name="Linked Cell 8 4 13" xfId="39861" xr:uid="{9782ADE7-9632-4D27-98C4-AE2FA4836E28}"/>
    <cellStyle name="Linked Cell 8 4 2" xfId="39862" xr:uid="{145AEECA-5DC6-462D-BED1-5E479EC27A44}"/>
    <cellStyle name="Linked Cell 8 4 2 10" xfId="39863" xr:uid="{24CE2230-0654-4F90-98A4-DF1B34568741}"/>
    <cellStyle name="Linked Cell 8 4 2 10 2" xfId="39864" xr:uid="{9FF2DCE0-A9B7-4ECD-A30C-C8D7ED2822CF}"/>
    <cellStyle name="Linked Cell 8 4 2 10 2 2" xfId="39865" xr:uid="{2D128ED6-64FE-4B1F-8BF5-6D438185B22F}"/>
    <cellStyle name="Linked Cell 8 4 2 10 3" xfId="39866" xr:uid="{C1CD1648-8E29-47EB-850B-DC1044BCF232}"/>
    <cellStyle name="Linked Cell 8 4 2 11" xfId="39867" xr:uid="{8C10BF44-46E5-4639-8B01-0FDBD2978E8F}"/>
    <cellStyle name="Linked Cell 8 4 2 11 2" xfId="39868" xr:uid="{CA1EAAE7-34CD-4AC5-8485-784395019CA7}"/>
    <cellStyle name="Linked Cell 8 4 2 12" xfId="39869" xr:uid="{F45ED0CD-9138-4890-B5DD-9BAC15ECEF00}"/>
    <cellStyle name="Linked Cell 8 4 2 2" xfId="39870" xr:uid="{A18C97EF-A8C8-4060-8B64-944E34AA5F18}"/>
    <cellStyle name="Linked Cell 8 4 2 2 2" xfId="39871" xr:uid="{52AA18DA-CB1D-4F47-BA3A-8965CB72297F}"/>
    <cellStyle name="Linked Cell 8 4 2 2 2 2" xfId="39872" xr:uid="{06759A6B-D7DB-47A7-83F3-077C49BC1F4F}"/>
    <cellStyle name="Linked Cell 8 4 2 2 3" xfId="39873" xr:uid="{663769A3-D584-4837-AE75-F066631B24E2}"/>
    <cellStyle name="Linked Cell 8 4 2 3" xfId="39874" xr:uid="{C6B9A611-9B55-402D-BFCB-E99A60D98B7B}"/>
    <cellStyle name="Linked Cell 8 4 2 3 2" xfId="39875" xr:uid="{6165C38E-85A3-41A0-A1BD-DE468BB6588B}"/>
    <cellStyle name="Linked Cell 8 4 2 3 2 2" xfId="39876" xr:uid="{CC2E6A9E-507F-4429-B337-77904DB837EE}"/>
    <cellStyle name="Linked Cell 8 4 2 3 3" xfId="39877" xr:uid="{0C06F167-1557-4D09-8556-B0D7CDBCAD60}"/>
    <cellStyle name="Linked Cell 8 4 2 4" xfId="39878" xr:uid="{E098EF3D-CD0F-4955-809D-DB575D6315FC}"/>
    <cellStyle name="Linked Cell 8 4 2 4 2" xfId="39879" xr:uid="{7E4A1DBA-1AAB-4E85-945F-B37D4174BA13}"/>
    <cellStyle name="Linked Cell 8 4 2 4 2 2" xfId="39880" xr:uid="{E564A62B-6E37-4691-9FB1-AC211FF707FF}"/>
    <cellStyle name="Linked Cell 8 4 2 4 3" xfId="39881" xr:uid="{817E3B58-878D-4B9D-A5AD-5A70DA13EF22}"/>
    <cellStyle name="Linked Cell 8 4 2 5" xfId="39882" xr:uid="{B7109866-2D13-4039-80B6-E09B140C9F85}"/>
    <cellStyle name="Linked Cell 8 4 2 5 2" xfId="39883" xr:uid="{A2F2EF96-1EF7-4F46-9AF6-C8A8BC8A4F19}"/>
    <cellStyle name="Linked Cell 8 4 2 5 2 2" xfId="39884" xr:uid="{DA8669CE-9281-498E-BC61-C6387C7B63EE}"/>
    <cellStyle name="Linked Cell 8 4 2 5 3" xfId="39885" xr:uid="{14DF8D06-7C67-491F-B9A6-92BF0F7B7BFC}"/>
    <cellStyle name="Linked Cell 8 4 2 6" xfId="39886" xr:uid="{4BA761B0-6A3D-475E-98FA-0257378EA609}"/>
    <cellStyle name="Linked Cell 8 4 2 6 2" xfId="39887" xr:uid="{5FBA79F4-F730-4CED-8494-2886184674CA}"/>
    <cellStyle name="Linked Cell 8 4 2 6 2 2" xfId="39888" xr:uid="{E631C2D8-19F3-4615-9B52-DE705A725C9E}"/>
    <cellStyle name="Linked Cell 8 4 2 6 3" xfId="39889" xr:uid="{886C19C9-7742-484F-99F6-DC0E84AAB56C}"/>
    <cellStyle name="Linked Cell 8 4 2 7" xfId="39890" xr:uid="{BB010DBC-F2EF-433F-A705-6FFA837B9672}"/>
    <cellStyle name="Linked Cell 8 4 2 7 2" xfId="39891" xr:uid="{3B3BC8F1-D0C8-41AC-BD20-8C5E2E03804F}"/>
    <cellStyle name="Linked Cell 8 4 2 7 2 2" xfId="39892" xr:uid="{B91BAA07-9C62-4FA2-90E8-E151E7D9028B}"/>
    <cellStyle name="Linked Cell 8 4 2 7 3" xfId="39893" xr:uid="{CAA529CD-B06E-4195-966B-127D64B6998C}"/>
    <cellStyle name="Linked Cell 8 4 2 8" xfId="39894" xr:uid="{3B49C123-7359-4FB6-88A0-E0AEF9B53C39}"/>
    <cellStyle name="Linked Cell 8 4 2 8 2" xfId="39895" xr:uid="{5163C98B-766F-41E4-A0E6-E1174A4E33FD}"/>
    <cellStyle name="Linked Cell 8 4 2 8 2 2" xfId="39896" xr:uid="{517FC5F4-7B9C-4A51-8E8F-5FCA66283298}"/>
    <cellStyle name="Linked Cell 8 4 2 8 3" xfId="39897" xr:uid="{DC175348-F9F3-4314-AC22-A4A157E1EFED}"/>
    <cellStyle name="Linked Cell 8 4 2 9" xfId="39898" xr:uid="{32B530E1-0249-4DB7-AC61-B653E1270228}"/>
    <cellStyle name="Linked Cell 8 4 2 9 2" xfId="39899" xr:uid="{5212D2D2-F167-4990-BE3C-32DEFD3FAE31}"/>
    <cellStyle name="Linked Cell 8 4 2 9 2 2" xfId="39900" xr:uid="{87880BC5-5E4D-4FA8-9C4C-4C1A3D44F59C}"/>
    <cellStyle name="Linked Cell 8 4 2 9 3" xfId="39901" xr:uid="{6CDC13E6-45E6-458F-AA61-BA8FA8BE4F52}"/>
    <cellStyle name="Linked Cell 8 4 3" xfId="39902" xr:uid="{5E06EE0D-E467-40DB-A4A7-F876BB3A3901}"/>
    <cellStyle name="Linked Cell 8 4 3 10" xfId="39903" xr:uid="{BC936402-7958-409F-8F09-449DD72A33A6}"/>
    <cellStyle name="Linked Cell 8 4 3 10 2" xfId="39904" xr:uid="{074DB532-0FFF-467F-9D6B-2209156879C0}"/>
    <cellStyle name="Linked Cell 8 4 3 11" xfId="39905" xr:uid="{D180BDB5-21EB-4602-89EB-014824B5CE70}"/>
    <cellStyle name="Linked Cell 8 4 3 2" xfId="39906" xr:uid="{41B3A33C-5D60-4169-9DB3-280FB3649E60}"/>
    <cellStyle name="Linked Cell 8 4 3 2 2" xfId="39907" xr:uid="{0C093046-0DE2-4428-B492-9E864ECDEFBF}"/>
    <cellStyle name="Linked Cell 8 4 3 2 2 2" xfId="39908" xr:uid="{5FA3ABAD-7CFB-436C-AC6D-C5CDBD6389CD}"/>
    <cellStyle name="Linked Cell 8 4 3 2 3" xfId="39909" xr:uid="{1CCE3CBB-B9C3-4C73-98C9-041B36086F38}"/>
    <cellStyle name="Linked Cell 8 4 3 3" xfId="39910" xr:uid="{99C3A20C-7F12-4B40-89C6-A04EB67B1BD0}"/>
    <cellStyle name="Linked Cell 8 4 3 3 2" xfId="39911" xr:uid="{E67DB56F-708E-476A-AE29-7F09886AE613}"/>
    <cellStyle name="Linked Cell 8 4 3 3 2 2" xfId="39912" xr:uid="{2A601DE3-7671-4712-AE4B-F2774E21E978}"/>
    <cellStyle name="Linked Cell 8 4 3 3 3" xfId="39913" xr:uid="{13AE349C-F4C5-4C91-A66B-DF1C69D42B70}"/>
    <cellStyle name="Linked Cell 8 4 3 4" xfId="39914" xr:uid="{C86400B8-50E4-4EF5-B6BC-0A1EFDB546F7}"/>
    <cellStyle name="Linked Cell 8 4 3 4 2" xfId="39915" xr:uid="{793486CA-FB4B-47D3-8280-3B008D7D7A10}"/>
    <cellStyle name="Linked Cell 8 4 3 4 2 2" xfId="39916" xr:uid="{F8622300-8236-422A-8BE5-9F72321A2BFF}"/>
    <cellStyle name="Linked Cell 8 4 3 4 3" xfId="39917" xr:uid="{A15F09C4-9C22-4A7A-9BF6-B3B325C9C3AD}"/>
    <cellStyle name="Linked Cell 8 4 3 5" xfId="39918" xr:uid="{9F7D2BE2-48DD-46BC-84CF-BEAAC1EDF1AE}"/>
    <cellStyle name="Linked Cell 8 4 3 5 2" xfId="39919" xr:uid="{4EFDFE59-5458-4F76-8DB2-ADB722E3BE28}"/>
    <cellStyle name="Linked Cell 8 4 3 5 2 2" xfId="39920" xr:uid="{EE9B19CE-358F-4930-BD3F-B37F6910DF01}"/>
    <cellStyle name="Linked Cell 8 4 3 5 3" xfId="39921" xr:uid="{34228325-1157-4CB9-9ADF-2DDBDA329FA4}"/>
    <cellStyle name="Linked Cell 8 4 3 6" xfId="39922" xr:uid="{3E8EF717-73BC-419C-A94B-10799052F8FA}"/>
    <cellStyle name="Linked Cell 8 4 3 6 2" xfId="39923" xr:uid="{9501B1D0-D590-4929-937D-6B2B7C9D5A70}"/>
    <cellStyle name="Linked Cell 8 4 3 6 2 2" xfId="39924" xr:uid="{BD324559-E9EA-4775-92BF-0FE84C7018AD}"/>
    <cellStyle name="Linked Cell 8 4 3 6 3" xfId="39925" xr:uid="{0CD11EEB-AF4C-44A3-BA0F-4A62E3535A10}"/>
    <cellStyle name="Linked Cell 8 4 3 7" xfId="39926" xr:uid="{70773C4A-0348-4E4D-9228-02BE3851C9AB}"/>
    <cellStyle name="Linked Cell 8 4 3 7 2" xfId="39927" xr:uid="{2969C8E0-7319-4DE7-B0F7-534E6C5BF6EE}"/>
    <cellStyle name="Linked Cell 8 4 3 7 2 2" xfId="39928" xr:uid="{CA3E601E-6145-48A4-9B6E-2A357CA26218}"/>
    <cellStyle name="Linked Cell 8 4 3 7 3" xfId="39929" xr:uid="{F85333D8-F9C0-452B-AC8A-544761DF6770}"/>
    <cellStyle name="Linked Cell 8 4 3 8" xfId="39930" xr:uid="{EF234FCA-0311-46DB-98C6-E188BBC30D89}"/>
    <cellStyle name="Linked Cell 8 4 3 8 2" xfId="39931" xr:uid="{6B1D37CF-CC55-48FD-9718-3078FE7B8299}"/>
    <cellStyle name="Linked Cell 8 4 3 8 2 2" xfId="39932" xr:uid="{8F1654D4-9F9F-4B59-88C4-3F2FCE26DB2D}"/>
    <cellStyle name="Linked Cell 8 4 3 8 3" xfId="39933" xr:uid="{C6DC1CB6-24BC-4027-8BBF-87FC6C7E285B}"/>
    <cellStyle name="Linked Cell 8 4 3 9" xfId="39934" xr:uid="{AA4DB118-6915-4B70-A318-98CE0E4D423A}"/>
    <cellStyle name="Linked Cell 8 4 3 9 2" xfId="39935" xr:uid="{75BC9CE2-8916-4F48-AE69-184F41D2C75C}"/>
    <cellStyle name="Linked Cell 8 4 3 9 2 2" xfId="39936" xr:uid="{95497599-48DA-45AC-9C46-D5D71D3245C9}"/>
    <cellStyle name="Linked Cell 8 4 3 9 3" xfId="39937" xr:uid="{3AF3B5B7-921E-4F23-AC4D-DC2D05F83D07}"/>
    <cellStyle name="Linked Cell 8 4 4" xfId="39938" xr:uid="{5A03530A-1755-458C-B82A-39034246D240}"/>
    <cellStyle name="Linked Cell 8 4 4 2" xfId="39939" xr:uid="{015D4D4A-27AA-4960-A1B6-F76B08ABB1E1}"/>
    <cellStyle name="Linked Cell 8 4 4 2 2" xfId="39940" xr:uid="{F23ABCF1-D716-4AFE-8601-FF3959C8093F}"/>
    <cellStyle name="Linked Cell 8 4 4 3" xfId="39941" xr:uid="{F0EF151D-09DB-4904-8D41-EA93044630C3}"/>
    <cellStyle name="Linked Cell 8 4 5" xfId="39942" xr:uid="{D5F95F9F-9E54-4C25-A565-8DF9F7700A60}"/>
    <cellStyle name="Linked Cell 8 4 5 2" xfId="39943" xr:uid="{BD14D4C7-BA54-4E89-8C7D-AD2C1481112C}"/>
    <cellStyle name="Linked Cell 8 4 5 2 2" xfId="39944" xr:uid="{A5F9F225-559E-438E-BB05-2B069C9CCBCC}"/>
    <cellStyle name="Linked Cell 8 4 5 3" xfId="39945" xr:uid="{DCE71071-96F5-4611-BEEC-888F8BCCE9EF}"/>
    <cellStyle name="Linked Cell 8 4 6" xfId="39946" xr:uid="{B7F06A9E-1619-4F4C-94BC-199A60A0EBDE}"/>
    <cellStyle name="Linked Cell 8 4 6 2" xfId="39947" xr:uid="{C98C838F-DF1C-4BE2-AB98-AE42BA7C82EC}"/>
    <cellStyle name="Linked Cell 8 4 6 2 2" xfId="39948" xr:uid="{8A3CB3D2-DAF9-4F73-BA47-78101CC78D7E}"/>
    <cellStyle name="Linked Cell 8 4 6 3" xfId="39949" xr:uid="{E5EA47D7-5AAF-4E67-B9F7-A105DFD6B6FE}"/>
    <cellStyle name="Linked Cell 8 4 7" xfId="39950" xr:uid="{B1B5E9DC-79CB-47F7-84DA-E2264FDD7237}"/>
    <cellStyle name="Linked Cell 8 4 7 2" xfId="39951" xr:uid="{9600B3D1-B6F3-42E4-B839-7D6306023330}"/>
    <cellStyle name="Linked Cell 8 4 7 2 2" xfId="39952" xr:uid="{CBC9A6BC-9700-454C-AC21-47BC42E76ED5}"/>
    <cellStyle name="Linked Cell 8 4 7 3" xfId="39953" xr:uid="{792A0E21-7265-4D18-BCDC-D84D272E4193}"/>
    <cellStyle name="Linked Cell 8 4 8" xfId="39954" xr:uid="{D97E2EDB-02C4-4359-B73D-7708F7F3FE0E}"/>
    <cellStyle name="Linked Cell 8 4 8 2" xfId="39955" xr:uid="{66C6A5B6-C8A3-4DB4-975B-A73842A73FDF}"/>
    <cellStyle name="Linked Cell 8 4 8 2 2" xfId="39956" xr:uid="{381B1564-A77D-47E9-8DCD-1105098F521C}"/>
    <cellStyle name="Linked Cell 8 4 8 3" xfId="39957" xr:uid="{D09A3401-FE93-4483-838E-C105F6DCCF86}"/>
    <cellStyle name="Linked Cell 8 4 9" xfId="39958" xr:uid="{FA2E514B-4144-4045-BD9E-A4AA6964615B}"/>
    <cellStyle name="Linked Cell 8 4 9 2" xfId="39959" xr:uid="{518B58DF-BCCD-49DE-8F9F-55323CEEF924}"/>
    <cellStyle name="Linked Cell 8 4 9 2 2" xfId="39960" xr:uid="{D72D962B-868F-4D47-B890-442A7A8A1843}"/>
    <cellStyle name="Linked Cell 8 4 9 3" xfId="39961" xr:uid="{78A2CFD8-53DF-4438-A1E8-B470565E8CC4}"/>
    <cellStyle name="Linked Cell 9" xfId="39962" xr:uid="{39E76CF0-C8BB-4EA1-8261-37BE8877A821}"/>
    <cellStyle name="Linked Cell 9 2" xfId="39963" xr:uid="{A801748D-8162-4D51-BF26-95CA4375A819}"/>
    <cellStyle name="Linked Cell 9 2 10" xfId="39964" xr:uid="{6C5E1A1A-770F-442D-AE57-0FB988F51362}"/>
    <cellStyle name="Linked Cell 9 2 10 2" xfId="39965" xr:uid="{7D75DB51-18E1-4996-88F2-EC88428AFC2D}"/>
    <cellStyle name="Linked Cell 9 2 10 2 2" xfId="39966" xr:uid="{7DA20397-A59D-4FFC-AAB2-B64DDB0A31FB}"/>
    <cellStyle name="Linked Cell 9 2 10 3" xfId="39967" xr:uid="{6B76E0C1-0645-4B60-8EB2-D07AF1D219B5}"/>
    <cellStyle name="Linked Cell 9 2 11" xfId="39968" xr:uid="{D350A74E-90D9-4A0D-9583-4AF366203168}"/>
    <cellStyle name="Linked Cell 9 2 11 2" xfId="39969" xr:uid="{F6F1A1FF-F212-44FD-A84A-A35CD827DB58}"/>
    <cellStyle name="Linked Cell 9 2 11 2 2" xfId="39970" xr:uid="{C4ECD918-B918-44F8-89C6-7A972D819AED}"/>
    <cellStyle name="Linked Cell 9 2 11 3" xfId="39971" xr:uid="{13C507A4-096A-40A3-B2DD-FDD86A6114EB}"/>
    <cellStyle name="Linked Cell 9 2 12" xfId="39972" xr:uid="{84BA23E1-C83D-4E71-A204-14F8F16CF938}"/>
    <cellStyle name="Linked Cell 9 2 12 2" xfId="39973" xr:uid="{6FE76213-358E-4C32-8346-33ABC3B81EE6}"/>
    <cellStyle name="Linked Cell 9 2 12 2 2" xfId="39974" xr:uid="{D65B9071-5922-4B0D-BBC1-ADDD15203A14}"/>
    <cellStyle name="Linked Cell 9 2 12 3" xfId="39975" xr:uid="{5089A888-1271-4E58-820F-1FA58130F864}"/>
    <cellStyle name="Linked Cell 9 2 13" xfId="39976" xr:uid="{49AE601E-9A86-49E2-A0CD-B0F3442AB9DA}"/>
    <cellStyle name="Linked Cell 9 2 13 2" xfId="39977" xr:uid="{62779F59-3D88-4913-90B7-EE68F70583C9}"/>
    <cellStyle name="Linked Cell 9 2 13 2 2" xfId="39978" xr:uid="{9B8B97AD-9E8E-40F2-94DB-266D83602DCF}"/>
    <cellStyle name="Linked Cell 9 2 13 3" xfId="39979" xr:uid="{44FE7CBB-ABE5-4CA7-BB5C-A4A212477CA4}"/>
    <cellStyle name="Linked Cell 9 2 14" xfId="39980" xr:uid="{D249A440-FAF5-481C-A809-1EC26F654A7B}"/>
    <cellStyle name="Linked Cell 9 2 14 2" xfId="39981" xr:uid="{C8FAF3DB-D9B7-4252-A21D-5F53A905FD18}"/>
    <cellStyle name="Linked Cell 9 2 15" xfId="39982" xr:uid="{9DEBAEC5-FA53-463A-BD4B-BCAD03C6BEE5}"/>
    <cellStyle name="Linked Cell 9 2 2" xfId="39983" xr:uid="{6E5702CC-32B7-4648-B968-2ADC235B870D}"/>
    <cellStyle name="Linked Cell 9 2 2 10" xfId="39984" xr:uid="{BFBB9295-4D0E-434C-A828-B1670E553FC3}"/>
    <cellStyle name="Linked Cell 9 2 2 10 2" xfId="39985" xr:uid="{7E97DED1-33D3-4286-AD90-107D38ED0CAE}"/>
    <cellStyle name="Linked Cell 9 2 2 10 2 2" xfId="39986" xr:uid="{BC644C85-75C1-44A6-94D5-1D8C093F7CB2}"/>
    <cellStyle name="Linked Cell 9 2 2 10 3" xfId="39987" xr:uid="{4ADA6491-AF83-4CA7-B3AD-396C0445EFDA}"/>
    <cellStyle name="Linked Cell 9 2 2 11" xfId="39988" xr:uid="{6ABFF5D8-1A18-4386-9764-EE4DC7C0120C}"/>
    <cellStyle name="Linked Cell 9 2 2 11 2" xfId="39989" xr:uid="{6B61DFF2-6507-4094-B45E-127B90FA35A2}"/>
    <cellStyle name="Linked Cell 9 2 2 11 2 2" xfId="39990" xr:uid="{082C5F59-2265-4E18-B06A-D46DDEF26344}"/>
    <cellStyle name="Linked Cell 9 2 2 11 3" xfId="39991" xr:uid="{51763B28-E56C-49B0-9449-561BDB2108F9}"/>
    <cellStyle name="Linked Cell 9 2 2 12" xfId="39992" xr:uid="{18E6AC67-F6CD-49F3-95CA-946FBA5DC0DF}"/>
    <cellStyle name="Linked Cell 9 2 2 12 2" xfId="39993" xr:uid="{6FC37A79-09A8-4F27-8959-790C3DA10E7E}"/>
    <cellStyle name="Linked Cell 9 2 2 12 2 2" xfId="39994" xr:uid="{5E33EE28-C159-48EB-BD9E-FA7A406796B4}"/>
    <cellStyle name="Linked Cell 9 2 2 12 3" xfId="39995" xr:uid="{6D89F8FF-7D17-4640-AE6C-1CA1B70A9156}"/>
    <cellStyle name="Linked Cell 9 2 2 13" xfId="39996" xr:uid="{950A8630-03DD-491B-9E93-2B77647F3607}"/>
    <cellStyle name="Linked Cell 9 2 2 13 2" xfId="39997" xr:uid="{AB1A29D9-8DB3-4003-8F33-7BDE3DB095F8}"/>
    <cellStyle name="Linked Cell 9 2 2 14" xfId="39998" xr:uid="{1FE0362A-55F4-4599-992E-08ACB12F9B80}"/>
    <cellStyle name="Linked Cell 9 2 2 2" xfId="39999" xr:uid="{B9F9BF1B-D113-4B30-B49E-EC7EC1A4C832}"/>
    <cellStyle name="Linked Cell 9 2 2 2 10" xfId="40000" xr:uid="{3AD1A1DD-2D23-4AAA-BEDA-A4D408399AA2}"/>
    <cellStyle name="Linked Cell 9 2 2 2 10 2" xfId="40001" xr:uid="{DA90A46E-FCAE-40C8-91C7-2C7108FE0DB1}"/>
    <cellStyle name="Linked Cell 9 2 2 2 10 2 2" xfId="40002" xr:uid="{9291EFCC-F14C-4392-8F76-B543C9482319}"/>
    <cellStyle name="Linked Cell 9 2 2 2 10 3" xfId="40003" xr:uid="{D968B7DE-9A13-4803-BF15-A8BDE06B270D}"/>
    <cellStyle name="Linked Cell 9 2 2 2 11" xfId="40004" xr:uid="{C87EF028-63D0-46D2-BF2C-F3CFA183873C}"/>
    <cellStyle name="Linked Cell 9 2 2 2 11 2" xfId="40005" xr:uid="{86DD0EC1-568F-4143-AC6E-BAF66F946D37}"/>
    <cellStyle name="Linked Cell 9 2 2 2 11 2 2" xfId="40006" xr:uid="{B31C879A-DDBF-42F2-BC95-204A4768489F}"/>
    <cellStyle name="Linked Cell 9 2 2 2 11 3" xfId="40007" xr:uid="{8B418B93-469D-465D-B0E3-8BAB83C87223}"/>
    <cellStyle name="Linked Cell 9 2 2 2 12" xfId="40008" xr:uid="{CC76AC8D-B057-4A1F-94DF-B2121C07D0E3}"/>
    <cellStyle name="Linked Cell 9 2 2 2 12 2" xfId="40009" xr:uid="{2499CB09-02B1-4BBD-917B-1BC3195A6AA4}"/>
    <cellStyle name="Linked Cell 9 2 2 2 13" xfId="40010" xr:uid="{6C4DE6C7-241F-41A5-A191-FEB7493E8201}"/>
    <cellStyle name="Linked Cell 9 2 2 2 2" xfId="40011" xr:uid="{CB8172D9-4502-4349-8539-C7CFEBB2BB21}"/>
    <cellStyle name="Linked Cell 9 2 2 2 2 10" xfId="40012" xr:uid="{A1A99C7A-E741-4D89-990E-ACC6914B0269}"/>
    <cellStyle name="Linked Cell 9 2 2 2 2 10 2" xfId="40013" xr:uid="{6A0921B6-1239-4F7D-B0F0-6AF150D06690}"/>
    <cellStyle name="Linked Cell 9 2 2 2 2 10 2 2" xfId="40014" xr:uid="{13167970-24B4-4443-9ADF-4621BBB9C92A}"/>
    <cellStyle name="Linked Cell 9 2 2 2 2 10 3" xfId="40015" xr:uid="{388EBBE7-4FD8-4C76-B377-1BA85BC962AC}"/>
    <cellStyle name="Linked Cell 9 2 2 2 2 11" xfId="40016" xr:uid="{8E8CC48C-B1FC-4E66-AF33-13CF3A75FD8B}"/>
    <cellStyle name="Linked Cell 9 2 2 2 2 11 2" xfId="40017" xr:uid="{BB27F41E-7CB6-441C-8DF5-4E203A9FFB69}"/>
    <cellStyle name="Linked Cell 9 2 2 2 2 12" xfId="40018" xr:uid="{D4EA5CAA-7B48-4861-A663-F07898E49EAB}"/>
    <cellStyle name="Linked Cell 9 2 2 2 2 2" xfId="40019" xr:uid="{57A5254C-6870-4CF4-98C9-B350CF8D4C6A}"/>
    <cellStyle name="Linked Cell 9 2 2 2 2 2 2" xfId="40020" xr:uid="{2C13D037-57DA-4010-87EE-882FDA101CE4}"/>
    <cellStyle name="Linked Cell 9 2 2 2 2 2 2 2" xfId="40021" xr:uid="{14AC81D3-913D-44AC-ACE6-14EA348CBBE3}"/>
    <cellStyle name="Linked Cell 9 2 2 2 2 2 3" xfId="40022" xr:uid="{AB497FF5-65F1-4EDD-868C-AE8A1DDA8EA1}"/>
    <cellStyle name="Linked Cell 9 2 2 2 2 3" xfId="40023" xr:uid="{8E6AABF4-8CC1-4EF3-86AD-7AFD47BF77C5}"/>
    <cellStyle name="Linked Cell 9 2 2 2 2 3 2" xfId="40024" xr:uid="{7FC2CAAE-0A41-4091-8FD1-B79C9C6EB9F1}"/>
    <cellStyle name="Linked Cell 9 2 2 2 2 3 2 2" xfId="40025" xr:uid="{4237D25C-C3B8-4A67-9709-056E00E5DC04}"/>
    <cellStyle name="Linked Cell 9 2 2 2 2 3 3" xfId="40026" xr:uid="{5F6E5EE5-795E-4507-B3D7-0F6B1732703E}"/>
    <cellStyle name="Linked Cell 9 2 2 2 2 4" xfId="40027" xr:uid="{5EA238CD-AE75-4B6A-B262-7B78AE260B9A}"/>
    <cellStyle name="Linked Cell 9 2 2 2 2 4 2" xfId="40028" xr:uid="{B416A328-7338-422D-AFF6-A191BD48B592}"/>
    <cellStyle name="Linked Cell 9 2 2 2 2 4 2 2" xfId="40029" xr:uid="{E21D83A3-97FB-4E91-AA2F-C60C52A0A6BF}"/>
    <cellStyle name="Linked Cell 9 2 2 2 2 4 3" xfId="40030" xr:uid="{1FE05A3C-19E4-497B-B5B3-88E8CD71FB0C}"/>
    <cellStyle name="Linked Cell 9 2 2 2 2 5" xfId="40031" xr:uid="{A6347CA9-647B-42D5-95BB-F9522154D5D6}"/>
    <cellStyle name="Linked Cell 9 2 2 2 2 5 2" xfId="40032" xr:uid="{17EB4389-8EA3-48D0-9767-9A3A56AF387E}"/>
    <cellStyle name="Linked Cell 9 2 2 2 2 5 2 2" xfId="40033" xr:uid="{285A50E1-BF2D-4EE8-AE80-2C996ABE9CEE}"/>
    <cellStyle name="Linked Cell 9 2 2 2 2 5 3" xfId="40034" xr:uid="{2C8DDC45-772D-40BE-BE81-AA11930C9365}"/>
    <cellStyle name="Linked Cell 9 2 2 2 2 6" xfId="40035" xr:uid="{48192869-6F9B-4D44-8D52-7D672DA65B38}"/>
    <cellStyle name="Linked Cell 9 2 2 2 2 6 2" xfId="40036" xr:uid="{75A16CDC-3581-46D5-B6A3-3EA720EEBFC2}"/>
    <cellStyle name="Linked Cell 9 2 2 2 2 6 2 2" xfId="40037" xr:uid="{989A43B5-0FC3-44D0-9629-278D15D9B816}"/>
    <cellStyle name="Linked Cell 9 2 2 2 2 6 3" xfId="40038" xr:uid="{9831DEAC-2C83-40CF-BCD6-727846637BBC}"/>
    <cellStyle name="Linked Cell 9 2 2 2 2 7" xfId="40039" xr:uid="{8BA5F0D1-A313-4BF0-935F-70E77A7DBA7E}"/>
    <cellStyle name="Linked Cell 9 2 2 2 2 7 2" xfId="40040" xr:uid="{61D65268-0F3F-4249-910C-6ABE49841665}"/>
    <cellStyle name="Linked Cell 9 2 2 2 2 7 2 2" xfId="40041" xr:uid="{5CE31CA7-A00F-484A-9DAB-A39ABB525CBB}"/>
    <cellStyle name="Linked Cell 9 2 2 2 2 7 3" xfId="40042" xr:uid="{3FEF740A-F9C5-4BB2-AF5F-8591EEF24CB5}"/>
    <cellStyle name="Linked Cell 9 2 2 2 2 8" xfId="40043" xr:uid="{EA65D783-C46D-4B09-B878-E3FB8E54A7C9}"/>
    <cellStyle name="Linked Cell 9 2 2 2 2 8 2" xfId="40044" xr:uid="{B15B06AF-F124-486E-8371-1EAF9D87C992}"/>
    <cellStyle name="Linked Cell 9 2 2 2 2 8 2 2" xfId="40045" xr:uid="{5131A495-6DBA-41A4-A97C-6264B1F59AC4}"/>
    <cellStyle name="Linked Cell 9 2 2 2 2 8 3" xfId="40046" xr:uid="{2CEC2D43-8B0A-4EFB-9D8F-889111F86EE4}"/>
    <cellStyle name="Linked Cell 9 2 2 2 2 9" xfId="40047" xr:uid="{1DBEB279-0B4D-41A1-AC34-88610335472B}"/>
    <cellStyle name="Linked Cell 9 2 2 2 2 9 2" xfId="40048" xr:uid="{34F31F1D-1BF9-41F2-825F-AA9DC188D742}"/>
    <cellStyle name="Linked Cell 9 2 2 2 2 9 2 2" xfId="40049" xr:uid="{11CFCBBB-3C78-408B-AA7A-89DFB759A0EF}"/>
    <cellStyle name="Linked Cell 9 2 2 2 2 9 3" xfId="40050" xr:uid="{10CB6085-C333-4B2B-893B-915143681458}"/>
    <cellStyle name="Linked Cell 9 2 2 2 3" xfId="40051" xr:uid="{3E18DC05-FDEB-455A-961E-AF126534348B}"/>
    <cellStyle name="Linked Cell 9 2 2 2 3 10" xfId="40052" xr:uid="{64A91612-5117-493A-803C-DCCCD14D1CB7}"/>
    <cellStyle name="Linked Cell 9 2 2 2 3 10 2" xfId="40053" xr:uid="{F699C5FC-931F-49CE-A955-B07FA13E35D5}"/>
    <cellStyle name="Linked Cell 9 2 2 2 3 11" xfId="40054" xr:uid="{482B0BDE-A36A-4CC8-9DBB-08217834047B}"/>
    <cellStyle name="Linked Cell 9 2 2 2 3 2" xfId="40055" xr:uid="{AA276251-ED85-4BD4-A39A-BCB13762A8D7}"/>
    <cellStyle name="Linked Cell 9 2 2 2 3 2 2" xfId="40056" xr:uid="{4A212EDC-421B-4B28-BB6D-4B0DE91181EA}"/>
    <cellStyle name="Linked Cell 9 2 2 2 3 2 2 2" xfId="40057" xr:uid="{C4480ADD-2C3F-496A-82E1-207010212944}"/>
    <cellStyle name="Linked Cell 9 2 2 2 3 2 3" xfId="40058" xr:uid="{3B33A022-31FA-4610-86DE-AA5DB0D2302F}"/>
    <cellStyle name="Linked Cell 9 2 2 2 3 3" xfId="40059" xr:uid="{BB51F358-32E2-46D5-999B-278898A81DC7}"/>
    <cellStyle name="Linked Cell 9 2 2 2 3 3 2" xfId="40060" xr:uid="{E21737E8-5D1D-4792-A2E3-2A4380804DAE}"/>
    <cellStyle name="Linked Cell 9 2 2 2 3 3 2 2" xfId="40061" xr:uid="{62D1A028-902A-4CF5-8824-3EF8CF5FF3D9}"/>
    <cellStyle name="Linked Cell 9 2 2 2 3 3 3" xfId="40062" xr:uid="{D15BFCE4-7C96-40C8-9B54-B1BEAFF7CE1E}"/>
    <cellStyle name="Linked Cell 9 2 2 2 3 4" xfId="40063" xr:uid="{CDEFDB35-D9B1-48A4-B717-08EB17C8BC43}"/>
    <cellStyle name="Linked Cell 9 2 2 2 3 4 2" xfId="40064" xr:uid="{1C3ED2A1-1ACC-4F52-AAC1-5A1F4507E440}"/>
    <cellStyle name="Linked Cell 9 2 2 2 3 4 2 2" xfId="40065" xr:uid="{CB4E9D95-5520-4879-9F80-637A561379A6}"/>
    <cellStyle name="Linked Cell 9 2 2 2 3 4 3" xfId="40066" xr:uid="{5E395492-44AD-42A7-9E10-4B25F722560C}"/>
    <cellStyle name="Linked Cell 9 2 2 2 3 5" xfId="40067" xr:uid="{02658EAE-E9A4-491A-8ED8-8D4D62C53ED4}"/>
    <cellStyle name="Linked Cell 9 2 2 2 3 5 2" xfId="40068" xr:uid="{B3DE9015-E392-43C2-A76F-5B1FBD97BDAC}"/>
    <cellStyle name="Linked Cell 9 2 2 2 3 5 2 2" xfId="40069" xr:uid="{D01238BA-7901-48C0-8349-9BE66C7F5250}"/>
    <cellStyle name="Linked Cell 9 2 2 2 3 5 3" xfId="40070" xr:uid="{C84323B2-AE8E-4F96-8D18-E4F9646B8C5F}"/>
    <cellStyle name="Linked Cell 9 2 2 2 3 6" xfId="40071" xr:uid="{EC7B172C-1518-496F-839A-99AD1A06C579}"/>
    <cellStyle name="Linked Cell 9 2 2 2 3 6 2" xfId="40072" xr:uid="{C3032539-E1E6-47E4-BE73-565B7F1F8D7B}"/>
    <cellStyle name="Linked Cell 9 2 2 2 3 6 2 2" xfId="40073" xr:uid="{D09F0AC6-0543-410D-A1A4-B76A63E160E6}"/>
    <cellStyle name="Linked Cell 9 2 2 2 3 6 3" xfId="40074" xr:uid="{0AD44DB5-350A-48DD-B2A9-3DBB03F63556}"/>
    <cellStyle name="Linked Cell 9 2 2 2 3 7" xfId="40075" xr:uid="{0BE2067F-E434-4EF0-BE9E-3DC4095B7A60}"/>
    <cellStyle name="Linked Cell 9 2 2 2 3 7 2" xfId="40076" xr:uid="{8C4AAB61-BDA9-4276-88F6-933FB7F5D647}"/>
    <cellStyle name="Linked Cell 9 2 2 2 3 7 2 2" xfId="40077" xr:uid="{03668EB6-CD5A-471C-9436-B3122F681B2F}"/>
    <cellStyle name="Linked Cell 9 2 2 2 3 7 3" xfId="40078" xr:uid="{9EC0142C-C7BA-41A5-9063-2462E0C0C56F}"/>
    <cellStyle name="Linked Cell 9 2 2 2 3 8" xfId="40079" xr:uid="{B2444DBB-9C66-45D3-BDB2-683B28566EC4}"/>
    <cellStyle name="Linked Cell 9 2 2 2 3 8 2" xfId="40080" xr:uid="{1A40CCB5-1B28-45A9-A697-C3BBC25A3DAD}"/>
    <cellStyle name="Linked Cell 9 2 2 2 3 8 2 2" xfId="40081" xr:uid="{7E348BE7-271C-463D-892A-E40EEC1FFEFF}"/>
    <cellStyle name="Linked Cell 9 2 2 2 3 8 3" xfId="40082" xr:uid="{F7DCEB0A-0E56-45A5-A3A1-36A864FB8BA3}"/>
    <cellStyle name="Linked Cell 9 2 2 2 3 9" xfId="40083" xr:uid="{816DC620-C03C-428F-856E-44B1A3FC99A6}"/>
    <cellStyle name="Linked Cell 9 2 2 2 3 9 2" xfId="40084" xr:uid="{257C0BDA-A3A2-4A1C-A875-476CC5723620}"/>
    <cellStyle name="Linked Cell 9 2 2 2 3 9 2 2" xfId="40085" xr:uid="{03C870F6-2716-49C6-AE11-C90206C3958C}"/>
    <cellStyle name="Linked Cell 9 2 2 2 3 9 3" xfId="40086" xr:uid="{143F7ED1-0459-4D5F-A365-55338948AAEF}"/>
    <cellStyle name="Linked Cell 9 2 2 2 4" xfId="40087" xr:uid="{56A41100-6937-4231-B098-DF5A8EE0B8E8}"/>
    <cellStyle name="Linked Cell 9 2 2 2 4 2" xfId="40088" xr:uid="{5B6FAD23-59D5-4051-9BBE-3792767FDA94}"/>
    <cellStyle name="Linked Cell 9 2 2 2 4 2 2" xfId="40089" xr:uid="{48C285AF-AA72-4A26-83CD-7DD8F178423D}"/>
    <cellStyle name="Linked Cell 9 2 2 2 4 3" xfId="40090" xr:uid="{3B98BBFD-0713-46E1-9AAE-7FC607FB1079}"/>
    <cellStyle name="Linked Cell 9 2 2 2 5" xfId="40091" xr:uid="{B29F6F4D-E125-47F4-B1B9-509E5F242769}"/>
    <cellStyle name="Linked Cell 9 2 2 2 5 2" xfId="40092" xr:uid="{D7AF95BA-27AD-4415-802A-C9CCBD510B2A}"/>
    <cellStyle name="Linked Cell 9 2 2 2 5 2 2" xfId="40093" xr:uid="{DC53BF77-4297-45E6-9C29-BC73097C587D}"/>
    <cellStyle name="Linked Cell 9 2 2 2 5 3" xfId="40094" xr:uid="{FFA2C229-AE53-44F4-9405-A10B805C6641}"/>
    <cellStyle name="Linked Cell 9 2 2 2 6" xfId="40095" xr:uid="{C4F4B5EC-57E2-46A6-A2E6-EF02B08897B2}"/>
    <cellStyle name="Linked Cell 9 2 2 2 6 2" xfId="40096" xr:uid="{C5440C13-41A5-4DE6-A2FF-17C1A037D9A6}"/>
    <cellStyle name="Linked Cell 9 2 2 2 6 2 2" xfId="40097" xr:uid="{6D7EF52F-14B5-4024-9905-D3C0B177CEAF}"/>
    <cellStyle name="Linked Cell 9 2 2 2 6 3" xfId="40098" xr:uid="{E22024BB-0E00-4107-9BDE-DB98B2A21445}"/>
    <cellStyle name="Linked Cell 9 2 2 2 7" xfId="40099" xr:uid="{65753D78-0932-4D66-8368-21F1B31283A9}"/>
    <cellStyle name="Linked Cell 9 2 2 2 7 2" xfId="40100" xr:uid="{AB74A5FC-F8FF-47D7-8E1A-AA2C85A059A3}"/>
    <cellStyle name="Linked Cell 9 2 2 2 7 2 2" xfId="40101" xr:uid="{A1F66554-6BC0-461E-871B-96A212D04F87}"/>
    <cellStyle name="Linked Cell 9 2 2 2 7 3" xfId="40102" xr:uid="{11C2CCB7-6C96-43B1-9637-24CF2F753E68}"/>
    <cellStyle name="Linked Cell 9 2 2 2 8" xfId="40103" xr:uid="{F0334623-48F5-4EC7-B1DF-02108019C053}"/>
    <cellStyle name="Linked Cell 9 2 2 2 8 2" xfId="40104" xr:uid="{EB649ADB-4DA2-421A-AFFD-B58A377C89C0}"/>
    <cellStyle name="Linked Cell 9 2 2 2 8 2 2" xfId="40105" xr:uid="{9086F01B-FFA6-4F5A-8B56-D5E92BD8BAA5}"/>
    <cellStyle name="Linked Cell 9 2 2 2 8 3" xfId="40106" xr:uid="{F3FCDE8E-5FF6-44E9-ABD2-7D7B32C4921B}"/>
    <cellStyle name="Linked Cell 9 2 2 2 9" xfId="40107" xr:uid="{1FA984B5-3891-41B8-BA68-0184FAFE58FE}"/>
    <cellStyle name="Linked Cell 9 2 2 2 9 2" xfId="40108" xr:uid="{9D82DBDB-3128-4FD7-9231-34F46A77E81B}"/>
    <cellStyle name="Linked Cell 9 2 2 2 9 2 2" xfId="40109" xr:uid="{94F12F61-5C67-475A-85C9-562EABAE865C}"/>
    <cellStyle name="Linked Cell 9 2 2 2 9 3" xfId="40110" xr:uid="{D8A26092-399E-4E49-AE76-2BBA65DE2063}"/>
    <cellStyle name="Linked Cell 9 2 2 3" xfId="40111" xr:uid="{6DE72321-4129-444D-ABE2-06F8D6C91D6D}"/>
    <cellStyle name="Linked Cell 9 2 2 3 10" xfId="40112" xr:uid="{B9AF3D94-B705-4D29-B385-6BA22861664C}"/>
    <cellStyle name="Linked Cell 9 2 2 3 10 2" xfId="40113" xr:uid="{631CD655-2F63-46AE-8CC3-FF59BEA6DF41}"/>
    <cellStyle name="Linked Cell 9 2 2 3 10 2 2" xfId="40114" xr:uid="{3D421501-E74D-4C5F-8227-B3AA9A3241C7}"/>
    <cellStyle name="Linked Cell 9 2 2 3 10 3" xfId="40115" xr:uid="{B9EA38B2-FD4D-40E6-B5C0-CCEF63392839}"/>
    <cellStyle name="Linked Cell 9 2 2 3 11" xfId="40116" xr:uid="{BE089B55-6E86-4DAD-AF6B-759AE2E44D86}"/>
    <cellStyle name="Linked Cell 9 2 2 3 11 2" xfId="40117" xr:uid="{4C9CA888-9AE5-410B-A83C-06FA23E65173}"/>
    <cellStyle name="Linked Cell 9 2 2 3 12" xfId="40118" xr:uid="{98ECB509-3B47-4C67-AEFC-468AD8641D02}"/>
    <cellStyle name="Linked Cell 9 2 2 3 2" xfId="40119" xr:uid="{91040111-92C4-488A-A73B-78EB04BA8EE6}"/>
    <cellStyle name="Linked Cell 9 2 2 3 2 10" xfId="40120" xr:uid="{EEABC894-FC90-43F3-A41A-C1D8C08DCEE2}"/>
    <cellStyle name="Linked Cell 9 2 2 3 2 10 2" xfId="40121" xr:uid="{784A2FC2-EBA7-4F61-982B-A33786105243}"/>
    <cellStyle name="Linked Cell 9 2 2 3 2 11" xfId="40122" xr:uid="{43CD09DB-88C7-491A-8088-86F0EA33611F}"/>
    <cellStyle name="Linked Cell 9 2 2 3 2 2" xfId="40123" xr:uid="{75A14B09-5D69-4012-A9EC-856B87EE55D8}"/>
    <cellStyle name="Linked Cell 9 2 2 3 2 2 2" xfId="40124" xr:uid="{FE4640DC-15AC-48EA-8D8D-84ECA7EA240B}"/>
    <cellStyle name="Linked Cell 9 2 2 3 2 2 2 2" xfId="40125" xr:uid="{64FB9352-943C-4DF8-9BFD-A951BE7F0C17}"/>
    <cellStyle name="Linked Cell 9 2 2 3 2 2 3" xfId="40126" xr:uid="{8079E196-A3F1-4F2A-BD95-0A61376628BA}"/>
    <cellStyle name="Linked Cell 9 2 2 3 2 3" xfId="40127" xr:uid="{001EBC5C-2BBA-4BDD-8629-7380CB807478}"/>
    <cellStyle name="Linked Cell 9 2 2 3 2 3 2" xfId="40128" xr:uid="{C57073F9-C815-47F3-98EA-0CE09AB4A97D}"/>
    <cellStyle name="Linked Cell 9 2 2 3 2 3 2 2" xfId="40129" xr:uid="{84D7D95F-05A1-4710-AA15-B8EA0E38EFB4}"/>
    <cellStyle name="Linked Cell 9 2 2 3 2 3 3" xfId="40130" xr:uid="{2F0CA0B3-31A6-4F1E-B02A-F6E6B63500B9}"/>
    <cellStyle name="Linked Cell 9 2 2 3 2 4" xfId="40131" xr:uid="{67363A59-6507-4ABC-AC03-9E6BCBEEA656}"/>
    <cellStyle name="Linked Cell 9 2 2 3 2 4 2" xfId="40132" xr:uid="{F0EEEB89-DEDC-47EF-9186-96377A9F1D32}"/>
    <cellStyle name="Linked Cell 9 2 2 3 2 4 2 2" xfId="40133" xr:uid="{747AB08C-766D-4ACB-8E24-7B8E6D669F42}"/>
    <cellStyle name="Linked Cell 9 2 2 3 2 4 3" xfId="40134" xr:uid="{7BF8BF5A-9B3E-43D3-8A82-63DB1BED8A75}"/>
    <cellStyle name="Linked Cell 9 2 2 3 2 5" xfId="40135" xr:uid="{DFEBA01C-A40E-4A1E-8586-F5F8F6EE0FC3}"/>
    <cellStyle name="Linked Cell 9 2 2 3 2 5 2" xfId="40136" xr:uid="{71784214-335C-4A14-96FF-8D1CFE12F3B3}"/>
    <cellStyle name="Linked Cell 9 2 2 3 2 5 2 2" xfId="40137" xr:uid="{A84636A0-9CB6-4600-B147-68D2E5B60BE5}"/>
    <cellStyle name="Linked Cell 9 2 2 3 2 5 3" xfId="40138" xr:uid="{A5C24375-9D7A-4D9F-BBE0-9EA49289A9AC}"/>
    <cellStyle name="Linked Cell 9 2 2 3 2 6" xfId="40139" xr:uid="{7A740C4C-31A1-4A7B-9A07-877B6D4CD1CA}"/>
    <cellStyle name="Linked Cell 9 2 2 3 2 6 2" xfId="40140" xr:uid="{C4E8CC02-5D56-4633-BF26-7F0774BD9185}"/>
    <cellStyle name="Linked Cell 9 2 2 3 2 6 2 2" xfId="40141" xr:uid="{3B8FF38F-712F-4F5F-9800-87BBF69051CC}"/>
    <cellStyle name="Linked Cell 9 2 2 3 2 6 3" xfId="40142" xr:uid="{18B36E33-25A0-477B-8ABF-8CE53CFBF9D0}"/>
    <cellStyle name="Linked Cell 9 2 2 3 2 7" xfId="40143" xr:uid="{CDF2E4DA-0E80-4C0D-9AC6-B57432B9A9C7}"/>
    <cellStyle name="Linked Cell 9 2 2 3 2 7 2" xfId="40144" xr:uid="{ADA20D16-3BD3-470A-971A-F1B89F32A42E}"/>
    <cellStyle name="Linked Cell 9 2 2 3 2 7 2 2" xfId="40145" xr:uid="{2AF4C5F8-520E-4926-A502-81DF48B3B741}"/>
    <cellStyle name="Linked Cell 9 2 2 3 2 7 3" xfId="40146" xr:uid="{45D7F4A9-07E6-4A76-A96E-3B6CF0CE87EC}"/>
    <cellStyle name="Linked Cell 9 2 2 3 2 8" xfId="40147" xr:uid="{2F25243A-3D8F-4ECA-9AA3-647A8C01BB94}"/>
    <cellStyle name="Linked Cell 9 2 2 3 2 8 2" xfId="40148" xr:uid="{ED66384E-0A7F-457F-BE50-13B929834250}"/>
    <cellStyle name="Linked Cell 9 2 2 3 2 8 2 2" xfId="40149" xr:uid="{DE620CE3-ECDA-495A-AAF3-1E2F56DEB963}"/>
    <cellStyle name="Linked Cell 9 2 2 3 2 8 3" xfId="40150" xr:uid="{47A76707-C662-48D2-8CB4-6D472D7B319C}"/>
    <cellStyle name="Linked Cell 9 2 2 3 2 9" xfId="40151" xr:uid="{64126534-D1DC-4769-8163-0DF63EEA9074}"/>
    <cellStyle name="Linked Cell 9 2 2 3 2 9 2" xfId="40152" xr:uid="{4C3654A0-760B-4D95-BE5A-6BDF158BC946}"/>
    <cellStyle name="Linked Cell 9 2 2 3 2 9 2 2" xfId="40153" xr:uid="{CDAF8408-2B84-4EEA-BCD1-74B6A7E63EEA}"/>
    <cellStyle name="Linked Cell 9 2 2 3 2 9 3" xfId="40154" xr:uid="{AAF45642-A2E2-4B36-9B4E-B2DD7082828D}"/>
    <cellStyle name="Linked Cell 9 2 2 3 3" xfId="40155" xr:uid="{623700EA-7AE4-4743-BD37-08AB71BE712F}"/>
    <cellStyle name="Linked Cell 9 2 2 3 3 2" xfId="40156" xr:uid="{851389E2-9738-49CF-9EAE-DCE5ECBE2767}"/>
    <cellStyle name="Linked Cell 9 2 2 3 3 2 2" xfId="40157" xr:uid="{F697A3F4-9BCC-463B-86B2-6AD39390D8E5}"/>
    <cellStyle name="Linked Cell 9 2 2 3 3 3" xfId="40158" xr:uid="{012D3664-9E57-4F91-9CC7-BA1D3C5B4481}"/>
    <cellStyle name="Linked Cell 9 2 2 3 4" xfId="40159" xr:uid="{170FF013-3F62-40FE-BB51-38FD50C9077F}"/>
    <cellStyle name="Linked Cell 9 2 2 3 4 2" xfId="40160" xr:uid="{630231DD-1943-4098-B99C-03DF9E9E6C4F}"/>
    <cellStyle name="Linked Cell 9 2 2 3 4 2 2" xfId="40161" xr:uid="{16421E56-6F74-4D49-BA56-0CCE79E20702}"/>
    <cellStyle name="Linked Cell 9 2 2 3 4 3" xfId="40162" xr:uid="{9A3666C7-6003-49FA-9520-8B6E347FCB6E}"/>
    <cellStyle name="Linked Cell 9 2 2 3 5" xfId="40163" xr:uid="{12104E73-6825-4D71-A6B7-CFA77AB8F620}"/>
    <cellStyle name="Linked Cell 9 2 2 3 5 2" xfId="40164" xr:uid="{F4C6ABB6-2AF1-4638-A585-E061B0A2E118}"/>
    <cellStyle name="Linked Cell 9 2 2 3 5 2 2" xfId="40165" xr:uid="{2C0D71B8-42B5-40E4-9E68-07B91F66C2A9}"/>
    <cellStyle name="Linked Cell 9 2 2 3 5 3" xfId="40166" xr:uid="{78CCE7B4-379D-4539-A565-A00F1B068BF4}"/>
    <cellStyle name="Linked Cell 9 2 2 3 6" xfId="40167" xr:uid="{A959431D-3A47-42F4-A405-9A030BC7B9C2}"/>
    <cellStyle name="Linked Cell 9 2 2 3 6 2" xfId="40168" xr:uid="{53BFAF8A-2787-4175-B1A3-A5D66A038FC2}"/>
    <cellStyle name="Linked Cell 9 2 2 3 6 2 2" xfId="40169" xr:uid="{1785E57E-EC27-48F7-8A6A-B67509622335}"/>
    <cellStyle name="Linked Cell 9 2 2 3 6 3" xfId="40170" xr:uid="{AB475DB2-F90C-4162-9175-5A3609096149}"/>
    <cellStyle name="Linked Cell 9 2 2 3 7" xfId="40171" xr:uid="{06988697-B826-4937-93AD-D40019EE0A72}"/>
    <cellStyle name="Linked Cell 9 2 2 3 7 2" xfId="40172" xr:uid="{217C3EEF-487E-453C-9579-C7B4BA19F22A}"/>
    <cellStyle name="Linked Cell 9 2 2 3 7 2 2" xfId="40173" xr:uid="{1790B101-CE56-42D7-A64C-777FCA0FD54B}"/>
    <cellStyle name="Linked Cell 9 2 2 3 7 3" xfId="40174" xr:uid="{264FC2FE-2E29-46F1-A4C8-DFE79A170113}"/>
    <cellStyle name="Linked Cell 9 2 2 3 8" xfId="40175" xr:uid="{3E35AA8F-D2CB-48A8-B788-1676F3797F02}"/>
    <cellStyle name="Linked Cell 9 2 2 3 8 2" xfId="40176" xr:uid="{C1BD237E-E530-4B3B-A158-6B13197199F3}"/>
    <cellStyle name="Linked Cell 9 2 2 3 8 2 2" xfId="40177" xr:uid="{42DCAB5A-4627-4444-914D-CD1DEF539E22}"/>
    <cellStyle name="Linked Cell 9 2 2 3 8 3" xfId="40178" xr:uid="{17018272-2E20-432D-9A54-C7CB8242A353}"/>
    <cellStyle name="Linked Cell 9 2 2 3 9" xfId="40179" xr:uid="{B7295A57-ACD2-484A-A26A-59629BAB33CE}"/>
    <cellStyle name="Linked Cell 9 2 2 3 9 2" xfId="40180" xr:uid="{B634874C-4DE6-4D87-B29E-D595E3291C6F}"/>
    <cellStyle name="Linked Cell 9 2 2 3 9 2 2" xfId="40181" xr:uid="{4568FA7C-175E-4D97-B78A-67139EFC5A11}"/>
    <cellStyle name="Linked Cell 9 2 2 3 9 3" xfId="40182" xr:uid="{6C300D6A-AE8E-4EBE-AF71-04D73A927EBE}"/>
    <cellStyle name="Linked Cell 9 2 2 4" xfId="40183" xr:uid="{7CD65302-B045-49A1-8F4C-C89CBC3391E5}"/>
    <cellStyle name="Linked Cell 9 2 2 4 10" xfId="40184" xr:uid="{999E3B4A-0CA5-476A-B0FD-FD26336A23E5}"/>
    <cellStyle name="Linked Cell 9 2 2 4 10 2" xfId="40185" xr:uid="{DC673942-5C43-4E47-A019-587FF5F6FF87}"/>
    <cellStyle name="Linked Cell 9 2 2 4 11" xfId="40186" xr:uid="{712D1000-AF16-4CA3-B30E-1C1B62BE089E}"/>
    <cellStyle name="Linked Cell 9 2 2 4 2" xfId="40187" xr:uid="{6D0D6D46-C275-4C2D-A627-427B93A1FD63}"/>
    <cellStyle name="Linked Cell 9 2 2 4 2 2" xfId="40188" xr:uid="{81B2072C-B8A0-4286-90B5-AF862E37B2E9}"/>
    <cellStyle name="Linked Cell 9 2 2 4 2 2 2" xfId="40189" xr:uid="{5A4D893F-5347-4381-9486-12C6590E2916}"/>
    <cellStyle name="Linked Cell 9 2 2 4 2 3" xfId="40190" xr:uid="{4A880196-52BB-42F2-A013-E8494E06419B}"/>
    <cellStyle name="Linked Cell 9 2 2 4 3" xfId="40191" xr:uid="{2F4FA69E-00CB-4C16-AFB7-E83D42E1DACA}"/>
    <cellStyle name="Linked Cell 9 2 2 4 3 2" xfId="40192" xr:uid="{665DB9EC-C2FF-42B3-BE4D-3FBE8DE6AC24}"/>
    <cellStyle name="Linked Cell 9 2 2 4 3 2 2" xfId="40193" xr:uid="{008C8F39-9156-4786-A0BD-4F55B30771EB}"/>
    <cellStyle name="Linked Cell 9 2 2 4 3 3" xfId="40194" xr:uid="{4B30CFB7-AC18-40DC-8B4C-D6A5973A0FF6}"/>
    <cellStyle name="Linked Cell 9 2 2 4 4" xfId="40195" xr:uid="{720D7B61-4CEA-4E8D-9DA3-79ED94AE80FB}"/>
    <cellStyle name="Linked Cell 9 2 2 4 4 2" xfId="40196" xr:uid="{3F64B7EB-72AA-40A5-BE4B-351F9D17E784}"/>
    <cellStyle name="Linked Cell 9 2 2 4 4 2 2" xfId="40197" xr:uid="{63CB3707-B16C-4BD5-85DE-862449BECDE7}"/>
    <cellStyle name="Linked Cell 9 2 2 4 4 3" xfId="40198" xr:uid="{9A65C999-F970-4D09-9EFB-2AAB89A7618B}"/>
    <cellStyle name="Linked Cell 9 2 2 4 5" xfId="40199" xr:uid="{66A3D2F0-3619-4AB2-B6D0-1BF80D121FFE}"/>
    <cellStyle name="Linked Cell 9 2 2 4 5 2" xfId="40200" xr:uid="{C48D1722-D105-44E8-8367-C5A8F3D69777}"/>
    <cellStyle name="Linked Cell 9 2 2 4 5 2 2" xfId="40201" xr:uid="{BCE15209-976C-4DEE-9A47-D0D7647CA255}"/>
    <cellStyle name="Linked Cell 9 2 2 4 5 3" xfId="40202" xr:uid="{EA92EC32-CE38-4DBD-97B5-DE54034CB2F0}"/>
    <cellStyle name="Linked Cell 9 2 2 4 6" xfId="40203" xr:uid="{6C688264-3304-49DC-A79D-7AE01F56BBA0}"/>
    <cellStyle name="Linked Cell 9 2 2 4 6 2" xfId="40204" xr:uid="{DAF2EA54-0B8B-4FD2-8634-A4EF8B041A20}"/>
    <cellStyle name="Linked Cell 9 2 2 4 6 2 2" xfId="40205" xr:uid="{5016C4A0-BC28-429E-A6B6-3C1F5BC50944}"/>
    <cellStyle name="Linked Cell 9 2 2 4 6 3" xfId="40206" xr:uid="{031F5574-60E6-4A15-B8E2-228B4895BF49}"/>
    <cellStyle name="Linked Cell 9 2 2 4 7" xfId="40207" xr:uid="{3C20AE84-FC40-42D0-81A9-0FFA6655641D}"/>
    <cellStyle name="Linked Cell 9 2 2 4 7 2" xfId="40208" xr:uid="{38D8B50A-1E6C-4B1E-89BE-4BD04925D68B}"/>
    <cellStyle name="Linked Cell 9 2 2 4 7 2 2" xfId="40209" xr:uid="{9883D61C-842F-406C-B747-2D49079254A3}"/>
    <cellStyle name="Linked Cell 9 2 2 4 7 3" xfId="40210" xr:uid="{AD29F947-4EAD-47DE-94F8-5FE8F2DDBB86}"/>
    <cellStyle name="Linked Cell 9 2 2 4 8" xfId="40211" xr:uid="{B4CD5A19-6EEB-42B3-BE87-EB3FA014F456}"/>
    <cellStyle name="Linked Cell 9 2 2 4 8 2" xfId="40212" xr:uid="{D6FC2F3E-236E-42AE-954C-B005EBE4A85F}"/>
    <cellStyle name="Linked Cell 9 2 2 4 8 2 2" xfId="40213" xr:uid="{C26B3B78-32F0-456C-919F-03354805576B}"/>
    <cellStyle name="Linked Cell 9 2 2 4 8 3" xfId="40214" xr:uid="{8299492A-B9D7-49E7-A494-A602B245326B}"/>
    <cellStyle name="Linked Cell 9 2 2 4 9" xfId="40215" xr:uid="{8F2A3625-DB97-4C0E-AA8B-4D9EF1D59525}"/>
    <cellStyle name="Linked Cell 9 2 2 4 9 2" xfId="40216" xr:uid="{F18F3389-2A0D-47B6-BD67-0F1EB7D6D4FA}"/>
    <cellStyle name="Linked Cell 9 2 2 4 9 2 2" xfId="40217" xr:uid="{EBBD0AFB-AB0F-45DA-A722-5A7A384201F6}"/>
    <cellStyle name="Linked Cell 9 2 2 4 9 3" xfId="40218" xr:uid="{8849AEFA-F783-48E3-BCA8-F3FA54C1883C}"/>
    <cellStyle name="Linked Cell 9 2 2 5" xfId="40219" xr:uid="{DB8B54A5-167B-4E5E-84E0-0992EF20A3B4}"/>
    <cellStyle name="Linked Cell 9 2 2 5 2" xfId="40220" xr:uid="{BC7FE1A5-9FA8-4331-9DEB-F5FF07F1E0CA}"/>
    <cellStyle name="Linked Cell 9 2 2 5 2 2" xfId="40221" xr:uid="{77C0C87A-61F8-47CF-8E94-44B399C91EA8}"/>
    <cellStyle name="Linked Cell 9 2 2 5 3" xfId="40222" xr:uid="{B144181C-C94B-4BCD-A040-E0740AE83980}"/>
    <cellStyle name="Linked Cell 9 2 2 6" xfId="40223" xr:uid="{B0537E2B-6B9A-48F3-85D8-55384C4A6091}"/>
    <cellStyle name="Linked Cell 9 2 2 6 2" xfId="40224" xr:uid="{6054CE46-62E9-4C49-9DBF-372C74CEC00C}"/>
    <cellStyle name="Linked Cell 9 2 2 6 2 2" xfId="40225" xr:uid="{F646C336-2B66-4266-A446-822A74857D8F}"/>
    <cellStyle name="Linked Cell 9 2 2 6 3" xfId="40226" xr:uid="{98E31DC9-2CC4-4E0A-8716-F9E978C762B8}"/>
    <cellStyle name="Linked Cell 9 2 2 7" xfId="40227" xr:uid="{C918FAF9-9386-492C-8C41-076B110C4EF4}"/>
    <cellStyle name="Linked Cell 9 2 2 7 2" xfId="40228" xr:uid="{8A9F638B-BE0D-4BDC-824C-0F2B9E5BBBC0}"/>
    <cellStyle name="Linked Cell 9 2 2 7 2 2" xfId="40229" xr:uid="{B6B8FD27-E842-498F-9FFE-2C81E51BB64D}"/>
    <cellStyle name="Linked Cell 9 2 2 7 3" xfId="40230" xr:uid="{082D4A05-1ED5-4901-B851-244A60095C06}"/>
    <cellStyle name="Linked Cell 9 2 2 8" xfId="40231" xr:uid="{87AE9B57-8758-497C-A37A-909DFE052AC9}"/>
    <cellStyle name="Linked Cell 9 2 2 8 2" xfId="40232" xr:uid="{A4E69FB8-803D-4F0B-99F5-F5D19926F192}"/>
    <cellStyle name="Linked Cell 9 2 2 8 2 2" xfId="40233" xr:uid="{3DE2E313-6B92-4771-A664-F940FAB6AAF3}"/>
    <cellStyle name="Linked Cell 9 2 2 8 3" xfId="40234" xr:uid="{A8B47D74-0D20-4B2C-8DB8-5C4C89516563}"/>
    <cellStyle name="Linked Cell 9 2 2 9" xfId="40235" xr:uid="{DAB9C74B-732B-4B59-9D4B-731D1FD402B4}"/>
    <cellStyle name="Linked Cell 9 2 2 9 2" xfId="40236" xr:uid="{570410C0-D184-434F-86F6-27D94AE8A2D6}"/>
    <cellStyle name="Linked Cell 9 2 2 9 2 2" xfId="40237" xr:uid="{B13DCDA4-CD35-460C-9C71-D11460C40EA6}"/>
    <cellStyle name="Linked Cell 9 2 2 9 3" xfId="40238" xr:uid="{2E1723F0-688F-47E0-BAEC-C916A64F4C2C}"/>
    <cellStyle name="Linked Cell 9 2 3" xfId="40239" xr:uid="{E5317FDE-006F-416F-AF01-CB756FE700D5}"/>
    <cellStyle name="Linked Cell 9 2 3 10" xfId="40240" xr:uid="{E854CF30-9840-439C-A602-5905BD0716FC}"/>
    <cellStyle name="Linked Cell 9 2 3 10 2" xfId="40241" xr:uid="{81EA7A23-EE66-4585-A919-A2DB6C269A0E}"/>
    <cellStyle name="Linked Cell 9 2 3 10 2 2" xfId="40242" xr:uid="{8C9B18BB-48A4-48B3-B143-B72CF23147B1}"/>
    <cellStyle name="Linked Cell 9 2 3 10 3" xfId="40243" xr:uid="{8BBEA2DD-79CA-4368-89A9-3F0DFB474684}"/>
    <cellStyle name="Linked Cell 9 2 3 11" xfId="40244" xr:uid="{C9F3FB8A-920C-4F69-A6BF-9ECE93309B26}"/>
    <cellStyle name="Linked Cell 9 2 3 11 2" xfId="40245" xr:uid="{E96905E0-131D-4E21-98F5-337D1FE9BC93}"/>
    <cellStyle name="Linked Cell 9 2 3 11 2 2" xfId="40246" xr:uid="{4EDDBFC0-626F-4D04-B945-B2AA7D5ACEE5}"/>
    <cellStyle name="Linked Cell 9 2 3 11 3" xfId="40247" xr:uid="{D2C0C097-85E7-4EC2-B813-DF4279FEE7BC}"/>
    <cellStyle name="Linked Cell 9 2 3 12" xfId="40248" xr:uid="{B50ED45B-D2E5-4D36-96DF-870DEE947515}"/>
    <cellStyle name="Linked Cell 9 2 3 12 2" xfId="40249" xr:uid="{DAEB4385-A07A-422F-8DFD-2E37040A27FD}"/>
    <cellStyle name="Linked Cell 9 2 3 13" xfId="40250" xr:uid="{C0227906-6DAD-46A0-8E91-393880FA6D77}"/>
    <cellStyle name="Linked Cell 9 2 3 2" xfId="40251" xr:uid="{17109CD6-A5C0-4C32-B6D4-5328E4F23D56}"/>
    <cellStyle name="Linked Cell 9 2 3 2 10" xfId="40252" xr:uid="{F9CAF490-3471-4108-9F5C-A62C85C55D35}"/>
    <cellStyle name="Linked Cell 9 2 3 2 10 2" xfId="40253" xr:uid="{12595B0A-2DE2-4EF3-8FAC-8F7804B5B85D}"/>
    <cellStyle name="Linked Cell 9 2 3 2 10 2 2" xfId="40254" xr:uid="{34A9CE6A-AC45-429C-B7B2-C7937EBC31D9}"/>
    <cellStyle name="Linked Cell 9 2 3 2 10 3" xfId="40255" xr:uid="{D26DA7CD-9623-418D-A03F-13F476C520FA}"/>
    <cellStyle name="Linked Cell 9 2 3 2 11" xfId="40256" xr:uid="{3A02F514-FEE8-409B-B8D1-FEACB16776FF}"/>
    <cellStyle name="Linked Cell 9 2 3 2 11 2" xfId="40257" xr:uid="{2B3E4540-8800-4043-B298-F19CB273A0C0}"/>
    <cellStyle name="Linked Cell 9 2 3 2 12" xfId="40258" xr:uid="{92C9004E-94F6-40AB-B408-FDB16EBCAD68}"/>
    <cellStyle name="Linked Cell 9 2 3 2 2" xfId="40259" xr:uid="{A8AB3A05-62AF-4D41-96FD-92A1CEB2FF34}"/>
    <cellStyle name="Linked Cell 9 2 3 2 2 2" xfId="40260" xr:uid="{43BAC724-A784-44D5-AC62-B83B8FA33BD4}"/>
    <cellStyle name="Linked Cell 9 2 3 2 2 2 2" xfId="40261" xr:uid="{13439C91-A123-4D5B-84A6-8D432F217C50}"/>
    <cellStyle name="Linked Cell 9 2 3 2 2 3" xfId="40262" xr:uid="{E3ECAEB9-BAAB-400C-B3AC-E0ACC952AFA3}"/>
    <cellStyle name="Linked Cell 9 2 3 2 3" xfId="40263" xr:uid="{34931D1A-4960-43F2-A327-7436B4A782F2}"/>
    <cellStyle name="Linked Cell 9 2 3 2 3 2" xfId="40264" xr:uid="{AD4FF778-4856-4B70-8BA4-13E3FB4E4E12}"/>
    <cellStyle name="Linked Cell 9 2 3 2 3 2 2" xfId="40265" xr:uid="{AC24A0E5-FFF8-4CF1-A664-2149FBD39197}"/>
    <cellStyle name="Linked Cell 9 2 3 2 3 3" xfId="40266" xr:uid="{79096104-18D0-4E1B-98A2-728A4A69A22B}"/>
    <cellStyle name="Linked Cell 9 2 3 2 4" xfId="40267" xr:uid="{04F9416C-A91B-401C-9BBB-90AA4D665420}"/>
    <cellStyle name="Linked Cell 9 2 3 2 4 2" xfId="40268" xr:uid="{79A63D74-AD92-4108-9997-A624F9D90CC9}"/>
    <cellStyle name="Linked Cell 9 2 3 2 4 2 2" xfId="40269" xr:uid="{7403FA9C-0481-4D90-88C9-0CDFCD66EAF7}"/>
    <cellStyle name="Linked Cell 9 2 3 2 4 3" xfId="40270" xr:uid="{D29273B0-FE41-497D-8A4D-4B5E5BE564A0}"/>
    <cellStyle name="Linked Cell 9 2 3 2 5" xfId="40271" xr:uid="{90012EF1-C160-47D4-8AAB-4EA088F71EE1}"/>
    <cellStyle name="Linked Cell 9 2 3 2 5 2" xfId="40272" xr:uid="{DFC09C66-DEB2-422D-83A0-E2954D6FA1DE}"/>
    <cellStyle name="Linked Cell 9 2 3 2 5 2 2" xfId="40273" xr:uid="{DBE392D9-7968-4AC6-8596-22C96DA00424}"/>
    <cellStyle name="Linked Cell 9 2 3 2 5 3" xfId="40274" xr:uid="{8D382A59-C01D-425E-97D2-CC84C485A57B}"/>
    <cellStyle name="Linked Cell 9 2 3 2 6" xfId="40275" xr:uid="{59DDDC9A-CB9E-4C70-9796-F7EEC03DA521}"/>
    <cellStyle name="Linked Cell 9 2 3 2 6 2" xfId="40276" xr:uid="{281BA6F4-E77D-4A92-80FB-A7A5C9492932}"/>
    <cellStyle name="Linked Cell 9 2 3 2 6 2 2" xfId="40277" xr:uid="{1CE79EF2-2D56-4D0B-A529-0365047A1CF2}"/>
    <cellStyle name="Linked Cell 9 2 3 2 6 3" xfId="40278" xr:uid="{A4E00F34-41B5-4C31-B50A-4EC8910D679B}"/>
    <cellStyle name="Linked Cell 9 2 3 2 7" xfId="40279" xr:uid="{A7630E8D-30FC-40E6-A07A-24024073D7BA}"/>
    <cellStyle name="Linked Cell 9 2 3 2 7 2" xfId="40280" xr:uid="{59601376-A80F-4D92-B909-51F24015D6A2}"/>
    <cellStyle name="Linked Cell 9 2 3 2 7 2 2" xfId="40281" xr:uid="{7E158F9E-4961-4AFD-A1BF-4FD1F5EA8B16}"/>
    <cellStyle name="Linked Cell 9 2 3 2 7 3" xfId="40282" xr:uid="{71AFEDFC-0E86-4968-8B55-DBDD75E7938E}"/>
    <cellStyle name="Linked Cell 9 2 3 2 8" xfId="40283" xr:uid="{DE5AA01F-8A26-484F-B744-2C17CCA30D19}"/>
    <cellStyle name="Linked Cell 9 2 3 2 8 2" xfId="40284" xr:uid="{88927700-1E14-4796-AD71-5DF0AB6365CE}"/>
    <cellStyle name="Linked Cell 9 2 3 2 8 2 2" xfId="40285" xr:uid="{123FBCFE-C2E1-415B-91DE-02C3FF2D4E24}"/>
    <cellStyle name="Linked Cell 9 2 3 2 8 3" xfId="40286" xr:uid="{84FF81F8-C501-4BBB-86B9-65EF0F51CFF8}"/>
    <cellStyle name="Linked Cell 9 2 3 2 9" xfId="40287" xr:uid="{DD8AFC45-33F2-4BAA-9907-FAC072D4655D}"/>
    <cellStyle name="Linked Cell 9 2 3 2 9 2" xfId="40288" xr:uid="{E198CB61-D8D5-4C64-9789-611A5413E896}"/>
    <cellStyle name="Linked Cell 9 2 3 2 9 2 2" xfId="40289" xr:uid="{B131D864-AFBF-402C-895D-33B63BB657EA}"/>
    <cellStyle name="Linked Cell 9 2 3 2 9 3" xfId="40290" xr:uid="{8A4BB0DC-1E43-4C4F-94FB-5E5081C5F08C}"/>
    <cellStyle name="Linked Cell 9 2 3 3" xfId="40291" xr:uid="{EDE5CBB2-5AB0-4692-933F-B7BF50854F20}"/>
    <cellStyle name="Linked Cell 9 2 3 3 10" xfId="40292" xr:uid="{46D50392-0A4C-491A-801A-1A4E833082E0}"/>
    <cellStyle name="Linked Cell 9 2 3 3 10 2" xfId="40293" xr:uid="{2FD82151-C316-4928-AAF4-96A04FE42DE1}"/>
    <cellStyle name="Linked Cell 9 2 3 3 11" xfId="40294" xr:uid="{D923F1C5-479B-45A6-AB90-01FA25F4C354}"/>
    <cellStyle name="Linked Cell 9 2 3 3 2" xfId="40295" xr:uid="{DE2D1E2D-93BC-4A4C-824F-159D825FDAD1}"/>
    <cellStyle name="Linked Cell 9 2 3 3 2 2" xfId="40296" xr:uid="{607F0AB0-4DCB-470D-8CBF-2895EA6CA7B3}"/>
    <cellStyle name="Linked Cell 9 2 3 3 2 2 2" xfId="40297" xr:uid="{7399B7C1-5DDB-4D48-BE4C-FAE84DA445E7}"/>
    <cellStyle name="Linked Cell 9 2 3 3 2 3" xfId="40298" xr:uid="{AE13B0BF-5AE0-49AA-BF4C-1246FAE71590}"/>
    <cellStyle name="Linked Cell 9 2 3 3 3" xfId="40299" xr:uid="{46B61D63-A4B6-4F07-8DD2-279A04450506}"/>
    <cellStyle name="Linked Cell 9 2 3 3 3 2" xfId="40300" xr:uid="{06C0A052-5F5F-44DA-9751-B1AD92827564}"/>
    <cellStyle name="Linked Cell 9 2 3 3 3 2 2" xfId="40301" xr:uid="{C12F3A42-BE42-46FE-9E59-F227B8CF776E}"/>
    <cellStyle name="Linked Cell 9 2 3 3 3 3" xfId="40302" xr:uid="{8DDFF312-61BA-4E08-924F-D15D331785F5}"/>
    <cellStyle name="Linked Cell 9 2 3 3 4" xfId="40303" xr:uid="{693C43B7-D386-47CA-A577-D70141336FB0}"/>
    <cellStyle name="Linked Cell 9 2 3 3 4 2" xfId="40304" xr:uid="{4D02CEF1-D877-4EB9-8CD0-CB671BE34890}"/>
    <cellStyle name="Linked Cell 9 2 3 3 4 2 2" xfId="40305" xr:uid="{C74C3600-3564-47BF-B924-82BAE2655CE7}"/>
    <cellStyle name="Linked Cell 9 2 3 3 4 3" xfId="40306" xr:uid="{034D31D6-A8A3-442A-B9D3-813165D1B93E}"/>
    <cellStyle name="Linked Cell 9 2 3 3 5" xfId="40307" xr:uid="{F58E4002-9C8D-4668-AFC0-15C7061BE604}"/>
    <cellStyle name="Linked Cell 9 2 3 3 5 2" xfId="40308" xr:uid="{0E79F71F-B141-4BBC-A520-B0D6B8914672}"/>
    <cellStyle name="Linked Cell 9 2 3 3 5 2 2" xfId="40309" xr:uid="{7247FA49-FB38-4165-89B0-F5718177FB62}"/>
    <cellStyle name="Linked Cell 9 2 3 3 5 3" xfId="40310" xr:uid="{8DF726D7-F82F-4DDD-BA98-F9FB1519770A}"/>
    <cellStyle name="Linked Cell 9 2 3 3 6" xfId="40311" xr:uid="{AEBA542C-78E3-4B6A-9AEC-65E10B7E0DA9}"/>
    <cellStyle name="Linked Cell 9 2 3 3 6 2" xfId="40312" xr:uid="{FEB1FB4E-1528-492C-9980-5410E32CCC54}"/>
    <cellStyle name="Linked Cell 9 2 3 3 6 2 2" xfId="40313" xr:uid="{EE4D769A-C05B-4805-BDFD-AA76C6BFFD4F}"/>
    <cellStyle name="Linked Cell 9 2 3 3 6 3" xfId="40314" xr:uid="{67BCF2F5-5F55-46BC-8400-C87DA5C207AF}"/>
    <cellStyle name="Linked Cell 9 2 3 3 7" xfId="40315" xr:uid="{5B0FD1BA-CF69-4705-BA4B-2CC0B3123F0C}"/>
    <cellStyle name="Linked Cell 9 2 3 3 7 2" xfId="40316" xr:uid="{2CAEDCD5-A629-4A68-8334-4FF0FF87F4B9}"/>
    <cellStyle name="Linked Cell 9 2 3 3 7 2 2" xfId="40317" xr:uid="{E8C6CA5F-4993-4DF6-B73E-B526632B4482}"/>
    <cellStyle name="Linked Cell 9 2 3 3 7 3" xfId="40318" xr:uid="{95F52ADA-0C9C-410D-9A47-2121820546CA}"/>
    <cellStyle name="Linked Cell 9 2 3 3 8" xfId="40319" xr:uid="{51205157-D7DB-44DE-9B11-20BCA1887190}"/>
    <cellStyle name="Linked Cell 9 2 3 3 8 2" xfId="40320" xr:uid="{18E7D9D1-D538-48D7-BE25-7528A3823998}"/>
    <cellStyle name="Linked Cell 9 2 3 3 8 2 2" xfId="40321" xr:uid="{ACD88F6C-B644-4372-BE51-9010AAD41653}"/>
    <cellStyle name="Linked Cell 9 2 3 3 8 3" xfId="40322" xr:uid="{C800718C-EE2C-4B37-9101-5B091FF2F841}"/>
    <cellStyle name="Linked Cell 9 2 3 3 9" xfId="40323" xr:uid="{AA1AEE9D-1456-4AE2-A48F-C98A12F33514}"/>
    <cellStyle name="Linked Cell 9 2 3 3 9 2" xfId="40324" xr:uid="{A99BD9D4-C9E8-445D-8E2F-44664EEC97AF}"/>
    <cellStyle name="Linked Cell 9 2 3 3 9 2 2" xfId="40325" xr:uid="{5BD75F0C-C6AC-46E3-8AF6-4494232CA609}"/>
    <cellStyle name="Linked Cell 9 2 3 3 9 3" xfId="40326" xr:uid="{46864544-E9DB-4143-8AF1-FAC80BF107D6}"/>
    <cellStyle name="Linked Cell 9 2 3 4" xfId="40327" xr:uid="{C9DCCCE9-90E2-4BAC-BD98-E789AC38162E}"/>
    <cellStyle name="Linked Cell 9 2 3 4 2" xfId="40328" xr:uid="{10A9C367-8EB2-4F0F-B02D-46B7E5AA9CB3}"/>
    <cellStyle name="Linked Cell 9 2 3 4 2 2" xfId="40329" xr:uid="{7C7D6085-0CE8-4B43-9FA1-B45A7CE44E64}"/>
    <cellStyle name="Linked Cell 9 2 3 4 3" xfId="40330" xr:uid="{AE8B4CD6-A2CB-45FD-A4E4-0559E101461E}"/>
    <cellStyle name="Linked Cell 9 2 3 5" xfId="40331" xr:uid="{F77182CC-83DF-4737-A544-FFEA65DD0A00}"/>
    <cellStyle name="Linked Cell 9 2 3 5 2" xfId="40332" xr:uid="{F0EC856B-9B66-421F-8908-B2EA1A311B45}"/>
    <cellStyle name="Linked Cell 9 2 3 5 2 2" xfId="40333" xr:uid="{967FE010-1FD2-4935-8BF7-2AE3335E7152}"/>
    <cellStyle name="Linked Cell 9 2 3 5 3" xfId="40334" xr:uid="{AA419A11-05E9-4028-A1CF-542BFAEF39FD}"/>
    <cellStyle name="Linked Cell 9 2 3 6" xfId="40335" xr:uid="{4CE3EDA0-03EA-4DEF-BECF-1EA70AD26959}"/>
    <cellStyle name="Linked Cell 9 2 3 6 2" xfId="40336" xr:uid="{431E133B-1313-4F10-8E9E-66D6EBAB8CCE}"/>
    <cellStyle name="Linked Cell 9 2 3 6 2 2" xfId="40337" xr:uid="{9F270477-E926-405B-9783-E1CC4C70F7DB}"/>
    <cellStyle name="Linked Cell 9 2 3 6 3" xfId="40338" xr:uid="{749C16E2-262F-4200-BC48-1B4E091AEEFF}"/>
    <cellStyle name="Linked Cell 9 2 3 7" xfId="40339" xr:uid="{91B4F494-7F3D-42A9-912B-3A7542C6D077}"/>
    <cellStyle name="Linked Cell 9 2 3 7 2" xfId="40340" xr:uid="{5F00A071-6B55-441B-9593-214F1988AE43}"/>
    <cellStyle name="Linked Cell 9 2 3 7 2 2" xfId="40341" xr:uid="{4843620D-B527-411E-A182-D5DBF5273DA3}"/>
    <cellStyle name="Linked Cell 9 2 3 7 3" xfId="40342" xr:uid="{C0458AA7-5614-420D-B65D-503599135A0B}"/>
    <cellStyle name="Linked Cell 9 2 3 8" xfId="40343" xr:uid="{C168E524-CFB2-4C29-9E82-52C495F1A424}"/>
    <cellStyle name="Linked Cell 9 2 3 8 2" xfId="40344" xr:uid="{E6580601-C647-4A8D-8C33-A229A7EE1101}"/>
    <cellStyle name="Linked Cell 9 2 3 8 2 2" xfId="40345" xr:uid="{8761477A-FD04-48FF-83D1-49C0772E8A64}"/>
    <cellStyle name="Linked Cell 9 2 3 8 3" xfId="40346" xr:uid="{3A8859FF-EB0F-46D0-B037-189254F66876}"/>
    <cellStyle name="Linked Cell 9 2 3 9" xfId="40347" xr:uid="{B20B368F-EA5D-401A-A22C-2D5845F0F6CC}"/>
    <cellStyle name="Linked Cell 9 2 3 9 2" xfId="40348" xr:uid="{C9A78C74-2BD3-4804-9E31-56AD120ACA32}"/>
    <cellStyle name="Linked Cell 9 2 3 9 2 2" xfId="40349" xr:uid="{9875BB93-10B2-486B-B57C-C109BF92CA5D}"/>
    <cellStyle name="Linked Cell 9 2 3 9 3" xfId="40350" xr:uid="{CE7C3FB3-135D-4D73-A60A-0B5CF5951B2A}"/>
    <cellStyle name="Linked Cell 9 2 4" xfId="40351" xr:uid="{4D9278D3-E269-4CAF-98D2-88229953C444}"/>
    <cellStyle name="Linked Cell 9 2 4 10" xfId="40352" xr:uid="{40E299EB-BB0C-468C-B32C-8FFCD87F3FBC}"/>
    <cellStyle name="Linked Cell 9 2 4 10 2" xfId="40353" xr:uid="{7EC240EA-15B8-481E-A602-6330A65A1F48}"/>
    <cellStyle name="Linked Cell 9 2 4 10 2 2" xfId="40354" xr:uid="{D74E7D3A-D8D4-4783-BE1B-E4F420B8D747}"/>
    <cellStyle name="Linked Cell 9 2 4 10 3" xfId="40355" xr:uid="{D2B874A8-34F7-4445-A90F-63C0EB81467F}"/>
    <cellStyle name="Linked Cell 9 2 4 11" xfId="40356" xr:uid="{D3287150-287F-414B-8443-E96651916A67}"/>
    <cellStyle name="Linked Cell 9 2 4 11 2" xfId="40357" xr:uid="{9A8AC61A-90A9-4BAF-B33C-463013AF4C0C}"/>
    <cellStyle name="Linked Cell 9 2 4 12" xfId="40358" xr:uid="{CED2BC98-3D7C-4A96-84B9-8C62781A8993}"/>
    <cellStyle name="Linked Cell 9 2 4 2" xfId="40359" xr:uid="{0B24678C-785A-4034-BE8E-1789AD58D378}"/>
    <cellStyle name="Linked Cell 9 2 4 2 10" xfId="40360" xr:uid="{84D0564A-8389-45CD-81AA-2151A373941F}"/>
    <cellStyle name="Linked Cell 9 2 4 2 10 2" xfId="40361" xr:uid="{32109468-CB03-441C-95E0-C2767CB524FD}"/>
    <cellStyle name="Linked Cell 9 2 4 2 11" xfId="40362" xr:uid="{58A65183-2E8D-491C-81E1-E1F776B71FC5}"/>
    <cellStyle name="Linked Cell 9 2 4 2 2" xfId="40363" xr:uid="{F153785A-D61C-4D85-9587-8D74C10AB672}"/>
    <cellStyle name="Linked Cell 9 2 4 2 2 2" xfId="40364" xr:uid="{1333B915-25A4-40DF-8E0E-690EE7FD2849}"/>
    <cellStyle name="Linked Cell 9 2 4 2 2 2 2" xfId="40365" xr:uid="{309EE4D6-FE41-4AEF-820D-91FC0FEF48E5}"/>
    <cellStyle name="Linked Cell 9 2 4 2 2 3" xfId="40366" xr:uid="{2805C571-70C1-436C-BEC3-A39ED1C20489}"/>
    <cellStyle name="Linked Cell 9 2 4 2 3" xfId="40367" xr:uid="{1B6D2B61-942D-4103-9686-D4C05B09BD06}"/>
    <cellStyle name="Linked Cell 9 2 4 2 3 2" xfId="40368" xr:uid="{B73123CA-B6D7-4CFD-A836-7B469A99F01A}"/>
    <cellStyle name="Linked Cell 9 2 4 2 3 2 2" xfId="40369" xr:uid="{8918A910-B7E9-471D-A88E-36A53D14F26A}"/>
    <cellStyle name="Linked Cell 9 2 4 2 3 3" xfId="40370" xr:uid="{6250AB8E-D4D6-45BB-8945-B53C3E8A5E87}"/>
    <cellStyle name="Linked Cell 9 2 4 2 4" xfId="40371" xr:uid="{DE4C0941-EDF7-45A1-9973-1126D03F7E32}"/>
    <cellStyle name="Linked Cell 9 2 4 2 4 2" xfId="40372" xr:uid="{22751947-2025-40FE-9C05-DF27CD91AF69}"/>
    <cellStyle name="Linked Cell 9 2 4 2 4 2 2" xfId="40373" xr:uid="{8A8A31C9-2E40-41A9-A3F5-F6F2635F90C2}"/>
    <cellStyle name="Linked Cell 9 2 4 2 4 3" xfId="40374" xr:uid="{42CAF4D3-83A7-4911-BDEB-67DE692769BB}"/>
    <cellStyle name="Linked Cell 9 2 4 2 5" xfId="40375" xr:uid="{1BE777F0-440E-4825-AE77-E94BCBA44E92}"/>
    <cellStyle name="Linked Cell 9 2 4 2 5 2" xfId="40376" xr:uid="{0EEB7173-31BB-4243-B924-7FDF24DEC845}"/>
    <cellStyle name="Linked Cell 9 2 4 2 5 2 2" xfId="40377" xr:uid="{257CE6AC-D250-4913-B626-54AEC613415F}"/>
    <cellStyle name="Linked Cell 9 2 4 2 5 3" xfId="40378" xr:uid="{BB6DCAA4-9A37-484E-BD14-01BB12BD689C}"/>
    <cellStyle name="Linked Cell 9 2 4 2 6" xfId="40379" xr:uid="{8D21C5F6-C35A-4DA7-B894-1D66603FD1D2}"/>
    <cellStyle name="Linked Cell 9 2 4 2 6 2" xfId="40380" xr:uid="{974395A1-429C-40CF-92B7-C185F1EAE439}"/>
    <cellStyle name="Linked Cell 9 2 4 2 6 2 2" xfId="40381" xr:uid="{CB9C2CCC-AD19-4CCB-BD21-6604011A51DF}"/>
    <cellStyle name="Linked Cell 9 2 4 2 6 3" xfId="40382" xr:uid="{1248D3CD-6178-4C0F-A994-AEA8FAE1D65C}"/>
    <cellStyle name="Linked Cell 9 2 4 2 7" xfId="40383" xr:uid="{5FA4C551-2CE2-441E-BAD6-85AC6C8BCBE6}"/>
    <cellStyle name="Linked Cell 9 2 4 2 7 2" xfId="40384" xr:uid="{6F21A4FE-3DA8-4DCD-8280-0751048385FB}"/>
    <cellStyle name="Linked Cell 9 2 4 2 7 2 2" xfId="40385" xr:uid="{7176F301-AFBF-497C-8741-A8DC89BCB849}"/>
    <cellStyle name="Linked Cell 9 2 4 2 7 3" xfId="40386" xr:uid="{0C390255-CD31-4B01-9276-FC7EAEBB5167}"/>
    <cellStyle name="Linked Cell 9 2 4 2 8" xfId="40387" xr:uid="{F65A8CBC-BD8C-4385-AA59-DDB84440569B}"/>
    <cellStyle name="Linked Cell 9 2 4 2 8 2" xfId="40388" xr:uid="{5129877C-47A9-452F-8C9F-C356DA0F2758}"/>
    <cellStyle name="Linked Cell 9 2 4 2 8 2 2" xfId="40389" xr:uid="{B1CE3F87-8417-40E7-A5DE-484271D64CBA}"/>
    <cellStyle name="Linked Cell 9 2 4 2 8 3" xfId="40390" xr:uid="{EB85BACC-1D17-45E7-AE2B-5E8D7FBBCD41}"/>
    <cellStyle name="Linked Cell 9 2 4 2 9" xfId="40391" xr:uid="{26CBE3BF-9EF8-49AB-A38F-2AF02B56AB94}"/>
    <cellStyle name="Linked Cell 9 2 4 2 9 2" xfId="40392" xr:uid="{5BEE4393-2172-49F8-9E3B-AA9E51B7787E}"/>
    <cellStyle name="Linked Cell 9 2 4 2 9 2 2" xfId="40393" xr:uid="{BB85300A-CCFD-44FF-AB7E-20A03DBA7C6A}"/>
    <cellStyle name="Linked Cell 9 2 4 2 9 3" xfId="40394" xr:uid="{82013B59-9AD0-420D-B9AD-86DA9AC808E0}"/>
    <cellStyle name="Linked Cell 9 2 4 3" xfId="40395" xr:uid="{2B0B6EE6-9EB3-4B7F-8EEF-0BCC49E6E69A}"/>
    <cellStyle name="Linked Cell 9 2 4 3 2" xfId="40396" xr:uid="{B62E101C-A74D-45A6-A158-6346D725363E}"/>
    <cellStyle name="Linked Cell 9 2 4 3 2 2" xfId="40397" xr:uid="{BB647FCA-5D2C-46D5-8560-498F2077F798}"/>
    <cellStyle name="Linked Cell 9 2 4 3 3" xfId="40398" xr:uid="{0A37E6FD-3968-4257-9EE0-B7A39AF21EB8}"/>
    <cellStyle name="Linked Cell 9 2 4 4" xfId="40399" xr:uid="{CEBB6EE6-BA14-427B-B8EB-7FD6A1C9856E}"/>
    <cellStyle name="Linked Cell 9 2 4 4 2" xfId="40400" xr:uid="{E8C614B1-A5EC-4145-9AA5-091BF5AD5E0A}"/>
    <cellStyle name="Linked Cell 9 2 4 4 2 2" xfId="40401" xr:uid="{A9D46584-84AD-4F35-B124-0B1E6E08CD5E}"/>
    <cellStyle name="Linked Cell 9 2 4 4 3" xfId="40402" xr:uid="{59D22CDC-0581-47C8-89C6-85E73F9DB03D}"/>
    <cellStyle name="Linked Cell 9 2 4 5" xfId="40403" xr:uid="{C9FB62F5-F27F-46E9-8216-48B242073B33}"/>
    <cellStyle name="Linked Cell 9 2 4 5 2" xfId="40404" xr:uid="{449501F8-7099-4236-8190-F46CEE3383ED}"/>
    <cellStyle name="Linked Cell 9 2 4 5 2 2" xfId="40405" xr:uid="{B2538031-C581-4D10-980C-939A390538EB}"/>
    <cellStyle name="Linked Cell 9 2 4 5 3" xfId="40406" xr:uid="{E44FA285-152F-4EF9-963F-C4ED5840F0BD}"/>
    <cellStyle name="Linked Cell 9 2 4 6" xfId="40407" xr:uid="{25F38C4C-D0A7-48DB-9A12-91832F70FD8E}"/>
    <cellStyle name="Linked Cell 9 2 4 6 2" xfId="40408" xr:uid="{4369720E-2267-4F18-B86D-B1A3A8FFF1BE}"/>
    <cellStyle name="Linked Cell 9 2 4 6 2 2" xfId="40409" xr:uid="{7C55C65A-0267-454A-97C6-96BE2F15CEC7}"/>
    <cellStyle name="Linked Cell 9 2 4 6 3" xfId="40410" xr:uid="{4A9BD981-351B-4E75-8302-E4D9528D8C57}"/>
    <cellStyle name="Linked Cell 9 2 4 7" xfId="40411" xr:uid="{28DFA905-990C-44FB-80E1-1DB57C7A408F}"/>
    <cellStyle name="Linked Cell 9 2 4 7 2" xfId="40412" xr:uid="{2AD79AFA-B66E-44A9-82E6-A870333DD17F}"/>
    <cellStyle name="Linked Cell 9 2 4 7 2 2" xfId="40413" xr:uid="{691E8DD1-EF10-45DD-BEF5-07EFBEA29025}"/>
    <cellStyle name="Linked Cell 9 2 4 7 3" xfId="40414" xr:uid="{70441E12-8DDB-4F50-96BF-F5BB8998A0B8}"/>
    <cellStyle name="Linked Cell 9 2 4 8" xfId="40415" xr:uid="{6380DB8F-6F25-48C1-9FE8-46BB5F274E37}"/>
    <cellStyle name="Linked Cell 9 2 4 8 2" xfId="40416" xr:uid="{1DD6ECA0-A1C8-47DE-A979-E4BE46F2FA90}"/>
    <cellStyle name="Linked Cell 9 2 4 8 2 2" xfId="40417" xr:uid="{12CC88FC-DF30-4AD4-B1BB-C1BB8BDD7693}"/>
    <cellStyle name="Linked Cell 9 2 4 8 3" xfId="40418" xr:uid="{2E2D0104-18EA-4407-A29B-D14A784ECFA9}"/>
    <cellStyle name="Linked Cell 9 2 4 9" xfId="40419" xr:uid="{98B0BB86-FFF8-4D14-AA84-C7A006FE1BEB}"/>
    <cellStyle name="Linked Cell 9 2 4 9 2" xfId="40420" xr:uid="{B3334014-B34B-40DE-9FD1-56E67463F8B2}"/>
    <cellStyle name="Linked Cell 9 2 4 9 2 2" xfId="40421" xr:uid="{EE341038-24EC-4095-8071-C15D01E2B10A}"/>
    <cellStyle name="Linked Cell 9 2 4 9 3" xfId="40422" xr:uid="{6B042DF8-82B7-4D11-A990-3122E1E0D93F}"/>
    <cellStyle name="Linked Cell 9 2 5" xfId="40423" xr:uid="{E2F0BD26-5950-4603-ABCF-0CF2376FA175}"/>
    <cellStyle name="Linked Cell 9 2 5 10" xfId="40424" xr:uid="{A6852F8C-AC6C-4099-AFC8-BB26E5E254DF}"/>
    <cellStyle name="Linked Cell 9 2 5 10 2" xfId="40425" xr:uid="{7C1EDEBC-D6AC-4BCA-A4B8-0EDD972DD342}"/>
    <cellStyle name="Linked Cell 9 2 5 11" xfId="40426" xr:uid="{0D827BBE-870C-499D-8997-34CD6EBC290E}"/>
    <cellStyle name="Linked Cell 9 2 5 2" xfId="40427" xr:uid="{C6DFDA9D-FE12-4A7D-A09F-35158739E951}"/>
    <cellStyle name="Linked Cell 9 2 5 2 2" xfId="40428" xr:uid="{AD29D4EE-8C3E-4100-AA17-F5B333E8A422}"/>
    <cellStyle name="Linked Cell 9 2 5 2 2 2" xfId="40429" xr:uid="{CBC22198-8919-40FC-A648-BCF6DAB4440E}"/>
    <cellStyle name="Linked Cell 9 2 5 2 3" xfId="40430" xr:uid="{35378CCF-A170-49E7-BD23-90F832E316A9}"/>
    <cellStyle name="Linked Cell 9 2 5 3" xfId="40431" xr:uid="{5B00B4E2-4436-433D-8C2D-652A5F7F60E5}"/>
    <cellStyle name="Linked Cell 9 2 5 3 2" xfId="40432" xr:uid="{E92E2996-7622-4631-8FFD-42F20953D88A}"/>
    <cellStyle name="Linked Cell 9 2 5 3 2 2" xfId="40433" xr:uid="{BBBAC938-FF7E-4C58-98C6-7649CF0E162A}"/>
    <cellStyle name="Linked Cell 9 2 5 3 3" xfId="40434" xr:uid="{4C1E0D2D-2FAC-45F6-AE33-9AC532C344EF}"/>
    <cellStyle name="Linked Cell 9 2 5 4" xfId="40435" xr:uid="{42DA9406-47ED-4B79-92C7-C2EE78909861}"/>
    <cellStyle name="Linked Cell 9 2 5 4 2" xfId="40436" xr:uid="{7F461D13-EC7D-41AD-BA29-2E6A76AF52A2}"/>
    <cellStyle name="Linked Cell 9 2 5 4 2 2" xfId="40437" xr:uid="{24DB7D4E-190E-42AB-BDCF-8D0289AC287E}"/>
    <cellStyle name="Linked Cell 9 2 5 4 3" xfId="40438" xr:uid="{7DA9CFA1-3A96-4673-97B1-09F96A2B5581}"/>
    <cellStyle name="Linked Cell 9 2 5 5" xfId="40439" xr:uid="{82955BC7-0F7E-40D5-B805-B5EA554E4D64}"/>
    <cellStyle name="Linked Cell 9 2 5 5 2" xfId="40440" xr:uid="{A2F4A234-8AAE-4C81-BD76-2823263DE476}"/>
    <cellStyle name="Linked Cell 9 2 5 5 2 2" xfId="40441" xr:uid="{633115B3-A4A9-4C51-A1CF-37952CB0DED3}"/>
    <cellStyle name="Linked Cell 9 2 5 5 3" xfId="40442" xr:uid="{D70F0343-16D4-4A7D-8A14-D6783B63A21E}"/>
    <cellStyle name="Linked Cell 9 2 5 6" xfId="40443" xr:uid="{1EBFFF69-E928-4323-B915-1D89E7FB1698}"/>
    <cellStyle name="Linked Cell 9 2 5 6 2" xfId="40444" xr:uid="{9FDC500C-88EF-40C7-BBA1-6BD1AB37C83D}"/>
    <cellStyle name="Linked Cell 9 2 5 6 2 2" xfId="40445" xr:uid="{D936A61E-E625-40B9-8079-730AF19F13A8}"/>
    <cellStyle name="Linked Cell 9 2 5 6 3" xfId="40446" xr:uid="{70FC0EB8-6126-4462-BF98-D51C4C8EF857}"/>
    <cellStyle name="Linked Cell 9 2 5 7" xfId="40447" xr:uid="{FD1A93CF-D11C-4EC6-BCF0-082B4EE6A493}"/>
    <cellStyle name="Linked Cell 9 2 5 7 2" xfId="40448" xr:uid="{07CCB6AD-E8A4-49FF-8E3C-46F5D6251F02}"/>
    <cellStyle name="Linked Cell 9 2 5 7 2 2" xfId="40449" xr:uid="{EAC2D755-9B66-43FF-8778-DBA7C88B5649}"/>
    <cellStyle name="Linked Cell 9 2 5 7 3" xfId="40450" xr:uid="{8C31CEEF-1F94-4F74-9A16-A819AB412D8D}"/>
    <cellStyle name="Linked Cell 9 2 5 8" xfId="40451" xr:uid="{E4C73E74-CBBD-4CAF-B19E-DA6FCAEB6FB2}"/>
    <cellStyle name="Linked Cell 9 2 5 8 2" xfId="40452" xr:uid="{7C41EA8E-6875-4154-B323-8DECCFFEC9C6}"/>
    <cellStyle name="Linked Cell 9 2 5 8 2 2" xfId="40453" xr:uid="{EE0DB3ED-968E-4D6F-9839-AB1E857F35FA}"/>
    <cellStyle name="Linked Cell 9 2 5 8 3" xfId="40454" xr:uid="{AC93F768-96E6-4BA7-8197-926F41C8EF60}"/>
    <cellStyle name="Linked Cell 9 2 5 9" xfId="40455" xr:uid="{636D91A3-48C0-4049-B3D4-3A41C7CF1765}"/>
    <cellStyle name="Linked Cell 9 2 5 9 2" xfId="40456" xr:uid="{6208A1A6-E859-4D18-95EA-625FB20AA576}"/>
    <cellStyle name="Linked Cell 9 2 5 9 2 2" xfId="40457" xr:uid="{518F7D9A-A1AD-46A9-A128-0002A3085461}"/>
    <cellStyle name="Linked Cell 9 2 5 9 3" xfId="40458" xr:uid="{A98369E1-514D-4583-B950-536784C202AF}"/>
    <cellStyle name="Linked Cell 9 2 6" xfId="40459" xr:uid="{122D2F7C-47FF-4F53-9C6F-30DE6DD4EA95}"/>
    <cellStyle name="Linked Cell 9 2 6 2" xfId="40460" xr:uid="{5E96FFD1-F9E2-4D61-BF94-4B218BF9387F}"/>
    <cellStyle name="Linked Cell 9 2 6 2 2" xfId="40461" xr:uid="{003EC31D-9B62-4357-8147-4D0CA711A1D5}"/>
    <cellStyle name="Linked Cell 9 2 6 3" xfId="40462" xr:uid="{C2B26176-5D3E-4F7A-988F-3D81A5B6F981}"/>
    <cellStyle name="Linked Cell 9 2 7" xfId="40463" xr:uid="{BD913AE4-3AA1-4A00-8B82-D865E6B85395}"/>
    <cellStyle name="Linked Cell 9 2 7 2" xfId="40464" xr:uid="{2AA6A823-5C5B-4593-87E7-13E486AC5DB6}"/>
    <cellStyle name="Linked Cell 9 2 7 2 2" xfId="40465" xr:uid="{A4BA4DCE-6CAE-4B80-ADF0-821ACE933B48}"/>
    <cellStyle name="Linked Cell 9 2 7 3" xfId="40466" xr:uid="{D829E613-A78A-4569-9677-FD2333B6E255}"/>
    <cellStyle name="Linked Cell 9 2 8" xfId="40467" xr:uid="{302AD91B-E69C-49E6-BFF0-1D1982C927A4}"/>
    <cellStyle name="Linked Cell 9 2 8 2" xfId="40468" xr:uid="{566AE684-F955-4C43-BB66-FC73767C530E}"/>
    <cellStyle name="Linked Cell 9 2 8 2 2" xfId="40469" xr:uid="{CCFD9666-AEB8-4CE1-AA0C-FFBFF7F8EB27}"/>
    <cellStyle name="Linked Cell 9 2 8 3" xfId="40470" xr:uid="{30BA8D80-386B-4874-B267-9AC02563A2A5}"/>
    <cellStyle name="Linked Cell 9 2 9" xfId="40471" xr:uid="{9F413927-F601-4E70-BCE7-255D728269CE}"/>
    <cellStyle name="Linked Cell 9 2 9 2" xfId="40472" xr:uid="{1BF5821C-843C-4FF2-9A76-B49844BA7FB2}"/>
    <cellStyle name="Linked Cell 9 2 9 2 2" xfId="40473" xr:uid="{8BED17B8-A8B0-4D25-B8C9-29DF34D36985}"/>
    <cellStyle name="Linked Cell 9 2 9 3" xfId="40474" xr:uid="{F54DFB13-EC48-40B8-8E1B-49D5DFA72747}"/>
    <cellStyle name="Linked Cell 9 3" xfId="40475" xr:uid="{26BB3345-C929-4211-B7A8-CF78EA37C700}"/>
    <cellStyle name="Linked Cell 9 3 10" xfId="40476" xr:uid="{1E24D4C4-D095-4C3A-B9D4-33D6A254E395}"/>
    <cellStyle name="Linked Cell 9 3 10 2" xfId="40477" xr:uid="{465EB5BD-F5EA-4F73-BD36-E0E2ED91348C}"/>
    <cellStyle name="Linked Cell 9 3 10 2 2" xfId="40478" xr:uid="{DA45B2A5-0043-42A3-A69C-43E2540E6DCA}"/>
    <cellStyle name="Linked Cell 9 3 10 3" xfId="40479" xr:uid="{CD3F269B-C48E-4ABD-84B0-2D775C24E5DE}"/>
    <cellStyle name="Linked Cell 9 3 11" xfId="40480" xr:uid="{84019E6D-2872-4250-A74D-4E58BE5C7613}"/>
    <cellStyle name="Linked Cell 9 3 11 2" xfId="40481" xr:uid="{FF425AB8-7C8A-48E4-8BD7-A81D6A4D7815}"/>
    <cellStyle name="Linked Cell 9 3 11 2 2" xfId="40482" xr:uid="{73AE00F8-12E4-4374-9211-696A54B3D3DB}"/>
    <cellStyle name="Linked Cell 9 3 11 3" xfId="40483" xr:uid="{8A9D1AA9-08BE-4047-89F0-95C713027110}"/>
    <cellStyle name="Linked Cell 9 3 12" xfId="40484" xr:uid="{FAC0B16D-EE68-4541-AEB6-00B9EFEF9260}"/>
    <cellStyle name="Linked Cell 9 3 12 2" xfId="40485" xr:uid="{2C3827A4-B284-407F-BFB0-6BE0F560F81A}"/>
    <cellStyle name="Linked Cell 9 3 12 2 2" xfId="40486" xr:uid="{D29AFFCC-B1B4-45B1-B763-B26DBA42C0A2}"/>
    <cellStyle name="Linked Cell 9 3 12 3" xfId="40487" xr:uid="{621AFF03-6907-4D9D-9068-D0B47BDD1A8C}"/>
    <cellStyle name="Linked Cell 9 3 13" xfId="40488" xr:uid="{F3972B52-85B8-4AF8-A658-9DFB89259B2A}"/>
    <cellStyle name="Linked Cell 9 3 13 2" xfId="40489" xr:uid="{BB836216-A955-448F-A505-1304CED6C18B}"/>
    <cellStyle name="Linked Cell 9 3 14" xfId="40490" xr:uid="{F9DA4618-A0E0-4DBB-B9E6-26DEF9DACD0B}"/>
    <cellStyle name="Linked Cell 9 3 2" xfId="40491" xr:uid="{2C652178-F942-44D0-A21C-27F6D0A01318}"/>
    <cellStyle name="Linked Cell 9 3 2 10" xfId="40492" xr:uid="{9048DCDF-D431-404C-A195-B197FA4D18C0}"/>
    <cellStyle name="Linked Cell 9 3 2 10 2" xfId="40493" xr:uid="{464CABCA-C5FE-4644-8192-C54EBD0D5B30}"/>
    <cellStyle name="Linked Cell 9 3 2 10 2 2" xfId="40494" xr:uid="{B2796927-ABB4-4F3C-B60B-25DE654CB9B8}"/>
    <cellStyle name="Linked Cell 9 3 2 10 3" xfId="40495" xr:uid="{D8F012DE-338F-4581-AD51-11DA04CEC468}"/>
    <cellStyle name="Linked Cell 9 3 2 11" xfId="40496" xr:uid="{0692ED8C-6E80-42E6-9B72-8500A20BF3E3}"/>
    <cellStyle name="Linked Cell 9 3 2 11 2" xfId="40497" xr:uid="{D4D2E233-F936-4963-A60E-3D533DE80982}"/>
    <cellStyle name="Linked Cell 9 3 2 11 2 2" xfId="40498" xr:uid="{14DB461A-4CF2-467D-B0A2-EAF74D247E39}"/>
    <cellStyle name="Linked Cell 9 3 2 11 3" xfId="40499" xr:uid="{CB3AE6B0-0313-46CA-BD58-993F4174167D}"/>
    <cellStyle name="Linked Cell 9 3 2 12" xfId="40500" xr:uid="{99125B65-E52A-477F-B2F6-D3102D3D0E6E}"/>
    <cellStyle name="Linked Cell 9 3 2 12 2" xfId="40501" xr:uid="{72BDC0AF-D7AE-4C34-82C4-E599A2EBF41F}"/>
    <cellStyle name="Linked Cell 9 3 2 13" xfId="40502" xr:uid="{EC4250B6-A66F-4449-8D26-F7219E3C84B2}"/>
    <cellStyle name="Linked Cell 9 3 2 2" xfId="40503" xr:uid="{47394FF2-74D8-4FFC-A5E0-34101E242051}"/>
    <cellStyle name="Linked Cell 9 3 2 2 10" xfId="40504" xr:uid="{A47BF07C-32D0-4BF1-91C1-FA2A19C17170}"/>
    <cellStyle name="Linked Cell 9 3 2 2 10 2" xfId="40505" xr:uid="{CBA49A94-6841-4606-A890-56A62088465F}"/>
    <cellStyle name="Linked Cell 9 3 2 2 10 2 2" xfId="40506" xr:uid="{52B510B7-C59D-4DA3-A162-DA54B4FA5B12}"/>
    <cellStyle name="Linked Cell 9 3 2 2 10 3" xfId="40507" xr:uid="{C3D978A2-F118-4E78-B211-0E8218ED9C7F}"/>
    <cellStyle name="Linked Cell 9 3 2 2 11" xfId="40508" xr:uid="{FB95626D-E86D-4C58-B003-6CFE4A2E0183}"/>
    <cellStyle name="Linked Cell 9 3 2 2 11 2" xfId="40509" xr:uid="{C82C2987-9D02-4EEB-8BE5-3F3A8B7AD466}"/>
    <cellStyle name="Linked Cell 9 3 2 2 12" xfId="40510" xr:uid="{E71728C8-6F8B-4F4B-8325-251F60F6540A}"/>
    <cellStyle name="Linked Cell 9 3 2 2 2" xfId="40511" xr:uid="{6AEF0FBB-316C-4AC3-84A3-C3EA970F1955}"/>
    <cellStyle name="Linked Cell 9 3 2 2 2 2" xfId="40512" xr:uid="{56E00E36-5FAA-4DBC-9B4C-94619B2A9138}"/>
    <cellStyle name="Linked Cell 9 3 2 2 2 2 2" xfId="40513" xr:uid="{D0E4911B-A288-4411-8083-02A6BB25F335}"/>
    <cellStyle name="Linked Cell 9 3 2 2 2 3" xfId="40514" xr:uid="{3C06ED2D-5BCB-4D59-B7E4-307E1B5C8630}"/>
    <cellStyle name="Linked Cell 9 3 2 2 3" xfId="40515" xr:uid="{CC893D84-5F3B-4755-9350-023DD2EF78DF}"/>
    <cellStyle name="Linked Cell 9 3 2 2 3 2" xfId="40516" xr:uid="{C58261DA-B80C-4C64-B891-46C8B51F2C2C}"/>
    <cellStyle name="Linked Cell 9 3 2 2 3 2 2" xfId="40517" xr:uid="{4B238044-A66A-4EC0-8C5D-C0E408E78DF6}"/>
    <cellStyle name="Linked Cell 9 3 2 2 3 3" xfId="40518" xr:uid="{106BA13A-D362-4484-857D-D40244F4F0C4}"/>
    <cellStyle name="Linked Cell 9 3 2 2 4" xfId="40519" xr:uid="{357C4BA9-D4FD-4DB0-BBFD-A28EC1CA3BC1}"/>
    <cellStyle name="Linked Cell 9 3 2 2 4 2" xfId="40520" xr:uid="{20D0571E-5374-448E-8536-08414E5C0065}"/>
    <cellStyle name="Linked Cell 9 3 2 2 4 2 2" xfId="40521" xr:uid="{28069A5B-E54B-460B-86EE-240527088AAA}"/>
    <cellStyle name="Linked Cell 9 3 2 2 4 3" xfId="40522" xr:uid="{69D589D7-1112-49B0-8081-1EDBC6B09338}"/>
    <cellStyle name="Linked Cell 9 3 2 2 5" xfId="40523" xr:uid="{01B3F779-94F3-41E0-8511-E9E3BBED4D5D}"/>
    <cellStyle name="Linked Cell 9 3 2 2 5 2" xfId="40524" xr:uid="{15F8CF09-3DE1-4E84-B183-2FC84D308C30}"/>
    <cellStyle name="Linked Cell 9 3 2 2 5 2 2" xfId="40525" xr:uid="{C62DFFAB-8E2A-4DEE-A399-FEDC7B45BB04}"/>
    <cellStyle name="Linked Cell 9 3 2 2 5 3" xfId="40526" xr:uid="{9EF2F790-C8AA-47C2-8378-DA027BB28BBF}"/>
    <cellStyle name="Linked Cell 9 3 2 2 6" xfId="40527" xr:uid="{20BDF843-2F13-458D-9DDB-5AC10A86A346}"/>
    <cellStyle name="Linked Cell 9 3 2 2 6 2" xfId="40528" xr:uid="{899A62C4-E51F-4C33-A0E3-BCC706D2BFB7}"/>
    <cellStyle name="Linked Cell 9 3 2 2 6 2 2" xfId="40529" xr:uid="{AEA918B5-01E1-4FC2-B69D-639F3671DC40}"/>
    <cellStyle name="Linked Cell 9 3 2 2 6 3" xfId="40530" xr:uid="{DF1A5DE9-8304-4BE0-959D-8CBBAC185AE8}"/>
    <cellStyle name="Linked Cell 9 3 2 2 7" xfId="40531" xr:uid="{AA970EEE-4296-4B9F-88B1-8AE6BD6E964D}"/>
    <cellStyle name="Linked Cell 9 3 2 2 7 2" xfId="40532" xr:uid="{0264CA6D-A460-40A5-B1C1-4FCFF49FFDAB}"/>
    <cellStyle name="Linked Cell 9 3 2 2 7 2 2" xfId="40533" xr:uid="{99F93CFC-231A-4542-8912-D19E0868FB0A}"/>
    <cellStyle name="Linked Cell 9 3 2 2 7 3" xfId="40534" xr:uid="{64631D68-79EC-4C5E-B7EC-0CD4F14A17ED}"/>
    <cellStyle name="Linked Cell 9 3 2 2 8" xfId="40535" xr:uid="{2262777A-6290-451D-954E-B3852A313BF0}"/>
    <cellStyle name="Linked Cell 9 3 2 2 8 2" xfId="40536" xr:uid="{0FAF91ED-8C0A-43C1-B323-390F78E90863}"/>
    <cellStyle name="Linked Cell 9 3 2 2 8 2 2" xfId="40537" xr:uid="{7D1903C9-D7F0-407D-A448-01E901B11623}"/>
    <cellStyle name="Linked Cell 9 3 2 2 8 3" xfId="40538" xr:uid="{636B5DA3-1DC4-4FA7-95B1-FB2B8A31925B}"/>
    <cellStyle name="Linked Cell 9 3 2 2 9" xfId="40539" xr:uid="{83D6C6E8-FAAB-4E55-887E-F78899EB9FF0}"/>
    <cellStyle name="Linked Cell 9 3 2 2 9 2" xfId="40540" xr:uid="{AEB09482-833B-47DE-8611-EA6507A55A33}"/>
    <cellStyle name="Linked Cell 9 3 2 2 9 2 2" xfId="40541" xr:uid="{E6A75131-C95A-45C9-A612-AB65F31E9D43}"/>
    <cellStyle name="Linked Cell 9 3 2 2 9 3" xfId="40542" xr:uid="{6B89A899-05C8-4DE6-BD75-F71FEB0A704C}"/>
    <cellStyle name="Linked Cell 9 3 2 3" xfId="40543" xr:uid="{6141EDC9-2F4B-4E7E-9CDA-790EBF716F0C}"/>
    <cellStyle name="Linked Cell 9 3 2 3 10" xfId="40544" xr:uid="{CE56DAEE-8C9D-46C9-90B5-4C541716A24D}"/>
    <cellStyle name="Linked Cell 9 3 2 3 10 2" xfId="40545" xr:uid="{E05D4B33-96B2-4D0B-A138-707152A9FE39}"/>
    <cellStyle name="Linked Cell 9 3 2 3 11" xfId="40546" xr:uid="{93F90C02-F5F2-4CF8-BA67-6724CA0125DE}"/>
    <cellStyle name="Linked Cell 9 3 2 3 2" xfId="40547" xr:uid="{4D1E23D2-39E5-4757-A85A-D1BACE1751B0}"/>
    <cellStyle name="Linked Cell 9 3 2 3 2 2" xfId="40548" xr:uid="{639F7D8E-788F-4D53-A60E-4F930E6F4EAF}"/>
    <cellStyle name="Linked Cell 9 3 2 3 2 2 2" xfId="40549" xr:uid="{527C4568-99F5-4AE9-A503-1378165DA40C}"/>
    <cellStyle name="Linked Cell 9 3 2 3 2 3" xfId="40550" xr:uid="{AEC48A7F-21CD-40C9-AF50-1FE23AD41D7D}"/>
    <cellStyle name="Linked Cell 9 3 2 3 3" xfId="40551" xr:uid="{103090D6-D062-47E8-B930-D4B5A9105D50}"/>
    <cellStyle name="Linked Cell 9 3 2 3 3 2" xfId="40552" xr:uid="{B336CF53-122E-454A-A20D-6C17903F8EB9}"/>
    <cellStyle name="Linked Cell 9 3 2 3 3 2 2" xfId="40553" xr:uid="{26714085-DE89-43DF-A133-0FB56034F5B0}"/>
    <cellStyle name="Linked Cell 9 3 2 3 3 3" xfId="40554" xr:uid="{DF79D723-ED4B-48A3-8822-CC0D515DE386}"/>
    <cellStyle name="Linked Cell 9 3 2 3 4" xfId="40555" xr:uid="{C2F114F7-28BE-4A47-8273-3C397351C185}"/>
    <cellStyle name="Linked Cell 9 3 2 3 4 2" xfId="40556" xr:uid="{B02BE2E0-E605-494A-AF4E-A8D655EFF430}"/>
    <cellStyle name="Linked Cell 9 3 2 3 4 2 2" xfId="40557" xr:uid="{B84158B7-B33B-4D14-B57C-D9B3412632BA}"/>
    <cellStyle name="Linked Cell 9 3 2 3 4 3" xfId="40558" xr:uid="{267915D0-2205-416A-B84C-0761735C0AEC}"/>
    <cellStyle name="Linked Cell 9 3 2 3 5" xfId="40559" xr:uid="{82961FC8-AAAB-4CBA-91FE-131EADFBF5B8}"/>
    <cellStyle name="Linked Cell 9 3 2 3 5 2" xfId="40560" xr:uid="{CCA4A599-323E-46A0-BD13-DF5889EC9B23}"/>
    <cellStyle name="Linked Cell 9 3 2 3 5 2 2" xfId="40561" xr:uid="{25694550-49A4-4D5F-AFF7-094DF6F90BFA}"/>
    <cellStyle name="Linked Cell 9 3 2 3 5 3" xfId="40562" xr:uid="{6BD457AD-FE7A-4C04-8ABE-4E19DFF76A66}"/>
    <cellStyle name="Linked Cell 9 3 2 3 6" xfId="40563" xr:uid="{A2DAB5B1-5007-4478-A317-6BE80DFFCE89}"/>
    <cellStyle name="Linked Cell 9 3 2 3 6 2" xfId="40564" xr:uid="{6FD3D3B8-F11B-4222-91A4-0F004BAFCD5B}"/>
    <cellStyle name="Linked Cell 9 3 2 3 6 2 2" xfId="40565" xr:uid="{1F2C08EE-7A3B-4596-AFB4-D238C52623EB}"/>
    <cellStyle name="Linked Cell 9 3 2 3 6 3" xfId="40566" xr:uid="{6F8ADEA4-1DF1-4D6A-849C-040018CD58FF}"/>
    <cellStyle name="Linked Cell 9 3 2 3 7" xfId="40567" xr:uid="{2E792653-FB32-4E61-97FF-68C60B287089}"/>
    <cellStyle name="Linked Cell 9 3 2 3 7 2" xfId="40568" xr:uid="{845D379B-6AE2-4B7D-8E91-AB3D736BD232}"/>
    <cellStyle name="Linked Cell 9 3 2 3 7 2 2" xfId="40569" xr:uid="{795FACB9-4D3A-4F95-9224-8299864C58D4}"/>
    <cellStyle name="Linked Cell 9 3 2 3 7 3" xfId="40570" xr:uid="{4598A7FB-BE94-4F65-954A-B39E63B95099}"/>
    <cellStyle name="Linked Cell 9 3 2 3 8" xfId="40571" xr:uid="{4B050AA6-A66E-4EBE-9E47-CB165E863B61}"/>
    <cellStyle name="Linked Cell 9 3 2 3 8 2" xfId="40572" xr:uid="{F1DDE81C-BAA1-4598-B47D-6A5F1A51AAE8}"/>
    <cellStyle name="Linked Cell 9 3 2 3 8 2 2" xfId="40573" xr:uid="{CA716AE2-942F-4C86-A03D-2AE2A47E1781}"/>
    <cellStyle name="Linked Cell 9 3 2 3 8 3" xfId="40574" xr:uid="{E21C9156-DA4F-4983-A956-19CBEF4F17BF}"/>
    <cellStyle name="Linked Cell 9 3 2 3 9" xfId="40575" xr:uid="{2215997A-D856-4617-952C-449260AE9A2F}"/>
    <cellStyle name="Linked Cell 9 3 2 3 9 2" xfId="40576" xr:uid="{4C905C87-5CD7-4180-ACCD-0395F3883F44}"/>
    <cellStyle name="Linked Cell 9 3 2 3 9 2 2" xfId="40577" xr:uid="{B4072FF8-BB56-4704-8B64-D4F3897B87E5}"/>
    <cellStyle name="Linked Cell 9 3 2 3 9 3" xfId="40578" xr:uid="{D34FF520-9767-4B73-9193-45B665BEBFF7}"/>
    <cellStyle name="Linked Cell 9 3 2 4" xfId="40579" xr:uid="{D2F17DDF-891F-4ABD-B7F6-1F2950FB336F}"/>
    <cellStyle name="Linked Cell 9 3 2 4 2" xfId="40580" xr:uid="{8FB66A76-7534-492B-9BA1-138E1EDF4C13}"/>
    <cellStyle name="Linked Cell 9 3 2 4 2 2" xfId="40581" xr:uid="{843C8365-C3EA-4525-8497-15A7B673EC20}"/>
    <cellStyle name="Linked Cell 9 3 2 4 3" xfId="40582" xr:uid="{BA969110-541A-444C-A5D9-237DA8AC6B07}"/>
    <cellStyle name="Linked Cell 9 3 2 5" xfId="40583" xr:uid="{8A2352D8-5282-4D5A-8D52-4F6EAF018E91}"/>
    <cellStyle name="Linked Cell 9 3 2 5 2" xfId="40584" xr:uid="{9E3CDFDA-1274-45C4-9FD8-1AA52768011D}"/>
    <cellStyle name="Linked Cell 9 3 2 5 2 2" xfId="40585" xr:uid="{C0DEED57-57DD-464B-A08F-07E057D0DFF1}"/>
    <cellStyle name="Linked Cell 9 3 2 5 3" xfId="40586" xr:uid="{083401FA-023D-4D8A-B880-32481A52D2E6}"/>
    <cellStyle name="Linked Cell 9 3 2 6" xfId="40587" xr:uid="{7CB8BA41-8359-460E-988D-8DD1B36BC57E}"/>
    <cellStyle name="Linked Cell 9 3 2 6 2" xfId="40588" xr:uid="{58012D25-0723-47B0-8841-E4387896748C}"/>
    <cellStyle name="Linked Cell 9 3 2 6 2 2" xfId="40589" xr:uid="{B350119A-623F-4671-A74C-B0B0FE897DA2}"/>
    <cellStyle name="Linked Cell 9 3 2 6 3" xfId="40590" xr:uid="{EFAE2F35-1F02-45C6-9A45-9E418D935927}"/>
    <cellStyle name="Linked Cell 9 3 2 7" xfId="40591" xr:uid="{B946FF7B-4A04-4B28-8C3C-86F98EF7846E}"/>
    <cellStyle name="Linked Cell 9 3 2 7 2" xfId="40592" xr:uid="{993580D8-49BF-4805-A5F4-4B72EAFFE47E}"/>
    <cellStyle name="Linked Cell 9 3 2 7 2 2" xfId="40593" xr:uid="{F9EDD29C-6997-4E57-B2D9-8E3B200A1C99}"/>
    <cellStyle name="Linked Cell 9 3 2 7 3" xfId="40594" xr:uid="{E6DCB6B4-9216-4641-9BD2-419B19C722FA}"/>
    <cellStyle name="Linked Cell 9 3 2 8" xfId="40595" xr:uid="{FE877406-65CA-498E-99E5-6BA7BF8C77E4}"/>
    <cellStyle name="Linked Cell 9 3 2 8 2" xfId="40596" xr:uid="{11014E32-7852-4199-8126-302D3966773A}"/>
    <cellStyle name="Linked Cell 9 3 2 8 2 2" xfId="40597" xr:uid="{B0A84B55-8A69-4A0F-B581-6D98E96B0960}"/>
    <cellStyle name="Linked Cell 9 3 2 8 3" xfId="40598" xr:uid="{48B7EE8A-6EDC-477B-BFC4-70AFD06CD1EC}"/>
    <cellStyle name="Linked Cell 9 3 2 9" xfId="40599" xr:uid="{31CED2A5-551D-4887-8E82-B2FBF800F975}"/>
    <cellStyle name="Linked Cell 9 3 2 9 2" xfId="40600" xr:uid="{A5EB6717-5870-4D67-98E7-7CA0DEF7DECE}"/>
    <cellStyle name="Linked Cell 9 3 2 9 2 2" xfId="40601" xr:uid="{F68492DC-1D3E-43AA-8FEA-C837EEFCBA42}"/>
    <cellStyle name="Linked Cell 9 3 2 9 3" xfId="40602" xr:uid="{0F9ECCA3-6ACA-4487-A39C-319B01096C7C}"/>
    <cellStyle name="Linked Cell 9 3 3" xfId="40603" xr:uid="{51014E17-76C8-4753-9238-38223AD9C656}"/>
    <cellStyle name="Linked Cell 9 3 3 10" xfId="40604" xr:uid="{548013DA-2076-4AAF-A094-160C29C60BFF}"/>
    <cellStyle name="Linked Cell 9 3 3 10 2" xfId="40605" xr:uid="{88F4F59B-14CE-4E8A-9C03-9930D193CA9F}"/>
    <cellStyle name="Linked Cell 9 3 3 10 2 2" xfId="40606" xr:uid="{D71135D7-DD13-40E7-9B71-14FC45114751}"/>
    <cellStyle name="Linked Cell 9 3 3 10 3" xfId="40607" xr:uid="{449679E1-CBA8-4C7A-B0D5-5C47ED39B261}"/>
    <cellStyle name="Linked Cell 9 3 3 11" xfId="40608" xr:uid="{1F459043-6C2F-43BE-AFA1-DE884EBD651E}"/>
    <cellStyle name="Linked Cell 9 3 3 11 2" xfId="40609" xr:uid="{A3265C78-D38A-4DBB-AA12-E99424A4E40A}"/>
    <cellStyle name="Linked Cell 9 3 3 12" xfId="40610" xr:uid="{183F7D6D-2DFF-4F5B-BA12-1170E317CF84}"/>
    <cellStyle name="Linked Cell 9 3 3 2" xfId="40611" xr:uid="{CDF71CA5-BCE1-4CC1-B864-D3B34BB304E1}"/>
    <cellStyle name="Linked Cell 9 3 3 2 10" xfId="40612" xr:uid="{567BA44C-2236-4F40-A32F-888635307F0A}"/>
    <cellStyle name="Linked Cell 9 3 3 2 10 2" xfId="40613" xr:uid="{C6CD9468-688E-4914-920F-6AA805650ABC}"/>
    <cellStyle name="Linked Cell 9 3 3 2 11" xfId="40614" xr:uid="{DFCE4464-19BF-4F0B-ABBC-71C0B384B244}"/>
    <cellStyle name="Linked Cell 9 3 3 2 2" xfId="40615" xr:uid="{4053C605-88F4-45AF-BE8D-F07186CDFCE7}"/>
    <cellStyle name="Linked Cell 9 3 3 2 2 2" xfId="40616" xr:uid="{43A3A7F6-4B6A-44C2-B317-1E1F793535C1}"/>
    <cellStyle name="Linked Cell 9 3 3 2 2 2 2" xfId="40617" xr:uid="{8AC4608B-7E53-4490-BD3F-5EABC18C338F}"/>
    <cellStyle name="Linked Cell 9 3 3 2 2 3" xfId="40618" xr:uid="{7E777E27-BC58-4B3F-AD19-BC49D2FC622F}"/>
    <cellStyle name="Linked Cell 9 3 3 2 3" xfId="40619" xr:uid="{D456982A-AC04-49D1-AF0B-0F2BC2771A48}"/>
    <cellStyle name="Linked Cell 9 3 3 2 3 2" xfId="40620" xr:uid="{F4AA192E-284D-4B3D-B968-C2BF381C5179}"/>
    <cellStyle name="Linked Cell 9 3 3 2 3 2 2" xfId="40621" xr:uid="{C4281F3C-AD59-4FC5-B1A4-660B01C6D2E7}"/>
    <cellStyle name="Linked Cell 9 3 3 2 3 3" xfId="40622" xr:uid="{14419838-8AC0-43B5-B5B7-F0EF0271960F}"/>
    <cellStyle name="Linked Cell 9 3 3 2 4" xfId="40623" xr:uid="{5274CDBC-66B0-48C9-84F4-40FF492EE4EE}"/>
    <cellStyle name="Linked Cell 9 3 3 2 4 2" xfId="40624" xr:uid="{101C0D47-0374-4BB0-B4A8-E46532FDC010}"/>
    <cellStyle name="Linked Cell 9 3 3 2 4 2 2" xfId="40625" xr:uid="{89EDEB40-D8EE-4554-A55D-7D02D4FFD6A5}"/>
    <cellStyle name="Linked Cell 9 3 3 2 4 3" xfId="40626" xr:uid="{EFD6461E-00CA-4642-9CE3-B52AABB0FAC1}"/>
    <cellStyle name="Linked Cell 9 3 3 2 5" xfId="40627" xr:uid="{B8269C2B-054D-48A2-8A71-C742444DA0F7}"/>
    <cellStyle name="Linked Cell 9 3 3 2 5 2" xfId="40628" xr:uid="{EDD51986-C404-43A6-BDC3-D7B04A8DD2AC}"/>
    <cellStyle name="Linked Cell 9 3 3 2 5 2 2" xfId="40629" xr:uid="{361DFE45-B82E-407A-A48D-DF5D3723475B}"/>
    <cellStyle name="Linked Cell 9 3 3 2 5 3" xfId="40630" xr:uid="{0E237C2D-1C6F-4E16-A3A7-D4BFB4ECA8C6}"/>
    <cellStyle name="Linked Cell 9 3 3 2 6" xfId="40631" xr:uid="{DE161719-37CE-4F70-8B56-0B4FBA877D7C}"/>
    <cellStyle name="Linked Cell 9 3 3 2 6 2" xfId="40632" xr:uid="{072F2D19-008A-4FA3-A4EE-951297BA28F8}"/>
    <cellStyle name="Linked Cell 9 3 3 2 6 2 2" xfId="40633" xr:uid="{E3613FDD-A92A-47A2-904D-26B4FEA0C3AB}"/>
    <cellStyle name="Linked Cell 9 3 3 2 6 3" xfId="40634" xr:uid="{A4AACFAC-64F3-4C75-AE56-60EAC46C9C15}"/>
    <cellStyle name="Linked Cell 9 3 3 2 7" xfId="40635" xr:uid="{1C0770D5-1FA1-4415-91AB-BF3E487CA023}"/>
    <cellStyle name="Linked Cell 9 3 3 2 7 2" xfId="40636" xr:uid="{FF02D530-E459-42D6-B23B-546BB26FEECB}"/>
    <cellStyle name="Linked Cell 9 3 3 2 7 2 2" xfId="40637" xr:uid="{A62570D4-BEBD-45C4-A43C-507A37B06C68}"/>
    <cellStyle name="Linked Cell 9 3 3 2 7 3" xfId="40638" xr:uid="{D57AFE08-28AF-402C-A9CF-4EF713A5DA98}"/>
    <cellStyle name="Linked Cell 9 3 3 2 8" xfId="40639" xr:uid="{89848699-E2BA-4C03-8086-52F4C72BBB87}"/>
    <cellStyle name="Linked Cell 9 3 3 2 8 2" xfId="40640" xr:uid="{837BFF62-0DAA-4DD9-89F4-3C609DE8E1E2}"/>
    <cellStyle name="Linked Cell 9 3 3 2 8 2 2" xfId="40641" xr:uid="{DAC20BEE-2763-4145-969F-ABA9D903DE77}"/>
    <cellStyle name="Linked Cell 9 3 3 2 8 3" xfId="40642" xr:uid="{BC93E1B7-AB52-472A-8647-BEBCE6640042}"/>
    <cellStyle name="Linked Cell 9 3 3 2 9" xfId="40643" xr:uid="{BD3E7D67-9672-4386-A8FA-00EFEC7354AB}"/>
    <cellStyle name="Linked Cell 9 3 3 2 9 2" xfId="40644" xr:uid="{C62C8980-8CB9-44B0-A764-EB7C70FEB5D9}"/>
    <cellStyle name="Linked Cell 9 3 3 2 9 2 2" xfId="40645" xr:uid="{367DAFF4-F50D-4F44-87AE-2B88540062F6}"/>
    <cellStyle name="Linked Cell 9 3 3 2 9 3" xfId="40646" xr:uid="{82F271EA-F84F-44F0-9171-F20E6E5BA2DF}"/>
    <cellStyle name="Linked Cell 9 3 3 3" xfId="40647" xr:uid="{ED6DC092-2523-42B0-B71F-3D3E5AA1C07A}"/>
    <cellStyle name="Linked Cell 9 3 3 3 2" xfId="40648" xr:uid="{63F1ED92-9235-4083-B973-E402728D1319}"/>
    <cellStyle name="Linked Cell 9 3 3 3 2 2" xfId="40649" xr:uid="{868AAECB-E13A-4CF8-9FD0-AA2F5E64ECC6}"/>
    <cellStyle name="Linked Cell 9 3 3 3 3" xfId="40650" xr:uid="{DB1CD328-AA77-4C22-A587-FDDE1ABD1257}"/>
    <cellStyle name="Linked Cell 9 3 3 4" xfId="40651" xr:uid="{FC07B9B1-17BE-4F88-A864-3CB40B20C53B}"/>
    <cellStyle name="Linked Cell 9 3 3 4 2" xfId="40652" xr:uid="{73C020EE-4A03-4EEA-B3FD-626C7E845740}"/>
    <cellStyle name="Linked Cell 9 3 3 4 2 2" xfId="40653" xr:uid="{D681F38E-E025-4BC8-A0C4-8F6E4333651F}"/>
    <cellStyle name="Linked Cell 9 3 3 4 3" xfId="40654" xr:uid="{C3FB3FFC-686B-472A-9348-55D9477B4F02}"/>
    <cellStyle name="Linked Cell 9 3 3 5" xfId="40655" xr:uid="{D241AA20-0926-429B-B1E6-4E388EA244FD}"/>
    <cellStyle name="Linked Cell 9 3 3 5 2" xfId="40656" xr:uid="{FB1C899F-1EAA-4749-B110-DAC134B81B75}"/>
    <cellStyle name="Linked Cell 9 3 3 5 2 2" xfId="40657" xr:uid="{726AD5DE-62D4-46E9-9A9E-B292499CD639}"/>
    <cellStyle name="Linked Cell 9 3 3 5 3" xfId="40658" xr:uid="{760DA9CD-92C2-45A1-B625-A6D806B988F2}"/>
    <cellStyle name="Linked Cell 9 3 3 6" xfId="40659" xr:uid="{2D5033CE-0A65-450E-9206-E4624A19521D}"/>
    <cellStyle name="Linked Cell 9 3 3 6 2" xfId="40660" xr:uid="{432A0EC6-CEEC-4E51-8888-197A5DCEDF1E}"/>
    <cellStyle name="Linked Cell 9 3 3 6 2 2" xfId="40661" xr:uid="{82E06AC7-E15B-49CC-9A4A-E6C20EDAD83C}"/>
    <cellStyle name="Linked Cell 9 3 3 6 3" xfId="40662" xr:uid="{9F6EBCB1-25D9-4FEF-96AC-F01C904ADCBF}"/>
    <cellStyle name="Linked Cell 9 3 3 7" xfId="40663" xr:uid="{28AD95B2-35AE-4F05-92C2-BD05C0B22FDB}"/>
    <cellStyle name="Linked Cell 9 3 3 7 2" xfId="40664" xr:uid="{2355E8C4-779C-463E-9421-8EF117C2FB1E}"/>
    <cellStyle name="Linked Cell 9 3 3 7 2 2" xfId="40665" xr:uid="{9ED73B88-4A48-4383-8793-812151643063}"/>
    <cellStyle name="Linked Cell 9 3 3 7 3" xfId="40666" xr:uid="{FB509F20-D39B-4B52-8A1A-6A1ED860DEBD}"/>
    <cellStyle name="Linked Cell 9 3 3 8" xfId="40667" xr:uid="{A3E733CA-75D1-428C-82E6-205B19BD6A33}"/>
    <cellStyle name="Linked Cell 9 3 3 8 2" xfId="40668" xr:uid="{1ECBF9D0-C3A5-4F73-93F8-A82D24B945D8}"/>
    <cellStyle name="Linked Cell 9 3 3 8 2 2" xfId="40669" xr:uid="{BAAA8700-DD07-4C60-B46D-1478B69B2725}"/>
    <cellStyle name="Linked Cell 9 3 3 8 3" xfId="40670" xr:uid="{C36957CA-56AD-4717-80D4-02E036896249}"/>
    <cellStyle name="Linked Cell 9 3 3 9" xfId="40671" xr:uid="{4BB6382A-B9EF-4B08-917A-F6CD0CC91C4E}"/>
    <cellStyle name="Linked Cell 9 3 3 9 2" xfId="40672" xr:uid="{6B8FF931-8FB1-4D5D-BA0C-ADBED7A7B688}"/>
    <cellStyle name="Linked Cell 9 3 3 9 2 2" xfId="40673" xr:uid="{FCE871A1-9079-4F17-9B6F-805AC0F45179}"/>
    <cellStyle name="Linked Cell 9 3 3 9 3" xfId="40674" xr:uid="{ADAA4F84-38CB-44CF-88CB-C26134EEB435}"/>
    <cellStyle name="Linked Cell 9 3 4" xfId="40675" xr:uid="{4438D4BD-CFC6-40DD-B67E-A28F92E7B4BE}"/>
    <cellStyle name="Linked Cell 9 3 4 10" xfId="40676" xr:uid="{DB9E167E-D24C-45CF-84DD-0743BCE69A81}"/>
    <cellStyle name="Linked Cell 9 3 4 10 2" xfId="40677" xr:uid="{BBF0C126-0073-4E19-83C4-CD48F946FDA8}"/>
    <cellStyle name="Linked Cell 9 3 4 11" xfId="40678" xr:uid="{2F5E9293-C6DD-46EE-AC20-BE275A45DBAB}"/>
    <cellStyle name="Linked Cell 9 3 4 2" xfId="40679" xr:uid="{C28C4E38-5835-4EFA-ADC1-4C9BC3AEA8F9}"/>
    <cellStyle name="Linked Cell 9 3 4 2 2" xfId="40680" xr:uid="{7C68955E-2C8D-48B5-92E5-4C8AD971E511}"/>
    <cellStyle name="Linked Cell 9 3 4 2 2 2" xfId="40681" xr:uid="{731CC834-1908-4AC8-A1D0-151C5E2B911C}"/>
    <cellStyle name="Linked Cell 9 3 4 2 3" xfId="40682" xr:uid="{5685D73F-3C14-462E-9F59-E3E5FBCCA2A4}"/>
    <cellStyle name="Linked Cell 9 3 4 3" xfId="40683" xr:uid="{D8A3E038-05EC-447E-AE71-01A3D3617356}"/>
    <cellStyle name="Linked Cell 9 3 4 3 2" xfId="40684" xr:uid="{1AFD8573-E9CC-47BD-BA51-B5BF791812F9}"/>
    <cellStyle name="Linked Cell 9 3 4 3 2 2" xfId="40685" xr:uid="{F01DD26D-23BC-4396-B2F2-749CD70A221B}"/>
    <cellStyle name="Linked Cell 9 3 4 3 3" xfId="40686" xr:uid="{6163365D-9D58-410E-8D2D-764BE3168B1D}"/>
    <cellStyle name="Linked Cell 9 3 4 4" xfId="40687" xr:uid="{8D004212-40F4-4711-8F8A-310D7587A910}"/>
    <cellStyle name="Linked Cell 9 3 4 4 2" xfId="40688" xr:uid="{E09B9747-4F0D-4299-8134-D324EA89D9F7}"/>
    <cellStyle name="Linked Cell 9 3 4 4 2 2" xfId="40689" xr:uid="{E7301E90-B41C-4072-8552-A2A48947BED2}"/>
    <cellStyle name="Linked Cell 9 3 4 4 3" xfId="40690" xr:uid="{9BC9CDEF-E052-4DA6-BE28-1F7CBD2F09FA}"/>
    <cellStyle name="Linked Cell 9 3 4 5" xfId="40691" xr:uid="{368D4BD9-9CAA-4656-AA64-7AF59255280E}"/>
    <cellStyle name="Linked Cell 9 3 4 5 2" xfId="40692" xr:uid="{AA92B1BF-CDBA-4A36-8D6B-167EA1F70EBA}"/>
    <cellStyle name="Linked Cell 9 3 4 5 2 2" xfId="40693" xr:uid="{4201A473-E48D-4C84-BA99-4D83F72D0BD5}"/>
    <cellStyle name="Linked Cell 9 3 4 5 3" xfId="40694" xr:uid="{7F717DDD-2171-4F91-94E4-33F4F091C381}"/>
    <cellStyle name="Linked Cell 9 3 4 6" xfId="40695" xr:uid="{792C9D9A-874F-4DAE-A74C-5B4CBA844147}"/>
    <cellStyle name="Linked Cell 9 3 4 6 2" xfId="40696" xr:uid="{2000F968-C086-4DCA-91AD-BDED2B9B9D08}"/>
    <cellStyle name="Linked Cell 9 3 4 6 2 2" xfId="40697" xr:uid="{4421C424-CB34-4E2F-871B-1B8F80217141}"/>
    <cellStyle name="Linked Cell 9 3 4 6 3" xfId="40698" xr:uid="{80794CB5-C402-4D84-BB71-997E48B57624}"/>
    <cellStyle name="Linked Cell 9 3 4 7" xfId="40699" xr:uid="{23847721-8A3B-403B-A7F1-C35B5C94D7BA}"/>
    <cellStyle name="Linked Cell 9 3 4 7 2" xfId="40700" xr:uid="{A9AE513C-BE7A-4BFF-9E24-962D3CB5307A}"/>
    <cellStyle name="Linked Cell 9 3 4 7 2 2" xfId="40701" xr:uid="{374D832E-F192-4F61-84DE-D08368739B1C}"/>
    <cellStyle name="Linked Cell 9 3 4 7 3" xfId="40702" xr:uid="{A54D2046-013D-43E3-BDB5-864B20742ECC}"/>
    <cellStyle name="Linked Cell 9 3 4 8" xfId="40703" xr:uid="{80BC6C42-82A7-472A-AA5F-C6684D9D4FC6}"/>
    <cellStyle name="Linked Cell 9 3 4 8 2" xfId="40704" xr:uid="{6D6FB0B3-2AD9-4958-9E67-86F8ECC3E301}"/>
    <cellStyle name="Linked Cell 9 3 4 8 2 2" xfId="40705" xr:uid="{F947994F-E83D-4A94-BA47-140FEB2E87BB}"/>
    <cellStyle name="Linked Cell 9 3 4 8 3" xfId="40706" xr:uid="{5A1D51B1-33BD-41A4-8E87-F2D0A1788F57}"/>
    <cellStyle name="Linked Cell 9 3 4 9" xfId="40707" xr:uid="{7E31EF98-1FDB-4473-9A7E-4BB91EB5C420}"/>
    <cellStyle name="Linked Cell 9 3 4 9 2" xfId="40708" xr:uid="{D3049813-CA99-4DCE-B35E-5C9DDAA50FFD}"/>
    <cellStyle name="Linked Cell 9 3 4 9 2 2" xfId="40709" xr:uid="{A034B3B5-F54C-4149-A238-7A82F9518F04}"/>
    <cellStyle name="Linked Cell 9 3 4 9 3" xfId="40710" xr:uid="{45EA343F-BD20-4EDC-8623-98DDACFDC784}"/>
    <cellStyle name="Linked Cell 9 3 5" xfId="40711" xr:uid="{26349606-DD1C-4838-AA68-DA27825E5E63}"/>
    <cellStyle name="Linked Cell 9 3 5 2" xfId="40712" xr:uid="{C84354D7-F19D-4A77-A617-572C96C99BD0}"/>
    <cellStyle name="Linked Cell 9 3 5 2 2" xfId="40713" xr:uid="{3F3906D1-8623-4770-BB2F-A0181FC4E121}"/>
    <cellStyle name="Linked Cell 9 3 5 3" xfId="40714" xr:uid="{C614B68A-E7E8-45A4-8D3D-2C749B54DF2E}"/>
    <cellStyle name="Linked Cell 9 3 6" xfId="40715" xr:uid="{D1C91DF1-AB18-4A0C-B35F-8E6C13B9732B}"/>
    <cellStyle name="Linked Cell 9 3 6 2" xfId="40716" xr:uid="{2F01E4F4-8C07-412B-B943-AE8A8BE77488}"/>
    <cellStyle name="Linked Cell 9 3 6 2 2" xfId="40717" xr:uid="{3BD90843-32E8-430E-89D9-021332959A4A}"/>
    <cellStyle name="Linked Cell 9 3 6 3" xfId="40718" xr:uid="{2EC36DC1-095F-48FF-9201-A776932D5AC6}"/>
    <cellStyle name="Linked Cell 9 3 7" xfId="40719" xr:uid="{76DC0AAD-397C-47CF-A5F5-95E61F6FB255}"/>
    <cellStyle name="Linked Cell 9 3 7 2" xfId="40720" xr:uid="{C2D139C0-EB5E-4F48-80EA-C1D09490A5D2}"/>
    <cellStyle name="Linked Cell 9 3 7 2 2" xfId="40721" xr:uid="{B4B84C7D-0E6B-4FEB-8183-6E60DE741874}"/>
    <cellStyle name="Linked Cell 9 3 7 3" xfId="40722" xr:uid="{D4BD9255-2E0D-45EF-811D-06BC7C026948}"/>
    <cellStyle name="Linked Cell 9 3 8" xfId="40723" xr:uid="{EBDCA4A9-8C2C-4F79-8EA4-40198A9F229D}"/>
    <cellStyle name="Linked Cell 9 3 8 2" xfId="40724" xr:uid="{4B6FE4CA-C9DC-4010-B842-0B3C6E68904C}"/>
    <cellStyle name="Linked Cell 9 3 8 2 2" xfId="40725" xr:uid="{E57530C9-266A-4458-9950-5AB8318B8A7C}"/>
    <cellStyle name="Linked Cell 9 3 8 3" xfId="40726" xr:uid="{4EFD85BC-E447-4087-855E-54C3B54C888A}"/>
    <cellStyle name="Linked Cell 9 3 9" xfId="40727" xr:uid="{BC8B3899-BBC5-428B-9612-A7B05CC7A1F5}"/>
    <cellStyle name="Linked Cell 9 3 9 2" xfId="40728" xr:uid="{D07DEF5F-1C7D-4960-8143-F00A7DFABCB5}"/>
    <cellStyle name="Linked Cell 9 3 9 2 2" xfId="40729" xr:uid="{427DE664-E3C1-4A5C-9681-4EADBD08AC28}"/>
    <cellStyle name="Linked Cell 9 3 9 3" xfId="40730" xr:uid="{B82B2A25-3CE3-437F-A7AB-D4E49C3F0F61}"/>
    <cellStyle name="Linked Cell 9 4" xfId="40731" xr:uid="{D33BDEB3-0873-41C8-93F5-A6D9AFC34704}"/>
    <cellStyle name="Linked Cell 9 4 10" xfId="40732" xr:uid="{EECD045E-C792-414C-B5CD-7F97C8A5A381}"/>
    <cellStyle name="Linked Cell 9 4 10 2" xfId="40733" xr:uid="{F4365E50-E456-4B16-9BBB-28B7CD7FF492}"/>
    <cellStyle name="Linked Cell 9 4 10 2 2" xfId="40734" xr:uid="{EDDED254-034B-48D1-AF28-B9F378C98798}"/>
    <cellStyle name="Linked Cell 9 4 10 3" xfId="40735" xr:uid="{66BB49A9-F1F6-4EBE-A490-6062F80236AF}"/>
    <cellStyle name="Linked Cell 9 4 11" xfId="40736" xr:uid="{71092E4D-A985-47C7-849B-A3CC32A377FD}"/>
    <cellStyle name="Linked Cell 9 4 11 2" xfId="40737" xr:uid="{F74E9C64-F12D-4B1A-ACFB-D16CD4B2271F}"/>
    <cellStyle name="Linked Cell 9 4 11 2 2" xfId="40738" xr:uid="{7A70767D-C112-4DB5-9F17-BFDEF1462C9A}"/>
    <cellStyle name="Linked Cell 9 4 11 3" xfId="40739" xr:uid="{B77FB1CB-D0CA-4E64-920D-1BCC0D56E61D}"/>
    <cellStyle name="Linked Cell 9 4 12" xfId="40740" xr:uid="{8A7C8844-402F-4E9D-AE6A-8288324E9143}"/>
    <cellStyle name="Linked Cell 9 4 12 2" xfId="40741" xr:uid="{43A7BFEC-359E-4491-A5F3-61ACD64DD743}"/>
    <cellStyle name="Linked Cell 9 4 13" xfId="40742" xr:uid="{29380E7F-0F83-433F-A7A7-21D4FE817949}"/>
    <cellStyle name="Linked Cell 9 4 2" xfId="40743" xr:uid="{B1B9E325-292F-4335-AC9A-2A8561154D84}"/>
    <cellStyle name="Linked Cell 9 4 2 10" xfId="40744" xr:uid="{7F9A1234-6540-4657-9496-B132BE3FC1DC}"/>
    <cellStyle name="Linked Cell 9 4 2 10 2" xfId="40745" xr:uid="{DAEEB5DA-2619-4589-84E6-AA04F48AF201}"/>
    <cellStyle name="Linked Cell 9 4 2 10 2 2" xfId="40746" xr:uid="{948B6CB4-3A47-409B-A1FE-AC6E95FCBE68}"/>
    <cellStyle name="Linked Cell 9 4 2 10 3" xfId="40747" xr:uid="{10FB8CA3-E334-4A2C-9348-BC01E5149873}"/>
    <cellStyle name="Linked Cell 9 4 2 11" xfId="40748" xr:uid="{878528F0-6FCE-4B2A-9261-6148C9416B47}"/>
    <cellStyle name="Linked Cell 9 4 2 11 2" xfId="40749" xr:uid="{5904C447-9823-4ED1-8224-599F5346E81C}"/>
    <cellStyle name="Linked Cell 9 4 2 12" xfId="40750" xr:uid="{0B03BCF6-6848-40B6-94FF-F44EC0E85916}"/>
    <cellStyle name="Linked Cell 9 4 2 2" xfId="40751" xr:uid="{7A916370-EDCC-4730-88EC-A34F79D2E01A}"/>
    <cellStyle name="Linked Cell 9 4 2 2 2" xfId="40752" xr:uid="{81CC1D77-173D-498F-8628-4215A8F11362}"/>
    <cellStyle name="Linked Cell 9 4 2 2 2 2" xfId="40753" xr:uid="{007F0967-89E4-48D2-A7C5-9D3FA5A69EA8}"/>
    <cellStyle name="Linked Cell 9 4 2 2 3" xfId="40754" xr:uid="{06E0C04C-6489-4740-821B-B751541BEC13}"/>
    <cellStyle name="Linked Cell 9 4 2 3" xfId="40755" xr:uid="{C543CF32-7C64-4064-A285-E2EBF2C4D1F4}"/>
    <cellStyle name="Linked Cell 9 4 2 3 2" xfId="40756" xr:uid="{08EDCA88-E440-4DFD-9DB7-E6B186417126}"/>
    <cellStyle name="Linked Cell 9 4 2 3 2 2" xfId="40757" xr:uid="{E9672CFF-3AD0-4D07-B047-948EDA48CA83}"/>
    <cellStyle name="Linked Cell 9 4 2 3 3" xfId="40758" xr:uid="{4911127D-7CF5-4824-9EDE-A2228C7A7E54}"/>
    <cellStyle name="Linked Cell 9 4 2 4" xfId="40759" xr:uid="{F33A512A-2987-40CD-AC5F-C77B43941726}"/>
    <cellStyle name="Linked Cell 9 4 2 4 2" xfId="40760" xr:uid="{C5388DE5-B393-4638-8932-3567CAC4F791}"/>
    <cellStyle name="Linked Cell 9 4 2 4 2 2" xfId="40761" xr:uid="{F8412CEB-4BAF-438C-BA80-A294BBB7CBC6}"/>
    <cellStyle name="Linked Cell 9 4 2 4 3" xfId="40762" xr:uid="{6623AFDF-371F-4682-BC1A-87D4DA999741}"/>
    <cellStyle name="Linked Cell 9 4 2 5" xfId="40763" xr:uid="{CC275549-A750-4004-972F-92A822D754A7}"/>
    <cellStyle name="Linked Cell 9 4 2 5 2" xfId="40764" xr:uid="{C7A463E5-EB72-454E-B62C-9B5AF7608439}"/>
    <cellStyle name="Linked Cell 9 4 2 5 2 2" xfId="40765" xr:uid="{068CF031-C760-4571-9CEB-F4A879B1FEFF}"/>
    <cellStyle name="Linked Cell 9 4 2 5 3" xfId="40766" xr:uid="{2D0F3BC7-5782-474F-B30E-A7704EE2D4DE}"/>
    <cellStyle name="Linked Cell 9 4 2 6" xfId="40767" xr:uid="{9B2C2360-4CE2-4817-B3A1-B3DB4C8E0AEF}"/>
    <cellStyle name="Linked Cell 9 4 2 6 2" xfId="40768" xr:uid="{78EF119C-D058-4D71-A378-E1D982E79A2B}"/>
    <cellStyle name="Linked Cell 9 4 2 6 2 2" xfId="40769" xr:uid="{AC19420B-702A-4240-AA98-0DCB162CC092}"/>
    <cellStyle name="Linked Cell 9 4 2 6 3" xfId="40770" xr:uid="{7A1A9BEF-B32E-466B-BF12-7453DE3377FE}"/>
    <cellStyle name="Linked Cell 9 4 2 7" xfId="40771" xr:uid="{3A827C38-AAE8-4E11-9E0E-8FCB03259CEE}"/>
    <cellStyle name="Linked Cell 9 4 2 7 2" xfId="40772" xr:uid="{6AA37D83-1707-4213-AD6A-1CAD8B1D44A8}"/>
    <cellStyle name="Linked Cell 9 4 2 7 2 2" xfId="40773" xr:uid="{77AF387A-57F4-4E76-B03E-9D11EC4BFB7B}"/>
    <cellStyle name="Linked Cell 9 4 2 7 3" xfId="40774" xr:uid="{F9D3F912-863C-44B6-A1FD-D6E07A2FCCC3}"/>
    <cellStyle name="Linked Cell 9 4 2 8" xfId="40775" xr:uid="{F0284EB1-BD61-4F30-BFB6-AD1675C4A0AA}"/>
    <cellStyle name="Linked Cell 9 4 2 8 2" xfId="40776" xr:uid="{2D93539E-451B-4C70-AA3A-610EA123914A}"/>
    <cellStyle name="Linked Cell 9 4 2 8 2 2" xfId="40777" xr:uid="{3BF55534-7CA2-472B-A126-A5BF955D7DCF}"/>
    <cellStyle name="Linked Cell 9 4 2 8 3" xfId="40778" xr:uid="{AF7C399F-979E-4A02-B0B9-B6A86D951026}"/>
    <cellStyle name="Linked Cell 9 4 2 9" xfId="40779" xr:uid="{BE0E4A20-8E7A-4BEE-A3C6-15A95598851D}"/>
    <cellStyle name="Linked Cell 9 4 2 9 2" xfId="40780" xr:uid="{2165A03B-703D-4975-B729-BF45FC9138A2}"/>
    <cellStyle name="Linked Cell 9 4 2 9 2 2" xfId="40781" xr:uid="{10C4AFBB-DD02-4AF5-B354-082BE36FD07D}"/>
    <cellStyle name="Linked Cell 9 4 2 9 3" xfId="40782" xr:uid="{63397D76-62DD-4DF7-8707-1E9C33D2FF53}"/>
    <cellStyle name="Linked Cell 9 4 3" xfId="40783" xr:uid="{C2026D43-D835-43CA-A03A-A78DEE645B7A}"/>
    <cellStyle name="Linked Cell 9 4 3 10" xfId="40784" xr:uid="{C124C8D1-0A1F-4522-89C1-B3F0284B386C}"/>
    <cellStyle name="Linked Cell 9 4 3 10 2" xfId="40785" xr:uid="{C2D4EF10-3AAB-4A76-BCF1-1B5EA390310C}"/>
    <cellStyle name="Linked Cell 9 4 3 11" xfId="40786" xr:uid="{E7A270E3-0138-44AF-BE80-2DE2129A102A}"/>
    <cellStyle name="Linked Cell 9 4 3 2" xfId="40787" xr:uid="{5E96B27A-8387-4051-9C29-1ADE3FB6ECAC}"/>
    <cellStyle name="Linked Cell 9 4 3 2 2" xfId="40788" xr:uid="{870E35C9-578D-4BD1-86A6-3FBD6730162E}"/>
    <cellStyle name="Linked Cell 9 4 3 2 2 2" xfId="40789" xr:uid="{4736B342-2077-4871-B170-EBF85414C43A}"/>
    <cellStyle name="Linked Cell 9 4 3 2 3" xfId="40790" xr:uid="{7D2D01CD-C74D-4A27-A6A5-5A9D87F07633}"/>
    <cellStyle name="Linked Cell 9 4 3 3" xfId="40791" xr:uid="{E039C8E6-9A5B-4D5C-81C6-3CA9AEEA695C}"/>
    <cellStyle name="Linked Cell 9 4 3 3 2" xfId="40792" xr:uid="{D96F6941-8FD8-4FE5-9C36-382173737C07}"/>
    <cellStyle name="Linked Cell 9 4 3 3 2 2" xfId="40793" xr:uid="{387CCCBD-4E37-4FF7-87F0-3603FAE295B7}"/>
    <cellStyle name="Linked Cell 9 4 3 3 3" xfId="40794" xr:uid="{874E4AB8-52AF-4AB1-BC2D-A2F3028FE54B}"/>
    <cellStyle name="Linked Cell 9 4 3 4" xfId="40795" xr:uid="{26DD12BC-0516-419F-A51C-874F60B423F9}"/>
    <cellStyle name="Linked Cell 9 4 3 4 2" xfId="40796" xr:uid="{D4150A38-4954-4CA6-B7AE-DE2A2AD1F77A}"/>
    <cellStyle name="Linked Cell 9 4 3 4 2 2" xfId="40797" xr:uid="{3C92C2FA-54DD-4281-91D9-C0F56DE7C0DB}"/>
    <cellStyle name="Linked Cell 9 4 3 4 3" xfId="40798" xr:uid="{17984FFD-3976-4D04-A5DA-2CDB56087D44}"/>
    <cellStyle name="Linked Cell 9 4 3 5" xfId="40799" xr:uid="{5F549188-384B-4E3A-9A07-AB36F2B7B126}"/>
    <cellStyle name="Linked Cell 9 4 3 5 2" xfId="40800" xr:uid="{F003398F-E5C7-4476-A728-72C9E9E95CC8}"/>
    <cellStyle name="Linked Cell 9 4 3 5 2 2" xfId="40801" xr:uid="{D25C74CC-858D-4851-875D-F9FD80876ABE}"/>
    <cellStyle name="Linked Cell 9 4 3 5 3" xfId="40802" xr:uid="{7F514B77-8663-4FA0-900A-666D28DECF7C}"/>
    <cellStyle name="Linked Cell 9 4 3 6" xfId="40803" xr:uid="{443CCD75-4D70-4CE4-BFB3-0FDDB71F7593}"/>
    <cellStyle name="Linked Cell 9 4 3 6 2" xfId="40804" xr:uid="{93E6D0B3-358F-4369-B16C-47B56EB8121C}"/>
    <cellStyle name="Linked Cell 9 4 3 6 2 2" xfId="40805" xr:uid="{A221BDD2-C17D-4E92-912D-768803381D93}"/>
    <cellStyle name="Linked Cell 9 4 3 6 3" xfId="40806" xr:uid="{534BFFB6-934B-4C4C-B8DE-834E06BD95AC}"/>
    <cellStyle name="Linked Cell 9 4 3 7" xfId="40807" xr:uid="{54DE5FD1-A383-4D68-8545-E28BE853B305}"/>
    <cellStyle name="Linked Cell 9 4 3 7 2" xfId="40808" xr:uid="{98456DA2-CBA0-409E-B677-EAE049228354}"/>
    <cellStyle name="Linked Cell 9 4 3 7 2 2" xfId="40809" xr:uid="{07592A2C-06FE-4FCE-AB93-99679F59643C}"/>
    <cellStyle name="Linked Cell 9 4 3 7 3" xfId="40810" xr:uid="{6BBB5E10-23D4-41FC-9D52-9EECCF01FC19}"/>
    <cellStyle name="Linked Cell 9 4 3 8" xfId="40811" xr:uid="{604775AD-EDBB-466D-BF66-88417F3F2591}"/>
    <cellStyle name="Linked Cell 9 4 3 8 2" xfId="40812" xr:uid="{EF01DE85-1D92-437A-B2B0-279CDF5D7A71}"/>
    <cellStyle name="Linked Cell 9 4 3 8 2 2" xfId="40813" xr:uid="{67BD5E69-7603-4F2E-89B8-057AB2C930B9}"/>
    <cellStyle name="Linked Cell 9 4 3 8 3" xfId="40814" xr:uid="{ECE0C964-494C-44A8-9648-8975B5BCACBF}"/>
    <cellStyle name="Linked Cell 9 4 3 9" xfId="40815" xr:uid="{868DD18F-9F65-4966-81F5-DF84D3BEADC9}"/>
    <cellStyle name="Linked Cell 9 4 3 9 2" xfId="40816" xr:uid="{EC5E2752-2960-430A-B36B-16B6C40E513A}"/>
    <cellStyle name="Linked Cell 9 4 3 9 2 2" xfId="40817" xr:uid="{66039A08-11C9-4FF9-A6D3-6B5A71688881}"/>
    <cellStyle name="Linked Cell 9 4 3 9 3" xfId="40818" xr:uid="{54287241-55BE-47B4-B9C3-DC61BE0DD55C}"/>
    <cellStyle name="Linked Cell 9 4 4" xfId="40819" xr:uid="{4ECA973B-83AB-471D-B8B9-81C90476AC4F}"/>
    <cellStyle name="Linked Cell 9 4 4 2" xfId="40820" xr:uid="{A6DE87AA-60E8-4453-BEC3-84D40BC36436}"/>
    <cellStyle name="Linked Cell 9 4 4 2 2" xfId="40821" xr:uid="{110626C3-9970-4625-9E11-39B67C9CB2B8}"/>
    <cellStyle name="Linked Cell 9 4 4 3" xfId="40822" xr:uid="{C5F898D5-F24B-4B6D-8076-E7A009E7EA1D}"/>
    <cellStyle name="Linked Cell 9 4 5" xfId="40823" xr:uid="{59AE5D77-EEED-4C12-A81A-BF457E9FAB48}"/>
    <cellStyle name="Linked Cell 9 4 5 2" xfId="40824" xr:uid="{27F52AC2-E4A3-4EDA-9C0B-2A4F43C6E784}"/>
    <cellStyle name="Linked Cell 9 4 5 2 2" xfId="40825" xr:uid="{A3C36C6C-3366-4AD5-B86F-D505651F9038}"/>
    <cellStyle name="Linked Cell 9 4 5 3" xfId="40826" xr:uid="{6003B006-4273-45A7-8D79-22732DF40FAE}"/>
    <cellStyle name="Linked Cell 9 4 6" xfId="40827" xr:uid="{951F7767-83D1-46D5-B3D2-FD701ADAA734}"/>
    <cellStyle name="Linked Cell 9 4 6 2" xfId="40828" xr:uid="{4EA408F9-82BF-46CB-96B8-546397208E67}"/>
    <cellStyle name="Linked Cell 9 4 6 2 2" xfId="40829" xr:uid="{BB15287A-DFC2-495B-BD76-6BE06DCF7E92}"/>
    <cellStyle name="Linked Cell 9 4 6 3" xfId="40830" xr:uid="{93D8B832-51A9-467B-92BF-E1293AE772B5}"/>
    <cellStyle name="Linked Cell 9 4 7" xfId="40831" xr:uid="{3E61DF5E-A5F6-484D-8C7E-765E093C2BED}"/>
    <cellStyle name="Linked Cell 9 4 7 2" xfId="40832" xr:uid="{DC5573C1-8E1C-41C3-8135-E99C7BF515A1}"/>
    <cellStyle name="Linked Cell 9 4 7 2 2" xfId="40833" xr:uid="{B5C50AB4-4AA8-4005-80B8-4F84E709A194}"/>
    <cellStyle name="Linked Cell 9 4 7 3" xfId="40834" xr:uid="{5AB3A669-EF7F-4102-BB8C-5E910B69944F}"/>
    <cellStyle name="Linked Cell 9 4 8" xfId="40835" xr:uid="{F62A57B2-D206-4812-81F1-843F35A7DAFC}"/>
    <cellStyle name="Linked Cell 9 4 8 2" xfId="40836" xr:uid="{119680F7-5E4F-49CE-AE3F-CC0C96C219C0}"/>
    <cellStyle name="Linked Cell 9 4 8 2 2" xfId="40837" xr:uid="{33DD80AD-C9B7-46C3-9747-2F9CF806A014}"/>
    <cellStyle name="Linked Cell 9 4 8 3" xfId="40838" xr:uid="{B627F625-A5B5-446B-92D1-192D08733F44}"/>
    <cellStyle name="Linked Cell 9 4 9" xfId="40839" xr:uid="{023A3551-28C1-4FD2-8C5C-2B3B42268D27}"/>
    <cellStyle name="Linked Cell 9 4 9 2" xfId="40840" xr:uid="{12438871-AF0A-4481-8AEE-A25061C33EE2}"/>
    <cellStyle name="Linked Cell 9 4 9 2 2" xfId="40841" xr:uid="{EDB30AE6-112D-4AFB-8875-9BC6284053D8}"/>
    <cellStyle name="Linked Cell 9 4 9 3" xfId="40842" xr:uid="{DD308F09-F7F9-4855-80A5-4F18E43C258A}"/>
    <cellStyle name="Linked Data" xfId="40843" xr:uid="{26E03588-B376-4AFA-9963-001D9E32B9F7}"/>
    <cellStyle name="MAND_x000a_CHECK.COMMAND_x000e_RENAME.COMMAND_x0008_SHOW.BAR_x000b_DELETE.MENU_x000e_DELETE.COMMAND_x000e_GET.CHA" xfId="40844" xr:uid="{1DB1B3FF-8559-4B17-B1A2-27354285D2A0}"/>
    <cellStyle name="MAND_x000a_CHECK.COMMAND_x000e_RENAME.COMMAND_x0008_SHOW.BAR_x000b_DELETE.MENU_x000e_DELETE.COMMAND_x000e_GET.CHA 2" xfId="40845" xr:uid="{D5F8E8B2-45B5-4DA4-893F-A2840426992B}"/>
    <cellStyle name="Migliaia (0)_A2" xfId="40846" xr:uid="{19D85D46-C539-4262-8807-63689251CA43}"/>
    <cellStyle name="Migliaia [0]_MONTH_REP_12_03" xfId="40847" xr:uid="{3A181DB4-F7C3-4617-9B7B-02163E4D743B}"/>
    <cellStyle name="Migliaia_BCC FORNACETTE" xfId="40848" xr:uid="{37639411-70AB-4734-93DF-5DF15AEAF2ED}"/>
    <cellStyle name="Milliers 10" xfId="40849" xr:uid="{1EE5A5A2-9515-499D-B279-266D519BC558}"/>
    <cellStyle name="Milliers 10 2" xfId="40850" xr:uid="{0911B81E-C3A4-4C72-A838-1B529E384117}"/>
    <cellStyle name="Milliers 10 2 2" xfId="40851" xr:uid="{6306384E-1B67-4F72-9498-DE81DFAF52F6}"/>
    <cellStyle name="Milliers 10 3" xfId="40852" xr:uid="{DF40D531-808A-4C9A-BA54-EAFD4AA62377}"/>
    <cellStyle name="Milliers 10 3 2" xfId="40853" xr:uid="{BB311416-679B-4613-B529-E81E1D23ED99}"/>
    <cellStyle name="Milliers 10 4" xfId="40854" xr:uid="{0B53B651-0337-4F41-B6BE-88E368596781}"/>
    <cellStyle name="Milliers 10 5" xfId="40855" xr:uid="{BA237E55-A5B2-4E0D-9D41-0890E05F426D}"/>
    <cellStyle name="Milliers 10 6" xfId="101" xr:uid="{00000000-0005-0000-0000-00000C000000}"/>
    <cellStyle name="Milliers 11" xfId="40856" xr:uid="{B848AC8E-104F-481B-8312-81D33753934E}"/>
    <cellStyle name="Milliers 11 2" xfId="40857" xr:uid="{7512F40C-684A-4222-950E-A03AEABC8945}"/>
    <cellStyle name="Milliers 12" xfId="40858" xr:uid="{03787D7D-B52C-4314-957E-FDFDCA88EC6D}"/>
    <cellStyle name="Milliers 12 2" xfId="40859" xr:uid="{37DE974D-AB0D-4EC9-B40C-4E0C8EE10119}"/>
    <cellStyle name="Milliers 13" xfId="40860" xr:uid="{4683E012-5217-462E-A810-14668CBD0B27}"/>
    <cellStyle name="Milliers 13 2" xfId="40861" xr:uid="{47A095B3-2D2B-48E1-BC8F-CB5B18A81899}"/>
    <cellStyle name="Milliers 14" xfId="215" xr:uid="{F8B6FC01-58B3-44B4-9CE2-A1D50025237D}"/>
    <cellStyle name="Milliers 15" xfId="213" xr:uid="{69248F54-D0C5-4CD4-9658-4E584B3752A7}"/>
    <cellStyle name="Milliers 15 2" xfId="40863" xr:uid="{9931F41F-A438-4A1D-A0C1-1D1171A1A3CD}"/>
    <cellStyle name="Milliers 15 3" xfId="40862" xr:uid="{5EB21B97-8342-41B6-A04E-053053C8EC6C}"/>
    <cellStyle name="Milliers 16" xfId="40864" xr:uid="{CF6B1B8C-F5AE-4761-9655-7AA68E7D941A}"/>
    <cellStyle name="Milliers 17" xfId="40865" xr:uid="{95C6183A-0CCB-4CB1-9F49-BA72BE3FDE90}"/>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2 3" xfId="40868" xr:uid="{A44900A5-AADD-4B5C-9B54-B7F627EEDF94}"/>
    <cellStyle name="Milliers 2 2 3" xfId="53" xr:uid="{00000000-0005-0000-0000-000011000000}"/>
    <cellStyle name="Milliers 2 2 3 2" xfId="40869" xr:uid="{1E75EF78-810C-4C30-A1C9-7E5E053FA96D}"/>
    <cellStyle name="Milliers 2 2 4" xfId="40867" xr:uid="{0A21D72F-786D-4A59-A530-0D1035CEAB39}"/>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3 4" xfId="40870" xr:uid="{6D5E5072-8390-4F27-A601-E43B033572B7}"/>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5 4" xfId="40871" xr:uid="{B3FCC9CC-CE9E-4864-AA7E-A308CE8EEF69}"/>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6 7" xfId="40872" xr:uid="{69909C9E-07DC-4F02-9FD6-418D1622CCC3}"/>
    <cellStyle name="Milliers 2 7" xfId="52" xr:uid="{00000000-0005-0000-0000-00002E000000}"/>
    <cellStyle name="Milliers 2 8" xfId="40866" xr:uid="{9A58F6FD-8747-40F5-B854-CFC54CA87C31}"/>
    <cellStyle name="Milliers 2_ManagementReport - Model" xfId="40873" xr:uid="{9A0E67A5-D19D-4031-B37A-811FA0249278}"/>
    <cellStyle name="Milliers 3" xfId="13" xr:uid="{00000000-0005-0000-0000-00002F000000}"/>
    <cellStyle name="Milliers 3 2" xfId="39" xr:uid="{00000000-0005-0000-0000-000030000000}"/>
    <cellStyle name="Milliers 3 2 2" xfId="86" xr:uid="{00000000-0005-0000-0000-000031000000}"/>
    <cellStyle name="Milliers 3 2 3" xfId="40875" xr:uid="{24906FAC-C5B7-49FE-8901-B30D8569A77B}"/>
    <cellStyle name="Milliers 3 3" xfId="62" xr:uid="{00000000-0005-0000-0000-000032000000}"/>
    <cellStyle name="Milliers 3 3 2" xfId="40876" xr:uid="{53A9C439-A333-4E8C-B0BF-291230A8934E}"/>
    <cellStyle name="Milliers 3 4" xfId="40877" xr:uid="{0AB75698-3277-4D4E-9BCA-78F8994F160E}"/>
    <cellStyle name="Milliers 3 5" xfId="40874" xr:uid="{F7210009-D59F-4E76-ABEC-70C76D7A77F4}"/>
    <cellStyle name="Milliers 4" xfId="14" xr:uid="{00000000-0005-0000-0000-000033000000}"/>
    <cellStyle name="Milliers 4 2" xfId="63" xr:uid="{00000000-0005-0000-0000-000034000000}"/>
    <cellStyle name="Milliers 4 2 2" xfId="40879" xr:uid="{D31B2A8D-4C6D-490B-A71D-9F61939D1804}"/>
    <cellStyle name="Milliers 4 3" xfId="40880" xr:uid="{4BF60F29-20E6-46E2-9E37-74878F61DD3E}"/>
    <cellStyle name="Milliers 4 4" xfId="40878" xr:uid="{4E1A89C7-8178-4DE7-B9A2-9E6A9D9807AE}"/>
    <cellStyle name="Milliers 5" xfId="40881" xr:uid="{77F5FC15-9924-4496-B10A-9E64C122E470}"/>
    <cellStyle name="Milliers 5 2" xfId="40882" xr:uid="{16BF2C81-53AA-44AB-97BF-C0CEBA2510C0}"/>
    <cellStyle name="Milliers 5 3" xfId="40883" xr:uid="{A8E68CE9-DCBC-403C-971E-4DB99B706414}"/>
    <cellStyle name="Milliers 6" xfId="40884" xr:uid="{ECB872C9-A9E4-4C90-93CA-A5C48CBF89BB}"/>
    <cellStyle name="Milliers 6 2" xfId="40885" xr:uid="{C878A587-7AF8-467B-A49B-FB45FCEEBDFE}"/>
    <cellStyle name="Milliers 6 3" xfId="40886" xr:uid="{7F6C99D9-7FAC-4074-A546-57C4008F1098}"/>
    <cellStyle name="Milliers 7" xfId="40887" xr:uid="{30D7D7AE-72F3-42B2-97A7-2690C87406AF}"/>
    <cellStyle name="Milliers 7 2" xfId="40888" xr:uid="{4764FDAF-DFDB-42AE-A6AD-9302504F137B}"/>
    <cellStyle name="Milliers 7 2 2" xfId="40889" xr:uid="{3C7A4BBE-FCCF-4476-9903-B93B5CC7E31D}"/>
    <cellStyle name="Milliers 7 3" xfId="40890" xr:uid="{538C946F-A453-4F38-9F03-E9DCE669E33E}"/>
    <cellStyle name="Milliers 7 3 2" xfId="40891" xr:uid="{2FEFB68E-B96C-4932-876A-757665E4AD62}"/>
    <cellStyle name="Milliers 7 4" xfId="40892" xr:uid="{B7FF4FA6-4D2C-4887-8C0D-D94B01AFDD0E}"/>
    <cellStyle name="Milliers 7 4 2" xfId="40893" xr:uid="{21BE5D58-C230-4BF0-A24C-82EFD58DF5D0}"/>
    <cellStyle name="Milliers 7 5" xfId="40894" xr:uid="{D439F1F3-F2B4-4C22-B59A-0CD571942709}"/>
    <cellStyle name="Milliers 8" xfId="40895" xr:uid="{FD5CDB59-5B56-4C5C-9ABE-0CB44AB0654E}"/>
    <cellStyle name="Milliers 8 2" xfId="40896" xr:uid="{CE092FD1-28B2-479A-90AB-CDB3DFAAF713}"/>
    <cellStyle name="Milliers 8 2 2" xfId="40897" xr:uid="{F10D01E3-AA02-4A17-8D59-1DF9A07BB5C2}"/>
    <cellStyle name="Milliers 8 3" xfId="40898" xr:uid="{5D3970B3-B1F5-4018-AAAE-BFDF52963F8D}"/>
    <cellStyle name="Milliers 8 3 2" xfId="40899" xr:uid="{15E70ED5-A75B-4F07-886B-AE64206048C6}"/>
    <cellStyle name="Milliers 8 4" xfId="40900" xr:uid="{33C3A171-9D1B-4A95-9049-6DE86E343DE5}"/>
    <cellStyle name="Milliers 9" xfId="40901" xr:uid="{A7A94348-7E07-4FD3-9ED6-D789D46EEB81}"/>
    <cellStyle name="Milliers 9 2" xfId="40902" xr:uid="{97FAA2CE-3E56-4FD8-9273-8353206D3750}"/>
    <cellStyle name="Milliers 9 2 2" xfId="40903" xr:uid="{8971393B-EB7D-4011-AC1C-AFA1581290F6}"/>
    <cellStyle name="Milliers 9 3" xfId="40904" xr:uid="{FC2B85AB-8C6F-46F8-B801-3D60AD62FBEF}"/>
    <cellStyle name="Milliers 9 3 2" xfId="40905" xr:uid="{A2853C43-0037-408D-A31C-5CB29CABC4F7}"/>
    <cellStyle name="Milliers 9 4" xfId="40906" xr:uid="{F7B0C27D-F524-474D-B9E5-22500858174E}"/>
    <cellStyle name="Milliers_FCT RCI GERMANY LEASE - Monthly Report Payment Date 19 06 2012" xfId="212" xr:uid="{3D80150E-914A-49D3-AF32-FC17B483B777}"/>
    <cellStyle name="Milliers0" xfId="40907" xr:uid="{D86F9A19-D6D9-419B-B311-1F5941206656}"/>
    <cellStyle name="Millions" xfId="40908" xr:uid="{C0EDAEE8-C2B5-4BFC-B9E1-AC3CBFED212C}"/>
    <cellStyle name="Monétaire 2" xfId="40909" xr:uid="{A646626C-6104-4440-8530-FF40CFACB54E}"/>
    <cellStyle name="Monétaire 2 2" xfId="40910" xr:uid="{A3CF19D4-620C-457A-8528-D5881EF1B241}"/>
    <cellStyle name="Monétaire 2 3" xfId="40911" xr:uid="{A91CDC2E-02B5-4FF9-AD2B-04BE3C86780A}"/>
    <cellStyle name="MS_COL_STYLE" xfId="40912" xr:uid="{1ED57D35-7093-4382-A643-790258537B17}"/>
    <cellStyle name="Multiple" xfId="40913" xr:uid="{5E4CA592-DD8C-481D-A2D9-296E79ED924A}"/>
    <cellStyle name="NavStyleDefault" xfId="40914" xr:uid="{81B47504-6BBC-47D3-89F4-477E50F128C3}"/>
    <cellStyle name="NavStyleDefault 2" xfId="40915" xr:uid="{D47C52D0-0C64-492A-AEE7-366D5CCFF08B}"/>
    <cellStyle name="Neutral" xfId="119" builtinId="28" customBuiltin="1"/>
    <cellStyle name="Neutral 10" xfId="40917" xr:uid="{658CD682-C2ED-4BC2-A3C1-D657CDE8A710}"/>
    <cellStyle name="Neutral 11" xfId="40918" xr:uid="{5FFBBB08-03AC-49B9-9010-0B85B9DD4CA9}"/>
    <cellStyle name="Neutral 12" xfId="40919" xr:uid="{BC5B17D7-1F93-4049-A1C3-B7D323F8405E}"/>
    <cellStyle name="Neutral 13" xfId="40920" xr:uid="{C8B2DE8F-3577-4BE6-93D5-DA4E4BF7B22C}"/>
    <cellStyle name="Neutral 14" xfId="40921" xr:uid="{649B5762-9B8D-424B-956C-FFB948206E7D}"/>
    <cellStyle name="Neutral 15" xfId="40922" xr:uid="{009EF7AE-0EB7-4119-BCBA-2895BF407EBE}"/>
    <cellStyle name="Neutral 16" xfId="40923" xr:uid="{CE229B8E-B6DD-48AC-8B7B-CA8F361273CF}"/>
    <cellStyle name="Neutral 17" xfId="40924" xr:uid="{6F5633FC-4D62-4A45-8802-53928BECB5AF}"/>
    <cellStyle name="Neutral 18" xfId="40925" xr:uid="{125634BF-12F3-4BA4-9D55-C380F371CAA8}"/>
    <cellStyle name="Neutral 19" xfId="40926" xr:uid="{2630B983-DEEB-4B2A-B6D9-5FF6290AEB27}"/>
    <cellStyle name="Neutral 2" xfId="40927" xr:uid="{9829AB48-2C48-416C-84E1-629DD1FDB2D2}"/>
    <cellStyle name="Neutral 20" xfId="40928" xr:uid="{FB12D52A-5766-465B-92EB-27BA7D868CC3}"/>
    <cellStyle name="Neutral 21" xfId="40929" xr:uid="{8D9226AD-5F20-48E2-A3F4-C624FAFE523D}"/>
    <cellStyle name="Neutral 22" xfId="40930" xr:uid="{8912CB6B-8815-4516-A24D-D93A9B520D1A}"/>
    <cellStyle name="Neutral 23" xfId="40931" xr:uid="{092E035B-754E-428B-B838-B39332CFD261}"/>
    <cellStyle name="Neutral 24" xfId="40932" xr:uid="{4B8A6316-BBDC-4654-8883-5241AA94DD61}"/>
    <cellStyle name="Neutral 25" xfId="40933" xr:uid="{454C1061-493E-4079-BB42-14F4D7274CBE}"/>
    <cellStyle name="Neutral 26" xfId="40934" xr:uid="{878D8628-0A69-4E4A-9F5B-366D542B095A}"/>
    <cellStyle name="Neutral 27" xfId="40935" xr:uid="{BDF59C94-2BBB-452C-9CD5-DE6132EDBC95}"/>
    <cellStyle name="Neutral 28" xfId="40936" xr:uid="{4D00AB0F-8E46-47F8-AE5E-3696E7180A61}"/>
    <cellStyle name="Neutral 29" xfId="40937" xr:uid="{887E091F-AC0C-4B39-AFE5-6FA6E39BE365}"/>
    <cellStyle name="Neutral 3" xfId="40938" xr:uid="{9E8EC5F3-E1AD-49C7-893A-ABC189E85A3A}"/>
    <cellStyle name="Neutral 30" xfId="40939" xr:uid="{87A9A340-78CB-4F28-BAC4-B7F0E520C91B}"/>
    <cellStyle name="Neutral 31" xfId="40940" xr:uid="{DD0BAA2C-EE16-4059-B6FE-E2F4F257FF84}"/>
    <cellStyle name="Neutral 32" xfId="40941" xr:uid="{6E57A317-BB0F-4803-9D3D-6BC0360BDAD9}"/>
    <cellStyle name="Neutral 33" xfId="40942" xr:uid="{56D3F903-6428-491B-AFCA-A84A7A2C82C1}"/>
    <cellStyle name="Neutral 34" xfId="40916" xr:uid="{35327A7E-9EC3-43C1-8F17-C378BC8192FF}"/>
    <cellStyle name="Neutral 4" xfId="40943" xr:uid="{D229F31B-22E5-4DC8-8643-481EBE330420}"/>
    <cellStyle name="Neutral 5" xfId="40944" xr:uid="{514BC67B-3364-45D9-A29C-54A5C539A958}"/>
    <cellStyle name="Neutral 6" xfId="40945" xr:uid="{FC24C3FB-8608-45CB-829B-05B148A24EAD}"/>
    <cellStyle name="Neutral 7" xfId="40946" xr:uid="{1C1D8F54-5D01-46F2-803D-9CE841CAE68F}"/>
    <cellStyle name="Neutral 8" xfId="40947" xr:uid="{5231F763-063B-4F1A-BD3F-05F76432CD25}"/>
    <cellStyle name="Neutral 9" xfId="40948" xr:uid="{D8937D48-A22F-448A-BDEE-8BF3245DB720}"/>
    <cellStyle name="Neutrale" xfId="40949" xr:uid="{81009642-4E81-4E28-9FF3-C00DD34CB8E7}"/>
    <cellStyle name="Neutre 2" xfId="40950" xr:uid="{1FE54183-5A0F-47AC-8B66-A55D46DAE933}"/>
    <cellStyle name="NEW" xfId="40951" xr:uid="{E3DD8B1C-DCE1-4467-B108-08CABFDCA0D9}"/>
    <cellStyle name="NEW 2" xfId="40952" xr:uid="{0F5FB38F-07B6-448E-A579-8CD674012AE1}"/>
    <cellStyle name="no dec" xfId="40953" xr:uid="{43793CFC-BD3E-4145-994E-CA12DDC995E0}"/>
    <cellStyle name="Normal" xfId="0" builtinId="0"/>
    <cellStyle name="Normal - Style1" xfId="40954" xr:uid="{9E08DB3B-0DBC-4196-8248-6E9D34423E78}"/>
    <cellStyle name="Normal (%)" xfId="40955" xr:uid="{0B070063-CDB0-46D2-B093-8263DA02C3C1}"/>
    <cellStyle name="Normal (x)" xfId="40956" xr:uid="{3F6442F2-BCA8-47A6-88F1-B02EA57407DB}"/>
    <cellStyle name="Normal 10" xfId="217" xr:uid="{F6F1748D-2FBE-4863-9156-E8D4B244C04D}"/>
    <cellStyle name="Normal 10 2" xfId="214" xr:uid="{EFA5E1FA-BD89-4E81-82F1-6928502E1C58}"/>
    <cellStyle name="Normal 10 2 2" xfId="40957" xr:uid="{A24A946A-44E6-4E4E-920F-F3F374E69251}"/>
    <cellStyle name="Normal 10 3" xfId="237" xr:uid="{28243EAE-2363-42ED-9194-95D84997F703}"/>
    <cellStyle name="Normal 10 4" xfId="40958" xr:uid="{8424E86A-2F5C-45AC-8F21-20543DC9EC60}"/>
    <cellStyle name="Normal 10 4 2" xfId="40959" xr:uid="{09771F79-3906-4195-A4CF-FA242D7C9093}"/>
    <cellStyle name="Normal 10 4 2 2" xfId="40960" xr:uid="{C88AE084-D48F-4589-8A8F-7AC1B00026CB}"/>
    <cellStyle name="Normal 10 4 3" xfId="40961" xr:uid="{57024A9C-87D0-44CB-83B4-55B1CAE1C8D2}"/>
    <cellStyle name="Normal 10 5" xfId="40962" xr:uid="{F04578A9-AC1E-42DE-A2D7-A05C69B8AF4D}"/>
    <cellStyle name="Normal 10 5 2" xfId="40963" xr:uid="{828D2E09-96BB-4057-A12C-C010994DB379}"/>
    <cellStyle name="Normal 10 5 2 2" xfId="40964" xr:uid="{DB51658D-FB86-4E16-BD51-347AE49A36A8}"/>
    <cellStyle name="Normal 10 5 3" xfId="40965" xr:uid="{0E86F732-78AC-42FD-A6B3-2E19889BD96D}"/>
    <cellStyle name="Normal 10 6" xfId="40966" xr:uid="{06C24388-9104-41BE-82BC-201EA7992CA0}"/>
    <cellStyle name="Normal 10 6 2" xfId="40967" xr:uid="{83EF79F6-75FF-46BD-AA04-7E0B5AAD58E7}"/>
    <cellStyle name="Normal 10 6 2 2" xfId="40968" xr:uid="{42D8B803-B21E-4310-A9F4-632033550A25}"/>
    <cellStyle name="Normal 10 6 3" xfId="40969" xr:uid="{845AA934-8225-4626-A306-7C10196112EE}"/>
    <cellStyle name="Normal 10 7" xfId="40970" xr:uid="{98A54701-9BE7-4EBF-BF4E-EC6E589218AE}"/>
    <cellStyle name="Normal 10 7 2" xfId="40971" xr:uid="{58A00EA4-1613-4E3C-965E-303229075BE9}"/>
    <cellStyle name="Normal 10 7 2 2" xfId="40972" xr:uid="{0DC047DF-AF9A-48CF-BBF4-4C2511C3386F}"/>
    <cellStyle name="Normal 10 7 3" xfId="40973" xr:uid="{7ED82669-36DF-4C5A-BDE8-D82F9C59AAE4}"/>
    <cellStyle name="Normal 100" xfId="40974" xr:uid="{2F2C8D0D-E382-483C-B449-223193C5290F}"/>
    <cellStyle name="Normal 100 2" xfId="40975" xr:uid="{8315E7D3-E579-4500-B160-81E708A42E98}"/>
    <cellStyle name="Normal 101" xfId="40976" xr:uid="{653278B0-51F1-46C3-93C2-8B2CC1FFB231}"/>
    <cellStyle name="Normal 101 2" xfId="40977" xr:uid="{2E469BC1-3441-458C-B461-46F6C4B53CA7}"/>
    <cellStyle name="Normal 102" xfId="40978" xr:uid="{9CDA57DC-BD1F-4877-AD54-7486D9643F55}"/>
    <cellStyle name="Normal 102 2" xfId="40979" xr:uid="{388D413B-81B6-4751-AB5B-1760744F9C9B}"/>
    <cellStyle name="Normal 103" xfId="239" xr:uid="{2EFFD119-B663-4AE9-8E9A-F27AD06B4C56}"/>
    <cellStyle name="Normal 105" xfId="46158" xr:uid="{FE2E5285-6F2E-4746-887A-284F814275AE}"/>
    <cellStyle name="Normal 106" xfId="40980" xr:uid="{0F112E88-F658-43D3-A99D-7A791BB7528F}"/>
    <cellStyle name="Normal 106 2" xfId="40981" xr:uid="{377AE609-5DEA-43E7-825B-A53DA15F1E44}"/>
    <cellStyle name="Normal 107" xfId="40982" xr:uid="{5029E135-7491-412F-B0AC-3E93A0A61AE9}"/>
    <cellStyle name="Normal 107 2" xfId="40983" xr:uid="{C2BB5A56-7161-4809-871E-50ADBCEBD71C}"/>
    <cellStyle name="Normal 108" xfId="40984" xr:uid="{0DF1202A-BF2B-4848-A315-3B56DF1E936D}"/>
    <cellStyle name="Normal 108 2" xfId="40985" xr:uid="{D0CB227D-42F6-4DBA-9B74-A56F38007362}"/>
    <cellStyle name="Normal 109" xfId="40986" xr:uid="{2CBA557B-9465-4FBF-B1A3-E72F96B5784C}"/>
    <cellStyle name="Normal 109 2" xfId="40987" xr:uid="{958A46CB-405B-40F8-A90D-E26F232859F3}"/>
    <cellStyle name="Normal 11" xfId="40988" xr:uid="{0D70B227-D4CB-471A-BE8D-606ABA3A52AB}"/>
    <cellStyle name="Normal 11 2" xfId="40989" xr:uid="{4A88A26E-672A-450F-80EA-3127B97D9784}"/>
    <cellStyle name="Normal 11 2 2" xfId="40990" xr:uid="{0317FCEE-BA9E-4952-9C7A-5A26C7969323}"/>
    <cellStyle name="Normal 11 3" xfId="40991" xr:uid="{9AE46F48-45C1-4ED5-B6DA-6EBB5C9475F3}"/>
    <cellStyle name="Normal 11 4" xfId="40992" xr:uid="{7A59C555-2E67-427B-9734-ED72BE5F0248}"/>
    <cellStyle name="Normal 11 4 2" xfId="40993" xr:uid="{01B17426-69BC-44FC-944F-DC4E97F49E99}"/>
    <cellStyle name="Normal 11 4 2 2" xfId="40994" xr:uid="{061E70E7-5426-4AD3-A241-7DCCBB651E41}"/>
    <cellStyle name="Normal 11 4 3" xfId="40995" xr:uid="{E498062F-6434-46CE-9CD8-42E5BAA6461F}"/>
    <cellStyle name="Normal 11 5" xfId="40996" xr:uid="{A26BE918-0132-404D-B9C9-482BF11C103D}"/>
    <cellStyle name="Normal 11 5 2" xfId="40997" xr:uid="{C0670635-49C4-4D70-A614-BE452749F46A}"/>
    <cellStyle name="Normal 11 5 2 2" xfId="40998" xr:uid="{DA758B0A-68B1-40AF-B33B-B00D94E78405}"/>
    <cellStyle name="Normal 11 5 3" xfId="40999" xr:uid="{15835477-941F-40CF-82A3-6E6374C16C77}"/>
    <cellStyle name="Normal 11 6" xfId="41000" xr:uid="{ABF61EEE-FFF8-4F73-8D87-CD00B641DCD6}"/>
    <cellStyle name="Normal 11 6 2" xfId="41001" xr:uid="{5B441F35-B485-4A9E-BF81-AFBF29BA4E00}"/>
    <cellStyle name="Normal 11 6 2 2" xfId="41002" xr:uid="{E313EAE5-3FAC-4B2C-BA79-0CF459D79DD6}"/>
    <cellStyle name="Normal 11 6 3" xfId="41003" xr:uid="{27B9983B-1DA1-4698-B1E7-0BEF1C54C83F}"/>
    <cellStyle name="Normal 11 7" xfId="41004" xr:uid="{C8510E84-5DDA-4D3E-A97E-1D01E3494854}"/>
    <cellStyle name="Normal 11 7 2" xfId="41005" xr:uid="{FC2610AE-8FA8-41A4-BB7C-B7CE2931E9CE}"/>
    <cellStyle name="Normal 11 7 2 2" xfId="41006" xr:uid="{39B4C281-FD7E-40AD-9BBC-13A8F48B04E8}"/>
    <cellStyle name="Normal 11 7 3" xfId="41007" xr:uid="{30400A05-05F3-43C7-A572-9C9B5990A62A}"/>
    <cellStyle name="Normal 110" xfId="41008" xr:uid="{95F435BA-C97A-4484-8654-DED09911897C}"/>
    <cellStyle name="Normal 110 2" xfId="41009" xr:uid="{5C9FE82A-9FB7-47D4-A886-8829BA7F1578}"/>
    <cellStyle name="Normal 111" xfId="41010" xr:uid="{4BC262CA-2C7F-4D4C-A393-1177030B2FA9}"/>
    <cellStyle name="Normal 111 2" xfId="41011" xr:uid="{FE1B32D2-BB1A-48BA-A78F-2636F675601C}"/>
    <cellStyle name="Normal 12" xfId="41012" xr:uid="{58F3D89E-4EEC-4C59-80F5-7D322B63401E}"/>
    <cellStyle name="Normal 12 2" xfId="41013" xr:uid="{DBF6CE2F-0876-4722-BF57-07477CACE29C}"/>
    <cellStyle name="Normal 12 2 2" xfId="41014" xr:uid="{84077B11-89D4-4FFF-B167-E480634BD029}"/>
    <cellStyle name="Normal 12 3" xfId="41015" xr:uid="{7AFE83A0-676B-41BB-8CA7-14B0A3528FFF}"/>
    <cellStyle name="Normal 12 4" xfId="41016" xr:uid="{8D089D58-2E70-441E-B3CE-AA0606B8D1F8}"/>
    <cellStyle name="Normal 126" xfId="41017" xr:uid="{4F9C71FB-0090-4ED7-ADCC-CFDDB37ED54B}"/>
    <cellStyle name="Normal 126 2" xfId="41018" xr:uid="{A3846CC1-BEE0-4527-8453-F5CA571F8A6C}"/>
    <cellStyle name="Normal 13" xfId="41019" xr:uid="{1303786C-6DF7-40D1-BD78-3E270305AA63}"/>
    <cellStyle name="Normal 13 2" xfId="41020" xr:uid="{A5037372-41EF-4D51-AD13-F6B9E4189D5E}"/>
    <cellStyle name="Normal 13 2 2" xfId="41021" xr:uid="{CCD4B398-4AC6-4219-96BD-DECF7DB3BCBF}"/>
    <cellStyle name="Normal 13 3" xfId="41022" xr:uid="{155EA61F-BEBC-40A8-8422-4951F2AE19B3}"/>
    <cellStyle name="Normal 132" xfId="228" xr:uid="{43A726B9-EF43-4B02-89F5-4EEDF6B5E87A}"/>
    <cellStyle name="Normal 136" xfId="41023" xr:uid="{4F093368-D5D7-456C-97E1-EC66E16EE318}"/>
    <cellStyle name="Normal 136 2" xfId="41024" xr:uid="{1800EB03-2B65-4F83-AF58-AB8C8CCECE4E}"/>
    <cellStyle name="Normal 137" xfId="41025" xr:uid="{6E55A096-E97B-4EAB-AF73-CB17341E8546}"/>
    <cellStyle name="Normal 137 2" xfId="41026" xr:uid="{83E4B3A4-B460-47AF-8B22-28207C33C176}"/>
    <cellStyle name="Normal 138" xfId="41027" xr:uid="{9F5BDA29-FEA4-4FE4-8D8A-FA692210DE40}"/>
    <cellStyle name="Normal 138 2" xfId="41028" xr:uid="{3C99566A-D8DE-4EA5-8BB3-58ECA08A67DE}"/>
    <cellStyle name="Normal 139" xfId="41029" xr:uid="{B4319F63-FC8F-4F6E-ACD8-F2D16B5D2E0A}"/>
    <cellStyle name="Normal 139 2" xfId="41030" xr:uid="{B4324C90-6C24-4834-920D-F57D215DEBD4}"/>
    <cellStyle name="Normal 14" xfId="41031" xr:uid="{DD6F868E-E185-44E1-A4E0-F2EEB47C49B5}"/>
    <cellStyle name="Normal 14 2" xfId="41032" xr:uid="{0A22CD5D-0269-4886-A166-6CF8B484A4A0}"/>
    <cellStyle name="Normal 14 2 2" xfId="41033" xr:uid="{4C724812-3336-4311-86A1-5B681FCFDF37}"/>
    <cellStyle name="Normal 14 3" xfId="41034" xr:uid="{5334BFF6-14B1-4B94-BBFF-D30DE1005CCC}"/>
    <cellStyle name="Normal 140" xfId="41035" xr:uid="{171681F1-DBF9-4DC1-BBE9-B0B716C33110}"/>
    <cellStyle name="Normal 140 2" xfId="41036" xr:uid="{6F1E07A3-F637-42C6-9D58-22C2A613AE6A}"/>
    <cellStyle name="Normal 141" xfId="41037" xr:uid="{1BE57CFB-ADA3-42FB-A77E-FBE6230B2FC6}"/>
    <cellStyle name="Normal 141 2" xfId="41038" xr:uid="{879F2A2F-7080-403C-9480-49210C80EAAE}"/>
    <cellStyle name="Normal 142" xfId="41039" xr:uid="{96C1B604-7B62-44D8-A4DC-953A2E9CD757}"/>
    <cellStyle name="Normal 142 2" xfId="41040" xr:uid="{05EB33AB-1FF9-4545-82A4-27B824A96A5F}"/>
    <cellStyle name="Normal 143" xfId="41041" xr:uid="{1D028A5C-8EE7-496B-9451-3B26F36517EA}"/>
    <cellStyle name="Normal 143 2" xfId="41042" xr:uid="{252360FB-F992-43A7-B776-90891A50A8DD}"/>
    <cellStyle name="Normal 144" xfId="41043" xr:uid="{6C9BF867-A39D-40FC-AE38-A30FDF7EF70B}"/>
    <cellStyle name="Normal 144 2" xfId="41044" xr:uid="{EC098D54-883C-4566-9917-F6451B3ECC98}"/>
    <cellStyle name="Normal 145" xfId="41045" xr:uid="{EFEF04F4-1688-424A-B2C5-043215CDEF2D}"/>
    <cellStyle name="Normal 145 2" xfId="41046" xr:uid="{7B07CB45-02A8-4069-AC94-9CA93EE071C7}"/>
    <cellStyle name="Normal 146" xfId="41047" xr:uid="{BFA34A1B-5123-4958-9E49-E26A4AD23F70}"/>
    <cellStyle name="Normal 146 2" xfId="41048" xr:uid="{CE329CA0-6758-47EE-9DA3-8389ADBCE2E2}"/>
    <cellStyle name="Normal 147" xfId="41049" xr:uid="{1510E14F-2372-42CC-934A-F7E5FA6B2972}"/>
    <cellStyle name="Normal 147 2" xfId="41050" xr:uid="{CDC020DC-166C-4E0C-86B7-574BEB6EE4A8}"/>
    <cellStyle name="Normal 148" xfId="41051" xr:uid="{E6A8F8CA-1CD4-4E70-B3A8-9F499CD08498}"/>
    <cellStyle name="Normal 148 2" xfId="41052" xr:uid="{CC907CA8-DD39-4387-AA58-3538D0FE4AA4}"/>
    <cellStyle name="Normal 149" xfId="41053" xr:uid="{87373B34-4E17-4299-B71A-7FF7DABF63BC}"/>
    <cellStyle name="Normal 149 2" xfId="41054" xr:uid="{115CDADB-4EF1-4224-809D-0E57FB6B99DC}"/>
    <cellStyle name="Normal 15" xfId="41055" xr:uid="{3AEBBEB4-5C8B-4331-A947-AA7F6D6E44E2}"/>
    <cellStyle name="Normal 15 2" xfId="41056" xr:uid="{C9946418-443F-48E7-B2B6-4EF94AA4D4F6}"/>
    <cellStyle name="Normal 15 2 2" xfId="41057" xr:uid="{B86DA3AD-9E74-4B0A-897E-4CCE83E62665}"/>
    <cellStyle name="Normal 15 3" xfId="41058" xr:uid="{4BDBFC6E-3371-48C5-B537-B9893D51C9AC}"/>
    <cellStyle name="Normal 150" xfId="41059" xr:uid="{98E69715-AE7E-4A41-9CD0-1778E735598E}"/>
    <cellStyle name="Normal 150 2" xfId="41060" xr:uid="{4EB410E2-92D5-457F-9097-00C1ED08C648}"/>
    <cellStyle name="Normal 151" xfId="41061" xr:uid="{4FB171F1-697C-49A6-9245-FE276C7D64B7}"/>
    <cellStyle name="Normal 151 2" xfId="41062" xr:uid="{60538C29-CB4D-40D3-9AE2-B6E64C848B7A}"/>
    <cellStyle name="Normal 152" xfId="41063" xr:uid="{1F9A107A-5C04-4034-BC8E-3608E3824A88}"/>
    <cellStyle name="Normal 152 2" xfId="41064" xr:uid="{FE8636B2-9947-454D-9E21-0215B65C492B}"/>
    <cellStyle name="Normal 153" xfId="41065" xr:uid="{847ABA63-54A2-404D-A6CE-BF7BA1D08820}"/>
    <cellStyle name="Normal 153 2" xfId="41066" xr:uid="{EB99E8D8-FD9E-4C3D-9758-0A99F1493A2A}"/>
    <cellStyle name="Normal 154" xfId="41067" xr:uid="{DE75F902-74F2-4722-B180-D65645CC89FC}"/>
    <cellStyle name="Normal 154 2" xfId="41068" xr:uid="{9735A982-D13D-4475-8A97-CE35C2FE5574}"/>
    <cellStyle name="Normal 155" xfId="41069" xr:uid="{180B25B7-89BB-4866-967A-6813F253AC5B}"/>
    <cellStyle name="Normal 155 2" xfId="41070" xr:uid="{586DF112-80DA-4BC8-825B-5A32821E4E99}"/>
    <cellStyle name="Normal 156" xfId="41071" xr:uid="{2EFF423D-168D-451A-92F2-962D5CF48231}"/>
    <cellStyle name="Normal 156 2" xfId="41072" xr:uid="{1E271FF3-3448-479C-9718-08EAAE2333C6}"/>
    <cellStyle name="Normal 157" xfId="41073" xr:uid="{4D8706C0-9AFC-4D90-9664-45F99E334CAC}"/>
    <cellStyle name="Normal 157 2" xfId="41074" xr:uid="{5DBD7F70-B8EB-4166-9254-0C10C7CD7060}"/>
    <cellStyle name="Normal 159" xfId="41075" xr:uid="{C31F6AF1-369E-45D7-A674-03682F23CEE5}"/>
    <cellStyle name="Normal 159 2" xfId="41076" xr:uid="{4EFF5FF4-8310-4B33-84CD-CEF4A846D1CA}"/>
    <cellStyle name="Normal 16" xfId="41077" xr:uid="{F1006D88-61A6-48BA-9EEC-128D905AF5A7}"/>
    <cellStyle name="Normal 16 2" xfId="41078" xr:uid="{186881A3-55BC-4385-B95E-334F5C59D4FB}"/>
    <cellStyle name="Normal 16 2 2" xfId="41079" xr:uid="{5BECA270-8C40-4F67-B316-999CD5695890}"/>
    <cellStyle name="Normal 16 3" xfId="41080" xr:uid="{CBC941EE-BF89-4090-BAD9-D95C979BB671}"/>
    <cellStyle name="Normal 160" xfId="41081" xr:uid="{80C17A4D-1A0C-4225-B108-0A8BF6B09605}"/>
    <cellStyle name="Normal 160 2" xfId="41082" xr:uid="{C85C2374-ED6E-4248-85E7-8679E9C032FD}"/>
    <cellStyle name="Normal 161" xfId="41083" xr:uid="{D3E76FD5-D228-48CE-8199-90E5FD382E68}"/>
    <cellStyle name="Normal 161 2" xfId="41084" xr:uid="{E80C2F7A-4121-41B9-8F1E-E705DAA6F9F0}"/>
    <cellStyle name="Normal 162" xfId="41085" xr:uid="{51E674D3-3C02-4813-BBEA-4492C4E80A38}"/>
    <cellStyle name="Normal 162 2" xfId="41086" xr:uid="{853CF66D-FDD1-4C85-A0CF-A9F373A80673}"/>
    <cellStyle name="Normal 163" xfId="41087" xr:uid="{D6648321-62F8-46F8-B38E-92820BC44508}"/>
    <cellStyle name="Normal 163 2" xfId="41088" xr:uid="{4E45B6CF-9E73-4ECE-8F27-56DD22C2282F}"/>
    <cellStyle name="Normal 164" xfId="41089" xr:uid="{082026BE-DEC9-4858-9C02-3A979AEE0B50}"/>
    <cellStyle name="Normal 164 2" xfId="41090" xr:uid="{E422CB8B-E52E-45E0-BC6D-2751AB6AF7C8}"/>
    <cellStyle name="Normal 165" xfId="41091" xr:uid="{54EAA470-3C0F-49AA-965E-0DD7B8F39C52}"/>
    <cellStyle name="Normal 165 2" xfId="41092" xr:uid="{A47B8113-EA4A-47BB-A85A-867A84BF73AC}"/>
    <cellStyle name="Normal 166" xfId="41093" xr:uid="{F5D466F0-0B96-4F15-B5A2-16495810D92F}"/>
    <cellStyle name="Normal 166 2" xfId="41094" xr:uid="{EA3FBF6E-A77B-46C9-9B78-BC3ECAC0EB4A}"/>
    <cellStyle name="Normal 167" xfId="41095" xr:uid="{2A50E5EB-198F-4A54-B206-CA3DF6CE5088}"/>
    <cellStyle name="Normal 167 2" xfId="41096" xr:uid="{35710867-5272-41BB-8F4E-87ABD21AFC36}"/>
    <cellStyle name="Normal 168" xfId="41097" xr:uid="{2A6CA639-2CE0-47A2-97A6-ED587F5A1FE2}"/>
    <cellStyle name="Normal 168 2" xfId="41098" xr:uid="{56EE1A01-00E3-44B3-AC77-2FA3675C3CC1}"/>
    <cellStyle name="Normal 169" xfId="41099" xr:uid="{E69B2504-768C-444F-AC98-7088C3153F8F}"/>
    <cellStyle name="Normal 169 2" xfId="41100" xr:uid="{89F034F4-ED67-4E59-B689-5FE143A4C6AA}"/>
    <cellStyle name="Normal 17" xfId="41101" xr:uid="{088DAFA0-E8B4-46DA-8345-47166168D5CF}"/>
    <cellStyle name="Normal 17 2" xfId="41102" xr:uid="{DB3CFF62-0ADB-4903-BD77-7042D9CE627E}"/>
    <cellStyle name="Normal 17 2 2" xfId="41103" xr:uid="{B1512B57-49B5-4AEE-A57D-ED8001369D01}"/>
    <cellStyle name="Normal 17 3" xfId="41104" xr:uid="{6D015EBB-019F-4296-ADB0-3DD466D58749}"/>
    <cellStyle name="Normal 170" xfId="41105" xr:uid="{5CD49335-EEE0-498E-929C-6D6FC3193DD9}"/>
    <cellStyle name="Normal 170 2" xfId="41106" xr:uid="{8CD857DA-1322-41A1-90BD-230CF5DD9C6A}"/>
    <cellStyle name="Normal 171" xfId="41107" xr:uid="{D5129AAA-E268-4422-8F8E-923DB8D5162B}"/>
    <cellStyle name="Normal 171 2" xfId="41108" xr:uid="{C735D8E7-713A-4928-B570-1762394DD9B0}"/>
    <cellStyle name="Normal 172" xfId="41109" xr:uid="{26E65821-A30D-4FB0-8A0E-69A981AF9048}"/>
    <cellStyle name="Normal 172 2" xfId="41110" xr:uid="{A28E8397-61E2-442E-B4BC-8E1E0EDC01DD}"/>
    <cellStyle name="Normal 173" xfId="41111" xr:uid="{3C741708-14A0-478E-B863-43E03461C510}"/>
    <cellStyle name="Normal 173 2" xfId="41112" xr:uid="{EBDB6E8A-2468-4892-9AAF-68305DAC9E14}"/>
    <cellStyle name="Normal 174" xfId="41113" xr:uid="{B1829508-7340-4242-96EE-C0FA8DFA01E8}"/>
    <cellStyle name="Normal 174 2" xfId="41114" xr:uid="{EBD8906F-F155-4DF2-AC4E-5D846F030B35}"/>
    <cellStyle name="Normal 175" xfId="41115" xr:uid="{55C88E51-DBC0-41F5-942F-7B86879CE58B}"/>
    <cellStyle name="Normal 175 2" xfId="41116" xr:uid="{050C7E5D-DB31-4E0D-BEDD-8EC980681517}"/>
    <cellStyle name="Normal 176" xfId="41117" xr:uid="{CB47B44D-3055-428C-8CBB-5988C34C5C96}"/>
    <cellStyle name="Normal 176 2" xfId="41118" xr:uid="{A595E1D2-608D-4F06-9A2F-CC0F135C5F47}"/>
    <cellStyle name="Normal 177" xfId="41119" xr:uid="{BE870026-3820-4858-A72B-A7134F5E3301}"/>
    <cellStyle name="Normal 177 2" xfId="41120" xr:uid="{FFBC3141-A443-435B-BF06-2EC097D4894D}"/>
    <cellStyle name="Normal 178" xfId="41121" xr:uid="{60550252-BAAB-423A-A7BF-3BB0CEA51E42}"/>
    <cellStyle name="Normal 178 2" xfId="41122" xr:uid="{43E181CF-F8C0-4F20-97F2-ED3A3A285EC7}"/>
    <cellStyle name="Normal 179" xfId="41123" xr:uid="{10553871-CBF1-4634-99AA-FC19C7EE06C0}"/>
    <cellStyle name="Normal 179 2" xfId="41124" xr:uid="{3BEE5E26-48EB-4A70-AF6D-5BDE027FDD8B}"/>
    <cellStyle name="Normal 18" xfId="41125" xr:uid="{73B4400B-FDE4-4D92-B51F-E78556338F75}"/>
    <cellStyle name="Normal 18 2" xfId="41126" xr:uid="{2FA14EBB-0E74-44EF-A534-F0F5EA3320E8}"/>
    <cellStyle name="Normal 18 2 2" xfId="41127" xr:uid="{1990FCC5-1B71-4D8B-B048-D6F57BFB1077}"/>
    <cellStyle name="Normal 18 3" xfId="41128" xr:uid="{366A7949-364C-45E0-A7FA-D8D9F5C4CB17}"/>
    <cellStyle name="Normal 180" xfId="41129" xr:uid="{19AC07A5-C9A0-4E76-9067-67BDAA1933CE}"/>
    <cellStyle name="Normal 180 2" xfId="41130" xr:uid="{86B2A6BC-6DFD-4D23-A185-8C38AD579D5B}"/>
    <cellStyle name="Normal 181" xfId="41131" xr:uid="{A64E18C6-48E4-472C-B19D-82696DC05AAD}"/>
    <cellStyle name="Normal 181 2" xfId="41132" xr:uid="{9B167F46-8733-40FB-90A0-4E5037432D51}"/>
    <cellStyle name="Normal 182" xfId="41133" xr:uid="{CC3611AE-E1F3-49FD-BC31-4E41E9B7EAFD}"/>
    <cellStyle name="Normal 182 2" xfId="41134" xr:uid="{B3FBC4BA-7764-4A14-A625-9502C226F814}"/>
    <cellStyle name="Normal 183" xfId="41135" xr:uid="{63E8F762-146F-483E-8549-6E0CC67471F8}"/>
    <cellStyle name="Normal 183 2" xfId="41136" xr:uid="{3B885DC2-4834-4298-960D-EEC205696E3E}"/>
    <cellStyle name="Normal 184" xfId="41137" xr:uid="{4F82A545-32F4-4DC5-834C-EC77329B7B13}"/>
    <cellStyle name="Normal 184 2" xfId="41138" xr:uid="{688B1431-3E8E-4154-87D8-96788C73B452}"/>
    <cellStyle name="Normal 185" xfId="41139" xr:uid="{A5827744-CF03-4E6F-8D58-CBAC01CB976D}"/>
    <cellStyle name="Normal 185 2" xfId="41140" xr:uid="{8A0168BD-CB40-47E2-A1E2-F7729AA87CB7}"/>
    <cellStyle name="Normal 186" xfId="41141" xr:uid="{B6DE655E-0745-4C52-87F8-48823D003B2F}"/>
    <cellStyle name="Normal 186 2" xfId="41142" xr:uid="{6AFF2D88-93CE-4780-8D5F-68C50DAFAFE4}"/>
    <cellStyle name="Normal 187" xfId="41143" xr:uid="{46ED3B84-F909-40F6-89CB-EEFDDD932424}"/>
    <cellStyle name="Normal 187 2" xfId="41144" xr:uid="{6EDBE15F-803F-4A5D-9165-761B40B597A8}"/>
    <cellStyle name="Normal 188" xfId="41145" xr:uid="{8E3E8969-E28B-47B7-B7DC-E49F528460E0}"/>
    <cellStyle name="Normal 188 2" xfId="41146" xr:uid="{B2CE2468-DF98-478B-8503-9DA8748123B4}"/>
    <cellStyle name="Normal 189" xfId="41147" xr:uid="{ECD29029-D46C-432B-B885-B5BC18F3AA8E}"/>
    <cellStyle name="Normal 189 2" xfId="41148" xr:uid="{AFEBCBA3-067D-47DF-BA6D-1E8B3404F59A}"/>
    <cellStyle name="Normal 19" xfId="41149" xr:uid="{CB90E26C-C906-4036-9EB2-16654F8A288B}"/>
    <cellStyle name="Normal 19 2" xfId="41150" xr:uid="{0A1ACAD0-EAA9-4A45-A5C1-53E963DBA964}"/>
    <cellStyle name="Normal 19 2 2" xfId="41151" xr:uid="{72980556-7D47-4740-ADC1-0363372F3064}"/>
    <cellStyle name="Normal 19 3" xfId="41152" xr:uid="{DFC5B814-82C9-4803-B8DD-1CA898F155CA}"/>
    <cellStyle name="Normal 190" xfId="41153" xr:uid="{C973DC63-AF01-4BA8-85BA-E510D3F55FC9}"/>
    <cellStyle name="Normal 190 2" xfId="41154" xr:uid="{ACFD9FDF-4DD4-4F96-8143-36279A09B28B}"/>
    <cellStyle name="Normal 191" xfId="41155" xr:uid="{2F3C0D46-F0A6-4383-9D8B-81C173E19DAD}"/>
    <cellStyle name="Normal 191 2" xfId="41156" xr:uid="{BB8E7509-2AD7-48E3-AC31-9EE92588A7A0}"/>
    <cellStyle name="Normal 192" xfId="41157" xr:uid="{E847DB17-7724-4B7D-BF0C-A5A40A6113C5}"/>
    <cellStyle name="Normal 192 2" xfId="41158" xr:uid="{F4DADC30-C647-48D4-B5E2-7277942BBFBE}"/>
    <cellStyle name="Normal 195" xfId="41159" xr:uid="{C0253B59-4A8B-4399-AF45-A29089708617}"/>
    <cellStyle name="Normal 195 2" xfId="41160" xr:uid="{6595424A-A0D4-4E10-84C4-CEA40A2815F7}"/>
    <cellStyle name="Normal 196" xfId="41161" xr:uid="{CF3615BA-A3EB-4E2F-9014-B8CC3D70BCB8}"/>
    <cellStyle name="Normal 196 2" xfId="41162" xr:uid="{05637CEA-72F9-4172-82A1-2A9138D7E272}"/>
    <cellStyle name="Normal 197" xfId="41163" xr:uid="{72EA2A06-7D8F-4B06-A83E-AB39F7341D6C}"/>
    <cellStyle name="Normal 197 2" xfId="41164" xr:uid="{08D84AAB-E7CA-4FA0-84ED-FD9D86A8AFB0}"/>
    <cellStyle name="Normal 199" xfId="41165" xr:uid="{1D27F85C-6483-4109-85F6-2E18ADF8CDC0}"/>
    <cellStyle name="Normal 199 2" xfId="41166" xr:uid="{DC471DF5-59DD-40EE-BB12-31C5ED46A1F0}"/>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2 3" xfId="41167" xr:uid="{6EC37CA4-0325-446B-80AD-4B86C1070719}"/>
    <cellStyle name="Normal 2 3" xfId="95" xr:uid="{00000000-0005-0000-0000-00003A000000}"/>
    <cellStyle name="Normal 2 3 2" xfId="41169" xr:uid="{88458477-C4B2-42AC-8E7A-47875506FB47}"/>
    <cellStyle name="Normal 2 3 3" xfId="41170" xr:uid="{E1623436-699A-4448-A867-E10AD0CD3DEC}"/>
    <cellStyle name="Normal 2 3 4" xfId="41168" xr:uid="{7C6E0318-D77D-4AA2-8B7B-A74502C93723}"/>
    <cellStyle name="Normal 2 4" xfId="111" xr:uid="{B23E9F75-93DB-43B5-8400-C9A9AF07DDA3}"/>
    <cellStyle name="Normal 2 4 2" xfId="41172" xr:uid="{B638498E-9856-441B-B46B-569C15257E05}"/>
    <cellStyle name="Normal 2 4 2 2" xfId="235" xr:uid="{A4083BE9-A3DD-440A-98F4-94340128BF7D}"/>
    <cellStyle name="Normal 2 4 3" xfId="41171" xr:uid="{F9C9BFC4-005D-4B16-857A-ED9BAABA3F56}"/>
    <cellStyle name="Normal 2 5" xfId="154" xr:uid="{AB4F0C07-17DC-4474-AA62-FE480812CCCC}"/>
    <cellStyle name="Normal 2 5 2" xfId="41173" xr:uid="{2D7616A9-7644-4AC4-85F8-EBF2514D3C94}"/>
    <cellStyle name="Normal 2 6" xfId="159" xr:uid="{3C3900B5-1E66-47A5-A3B9-56587CC6F99D}"/>
    <cellStyle name="Normal 2 6 2" xfId="41174" xr:uid="{FE002513-F3CA-4577-B39B-3906DA91159E}"/>
    <cellStyle name="Normal 2 7" xfId="184" xr:uid="{2E5FFFFD-0C94-4670-BADB-0957FB2BDAFA}"/>
    <cellStyle name="Normal 2 7 2" xfId="41175" xr:uid="{4FA63185-A8E1-4255-8109-A40E5FC83947}"/>
    <cellStyle name="Normal 2 8" xfId="41176" xr:uid="{DDFBD851-3A6D-406B-B0B6-DB6502536B26}"/>
    <cellStyle name="Normal 2 9" xfId="46161" xr:uid="{C0D9F656-1DF0-4706-85C7-775E9CE3012C}"/>
    <cellStyle name="Normal 2_Extended Management Report - FCT RED &amp; Black - Cut off 2012 09 30 - V05" xfId="41177" xr:uid="{DFB549B9-6BBF-4E16-ABD4-D8B04CDC1845}"/>
    <cellStyle name="Normal 20" xfId="41178" xr:uid="{2C67109E-6717-4F49-94A7-E7865117D710}"/>
    <cellStyle name="Normal 20 2" xfId="41179" xr:uid="{C6371CA3-B4DB-47EC-8E19-04479ADFCC02}"/>
    <cellStyle name="Normal 20 2 2" xfId="41180" xr:uid="{1C7EFBF1-AE67-4A04-B33F-6FCA882620E9}"/>
    <cellStyle name="Normal 20 3" xfId="41181" xr:uid="{A007CE0C-7A4B-4E40-B243-DB672070A5FE}"/>
    <cellStyle name="Normal 200" xfId="41182" xr:uid="{21166B87-35EA-4A1B-9A05-03F2A11A6286}"/>
    <cellStyle name="Normal 200 2" xfId="41183" xr:uid="{66C2BB10-49FF-4BAB-9667-BDDF86590F23}"/>
    <cellStyle name="Normal 201" xfId="41184" xr:uid="{C811C2E5-657F-4869-9BF8-2D4D0ABF3B70}"/>
    <cellStyle name="Normal 201 2" xfId="41185" xr:uid="{76F12EF7-245B-4BA8-891E-680E35829FC3}"/>
    <cellStyle name="Normal 202" xfId="41186" xr:uid="{F3B5CFD6-E8C8-49BB-A6E8-1C9920776CF2}"/>
    <cellStyle name="Normal 202 2" xfId="41187" xr:uid="{E6AC2F3E-00AD-48ED-9478-F17279AC8252}"/>
    <cellStyle name="Normal 203" xfId="41188" xr:uid="{6D753298-8571-4A90-AE3B-BFCA39B64A82}"/>
    <cellStyle name="Normal 203 2" xfId="41189" xr:uid="{02F972C5-FC2A-4EC1-8168-A9D56C841CF1}"/>
    <cellStyle name="Normal 204" xfId="41190" xr:uid="{FE1AEC4F-1AB2-48F8-9081-1DD10AF6913C}"/>
    <cellStyle name="Normal 204 2" xfId="41191" xr:uid="{25B374B6-3FA6-4EFE-8F79-973E5124CEBC}"/>
    <cellStyle name="Normal 205" xfId="41192" xr:uid="{8DC3FADD-9A69-405A-8C1A-718BB2E66F12}"/>
    <cellStyle name="Normal 205 2" xfId="41193" xr:uid="{78F6075D-5DF7-40A3-8B7C-F876A8498C0C}"/>
    <cellStyle name="Normal 206" xfId="41194" xr:uid="{B3FC74A3-0F5E-4296-9E63-672765D257D6}"/>
    <cellStyle name="Normal 206 2" xfId="41195" xr:uid="{22437FEA-F36B-4331-B58A-C1F291F773DE}"/>
    <cellStyle name="Normal 207" xfId="41196" xr:uid="{665BA214-A155-4C51-AB89-94EF81D6059D}"/>
    <cellStyle name="Normal 207 2" xfId="41197" xr:uid="{CAF92278-FC47-43EF-8D64-B5D2B05F8F3A}"/>
    <cellStyle name="Normal 208" xfId="41198" xr:uid="{88099292-E1FB-47F0-9682-732A64C034E8}"/>
    <cellStyle name="Normal 208 2" xfId="41199" xr:uid="{AE3C9DBE-EB25-4C51-9C2D-D3276716D95A}"/>
    <cellStyle name="Normal 209" xfId="41200" xr:uid="{DBFA74FD-69F3-4F9A-852B-5AEE0AC1635C}"/>
    <cellStyle name="Normal 209 2" xfId="41201" xr:uid="{AA4FEC7D-0234-4EC3-8281-117E05179B2D}"/>
    <cellStyle name="Normal 21" xfId="41202" xr:uid="{FD73F348-A040-4DC4-B1FC-5F34326E3863}"/>
    <cellStyle name="Normal 21 2" xfId="41203" xr:uid="{856A9223-D114-4CB0-8A9E-B0631C78AE65}"/>
    <cellStyle name="Normal 21 2 2" xfId="41204" xr:uid="{7989E2D7-B787-4686-99A0-06E6E925A76F}"/>
    <cellStyle name="Normal 21 3" xfId="41205" xr:uid="{D269EEDE-9DA4-414D-B147-2CA2A9907FC8}"/>
    <cellStyle name="Normal 210" xfId="41206" xr:uid="{AE9C6464-4D1C-4034-A8AD-9B96DEBBA2B8}"/>
    <cellStyle name="Normal 210 2" xfId="41207" xr:uid="{EAC93EDC-1E0A-42C7-A469-0CC07B952697}"/>
    <cellStyle name="Normal 22" xfId="41208" xr:uid="{AA2B05AD-B19C-4823-AB41-1316A220B696}"/>
    <cellStyle name="Normal 22 2" xfId="41209" xr:uid="{4C58FEE0-46A0-48F4-AF6B-464F55B90C4A}"/>
    <cellStyle name="Normal 22 2 2" xfId="41210" xr:uid="{48C8AB44-8433-4383-899F-4EDE43B04D03}"/>
    <cellStyle name="Normal 22 3" xfId="41211" xr:uid="{2994D4A6-E102-44A9-8D78-2D3F2F901E86}"/>
    <cellStyle name="Normal 23" xfId="41212" xr:uid="{921A8420-257C-4F86-9E79-D262F07D0377}"/>
    <cellStyle name="Normal 23 2" xfId="41213" xr:uid="{BFCA0484-FB9C-4DF5-BDE8-43EEFD385BB4}"/>
    <cellStyle name="Normal 23 2 2" xfId="41214" xr:uid="{D4AFD897-6816-4137-85E6-313E4C6ADB1C}"/>
    <cellStyle name="Normal 23 3" xfId="41215" xr:uid="{E18FA4BE-033F-4199-90F7-78B6C2B91E85}"/>
    <cellStyle name="Normal 24" xfId="41216" xr:uid="{A0D6A5D3-7346-49CC-935A-6C92C0A9769F}"/>
    <cellStyle name="Normal 24 2" xfId="41217" xr:uid="{AF5FD618-4CC9-4FDE-B20E-E2FF2F7C8E64}"/>
    <cellStyle name="Normal 24 2 2" xfId="41218" xr:uid="{F05272C7-F74C-4D05-9A94-5DC3B16ECF64}"/>
    <cellStyle name="Normal 24 3" xfId="41219" xr:uid="{E577A4EE-41E6-4601-884A-533A06B7D811}"/>
    <cellStyle name="Normal 25" xfId="41220" xr:uid="{5208387D-1C46-407E-A6C5-178E82E40759}"/>
    <cellStyle name="Normal 25 2" xfId="218" xr:uid="{789F201B-8DC4-4ABA-B6F8-0EFD0AED7A93}"/>
    <cellStyle name="Normal 25 3" xfId="41221" xr:uid="{E382D26F-641A-47C0-90A2-37A73C8F83B8}"/>
    <cellStyle name="Normal 26" xfId="41222" xr:uid="{6B22018C-3DCA-45EB-889E-8D67052359D4}"/>
    <cellStyle name="Normal 26 2" xfId="41223" xr:uid="{C5F1BCA1-7137-4FEA-9E0C-D336E21911CF}"/>
    <cellStyle name="Normal 27" xfId="41224" xr:uid="{1805815F-B939-4E10-8C98-8736AB2B36EA}"/>
    <cellStyle name="Normal 27 2" xfId="41225" xr:uid="{DE7C9FAA-8942-4543-848B-27658AC16B22}"/>
    <cellStyle name="Normal 28" xfId="41226" xr:uid="{9EFA6EDC-0D6A-4559-9E7C-4421CAC32C0F}"/>
    <cellStyle name="Normal 28 2" xfId="41227" xr:uid="{23E9C3EC-63B2-41F3-B4CE-D3EABA8348E0}"/>
    <cellStyle name="Normal 29" xfId="41228" xr:uid="{EC54313F-D08B-4D2E-8923-44DB7228E47D}"/>
    <cellStyle name="Normal 29 2" xfId="41229" xr:uid="{2771285A-BE89-4EFA-AEC8-A24FC9A8757F}"/>
    <cellStyle name="Normal 3" xfId="97" xr:uid="{00000000-0005-0000-0000-00003B000000}"/>
    <cellStyle name="Normal 3 10" xfId="41230" xr:uid="{CD679928-9A4D-478C-9CDA-3C611ACF0F8A}"/>
    <cellStyle name="Normal 3 2" xfId="155" xr:uid="{6B5E4C80-CAFD-4720-A2CD-22486988A29F}"/>
    <cellStyle name="Normal 3 2 2" xfId="41232" xr:uid="{C99B291D-BB29-48CE-B7A2-DF5A9ED801BF}"/>
    <cellStyle name="Normal 3 2 3" xfId="41233" xr:uid="{9E5FC7D9-03A8-46E3-8F26-877FD64DA2F1}"/>
    <cellStyle name="Normal 3 2 4" xfId="41231" xr:uid="{60CCD02A-8522-4F5C-9D7D-6CCC36805536}"/>
    <cellStyle name="Normal 3 3" xfId="178" xr:uid="{799F9305-A0C1-4428-9507-18480E2454B9}"/>
    <cellStyle name="Normal 3 3 10" xfId="41235" xr:uid="{087E01A6-C63E-4C7B-B527-E3C511712310}"/>
    <cellStyle name="Normal 3 3 10 2" xfId="41236" xr:uid="{3FACE769-A7A5-4661-88E7-34CAD4F51BF3}"/>
    <cellStyle name="Normal 3 3 11" xfId="41237" xr:uid="{92604C25-536B-4BE9-BA16-166ECC559493}"/>
    <cellStyle name="Normal 3 3 12" xfId="41234" xr:uid="{773CC244-2D3D-441A-82AF-A6198D316D96}"/>
    <cellStyle name="Normal 3 3 2" xfId="41238" xr:uid="{C609AC35-B9C8-44C1-AE0B-5B245648BC39}"/>
    <cellStyle name="Normal 3 3 2 10" xfId="41239" xr:uid="{31C1A47E-95B9-4D19-A2AF-36CDE476E186}"/>
    <cellStyle name="Normal 3 3 2 2" xfId="41240" xr:uid="{4E0FF9A9-67C0-459A-9F12-78FE76DA97FA}"/>
    <cellStyle name="Normal 3 3 2 2 2" xfId="41241" xr:uid="{61290388-0DDC-4420-9593-94979C70F5D0}"/>
    <cellStyle name="Normal 3 3 2 2 2 2" xfId="41242" xr:uid="{8319AEA3-4372-461D-898F-11A7614D19B5}"/>
    <cellStyle name="Normal 3 3 2 2 2 2 2" xfId="41243" xr:uid="{39E70112-9DAC-4272-BE5E-CEB024A999BE}"/>
    <cellStyle name="Normal 3 3 2 2 2 2 2 2" xfId="41244" xr:uid="{BAD57520-5ADE-4AEB-A7D9-531CC992EC9A}"/>
    <cellStyle name="Normal 3 3 2 2 2 2 3" xfId="41245" xr:uid="{E74D0073-826D-4941-AE89-CD4B161A2382}"/>
    <cellStyle name="Normal 3 3 2 2 2 3" xfId="41246" xr:uid="{FF0A2FFA-234F-4156-B285-FE54663DA112}"/>
    <cellStyle name="Normal 3 3 2 2 2 3 2" xfId="41247" xr:uid="{78BD916E-8378-4316-8FEB-3C23D177556A}"/>
    <cellStyle name="Normal 3 3 2 2 2 3 2 2" xfId="41248" xr:uid="{C0BB9580-6ED0-4886-98A6-75AF0EFD8449}"/>
    <cellStyle name="Normal 3 3 2 2 2 3 3" xfId="41249" xr:uid="{3BA198AA-08BE-483E-B3B1-233E23D25420}"/>
    <cellStyle name="Normal 3 3 2 2 2 4" xfId="41250" xr:uid="{4793AFD5-35A0-4A2D-9770-778BEE27E4EF}"/>
    <cellStyle name="Normal 3 3 2 2 2 4 2" xfId="41251" xr:uid="{414EEF41-0F7D-470C-8FBE-ED35AE3E73CF}"/>
    <cellStyle name="Normal 3 3 2 2 2 5" xfId="41252" xr:uid="{06A42C60-B004-4969-B594-0C2242F10CCD}"/>
    <cellStyle name="Normal 3 3 2 2 3" xfId="41253" xr:uid="{884E4ABF-4F63-4CA2-8133-4914B9FE9A29}"/>
    <cellStyle name="Normal 3 3 2 2 3 2" xfId="41254" xr:uid="{4A3E3678-0BE3-462B-9503-B1A8D2B744AA}"/>
    <cellStyle name="Normal 3 3 2 2 3 2 2" xfId="41255" xr:uid="{58CF55AC-5E87-4F90-ABB7-D44388823E65}"/>
    <cellStyle name="Normal 3 3 2 2 3 2 2 2" xfId="41256" xr:uid="{22A91BA7-E808-4139-9AF7-E3D276D3B041}"/>
    <cellStyle name="Normal 3 3 2 2 3 2 3" xfId="41257" xr:uid="{088DEDFA-CC97-4B38-8E74-00B3BC3DB6BC}"/>
    <cellStyle name="Normal 3 3 2 2 3 3" xfId="41258" xr:uid="{803BD4E4-3BD6-4BA8-B614-D55AF5459079}"/>
    <cellStyle name="Normal 3 3 2 2 3 3 2" xfId="41259" xr:uid="{82EEC3A0-D5BE-4551-BA75-68D3567CE929}"/>
    <cellStyle name="Normal 3 3 2 2 3 3 2 2" xfId="41260" xr:uid="{1E5265BC-4851-4398-B54F-12B69A38B0B9}"/>
    <cellStyle name="Normal 3 3 2 2 3 3 3" xfId="41261" xr:uid="{5F5CA468-2961-4406-A08C-AE5DBD012677}"/>
    <cellStyle name="Normal 3 3 2 2 3 4" xfId="41262" xr:uid="{C3484BF2-4949-4FB8-BE78-A36F503E69A8}"/>
    <cellStyle name="Normal 3 3 2 2 3 4 2" xfId="41263" xr:uid="{C1AB4FE5-1E85-4E1E-845D-CB0ACCAD2589}"/>
    <cellStyle name="Normal 3 3 2 2 3 5" xfId="41264" xr:uid="{44F13521-F9BF-4AA3-B74A-577B40B83F81}"/>
    <cellStyle name="Normal 3 3 2 2 4" xfId="41265" xr:uid="{E0A8CC18-27C4-495B-8CB4-17F2A6D400FE}"/>
    <cellStyle name="Normal 3 3 2 2 4 2" xfId="41266" xr:uid="{325754FA-1C13-49F7-9194-E562D2D0936F}"/>
    <cellStyle name="Normal 3 3 2 2 4 2 2" xfId="41267" xr:uid="{1969A5EA-AD2E-4C8F-8214-AB8541B54ACC}"/>
    <cellStyle name="Normal 3 3 2 2 4 3" xfId="41268" xr:uid="{09C52D71-CE7B-43C8-9463-3CD4445C3BD2}"/>
    <cellStyle name="Normal 3 3 2 2 5" xfId="41269" xr:uid="{2A0FB905-9A71-4890-8FE3-DE428621B2F8}"/>
    <cellStyle name="Normal 3 3 2 2 5 2" xfId="41270" xr:uid="{927CB474-39BD-455A-B5E2-80B3B278AFFA}"/>
    <cellStyle name="Normal 3 3 2 2 5 2 2" xfId="41271" xr:uid="{1E0AE22D-5857-48C1-BCFA-F5292CF2BFCD}"/>
    <cellStyle name="Normal 3 3 2 2 5 3" xfId="41272" xr:uid="{5B07B4A3-4DC2-4A7D-B046-6AC862E91A8C}"/>
    <cellStyle name="Normal 3 3 2 2 6" xfId="41273" xr:uid="{5A04AFD9-D4CA-4C92-A029-683FE8D280DD}"/>
    <cellStyle name="Normal 3 3 2 2 6 2" xfId="41274" xr:uid="{28A566E6-A46D-4E75-930D-8DB06A2A4886}"/>
    <cellStyle name="Normal 3 3 2 2 7" xfId="41275" xr:uid="{3DDD63CB-6376-4AE7-8B92-7D9361A527D7}"/>
    <cellStyle name="Normal 3 3 2 3" xfId="41276" xr:uid="{00A127C3-934C-4696-8843-2D7957C944BB}"/>
    <cellStyle name="Normal 3 3 2 3 2" xfId="41277" xr:uid="{C2B98FFC-BBA9-4971-BE3C-FF15A61D67E7}"/>
    <cellStyle name="Normal 3 3 2 3 2 2" xfId="41278" xr:uid="{8F61149C-381E-4B6B-B818-612A77F50251}"/>
    <cellStyle name="Normal 3 3 2 3 2 2 2" xfId="41279" xr:uid="{9ADFB5BD-ECC2-4255-B09D-399C3E9539CE}"/>
    <cellStyle name="Normal 3 3 2 3 2 2 2 2" xfId="41280" xr:uid="{42C6EF31-3606-41E2-8FB0-94FE8FFE821A}"/>
    <cellStyle name="Normal 3 3 2 3 2 2 3" xfId="41281" xr:uid="{CD694065-6810-47AD-95AE-A74005029BEF}"/>
    <cellStyle name="Normal 3 3 2 3 2 3" xfId="41282" xr:uid="{F76F1BFB-6CE1-4104-8D06-CA5F3773966A}"/>
    <cellStyle name="Normal 3 3 2 3 2 3 2" xfId="41283" xr:uid="{A4B44910-6EE7-4F63-AB31-DB2D61264818}"/>
    <cellStyle name="Normal 3 3 2 3 2 3 2 2" xfId="41284" xr:uid="{EB5C0A8B-3142-4E3A-B3C6-5616B6B3F59F}"/>
    <cellStyle name="Normal 3 3 2 3 2 3 3" xfId="41285" xr:uid="{944A1915-D957-4C75-8B9A-5897116B554F}"/>
    <cellStyle name="Normal 3 3 2 3 2 4" xfId="41286" xr:uid="{C9A88ABD-27F0-4BEA-9F3E-67B52FFB69E9}"/>
    <cellStyle name="Normal 3 3 2 3 2 4 2" xfId="41287" xr:uid="{5335E754-B1B3-4DB2-8C3A-0DB44FAF7DA8}"/>
    <cellStyle name="Normal 3 3 2 3 2 5" xfId="41288" xr:uid="{C2F2744C-F5AC-47C8-BC84-BFE7D446DE17}"/>
    <cellStyle name="Normal 3 3 2 3 3" xfId="41289" xr:uid="{6B24F80E-E0C8-42C7-AE4A-3CB166BE5647}"/>
    <cellStyle name="Normal 3 3 2 3 3 2" xfId="41290" xr:uid="{5E8B7811-C3A0-4115-9C38-4D8FC550B51F}"/>
    <cellStyle name="Normal 3 3 2 3 3 2 2" xfId="41291" xr:uid="{294DBC28-DDA2-4452-8F5E-B911DEE69F13}"/>
    <cellStyle name="Normal 3 3 2 3 3 2 2 2" xfId="41292" xr:uid="{7EA601C7-9D5C-4B2C-B651-020A3FFC1C1D}"/>
    <cellStyle name="Normal 3 3 2 3 3 2 3" xfId="41293" xr:uid="{9CA2F9E5-7398-4A13-B4A5-0ACED60A427B}"/>
    <cellStyle name="Normal 3 3 2 3 3 3" xfId="41294" xr:uid="{79EF6292-4E73-4384-B10F-2B228163902A}"/>
    <cellStyle name="Normal 3 3 2 3 3 3 2" xfId="41295" xr:uid="{F0A356B6-8E1E-4443-9510-EBB0B2934BEE}"/>
    <cellStyle name="Normal 3 3 2 3 3 3 2 2" xfId="41296" xr:uid="{DBBC8AE1-A23B-4F91-BA83-74106B4C496A}"/>
    <cellStyle name="Normal 3 3 2 3 3 3 3" xfId="41297" xr:uid="{0513077A-D044-44C8-B143-DDB04365C946}"/>
    <cellStyle name="Normal 3 3 2 3 3 4" xfId="41298" xr:uid="{6C56E500-7D60-4393-BA7A-922BC9B6B506}"/>
    <cellStyle name="Normal 3 3 2 3 3 4 2" xfId="41299" xr:uid="{D9DB0E62-6F8B-45C1-938B-625995A1F585}"/>
    <cellStyle name="Normal 3 3 2 3 3 5" xfId="41300" xr:uid="{D1D2D632-7A5D-43BB-8482-248F7A197538}"/>
    <cellStyle name="Normal 3 3 2 3 4" xfId="41301" xr:uid="{A46E2243-FDA7-4B1A-AACC-330C36A1C88A}"/>
    <cellStyle name="Normal 3 3 2 3 4 2" xfId="41302" xr:uid="{93438D2E-786F-481D-B94D-935269F7D68B}"/>
    <cellStyle name="Normal 3 3 2 3 4 2 2" xfId="41303" xr:uid="{D664160F-C635-4ACB-8ED5-99275B311F69}"/>
    <cellStyle name="Normal 3 3 2 3 4 3" xfId="41304" xr:uid="{ADCB2D9E-D9C0-4D8E-8807-67F4AA955237}"/>
    <cellStyle name="Normal 3 3 2 3 5" xfId="41305" xr:uid="{4D9F9B8B-F5D7-4D0E-A637-1B227E59309E}"/>
    <cellStyle name="Normal 3 3 2 3 5 2" xfId="41306" xr:uid="{73D963B7-FAA2-46A3-9A6F-83065317D728}"/>
    <cellStyle name="Normal 3 3 2 3 5 2 2" xfId="41307" xr:uid="{5930EB19-6610-4C3D-8481-9B8349210877}"/>
    <cellStyle name="Normal 3 3 2 3 5 3" xfId="41308" xr:uid="{7D04A425-02C9-4D36-A16C-A4677E27D7BC}"/>
    <cellStyle name="Normal 3 3 2 3 6" xfId="41309" xr:uid="{29056E21-D15F-4041-8DBF-7A09D9028611}"/>
    <cellStyle name="Normal 3 3 2 3 6 2" xfId="41310" xr:uid="{A741E9A4-C57F-4BEE-9677-30D10B7D0370}"/>
    <cellStyle name="Normal 3 3 2 3 7" xfId="41311" xr:uid="{29A06FF7-469B-4161-A65D-CEABDA9E7160}"/>
    <cellStyle name="Normal 3 3 2 4" xfId="41312" xr:uid="{FA5FE66D-0054-4481-ACF5-5C14C05F94D9}"/>
    <cellStyle name="Normal 3 3 2 4 2" xfId="41313" xr:uid="{5446DB35-225E-4A4E-A1C2-5950C95FA4C3}"/>
    <cellStyle name="Normal 3 3 2 4 2 2" xfId="41314" xr:uid="{C2A62CA2-B09F-4822-8D35-0AA5348D6A25}"/>
    <cellStyle name="Normal 3 3 2 4 2 2 2" xfId="41315" xr:uid="{B8AE9E2D-9981-44B6-B630-43E93927CDEE}"/>
    <cellStyle name="Normal 3 3 2 4 2 3" xfId="41316" xr:uid="{3CC80369-2914-44CA-BF52-E299A7479C87}"/>
    <cellStyle name="Normal 3 3 2 4 3" xfId="41317" xr:uid="{B42E6DC9-424A-470E-86C4-C90520A00978}"/>
    <cellStyle name="Normal 3 3 2 4 3 2" xfId="41318" xr:uid="{E6AB86EC-3F1F-4D40-A75E-626F08257CA5}"/>
    <cellStyle name="Normal 3 3 2 4 3 2 2" xfId="41319" xr:uid="{D0C4086C-7B05-4FC6-BD4F-9D6EBAC515AA}"/>
    <cellStyle name="Normal 3 3 2 4 3 3" xfId="41320" xr:uid="{F81DD1C5-9D15-4998-8A0C-E704C2113532}"/>
    <cellStyle name="Normal 3 3 2 4 4" xfId="41321" xr:uid="{16BD669F-46F3-4A2E-8AAF-0140CAF40D04}"/>
    <cellStyle name="Normal 3 3 2 4 4 2" xfId="41322" xr:uid="{C5786F1C-46C4-4B38-BCF1-0525A373D378}"/>
    <cellStyle name="Normal 3 3 2 4 5" xfId="41323" xr:uid="{3DE775AE-0F3C-4C4E-8ADF-1CC0FE724C94}"/>
    <cellStyle name="Normal 3 3 2 5" xfId="41324" xr:uid="{75E72598-C6E2-416E-A8A4-7CD609E37EA1}"/>
    <cellStyle name="Normal 3 3 2 5 2" xfId="41325" xr:uid="{E870A368-B1CF-4C35-BEE4-3B089A48E6CB}"/>
    <cellStyle name="Normal 3 3 2 5 2 2" xfId="41326" xr:uid="{5E367491-3A19-467B-AA28-2F91F2D9C3C2}"/>
    <cellStyle name="Normal 3 3 2 5 2 2 2" xfId="41327" xr:uid="{BEB8431A-83FB-4D35-98D1-821B025B65E7}"/>
    <cellStyle name="Normal 3 3 2 5 2 3" xfId="41328" xr:uid="{075C07B1-2B41-4206-85AB-F8D65D6A6A89}"/>
    <cellStyle name="Normal 3 3 2 5 3" xfId="41329" xr:uid="{8068C486-3F03-4FCE-9EEA-C1D44044707F}"/>
    <cellStyle name="Normal 3 3 2 5 3 2" xfId="41330" xr:uid="{2BC96F83-C90E-4AE9-86DF-34E55822A645}"/>
    <cellStyle name="Normal 3 3 2 5 3 2 2" xfId="41331" xr:uid="{E7D7EFE3-30BB-4CDB-908F-EB709280762F}"/>
    <cellStyle name="Normal 3 3 2 5 3 3" xfId="41332" xr:uid="{A725C802-CE8F-4246-AA3D-D4458F5D382E}"/>
    <cellStyle name="Normal 3 3 2 5 4" xfId="41333" xr:uid="{2FFEE7D4-69B3-4DC1-B604-B28E136160FA}"/>
    <cellStyle name="Normal 3 3 2 5 4 2" xfId="41334" xr:uid="{D4279961-B96F-469D-9CDB-06B65B025B20}"/>
    <cellStyle name="Normal 3 3 2 5 5" xfId="41335" xr:uid="{FDFED498-A2EB-4325-80B3-A9930CBC6818}"/>
    <cellStyle name="Normal 3 3 2 6" xfId="41336" xr:uid="{CF8C1C01-0C02-41C4-8B0F-E6E309EA69B5}"/>
    <cellStyle name="Normal 3 3 2 6 2" xfId="41337" xr:uid="{C53B71C2-68FC-4334-967A-30494ED012D5}"/>
    <cellStyle name="Normal 3 3 2 6 2 2" xfId="41338" xr:uid="{B5F2144F-761D-4726-B2A8-BC7867CC6215}"/>
    <cellStyle name="Normal 3 3 2 6 2 2 2" xfId="41339" xr:uid="{1FF8FD18-C016-494B-9D06-99376AC77402}"/>
    <cellStyle name="Normal 3 3 2 6 2 3" xfId="41340" xr:uid="{B87485EE-5AF2-4087-8E86-C89867997257}"/>
    <cellStyle name="Normal 3 3 2 6 3" xfId="41341" xr:uid="{663D9E5F-2F49-4132-BC82-6C42188ACFA7}"/>
    <cellStyle name="Normal 3 3 2 6 3 2" xfId="41342" xr:uid="{62E89DB0-F132-4292-AB51-2049F98837A4}"/>
    <cellStyle name="Normal 3 3 2 6 3 2 2" xfId="41343" xr:uid="{AB56EFC2-6D26-409C-8EAE-7987D4D2DA7E}"/>
    <cellStyle name="Normal 3 3 2 6 3 3" xfId="41344" xr:uid="{3CBD6C88-E9B0-495F-B604-36FBD8371326}"/>
    <cellStyle name="Normal 3 3 2 6 4" xfId="41345" xr:uid="{DEF38A92-EDC2-4FC2-8006-CCBC67449F12}"/>
    <cellStyle name="Normal 3 3 2 6 4 2" xfId="41346" xr:uid="{1B13EAA4-22E5-49F2-9792-1D4D35293E09}"/>
    <cellStyle name="Normal 3 3 2 6 5" xfId="41347" xr:uid="{1B3861AB-ACB9-40F2-A90F-5AA88FA0FC56}"/>
    <cellStyle name="Normal 3 3 2 7" xfId="41348" xr:uid="{8AB969C4-F9EB-4CF1-8AF7-B941A492C67C}"/>
    <cellStyle name="Normal 3 3 2 7 2" xfId="41349" xr:uid="{2F077ACD-9B0F-43E7-8D02-3BF14EA074D6}"/>
    <cellStyle name="Normal 3 3 2 7 2 2" xfId="41350" xr:uid="{12ED451F-0D8D-4BDD-BF06-0F782278FCC9}"/>
    <cellStyle name="Normal 3 3 2 7 3" xfId="41351" xr:uid="{A8C19702-CFDC-4F89-B655-ACBD168EF0D4}"/>
    <cellStyle name="Normal 3 3 2 8" xfId="41352" xr:uid="{9AD4F276-6DC8-4AC4-8DE1-F2AFA55D2852}"/>
    <cellStyle name="Normal 3 3 2 8 2" xfId="41353" xr:uid="{CF4564B0-C05D-46D3-B93D-3804B02CEC6E}"/>
    <cellStyle name="Normal 3 3 2 8 2 2" xfId="41354" xr:uid="{3DCD3BE4-93A6-40BF-ADE8-74218C52B81B}"/>
    <cellStyle name="Normal 3 3 2 8 3" xfId="41355" xr:uid="{B08F5354-0097-42AC-BA77-58BB7383B38F}"/>
    <cellStyle name="Normal 3 3 2 9" xfId="41356" xr:uid="{14868760-0749-4146-A6F1-851FAC5754E5}"/>
    <cellStyle name="Normal 3 3 2 9 2" xfId="41357" xr:uid="{2FF9BD85-3C06-4F62-B6E7-3B2FC35B4B66}"/>
    <cellStyle name="Normal 3 3 3" xfId="41358" xr:uid="{A98C64DA-519F-469E-B8D1-73C5594116E9}"/>
    <cellStyle name="Normal 3 3 3 2" xfId="41359" xr:uid="{BD5E3CDC-8B57-438B-B07E-923EF0FF5B5A}"/>
    <cellStyle name="Normal 3 3 3 2 2" xfId="41360" xr:uid="{9158CE94-0974-443E-B678-9D0CCF6738A4}"/>
    <cellStyle name="Normal 3 3 3 2 2 2" xfId="41361" xr:uid="{5FF94565-99A8-434B-A74C-0E36C0FECB22}"/>
    <cellStyle name="Normal 3 3 3 2 2 2 2" xfId="41362" xr:uid="{96665935-0C09-41F6-BE60-7D4BB30BA42A}"/>
    <cellStyle name="Normal 3 3 3 2 2 3" xfId="41363" xr:uid="{2F82F1B9-99BC-4D45-9D84-EB50C114485A}"/>
    <cellStyle name="Normal 3 3 3 2 3" xfId="41364" xr:uid="{9F556E53-884B-45A3-B084-E144154D5D6F}"/>
    <cellStyle name="Normal 3 3 3 2 3 2" xfId="41365" xr:uid="{97B8AE40-15E4-4FB3-A314-111672B35524}"/>
    <cellStyle name="Normal 3 3 3 2 3 2 2" xfId="41366" xr:uid="{97793946-13DF-4416-AA61-969648384C9F}"/>
    <cellStyle name="Normal 3 3 3 2 3 3" xfId="41367" xr:uid="{4B371000-71F5-45D3-8677-F8EC840AE5E8}"/>
    <cellStyle name="Normal 3 3 3 2 4" xfId="41368" xr:uid="{C0F0EB04-29ED-4209-BB54-CBD3980B0F4C}"/>
    <cellStyle name="Normal 3 3 3 2 4 2" xfId="41369" xr:uid="{A7850D18-0B16-49AD-9233-B0E31F8F57A2}"/>
    <cellStyle name="Normal 3 3 3 2 5" xfId="41370" xr:uid="{FC85ABC3-CEEB-4B46-A173-DC8F6CF6DD37}"/>
    <cellStyle name="Normal 3 3 3 3" xfId="41371" xr:uid="{25745C17-224D-4BD0-9C4E-6719FAD2A09D}"/>
    <cellStyle name="Normal 3 3 3 3 2" xfId="41372" xr:uid="{F7E677B9-90E3-41D6-B1C3-3A4E4FAF0297}"/>
    <cellStyle name="Normal 3 3 3 3 2 2" xfId="41373" xr:uid="{46C40E39-BB17-4F15-805D-B7BB7214295B}"/>
    <cellStyle name="Normal 3 3 3 3 2 2 2" xfId="41374" xr:uid="{334100C9-82EA-4E6B-94DF-5A824819FBD6}"/>
    <cellStyle name="Normal 3 3 3 3 2 3" xfId="41375" xr:uid="{BFF28FA0-9CC4-41E7-A9E7-F8A45B5A1027}"/>
    <cellStyle name="Normal 3 3 3 3 3" xfId="41376" xr:uid="{90BE528F-2E44-49F6-8CCB-C3B6516B095B}"/>
    <cellStyle name="Normal 3 3 3 3 3 2" xfId="41377" xr:uid="{5F850300-8B0D-4FC0-9427-C5DAD297516E}"/>
    <cellStyle name="Normal 3 3 3 3 3 2 2" xfId="41378" xr:uid="{7B768D69-52C0-4763-A2B9-50DC2401CF84}"/>
    <cellStyle name="Normal 3 3 3 3 3 3" xfId="41379" xr:uid="{FDB50A22-3261-41BA-8AAB-752602D8EC48}"/>
    <cellStyle name="Normal 3 3 3 3 4" xfId="41380" xr:uid="{48FC4A57-9BDA-4AAA-8486-4A8D5541C4A9}"/>
    <cellStyle name="Normal 3 3 3 3 4 2" xfId="41381" xr:uid="{6C3103F9-6139-4C4D-AC6B-1DD40B9C247D}"/>
    <cellStyle name="Normal 3 3 3 3 5" xfId="41382" xr:uid="{F5E57423-412D-46EC-9062-16DB23AFD1D3}"/>
    <cellStyle name="Normal 3 3 3 4" xfId="41383" xr:uid="{25E79D73-72C3-443D-A816-CBFC2B445115}"/>
    <cellStyle name="Normal 3 3 3 4 2" xfId="41384" xr:uid="{AD50B31D-32FF-47B5-946E-36E11B1E7230}"/>
    <cellStyle name="Normal 3 3 3 4 2 2" xfId="41385" xr:uid="{3C477676-0922-4B01-ACC7-C3CCDFB07A11}"/>
    <cellStyle name="Normal 3 3 3 4 3" xfId="41386" xr:uid="{B863297B-3238-4A3E-BD6A-81AA795509E6}"/>
    <cellStyle name="Normal 3 3 3 5" xfId="41387" xr:uid="{1A9BE0D5-EB99-44A5-B5D7-9012AEB2B572}"/>
    <cellStyle name="Normal 3 3 3 5 2" xfId="41388" xr:uid="{9D7BE87B-AD2F-4045-98B3-2C5E92A7FFF6}"/>
    <cellStyle name="Normal 3 3 3 5 2 2" xfId="41389" xr:uid="{BD1AE002-690E-4EC6-A455-76BC369C38FF}"/>
    <cellStyle name="Normal 3 3 3 5 3" xfId="41390" xr:uid="{7675639A-AF53-495C-ABB3-BB6E53DF91C2}"/>
    <cellStyle name="Normal 3 3 3 6" xfId="41391" xr:uid="{1C778B33-AE59-4D57-BA60-6234C3B54F7B}"/>
    <cellStyle name="Normal 3 3 3 6 2" xfId="41392" xr:uid="{629925BE-EE8E-45F0-9B30-646D5DD86807}"/>
    <cellStyle name="Normal 3 3 3 7" xfId="41393" xr:uid="{6920A705-178F-4DEC-8039-F616ABEB173E}"/>
    <cellStyle name="Normal 3 3 4" xfId="41394" xr:uid="{7BCA31C1-79E8-4D4B-B1F4-ED6340D9C5FB}"/>
    <cellStyle name="Normal 3 3 4 2" xfId="41395" xr:uid="{2530675C-7E2D-40CA-BE7A-21457A3E2FD9}"/>
    <cellStyle name="Normal 3 3 4 2 2" xfId="41396" xr:uid="{73970BAF-3E47-49A1-8E84-7E2E385F6DAA}"/>
    <cellStyle name="Normal 3 3 4 2 2 2" xfId="41397" xr:uid="{C1AFD308-3394-4B50-BEFD-5A24CA9D4028}"/>
    <cellStyle name="Normal 3 3 4 2 2 2 2" xfId="41398" xr:uid="{8C8EA562-73D2-4FD1-8640-FDFA928240E1}"/>
    <cellStyle name="Normal 3 3 4 2 2 3" xfId="41399" xr:uid="{1807791E-279E-4128-A172-9210D6DAE7F7}"/>
    <cellStyle name="Normal 3 3 4 2 3" xfId="41400" xr:uid="{DAD7693E-F3C6-4ACE-A8C6-0E68A8A18B71}"/>
    <cellStyle name="Normal 3 3 4 2 3 2" xfId="41401" xr:uid="{7C491B29-ACB2-44D1-883B-12D424B76E09}"/>
    <cellStyle name="Normal 3 3 4 2 3 2 2" xfId="41402" xr:uid="{FBF0973F-836E-4E7E-AD7D-ECA6A98B86AF}"/>
    <cellStyle name="Normal 3 3 4 2 3 3" xfId="41403" xr:uid="{9BC333F4-565D-43BA-A32D-5B5CBCC6F2AF}"/>
    <cellStyle name="Normal 3 3 4 2 4" xfId="41404" xr:uid="{8F3B4D7B-B5A4-4CBD-B10E-389E73BBF3B5}"/>
    <cellStyle name="Normal 3 3 4 2 4 2" xfId="41405" xr:uid="{AEB62BCB-7B79-4E0F-9646-65249425BA5C}"/>
    <cellStyle name="Normal 3 3 4 2 5" xfId="41406" xr:uid="{E6A37FC5-CC4A-4C80-962E-42136CB151C3}"/>
    <cellStyle name="Normal 3 3 4 3" xfId="41407" xr:uid="{F9421828-A268-4905-9886-880604971767}"/>
    <cellStyle name="Normal 3 3 4 3 2" xfId="41408" xr:uid="{EA9B61C8-61BB-4A66-AE01-0E91AFDDB805}"/>
    <cellStyle name="Normal 3 3 4 3 2 2" xfId="41409" xr:uid="{0C32D883-546D-4F65-9F7D-8ABE821D6F81}"/>
    <cellStyle name="Normal 3 3 4 3 2 2 2" xfId="41410" xr:uid="{21B88E2F-42A5-412C-8312-C1FF6B0375A1}"/>
    <cellStyle name="Normal 3 3 4 3 2 3" xfId="41411" xr:uid="{0DCA86B6-DF5B-4A7D-9999-C4F5EA0D1EE3}"/>
    <cellStyle name="Normal 3 3 4 3 3" xfId="41412" xr:uid="{92A7A8A1-7472-4E25-90B3-3588EC508F01}"/>
    <cellStyle name="Normal 3 3 4 3 3 2" xfId="41413" xr:uid="{AD63F6D5-0989-44EA-BCCD-253F28F575F9}"/>
    <cellStyle name="Normal 3 3 4 3 3 2 2" xfId="41414" xr:uid="{AB999386-E428-4DAA-986A-1A720BF3E55D}"/>
    <cellStyle name="Normal 3 3 4 3 3 3" xfId="41415" xr:uid="{4F05086E-6541-4A8D-AF6B-155CE86954A6}"/>
    <cellStyle name="Normal 3 3 4 3 4" xfId="41416" xr:uid="{71D607BD-0353-4B01-B8ED-2A8736DD74DA}"/>
    <cellStyle name="Normal 3 3 4 3 4 2" xfId="41417" xr:uid="{9597F7EF-A0F5-431F-8CBC-A04031F27CAF}"/>
    <cellStyle name="Normal 3 3 4 3 5" xfId="41418" xr:uid="{6C02D6E0-BA20-49DD-B501-769965D156E1}"/>
    <cellStyle name="Normal 3 3 4 4" xfId="41419" xr:uid="{1332E1F5-B364-4B32-AE7A-451B75F935E4}"/>
    <cellStyle name="Normal 3 3 4 4 2" xfId="41420" xr:uid="{92796B81-30B5-4E51-A8A0-72CEA18692C5}"/>
    <cellStyle name="Normal 3 3 4 4 2 2" xfId="41421" xr:uid="{A6295C1A-4304-44AC-B39B-24C0DCBBCCBE}"/>
    <cellStyle name="Normal 3 3 4 4 3" xfId="41422" xr:uid="{0C2C78D0-4A35-4CE9-AC16-2B10A1768498}"/>
    <cellStyle name="Normal 3 3 4 5" xfId="41423" xr:uid="{D50F5CF1-F45B-41E3-9888-1E28A565E3C3}"/>
    <cellStyle name="Normal 3 3 4 5 2" xfId="41424" xr:uid="{52BB049C-E237-433C-A80E-05C4275747E7}"/>
    <cellStyle name="Normal 3 3 4 5 2 2" xfId="41425" xr:uid="{F7820373-16DC-4E71-A998-248F2A874FD8}"/>
    <cellStyle name="Normal 3 3 4 5 3" xfId="41426" xr:uid="{CAE196AB-1E82-4EAC-BA3D-994BD3C8F5D3}"/>
    <cellStyle name="Normal 3 3 4 6" xfId="41427" xr:uid="{8EFF5DF5-7FFB-4A18-825C-6B9963EE7066}"/>
    <cellStyle name="Normal 3 3 4 6 2" xfId="41428" xr:uid="{1F9F3AE0-1F66-4B6F-B385-5F23C1CAA176}"/>
    <cellStyle name="Normal 3 3 4 7" xfId="41429" xr:uid="{E0F4C1C1-3998-476E-BAC8-48724916C8DC}"/>
    <cellStyle name="Normal 3 3 5" xfId="41430" xr:uid="{77098A34-730D-4D1E-A35B-714B21CAD7E1}"/>
    <cellStyle name="Normal 3 3 5 2" xfId="41431" xr:uid="{B7DD5681-E455-4CCA-94D3-674D765DE2A2}"/>
    <cellStyle name="Normal 3 3 5 2 2" xfId="41432" xr:uid="{A0863889-534D-4E32-8137-B192474E3BB8}"/>
    <cellStyle name="Normal 3 3 5 2 2 2" xfId="41433" xr:uid="{F63FD3D3-A084-4723-BF51-03E8CB376940}"/>
    <cellStyle name="Normal 3 3 5 2 3" xfId="41434" xr:uid="{7ACB6CEC-63E0-4E16-A0F6-53B62CC00AB6}"/>
    <cellStyle name="Normal 3 3 5 3" xfId="41435" xr:uid="{FF8CDBC9-802E-4D31-A06E-2A3B873F9994}"/>
    <cellStyle name="Normal 3 3 5 3 2" xfId="41436" xr:uid="{59E5675A-9B39-4467-B5A2-9D2BFC70C1C7}"/>
    <cellStyle name="Normal 3 3 5 3 2 2" xfId="41437" xr:uid="{C826EC1C-2BA7-4D7E-B551-DA75F5EC6C15}"/>
    <cellStyle name="Normal 3 3 5 3 3" xfId="41438" xr:uid="{AD6E5EA9-3438-494C-B353-C0D37C6AB6CE}"/>
    <cellStyle name="Normal 3 3 5 4" xfId="41439" xr:uid="{E3D92DED-1F0C-4E54-9971-A79147535938}"/>
    <cellStyle name="Normal 3 3 5 4 2" xfId="41440" xr:uid="{7AB69B68-055D-44F9-AD8F-7A366AEB14DA}"/>
    <cellStyle name="Normal 3 3 5 5" xfId="41441" xr:uid="{FBD396C1-700E-437B-A2DD-74DC44F0312F}"/>
    <cellStyle name="Normal 3 3 6" xfId="41442" xr:uid="{6EE50D31-1C87-4314-8BF6-168B31F89C32}"/>
    <cellStyle name="Normal 3 3 6 2" xfId="41443" xr:uid="{45F34AE0-B222-4D1F-A228-CE0B8613B4D3}"/>
    <cellStyle name="Normal 3 3 6 2 2" xfId="41444" xr:uid="{6C0AB99F-AAF2-4251-B82A-440F1AE9EB51}"/>
    <cellStyle name="Normal 3 3 6 2 2 2" xfId="41445" xr:uid="{76FC35A9-3241-402D-A757-6FE9C4D9F598}"/>
    <cellStyle name="Normal 3 3 6 2 3" xfId="41446" xr:uid="{493003A7-6E9D-4024-B9B5-66E12D14E67C}"/>
    <cellStyle name="Normal 3 3 6 3" xfId="41447" xr:uid="{980D4E69-D90E-4689-9A7A-50667AAEEAD3}"/>
    <cellStyle name="Normal 3 3 6 3 2" xfId="41448" xr:uid="{6B6A5122-944B-40FC-A746-2BE694375ED6}"/>
    <cellStyle name="Normal 3 3 6 3 2 2" xfId="41449" xr:uid="{756EB7A1-7B5D-40E0-B00E-25D3A0D58270}"/>
    <cellStyle name="Normal 3 3 6 3 3" xfId="41450" xr:uid="{3E1CD058-824D-4244-AE5B-AD1E14BC692F}"/>
    <cellStyle name="Normal 3 3 6 4" xfId="41451" xr:uid="{516D4895-B187-4C04-818D-5C38FD9F0338}"/>
    <cellStyle name="Normal 3 3 6 4 2" xfId="41452" xr:uid="{2AA75FCA-D350-4E16-A425-4F1EAF850E88}"/>
    <cellStyle name="Normal 3 3 6 5" xfId="41453" xr:uid="{04F71CCD-B582-4087-A8EB-F31B1037C011}"/>
    <cellStyle name="Normal 3 3 7" xfId="41454" xr:uid="{078D62D3-7E57-4D0A-A820-F0C3686E5E03}"/>
    <cellStyle name="Normal 3 3 7 2" xfId="41455" xr:uid="{EDD2FBA2-E24F-412F-A2B5-AEF299CADC5A}"/>
    <cellStyle name="Normal 3 3 7 2 2" xfId="41456" xr:uid="{C71C2D3C-E47F-48C2-9D1E-5223A17E994E}"/>
    <cellStyle name="Normal 3 3 7 2 2 2" xfId="41457" xr:uid="{C9863B17-DA25-4B4C-85B3-29CC2344C88C}"/>
    <cellStyle name="Normal 3 3 7 2 3" xfId="41458" xr:uid="{1E9175AB-8788-4CC5-BABE-F3F85B369BD8}"/>
    <cellStyle name="Normal 3 3 7 3" xfId="41459" xr:uid="{F59CFC80-CED2-4BB4-A0A7-F6263C619788}"/>
    <cellStyle name="Normal 3 3 7 3 2" xfId="41460" xr:uid="{CBB279C4-FA29-40F2-9BB9-545B47F93863}"/>
    <cellStyle name="Normal 3 3 7 3 2 2" xfId="41461" xr:uid="{EFE05F22-57FD-4743-AB8C-326E8A0F8226}"/>
    <cellStyle name="Normal 3 3 7 3 3" xfId="41462" xr:uid="{7E83789E-53CF-420E-AF57-8FA4B468A203}"/>
    <cellStyle name="Normal 3 3 7 4" xfId="41463" xr:uid="{4F383215-C68A-45DC-A579-52092102FEF8}"/>
    <cellStyle name="Normal 3 3 7 4 2" xfId="41464" xr:uid="{65624685-656B-4C75-9D61-32E2A87EE854}"/>
    <cellStyle name="Normal 3 3 7 5" xfId="41465" xr:uid="{8ADB147E-D4F6-491B-A886-633A82C96B57}"/>
    <cellStyle name="Normal 3 3 8" xfId="41466" xr:uid="{44616BB2-1DF1-4EED-9ABB-3710E23967D0}"/>
    <cellStyle name="Normal 3 3 8 2" xfId="41467" xr:uid="{4DCB40F5-ED2E-4E8B-B56B-F0980F7D43D6}"/>
    <cellStyle name="Normal 3 3 8 2 2" xfId="41468" xr:uid="{72C5F6D7-F076-4CB3-A999-9547E3408F9E}"/>
    <cellStyle name="Normal 3 3 8 3" xfId="41469" xr:uid="{3D783461-41F8-4533-BDBA-2FA82A225CB8}"/>
    <cellStyle name="Normal 3 3 9" xfId="41470" xr:uid="{9A30FA9C-201F-4549-BEAF-30189A188385}"/>
    <cellStyle name="Normal 3 3 9 2" xfId="41471" xr:uid="{AF6B1071-0469-45B1-A592-78F6D8919057}"/>
    <cellStyle name="Normal 3 3 9 2 2" xfId="41472" xr:uid="{6F0FC8C8-3621-489E-8750-C3F23EA374DB}"/>
    <cellStyle name="Normal 3 3 9 3" xfId="41473" xr:uid="{ACECAB26-C22E-4F04-A52A-E1A870325712}"/>
    <cellStyle name="Normal 3 4" xfId="203" xr:uid="{40D6C31B-DEC7-42F0-B9B0-6DF21BE33415}"/>
    <cellStyle name="Normal 3 4 2" xfId="41474" xr:uid="{F17CF3BF-CB20-4739-B755-686431F69F51}"/>
    <cellStyle name="Normal 3 5" xfId="208" xr:uid="{242EEF8C-8F16-4D44-8CEB-28BEA3D9D9EE}"/>
    <cellStyle name="Normal 3 5 2" xfId="41476" xr:uid="{0A51E87B-268C-4C71-ADB3-DCC461626880}"/>
    <cellStyle name="Normal 3 5 2 2" xfId="227" xr:uid="{8B482302-BD47-41C8-8033-64108F438CAC}"/>
    <cellStyle name="Normal 3 5 2 2 2" xfId="41477" xr:uid="{24D36526-A00F-48B6-83A7-7EB8E00210F6}"/>
    <cellStyle name="Normal 3 5 3" xfId="41478" xr:uid="{C83169F3-F958-4E33-9909-B7621BC98F34}"/>
    <cellStyle name="Normal 3 5 4" xfId="41475" xr:uid="{83AAC461-8795-4D7D-95C8-7C9E6FCE2237}"/>
    <cellStyle name="Normal 3 6" xfId="210" xr:uid="{449FB70F-B011-4911-8978-98DD54F679D4}"/>
    <cellStyle name="Normal 3 6 2" xfId="41480" xr:uid="{9052A588-7759-4CE5-AB27-E39185FEF0E7}"/>
    <cellStyle name="Normal 3 6 2 2" xfId="41481" xr:uid="{1067A221-23B2-40CE-8467-E131314C3C8C}"/>
    <cellStyle name="Normal 3 6 3" xfId="41482" xr:uid="{2389B11C-23BA-4D67-AAFD-89E5EA51251A}"/>
    <cellStyle name="Normal 3 6 4" xfId="41479" xr:uid="{A89F2AD6-B610-49C9-B78B-AF81736498E5}"/>
    <cellStyle name="Normal 3 7" xfId="229" xr:uid="{2029E042-5EE2-444B-996C-D8B80E760501}"/>
    <cellStyle name="Normal 3 7 2" xfId="41484" xr:uid="{B8852178-CF28-457F-80C6-96BC405D6FFC}"/>
    <cellStyle name="Normal 3 7 2 2" xfId="41485" xr:uid="{207C7B2E-2D09-4476-9F5E-CACEE9DFBE42}"/>
    <cellStyle name="Normal 3 7 3" xfId="41486" xr:uid="{BD6AD113-9C63-4193-B62C-352359FBA37F}"/>
    <cellStyle name="Normal 3 7 4" xfId="41483" xr:uid="{59FFEFAF-8FA8-4377-B465-C2DF4328E17D}"/>
    <cellStyle name="Normal 3 8" xfId="41487" xr:uid="{40B59F37-D7D6-431D-92D9-68C99D8525C9}"/>
    <cellStyle name="Normal 3 9" xfId="41488" xr:uid="{63344BD6-6B6E-423B-905B-BEF0992983FF}"/>
    <cellStyle name="Normal 3_Extended Management Report - FCT RED &amp; Black - Cut off 2012 09 30 - V05" xfId="41489" xr:uid="{F418A576-0C10-4C14-BAEF-CC7D07C6E0A8}"/>
    <cellStyle name="Normal 30" xfId="226" xr:uid="{15E890A7-27EB-4FAF-9817-D97C173C8CB8}"/>
    <cellStyle name="Normal 30 2" xfId="41491" xr:uid="{F097D9BE-2C14-48E6-B880-2DD6D95D7A68}"/>
    <cellStyle name="Normal 30 3" xfId="41490" xr:uid="{C91B2483-F1A5-491A-B13A-CB5DABEE4717}"/>
    <cellStyle name="Normal 31" xfId="41492" xr:uid="{2CB364E4-5772-46EA-AE9F-6C50604B0F2D}"/>
    <cellStyle name="Normal 31 2" xfId="41493" xr:uid="{5FC31C3A-6E33-41E3-B1E8-1B0A6BD04227}"/>
    <cellStyle name="Normal 32" xfId="41494" xr:uid="{5FA28440-6D5E-4020-8EC3-455A4DEACD96}"/>
    <cellStyle name="Normal 32 2" xfId="41495" xr:uid="{1B5B1BA5-F3C6-417D-BDE4-A14B054F7230}"/>
    <cellStyle name="Normal 33" xfId="41496" xr:uid="{C8E20353-D659-44CA-AF06-40D1B65BB86C}"/>
    <cellStyle name="Normal 33 2" xfId="41497" xr:uid="{985F2F06-4ED1-4FA2-8F13-4BAA1213BC86}"/>
    <cellStyle name="Normal 34" xfId="41498" xr:uid="{70CBA1D1-9CDF-4F7C-A1EF-32CFB74CFABE}"/>
    <cellStyle name="Normal 34 2" xfId="41499" xr:uid="{1A1EB44F-015E-401E-8518-387B1E72CF3D}"/>
    <cellStyle name="Normal 35" xfId="41500" xr:uid="{8E400064-DADD-487B-8B83-5DCE280D4F70}"/>
    <cellStyle name="Normal 35 2" xfId="41501" xr:uid="{18F09BC2-25FF-4815-8884-C3D383DB38A8}"/>
    <cellStyle name="Normal 36" xfId="41502" xr:uid="{220C3459-20B0-4EC9-8B6C-6B5868A4EE89}"/>
    <cellStyle name="Normal 36 2" xfId="41503" xr:uid="{B30943E5-3A69-4095-BB1B-CFE682C05857}"/>
    <cellStyle name="Normal 36 2 2" xfId="41504" xr:uid="{325759AC-1E80-4270-B5B9-0A5BED96A343}"/>
    <cellStyle name="Normal 36 3" xfId="41505" xr:uid="{59A03A61-476C-42D3-A053-390DDD4EBFEC}"/>
    <cellStyle name="Normal 37" xfId="41506" xr:uid="{BB18DBD5-884B-4BDA-84CB-0FE119CB8721}"/>
    <cellStyle name="Normal 37 2" xfId="41507" xr:uid="{34F7F0B4-6C1F-4D36-824F-18700B5F0C23}"/>
    <cellStyle name="Normal 38" xfId="41508" xr:uid="{1B71C002-4D9A-47F6-9E9C-9E6E776ECEA9}"/>
    <cellStyle name="Normal 38 2" xfId="41509" xr:uid="{F5C6B089-EFB6-4598-A0C5-6E0B1E4E3BB7}"/>
    <cellStyle name="Normal 39" xfId="41510" xr:uid="{76DAAC4B-B5B3-4FC0-B60E-377B6D428360}"/>
    <cellStyle name="Normal 39 2" xfId="41511" xr:uid="{64982F1D-AB25-4A09-AF62-73E1283618D8}"/>
    <cellStyle name="Normal 4" xfId="181" xr:uid="{6F0CBD26-B949-43D6-A61E-DF2853FA3164}"/>
    <cellStyle name="Normal 4 2" xfId="41513" xr:uid="{056CB74C-9FA3-4670-A244-05671BAACC36}"/>
    <cellStyle name="Normal 4 2 2" xfId="41514" xr:uid="{8FDF4A40-8FA0-4443-9DD9-8E4D3A680A01}"/>
    <cellStyle name="Normal 4 2 3" xfId="41515" xr:uid="{B7A090CB-FB39-4FCE-B6C8-831F6B634BE2}"/>
    <cellStyle name="Normal 4 3" xfId="41516" xr:uid="{3D187D32-31AF-4EE3-BB4A-0D18915BA5E4}"/>
    <cellStyle name="Normal 4 3 10" xfId="41517" xr:uid="{D8FC0A71-9BF8-462A-A5EF-470C6EB01DDE}"/>
    <cellStyle name="Normal 4 3 10 2" xfId="41518" xr:uid="{7108E178-6807-4695-9F9C-4F28AFBEBC06}"/>
    <cellStyle name="Normal 4 3 11" xfId="41519" xr:uid="{6DDB9A7A-D8F7-480C-B30E-E423CDEAA68D}"/>
    <cellStyle name="Normal 4 3 2" xfId="41520" xr:uid="{72D91ACE-FA06-4EF1-8105-4406FD5B64D5}"/>
    <cellStyle name="Normal 4 3 2 10" xfId="41521" xr:uid="{3B113447-6FDD-4DEC-BFB2-09390AE3B757}"/>
    <cellStyle name="Normal 4 3 2 2" xfId="41522" xr:uid="{88AA188A-EA92-44A6-87CA-CD5E4589B01A}"/>
    <cellStyle name="Normal 4 3 2 2 2" xfId="41523" xr:uid="{43563ABB-F7C6-400D-9E27-4E3401AA3405}"/>
    <cellStyle name="Normal 4 3 2 2 2 2" xfId="41524" xr:uid="{C3E8D1BC-1B5D-40CA-857B-CA0589623B2C}"/>
    <cellStyle name="Normal 4 3 2 2 2 2 2" xfId="41525" xr:uid="{9565532B-E36C-4615-8208-B7F3544A372D}"/>
    <cellStyle name="Normal 4 3 2 2 2 2 2 2" xfId="41526" xr:uid="{84C1FC5B-6CA8-4941-A7FC-5EA99B44B89B}"/>
    <cellStyle name="Normal 4 3 2 2 2 2 3" xfId="41527" xr:uid="{4480FB20-1783-4931-B566-F252ABFBD1C2}"/>
    <cellStyle name="Normal 4 3 2 2 2 3" xfId="41528" xr:uid="{F1EF2269-61A5-47D6-9E03-F48F00B6FF34}"/>
    <cellStyle name="Normal 4 3 2 2 2 3 2" xfId="41529" xr:uid="{DFF38791-D2EC-40DE-98EE-FC3105CC5A15}"/>
    <cellStyle name="Normal 4 3 2 2 2 3 2 2" xfId="41530" xr:uid="{8F830C2B-DD98-490A-95D3-929786DF4EE1}"/>
    <cellStyle name="Normal 4 3 2 2 2 3 3" xfId="41531" xr:uid="{BCAC0245-0416-41CD-B8C2-16E164B5F890}"/>
    <cellStyle name="Normal 4 3 2 2 2 4" xfId="41532" xr:uid="{18A8DD74-FEFE-45D4-8CF6-28B5AD6AFBC9}"/>
    <cellStyle name="Normal 4 3 2 2 2 4 2" xfId="41533" xr:uid="{A8AEDB35-9473-430F-B439-147351FA0B34}"/>
    <cellStyle name="Normal 4 3 2 2 2 5" xfId="41534" xr:uid="{69148D5B-31C5-4E41-8310-6698E5C40572}"/>
    <cellStyle name="Normal 4 3 2 2 3" xfId="41535" xr:uid="{85899BA7-B0BF-4928-BC4C-C4F29D03F8C7}"/>
    <cellStyle name="Normal 4 3 2 2 3 2" xfId="41536" xr:uid="{0964CCD8-0606-4914-A015-5B77D9AE1EF3}"/>
    <cellStyle name="Normal 4 3 2 2 3 2 2" xfId="41537" xr:uid="{3AB43E0A-C095-452B-90E4-AFBDA82F12DD}"/>
    <cellStyle name="Normal 4 3 2 2 3 2 2 2" xfId="41538" xr:uid="{E3BFD75D-8C8B-403D-AB7A-6C0BFFB4D5C5}"/>
    <cellStyle name="Normal 4 3 2 2 3 2 3" xfId="41539" xr:uid="{49BB2647-536F-4F94-B929-E01C1E97E3D6}"/>
    <cellStyle name="Normal 4 3 2 2 3 3" xfId="41540" xr:uid="{5EEBB802-1455-47DA-B5AB-3D0C68774A63}"/>
    <cellStyle name="Normal 4 3 2 2 3 3 2" xfId="41541" xr:uid="{7A521C4C-6F0F-4B08-923F-D52AC8A51FA3}"/>
    <cellStyle name="Normal 4 3 2 2 3 3 2 2" xfId="41542" xr:uid="{AA0F7835-E741-4211-BBE6-B80B57E6A5AF}"/>
    <cellStyle name="Normal 4 3 2 2 3 3 3" xfId="41543" xr:uid="{465261A5-8E97-4A8B-89E3-5BAB13488C6C}"/>
    <cellStyle name="Normal 4 3 2 2 3 4" xfId="41544" xr:uid="{EA62E43C-1306-4812-AB9F-499C744ED597}"/>
    <cellStyle name="Normal 4 3 2 2 3 4 2" xfId="41545" xr:uid="{E4A73157-6E5E-4FD3-A1C5-0D7C73CFC039}"/>
    <cellStyle name="Normal 4 3 2 2 3 5" xfId="41546" xr:uid="{416479BE-CD9C-4EDD-97C6-2D39692C70E4}"/>
    <cellStyle name="Normal 4 3 2 2 4" xfId="41547" xr:uid="{F2DE95F5-A175-4ED0-B90E-C2D118D7C946}"/>
    <cellStyle name="Normal 4 3 2 2 4 2" xfId="41548" xr:uid="{69404245-8E4B-4816-9949-3765D73D64A5}"/>
    <cellStyle name="Normal 4 3 2 2 4 2 2" xfId="41549" xr:uid="{32840FDA-0EF6-4BB4-BCE6-3F3D3E5B445C}"/>
    <cellStyle name="Normal 4 3 2 2 4 3" xfId="41550" xr:uid="{414523C2-10BC-48BC-B713-78F4ECA91C0B}"/>
    <cellStyle name="Normal 4 3 2 2 5" xfId="41551" xr:uid="{CBE54FB7-B879-410E-94C8-42AA2D6F7D91}"/>
    <cellStyle name="Normal 4 3 2 2 5 2" xfId="41552" xr:uid="{AC8186D4-98AF-4567-A04B-C6D3F158590D}"/>
    <cellStyle name="Normal 4 3 2 2 5 2 2" xfId="41553" xr:uid="{5453A08E-1A55-4846-BBD0-FE5E462E0D57}"/>
    <cellStyle name="Normal 4 3 2 2 5 3" xfId="41554" xr:uid="{006BCBCE-02A0-4CC4-ABE0-EE47BA942056}"/>
    <cellStyle name="Normal 4 3 2 2 6" xfId="41555" xr:uid="{21A6D76B-6813-44AB-8895-649BBA6576E0}"/>
    <cellStyle name="Normal 4 3 2 2 6 2" xfId="41556" xr:uid="{2546ACFD-6A1F-4013-AED8-966358CFB177}"/>
    <cellStyle name="Normal 4 3 2 2 7" xfId="41557" xr:uid="{0EBB0F58-A7E7-465D-8C3E-B10068B4F0DE}"/>
    <cellStyle name="Normal 4 3 2 3" xfId="41558" xr:uid="{DAA1C6A4-0791-4FDB-BB69-C6CA6C51AE47}"/>
    <cellStyle name="Normal 4 3 2 3 2" xfId="41559" xr:uid="{02AA3BDD-2F9D-4C38-BDA3-2D9DE1798292}"/>
    <cellStyle name="Normal 4 3 2 3 2 2" xfId="41560" xr:uid="{FE8976F7-0A60-4894-872D-4D5F3335A5DE}"/>
    <cellStyle name="Normal 4 3 2 3 2 2 2" xfId="41561" xr:uid="{C1AE8279-8356-4A38-A5D7-4897AF4AD703}"/>
    <cellStyle name="Normal 4 3 2 3 2 2 2 2" xfId="41562" xr:uid="{6597AEC2-BA58-4882-A19A-6A13F60275E3}"/>
    <cellStyle name="Normal 4 3 2 3 2 2 3" xfId="41563" xr:uid="{42097AA3-E493-48C6-B5A2-8A9613F1595D}"/>
    <cellStyle name="Normal 4 3 2 3 2 3" xfId="41564" xr:uid="{CBE424AD-BF07-4029-8CB8-A0B9070922F5}"/>
    <cellStyle name="Normal 4 3 2 3 2 3 2" xfId="41565" xr:uid="{23931770-4048-4182-9828-A6F95A515CA5}"/>
    <cellStyle name="Normal 4 3 2 3 2 3 2 2" xfId="41566" xr:uid="{E37D4735-9AA2-4729-8CBB-C4AAC3C888CB}"/>
    <cellStyle name="Normal 4 3 2 3 2 3 3" xfId="41567" xr:uid="{F0C7E7A2-5583-4DC6-8F0E-8CCB70D73B33}"/>
    <cellStyle name="Normal 4 3 2 3 2 4" xfId="41568" xr:uid="{813702BF-9829-4883-94D1-13E6C6A69936}"/>
    <cellStyle name="Normal 4 3 2 3 2 4 2" xfId="41569" xr:uid="{F45AD9FD-2DD6-47F2-A40C-3DFBCCA8F2CB}"/>
    <cellStyle name="Normal 4 3 2 3 2 5" xfId="41570" xr:uid="{E578F7EC-4397-4E17-AA47-824241072817}"/>
    <cellStyle name="Normal 4 3 2 3 3" xfId="41571" xr:uid="{5F333952-A13C-4C32-A905-7E612987F0DC}"/>
    <cellStyle name="Normal 4 3 2 3 3 2" xfId="41572" xr:uid="{8941057A-B7D1-4601-B335-5ABAE2FA668D}"/>
    <cellStyle name="Normal 4 3 2 3 3 2 2" xfId="41573" xr:uid="{87818741-F249-4C13-A84D-0A5542FC7AA2}"/>
    <cellStyle name="Normal 4 3 2 3 3 2 2 2" xfId="41574" xr:uid="{1A1B1CA0-9F19-4621-ADCA-0D13AB1A5133}"/>
    <cellStyle name="Normal 4 3 2 3 3 2 3" xfId="41575" xr:uid="{9B04C248-8F31-4046-AD86-2F174C144CA3}"/>
    <cellStyle name="Normal 4 3 2 3 3 3" xfId="41576" xr:uid="{4A1E5A22-213A-47D1-BD2A-9B0F90673F75}"/>
    <cellStyle name="Normal 4 3 2 3 3 3 2" xfId="41577" xr:uid="{65B9F14D-7D0B-4250-8278-59B06B71B82C}"/>
    <cellStyle name="Normal 4 3 2 3 3 3 2 2" xfId="41578" xr:uid="{0177D565-5914-4F50-A630-23683CA55835}"/>
    <cellStyle name="Normal 4 3 2 3 3 3 3" xfId="41579" xr:uid="{3772DFD1-FCDE-41F1-9A62-37E9E968085A}"/>
    <cellStyle name="Normal 4 3 2 3 3 4" xfId="41580" xr:uid="{9F451B14-B5AE-4F25-90DF-8A9B11E55E25}"/>
    <cellStyle name="Normal 4 3 2 3 3 4 2" xfId="41581" xr:uid="{3E27FA41-E488-4E0C-96AF-926C84455E6B}"/>
    <cellStyle name="Normal 4 3 2 3 3 5" xfId="41582" xr:uid="{0424DFAA-05EA-4A2A-8B22-C3C8512D590A}"/>
    <cellStyle name="Normal 4 3 2 3 4" xfId="41583" xr:uid="{4C087E63-8A0B-411A-8145-09FFE1B11B26}"/>
    <cellStyle name="Normal 4 3 2 3 4 2" xfId="41584" xr:uid="{B8AD2A82-5A63-463A-A4C4-61F14D344034}"/>
    <cellStyle name="Normal 4 3 2 3 4 2 2" xfId="41585" xr:uid="{E9D920B6-0087-4F6D-A689-4C4A63A370DE}"/>
    <cellStyle name="Normal 4 3 2 3 4 3" xfId="41586" xr:uid="{693644FB-1B38-438D-9922-7117E07384D9}"/>
    <cellStyle name="Normal 4 3 2 3 5" xfId="41587" xr:uid="{A90DCB82-727F-44D3-A4AF-7717F07C3F61}"/>
    <cellStyle name="Normal 4 3 2 3 5 2" xfId="41588" xr:uid="{477771A1-87A0-4102-A18E-353F41A04FA3}"/>
    <cellStyle name="Normal 4 3 2 3 5 2 2" xfId="41589" xr:uid="{58A02E90-DE85-4795-9407-2A9444BDEBCC}"/>
    <cellStyle name="Normal 4 3 2 3 5 3" xfId="41590" xr:uid="{62881C84-060D-4745-A28E-0274267E95DD}"/>
    <cellStyle name="Normal 4 3 2 3 6" xfId="41591" xr:uid="{4AB77EE8-2BF8-4592-8926-65735E8B1205}"/>
    <cellStyle name="Normal 4 3 2 3 6 2" xfId="41592" xr:uid="{7BE5DB0C-1B74-4606-A00E-D507FCDC4847}"/>
    <cellStyle name="Normal 4 3 2 3 7" xfId="41593" xr:uid="{DDCD65F7-61F9-49E8-98F8-5905BBE47E40}"/>
    <cellStyle name="Normal 4 3 2 4" xfId="41594" xr:uid="{A97E5B3D-3B71-4EA5-9574-BC028D285051}"/>
    <cellStyle name="Normal 4 3 2 4 2" xfId="41595" xr:uid="{2D3674E1-257A-4E30-8C92-A55082D7BC8C}"/>
    <cellStyle name="Normal 4 3 2 4 2 2" xfId="41596" xr:uid="{5F44DA00-C3B0-49A2-AB0A-26975B122C8D}"/>
    <cellStyle name="Normal 4 3 2 4 2 2 2" xfId="41597" xr:uid="{B4095FB6-E0C7-4F57-86DF-4A34F4D5F024}"/>
    <cellStyle name="Normal 4 3 2 4 2 3" xfId="41598" xr:uid="{2A2CC562-9CE6-4B73-B15F-72EBCEAB0BD0}"/>
    <cellStyle name="Normal 4 3 2 4 3" xfId="41599" xr:uid="{9638A6A4-7AC3-4BBB-A4A2-4296822CFDAD}"/>
    <cellStyle name="Normal 4 3 2 4 3 2" xfId="41600" xr:uid="{1A5E62C4-3431-4D3B-9721-C6902A88BCD7}"/>
    <cellStyle name="Normal 4 3 2 4 3 2 2" xfId="41601" xr:uid="{B57F0513-A893-4121-A113-A1FE9C5B4484}"/>
    <cellStyle name="Normal 4 3 2 4 3 3" xfId="41602" xr:uid="{8C57413B-BC87-426C-9642-17FE08C6291E}"/>
    <cellStyle name="Normal 4 3 2 4 4" xfId="41603" xr:uid="{BA21C8D6-C858-4E4B-A831-25D9FABBEA38}"/>
    <cellStyle name="Normal 4 3 2 4 4 2" xfId="41604" xr:uid="{B211E1A5-843B-4D51-857B-BC615A62F151}"/>
    <cellStyle name="Normal 4 3 2 4 5" xfId="41605" xr:uid="{C08ADEF8-E8D1-477F-8E21-A87B7D184A8B}"/>
    <cellStyle name="Normal 4 3 2 5" xfId="41606" xr:uid="{085FFC2E-3F25-4D23-83EB-D9ACB3A6E2FC}"/>
    <cellStyle name="Normal 4 3 2 5 2" xfId="41607" xr:uid="{762451B5-3BC3-46C0-B04F-EFF6402BA51F}"/>
    <cellStyle name="Normal 4 3 2 5 2 2" xfId="41608" xr:uid="{F0572493-5402-4AA4-BB39-0F61017E1DE7}"/>
    <cellStyle name="Normal 4 3 2 5 2 2 2" xfId="41609" xr:uid="{DAB5477D-BEFF-4534-BF4B-BF0EE54F3F69}"/>
    <cellStyle name="Normal 4 3 2 5 2 3" xfId="41610" xr:uid="{0BCEF063-300F-4AE8-913F-9731B77528B7}"/>
    <cellStyle name="Normal 4 3 2 5 3" xfId="41611" xr:uid="{3C1FE775-F964-484C-81B2-6838E646AE10}"/>
    <cellStyle name="Normal 4 3 2 5 3 2" xfId="41612" xr:uid="{84B7A6F2-3A1C-4B25-BB37-97DB13B1CFF0}"/>
    <cellStyle name="Normal 4 3 2 5 3 2 2" xfId="41613" xr:uid="{F52949A8-1BCF-4A00-A19F-48B50D1FCB5C}"/>
    <cellStyle name="Normal 4 3 2 5 3 3" xfId="41614" xr:uid="{D6DD2AAC-3F33-4324-8173-B8FC2C1B0D4C}"/>
    <cellStyle name="Normal 4 3 2 5 4" xfId="41615" xr:uid="{FD621F88-FE2B-4279-9079-EBD4609D95B4}"/>
    <cellStyle name="Normal 4 3 2 5 4 2" xfId="41616" xr:uid="{EE2B4D8A-7AE3-4B7B-BBE0-3FCAA4F34861}"/>
    <cellStyle name="Normal 4 3 2 5 5" xfId="41617" xr:uid="{F784120E-6AA0-4FA6-900A-FEEE1437DFF8}"/>
    <cellStyle name="Normal 4 3 2 6" xfId="41618" xr:uid="{45AA1C53-7AFC-4C73-827B-1D9E70351040}"/>
    <cellStyle name="Normal 4 3 2 6 2" xfId="41619" xr:uid="{84AAD6D1-1B63-448C-9E24-1BF722D2BE99}"/>
    <cellStyle name="Normal 4 3 2 6 2 2" xfId="41620" xr:uid="{3F94AF17-0314-4B46-8C13-9F4036EE4741}"/>
    <cellStyle name="Normal 4 3 2 6 2 2 2" xfId="41621" xr:uid="{4DF76E67-3E9E-4AB4-8410-348B064D896F}"/>
    <cellStyle name="Normal 4 3 2 6 2 3" xfId="41622" xr:uid="{17824C35-21DB-4D96-AABF-B5A15393DE82}"/>
    <cellStyle name="Normal 4 3 2 6 3" xfId="41623" xr:uid="{F926515C-D349-4B6C-A782-5C107394F44A}"/>
    <cellStyle name="Normal 4 3 2 6 3 2" xfId="41624" xr:uid="{A6A39CE3-5E34-41A6-ABA1-3A945377247C}"/>
    <cellStyle name="Normal 4 3 2 6 3 2 2" xfId="41625" xr:uid="{B079842C-3944-4757-9EFE-358C53814976}"/>
    <cellStyle name="Normal 4 3 2 6 3 3" xfId="41626" xr:uid="{DB4EAE3A-607B-4D07-98DC-002D80E7AF57}"/>
    <cellStyle name="Normal 4 3 2 6 4" xfId="41627" xr:uid="{F06B72CA-40D2-4814-9816-72F45B00B708}"/>
    <cellStyle name="Normal 4 3 2 6 4 2" xfId="41628" xr:uid="{84595372-5F09-420C-BE3D-F4536CB8E2E2}"/>
    <cellStyle name="Normal 4 3 2 6 5" xfId="41629" xr:uid="{3F29E23E-0A22-40AF-99F3-E67A1F957B89}"/>
    <cellStyle name="Normal 4 3 2 7" xfId="41630" xr:uid="{358EC4FE-7D06-4940-85DA-0709F8B15DB3}"/>
    <cellStyle name="Normal 4 3 2 7 2" xfId="41631" xr:uid="{02627301-159E-41C5-9F7C-426B878BDB96}"/>
    <cellStyle name="Normal 4 3 2 7 2 2" xfId="41632" xr:uid="{89320204-CAB1-482A-8893-B9DE3A6C7548}"/>
    <cellStyle name="Normal 4 3 2 7 3" xfId="41633" xr:uid="{368A2218-9BB7-462B-9470-679AD9AC7479}"/>
    <cellStyle name="Normal 4 3 2 8" xfId="41634" xr:uid="{05C97433-01B9-48C1-9E51-845EBAC01E06}"/>
    <cellStyle name="Normal 4 3 2 8 2" xfId="41635" xr:uid="{028F7A3C-6EC8-4A9C-A548-DD44CA57452F}"/>
    <cellStyle name="Normal 4 3 2 8 2 2" xfId="41636" xr:uid="{084DE043-D7EF-4588-A5D3-2B619772DE15}"/>
    <cellStyle name="Normal 4 3 2 8 3" xfId="41637" xr:uid="{8689792E-426C-428E-9FBA-07F788964A86}"/>
    <cellStyle name="Normal 4 3 2 9" xfId="41638" xr:uid="{524E6130-514E-4524-B011-17A3BB0E8C95}"/>
    <cellStyle name="Normal 4 3 2 9 2" xfId="41639" xr:uid="{53607765-E6EB-4975-BE58-AF050AE36917}"/>
    <cellStyle name="Normal 4 3 3" xfId="41640" xr:uid="{11014486-FC86-4D4F-B74B-841C0016A42F}"/>
    <cellStyle name="Normal 4 3 3 2" xfId="41641" xr:uid="{73010566-B757-4E29-A23D-943DED56E778}"/>
    <cellStyle name="Normal 4 3 3 2 2" xfId="41642" xr:uid="{B93E2043-2E5B-4CDD-955F-1E1B22CC2260}"/>
    <cellStyle name="Normal 4 3 3 2 2 2" xfId="41643" xr:uid="{713E2A4D-1876-497F-95BE-591847F6F790}"/>
    <cellStyle name="Normal 4 3 3 2 2 2 2" xfId="41644" xr:uid="{FDD401F9-684A-448C-8BDB-7E0C080D510F}"/>
    <cellStyle name="Normal 4 3 3 2 2 3" xfId="41645" xr:uid="{CC6133FD-540B-4E37-A8A9-DC6A38CC9139}"/>
    <cellStyle name="Normal 4 3 3 2 3" xfId="41646" xr:uid="{10BFC7A7-D684-4D58-9B69-61B85657007D}"/>
    <cellStyle name="Normal 4 3 3 2 3 2" xfId="41647" xr:uid="{04CD0175-EC9E-4474-8DC4-32B7C34C68C4}"/>
    <cellStyle name="Normal 4 3 3 2 3 2 2" xfId="41648" xr:uid="{27796D1D-49F5-4FD4-A95E-C431E4E528AE}"/>
    <cellStyle name="Normal 4 3 3 2 3 3" xfId="41649" xr:uid="{7B5792D7-1C0B-4F8B-BE87-840B72B09AD7}"/>
    <cellStyle name="Normal 4 3 3 2 4" xfId="41650" xr:uid="{EC8311D8-6B65-4E90-B382-17EB9C53A4BE}"/>
    <cellStyle name="Normal 4 3 3 2 4 2" xfId="41651" xr:uid="{F416B05A-29AF-496B-99F8-7F7A6FBF20EA}"/>
    <cellStyle name="Normal 4 3 3 2 5" xfId="41652" xr:uid="{8BB89D2C-A0FE-4A24-B639-944B129754FE}"/>
    <cellStyle name="Normal 4 3 3 3" xfId="41653" xr:uid="{3A363978-BDC8-4315-8E8F-65A95E3DCD07}"/>
    <cellStyle name="Normal 4 3 3 3 2" xfId="41654" xr:uid="{967AA8A9-4977-4741-9C49-50D09C0DE035}"/>
    <cellStyle name="Normal 4 3 3 3 2 2" xfId="41655" xr:uid="{06DDE56C-3C24-4596-A1E2-D806069086D6}"/>
    <cellStyle name="Normal 4 3 3 3 2 2 2" xfId="41656" xr:uid="{BB39DFF7-5FBF-47CD-95F1-2CBE8F537A11}"/>
    <cellStyle name="Normal 4 3 3 3 2 3" xfId="41657" xr:uid="{35D77393-66F9-450A-AA0A-5E3ED5544EDA}"/>
    <cellStyle name="Normal 4 3 3 3 3" xfId="41658" xr:uid="{916EBB4C-3C20-488B-BCB0-9A231B1BD4EC}"/>
    <cellStyle name="Normal 4 3 3 3 3 2" xfId="41659" xr:uid="{549D9E3C-CABD-4179-88E9-D4D92E3F745F}"/>
    <cellStyle name="Normal 4 3 3 3 3 2 2" xfId="41660" xr:uid="{934A93A5-C479-4EC3-98F4-F7AB6CF39630}"/>
    <cellStyle name="Normal 4 3 3 3 3 3" xfId="41661" xr:uid="{58B54B78-BB36-444C-A486-FB04D24E8E60}"/>
    <cellStyle name="Normal 4 3 3 3 4" xfId="41662" xr:uid="{F807F637-0BE9-49D1-B4AB-8B964DC51FC1}"/>
    <cellStyle name="Normal 4 3 3 3 4 2" xfId="41663" xr:uid="{0F7BAED8-E961-4B5E-BD30-ABD5B442E6B4}"/>
    <cellStyle name="Normal 4 3 3 3 5" xfId="41664" xr:uid="{DBCA926E-6A6A-4C11-89BF-753F839761A7}"/>
    <cellStyle name="Normal 4 3 3 4" xfId="41665" xr:uid="{8540C415-7585-40D1-9DB8-0705357EED9E}"/>
    <cellStyle name="Normal 4 3 3 4 2" xfId="41666" xr:uid="{42EB9637-125E-404E-9C73-8BF7D65BC0B7}"/>
    <cellStyle name="Normal 4 3 3 4 2 2" xfId="41667" xr:uid="{D25FFD89-C73A-4267-9C29-9CFFC8533269}"/>
    <cellStyle name="Normal 4 3 3 4 3" xfId="41668" xr:uid="{467BA9F8-C0F0-464D-86B1-67873E5EEB2B}"/>
    <cellStyle name="Normal 4 3 3 5" xfId="41669" xr:uid="{E5B3868B-E8D0-4FAA-86F5-2E9A49021271}"/>
    <cellStyle name="Normal 4 3 3 5 2" xfId="41670" xr:uid="{7D22002A-362A-4795-8A69-751622FA593E}"/>
    <cellStyle name="Normal 4 3 3 5 2 2" xfId="41671" xr:uid="{272D9B49-255F-439D-A7AC-C481BF52E925}"/>
    <cellStyle name="Normal 4 3 3 5 3" xfId="41672" xr:uid="{3D06654A-7D3C-41DD-98B0-270E5C74F1BD}"/>
    <cellStyle name="Normal 4 3 3 6" xfId="41673" xr:uid="{A778F355-8420-4E67-B022-99329564074E}"/>
    <cellStyle name="Normal 4 3 3 6 2" xfId="41674" xr:uid="{2DF02A76-1479-40FB-9620-FBCAD07DB642}"/>
    <cellStyle name="Normal 4 3 3 7" xfId="41675" xr:uid="{7F6B600A-76EC-4305-97A5-1FB86F57A143}"/>
    <cellStyle name="Normal 4 3 4" xfId="41676" xr:uid="{508FBE75-1E23-4C39-BCF9-537122C6FF79}"/>
    <cellStyle name="Normal 4 3 4 2" xfId="41677" xr:uid="{7ED5BD81-D195-4A5E-B1B4-B418BB0FD663}"/>
    <cellStyle name="Normal 4 3 4 2 2" xfId="41678" xr:uid="{31ADE559-B075-4A01-B1CB-6BA089F91664}"/>
    <cellStyle name="Normal 4 3 4 2 2 2" xfId="41679" xr:uid="{7E197749-340E-4D8B-A393-2D5CE9E91E10}"/>
    <cellStyle name="Normal 4 3 4 2 2 2 2" xfId="41680" xr:uid="{71D9E21A-1396-4F1F-9C17-523B602DCF31}"/>
    <cellStyle name="Normal 4 3 4 2 2 3" xfId="41681" xr:uid="{BAE698D2-AABC-4CFB-A76C-93F75E5F36AD}"/>
    <cellStyle name="Normal 4 3 4 2 3" xfId="41682" xr:uid="{F60D1FA2-2E94-42C3-BFDB-DFB21F63539B}"/>
    <cellStyle name="Normal 4 3 4 2 3 2" xfId="41683" xr:uid="{ED9095A9-FFDD-481D-A9C1-D5B6A618A2CF}"/>
    <cellStyle name="Normal 4 3 4 2 3 2 2" xfId="41684" xr:uid="{5620D6F7-9CE9-4C57-95B2-F768C920410E}"/>
    <cellStyle name="Normal 4 3 4 2 3 3" xfId="41685" xr:uid="{6437F704-774C-4DFB-B71E-25144165B2FF}"/>
    <cellStyle name="Normal 4 3 4 2 4" xfId="41686" xr:uid="{299CE2F5-5249-4E8A-AFE1-B8A7555469FE}"/>
    <cellStyle name="Normal 4 3 4 2 4 2" xfId="41687" xr:uid="{ABA25C43-D19C-4FDF-A944-3668F1E08283}"/>
    <cellStyle name="Normal 4 3 4 2 5" xfId="41688" xr:uid="{D87503D3-F757-4C09-ADEA-AD609E2A24CB}"/>
    <cellStyle name="Normal 4 3 4 3" xfId="41689" xr:uid="{68297193-347B-4CE5-850B-FE6C395191DC}"/>
    <cellStyle name="Normal 4 3 4 3 2" xfId="41690" xr:uid="{C8B876DC-C704-48C4-A957-9B68CE1BDCD6}"/>
    <cellStyle name="Normal 4 3 4 3 2 2" xfId="41691" xr:uid="{81FE41FF-5732-41B3-9EE6-841AC22F227C}"/>
    <cellStyle name="Normal 4 3 4 3 2 2 2" xfId="41692" xr:uid="{5B9F7D18-5B02-44B2-8509-AD87B5D38BF9}"/>
    <cellStyle name="Normal 4 3 4 3 2 3" xfId="41693" xr:uid="{2440BFF3-3AE2-40E3-85F5-15D2E87A6AFC}"/>
    <cellStyle name="Normal 4 3 4 3 3" xfId="41694" xr:uid="{A447776E-14D7-402B-B32F-BF3175D271B4}"/>
    <cellStyle name="Normal 4 3 4 3 3 2" xfId="41695" xr:uid="{DFD9FEE2-A296-4E65-8565-303D7CC0618A}"/>
    <cellStyle name="Normal 4 3 4 3 3 2 2" xfId="41696" xr:uid="{8AF145D1-1D48-43C6-B184-09C005E856AC}"/>
    <cellStyle name="Normal 4 3 4 3 3 3" xfId="41697" xr:uid="{C508B83C-3705-4A1A-A42C-8A369A756CDF}"/>
    <cellStyle name="Normal 4 3 4 3 4" xfId="41698" xr:uid="{0A1E4274-3489-4DAB-B7C9-46553901850B}"/>
    <cellStyle name="Normal 4 3 4 3 4 2" xfId="41699" xr:uid="{FCBE88BA-6187-4597-ABD4-87CC4DBE1197}"/>
    <cellStyle name="Normal 4 3 4 3 5" xfId="41700" xr:uid="{A5EFD055-6872-4F64-8A19-7DD4233F3A59}"/>
    <cellStyle name="Normal 4 3 4 4" xfId="41701" xr:uid="{CDF817FA-2155-40E3-A101-14D6DF9EB6DF}"/>
    <cellStyle name="Normal 4 3 4 4 2" xfId="41702" xr:uid="{CE4330FD-5E84-4AFB-8622-8BA9104DE5CF}"/>
    <cellStyle name="Normal 4 3 4 4 2 2" xfId="41703" xr:uid="{19ADFE4D-80CE-4493-B70A-68799EC672B7}"/>
    <cellStyle name="Normal 4 3 4 4 3" xfId="41704" xr:uid="{44D7822E-D052-4AAE-8877-12242BEB26D7}"/>
    <cellStyle name="Normal 4 3 4 5" xfId="41705" xr:uid="{85B0150B-7C6C-4F01-BF05-4E7925131C68}"/>
    <cellStyle name="Normal 4 3 4 5 2" xfId="41706" xr:uid="{CBAEE457-8B0A-4325-A97D-FB2586EC47D5}"/>
    <cellStyle name="Normal 4 3 4 5 2 2" xfId="41707" xr:uid="{8AEF365B-D8DB-4F35-A96C-2CD3868B233A}"/>
    <cellStyle name="Normal 4 3 4 5 3" xfId="41708" xr:uid="{740FB543-C31C-4798-B769-74DA7A0BDEDF}"/>
    <cellStyle name="Normal 4 3 4 6" xfId="41709" xr:uid="{8C0C254F-A98A-4986-AEBF-1BCDEFA67486}"/>
    <cellStyle name="Normal 4 3 4 6 2" xfId="41710" xr:uid="{7F1DD006-9C88-43BD-BEDE-C1F3DFF11A70}"/>
    <cellStyle name="Normal 4 3 4 7" xfId="41711" xr:uid="{D33D90E1-7598-4745-93F4-0EA057014465}"/>
    <cellStyle name="Normal 4 3 5" xfId="41712" xr:uid="{9729B4D1-1307-4960-ADCC-A6D743CE8F33}"/>
    <cellStyle name="Normal 4 3 5 2" xfId="41713" xr:uid="{26C6C442-9910-4A8F-B6E5-140299E55639}"/>
    <cellStyle name="Normal 4 3 5 2 2" xfId="41714" xr:uid="{177AB13D-1208-4A2D-9D64-A249FE0287A4}"/>
    <cellStyle name="Normal 4 3 5 2 2 2" xfId="41715" xr:uid="{6A4704DA-8D60-40B6-846B-6D21EEE0C71B}"/>
    <cellStyle name="Normal 4 3 5 2 3" xfId="41716" xr:uid="{54B84B2D-C0E5-4266-B78A-1BB0ABE04F2F}"/>
    <cellStyle name="Normal 4 3 5 3" xfId="41717" xr:uid="{F69DF2EF-30FD-49AF-BB89-1EC955F2B150}"/>
    <cellStyle name="Normal 4 3 5 3 2" xfId="41718" xr:uid="{3ADE5772-F5C9-4398-AEAF-01162B299B2F}"/>
    <cellStyle name="Normal 4 3 5 3 2 2" xfId="41719" xr:uid="{DD1169A0-E668-4FA1-9CC6-5941A1061E73}"/>
    <cellStyle name="Normal 4 3 5 3 3" xfId="41720" xr:uid="{2ECCF23C-4DB2-4512-B0D6-4ABA7E47F4E8}"/>
    <cellStyle name="Normal 4 3 5 4" xfId="41721" xr:uid="{DC19FE57-EAC4-407E-BF43-3DA71F4D6A99}"/>
    <cellStyle name="Normal 4 3 5 4 2" xfId="41722" xr:uid="{61A75AA5-17A6-4889-A3C6-608BE945EE29}"/>
    <cellStyle name="Normal 4 3 5 5" xfId="41723" xr:uid="{BEFB92E3-52F9-413F-AF21-9C0BA2664145}"/>
    <cellStyle name="Normal 4 3 6" xfId="41724" xr:uid="{C914573C-5B61-4BE8-93E2-B682860C90F5}"/>
    <cellStyle name="Normal 4 3 6 2" xfId="41725" xr:uid="{E5E16AE1-8454-4BC8-AC6D-79AAD9CA2C34}"/>
    <cellStyle name="Normal 4 3 6 2 2" xfId="41726" xr:uid="{D0BDCFF9-B4A8-458B-AD8A-75AFD723EC50}"/>
    <cellStyle name="Normal 4 3 6 2 2 2" xfId="41727" xr:uid="{8333D545-1D2A-48F1-93ED-74E8DBA257CB}"/>
    <cellStyle name="Normal 4 3 6 2 3" xfId="41728" xr:uid="{417FC13D-BC2A-447F-B888-15C6A29E8EFB}"/>
    <cellStyle name="Normal 4 3 6 3" xfId="41729" xr:uid="{A3569000-31FF-4218-AFDF-9385470BF6B7}"/>
    <cellStyle name="Normal 4 3 6 3 2" xfId="41730" xr:uid="{D5A486AC-F4F6-4A55-A7E9-F592AA9F0B85}"/>
    <cellStyle name="Normal 4 3 6 3 2 2" xfId="41731" xr:uid="{CD0F3679-48A0-46ED-8264-E8D8280F9802}"/>
    <cellStyle name="Normal 4 3 6 3 3" xfId="41732" xr:uid="{2BB8A2A7-A6B5-46DB-923D-0C462BA1AB62}"/>
    <cellStyle name="Normal 4 3 6 4" xfId="41733" xr:uid="{16D6D9C3-83A7-4B3A-ACAE-B4B8B4EAAC4B}"/>
    <cellStyle name="Normal 4 3 6 4 2" xfId="41734" xr:uid="{A2E51496-2B27-45CF-82A4-AF65BA1F399F}"/>
    <cellStyle name="Normal 4 3 6 5" xfId="41735" xr:uid="{F5B33CA7-06B8-40A9-B863-A1EFFFFCD328}"/>
    <cellStyle name="Normal 4 3 7" xfId="41736" xr:uid="{038FD1B0-9B28-4081-9471-2D9DDC51D691}"/>
    <cellStyle name="Normal 4 3 7 2" xfId="41737" xr:uid="{EFB1F71F-0C74-43C1-B2D4-DFED28D0B25A}"/>
    <cellStyle name="Normal 4 3 7 2 2" xfId="41738" xr:uid="{A9FA800E-252F-4041-B0A6-9DB14822F08A}"/>
    <cellStyle name="Normal 4 3 7 2 2 2" xfId="41739" xr:uid="{C7D1145B-A3F8-4383-920E-F62DE0A2998D}"/>
    <cellStyle name="Normal 4 3 7 2 3" xfId="41740" xr:uid="{20517561-6C39-4D21-8E5D-DBD2DC84E443}"/>
    <cellStyle name="Normal 4 3 7 3" xfId="41741" xr:uid="{D1A1838E-C665-46FD-BDFE-5B93128616A5}"/>
    <cellStyle name="Normal 4 3 7 3 2" xfId="41742" xr:uid="{7A7464D4-A021-4D77-ACA1-07B6E7CB12D6}"/>
    <cellStyle name="Normal 4 3 7 3 2 2" xfId="41743" xr:uid="{0A466E43-E0B6-4A0A-A986-5ECC9D347049}"/>
    <cellStyle name="Normal 4 3 7 3 3" xfId="41744" xr:uid="{434D1755-F11D-4F4E-AD2A-9AD866EE49C4}"/>
    <cellStyle name="Normal 4 3 7 4" xfId="41745" xr:uid="{CBEE9E48-979E-4337-8DF2-229923BD5C6B}"/>
    <cellStyle name="Normal 4 3 7 4 2" xfId="41746" xr:uid="{E44462AA-8273-4524-AE8B-B10D461DB942}"/>
    <cellStyle name="Normal 4 3 7 5" xfId="41747" xr:uid="{5E30ECEE-BF99-4E61-ABD5-2AA8AE5473DC}"/>
    <cellStyle name="Normal 4 3 8" xfId="41748" xr:uid="{0DC72A04-2B32-4B5A-9605-B0A70F624B3D}"/>
    <cellStyle name="Normal 4 3 8 2" xfId="41749" xr:uid="{41C8B7E4-4841-4012-AD4A-140CF7685DBE}"/>
    <cellStyle name="Normal 4 3 8 2 2" xfId="41750" xr:uid="{7B0CDA3E-2125-4BB9-A36E-437F369C314B}"/>
    <cellStyle name="Normal 4 3 8 3" xfId="41751" xr:uid="{46C901F8-16EE-4510-890A-C6BDD1EFB0C1}"/>
    <cellStyle name="Normal 4 3 9" xfId="41752" xr:uid="{7067C9AB-4BFA-4887-9EB5-51DFD40E5971}"/>
    <cellStyle name="Normal 4 3 9 2" xfId="41753" xr:uid="{9417583B-01BA-425C-9EB5-1F32F22138BE}"/>
    <cellStyle name="Normal 4 3 9 2 2" xfId="41754" xr:uid="{59E99384-47D3-4748-891D-944FBED1CB7C}"/>
    <cellStyle name="Normal 4 3 9 3" xfId="41755" xr:uid="{796362D4-263A-4A9E-93C7-83DF9AE7ED59}"/>
    <cellStyle name="Normal 4 4" xfId="41512" xr:uid="{6B1F893A-B5FF-4DCA-96E0-9B53C7CE47BB}"/>
    <cellStyle name="Normal 40" xfId="41756" xr:uid="{058A714A-BD4A-4D14-8845-3BEF084947C0}"/>
    <cellStyle name="Normal 40 2" xfId="41757" xr:uid="{6B0C1AE1-0427-430B-A8AA-98456B45B5BC}"/>
    <cellStyle name="Normal 40 3" xfId="41758" xr:uid="{C4F330A9-DB63-4459-AEDB-B5A6D587A6F2}"/>
    <cellStyle name="Normal 41" xfId="41759" xr:uid="{6BB4717D-8A35-4A65-B88D-0BFB96676BD6}"/>
    <cellStyle name="Normal 41 10" xfId="41760" xr:uid="{3A3B5BBB-128D-4061-9CBB-5038D2374E06}"/>
    <cellStyle name="Normal 41 10 2" xfId="41761" xr:uid="{47D16C0E-9835-4370-9246-84D2E965CC91}"/>
    <cellStyle name="Normal 41 11" xfId="41762" xr:uid="{EE54DC4C-F889-46BD-8627-F1B8FD9648CA}"/>
    <cellStyle name="Normal 41 2" xfId="41763" xr:uid="{6A456883-208A-4F9D-A1A9-643154D43DE9}"/>
    <cellStyle name="Normal 41 2 10" xfId="41764" xr:uid="{DE25730C-FB12-4761-8364-3A1C6192832D}"/>
    <cellStyle name="Normal 41 2 2" xfId="41765" xr:uid="{BF0025F7-402F-4926-8408-99ED4AFDDF71}"/>
    <cellStyle name="Normal 41 2 2 2" xfId="41766" xr:uid="{8311D7AA-2999-4D25-91D7-75F50B898F5F}"/>
    <cellStyle name="Normal 41 2 2 2 2" xfId="41767" xr:uid="{AA40CC99-C734-4170-988E-BFC350107A97}"/>
    <cellStyle name="Normal 41 2 2 2 2 2" xfId="41768" xr:uid="{ACDFAF17-EAC8-450D-88FC-11A6AA1A3DA0}"/>
    <cellStyle name="Normal 41 2 2 2 2 2 2" xfId="41769" xr:uid="{C17E63C3-CD2F-411D-BA8E-287F4AF8D636}"/>
    <cellStyle name="Normal 41 2 2 2 2 3" xfId="41770" xr:uid="{A007CB3E-BDBE-4CDF-9BCE-76E02D6B2C62}"/>
    <cellStyle name="Normal 41 2 2 2 3" xfId="41771" xr:uid="{1FB4FDC5-83D3-4439-8CBF-CAE864E90DBB}"/>
    <cellStyle name="Normal 41 2 2 2 3 2" xfId="41772" xr:uid="{113B89DF-6CA6-42DF-9B30-82C47F9D5EC5}"/>
    <cellStyle name="Normal 41 2 2 2 3 2 2" xfId="41773" xr:uid="{0C2AA315-61C8-4AD4-AFAE-33F2C47AC89F}"/>
    <cellStyle name="Normal 41 2 2 2 3 3" xfId="41774" xr:uid="{BC42214F-ED9C-411C-9877-E33DDE700149}"/>
    <cellStyle name="Normal 41 2 2 2 4" xfId="41775" xr:uid="{B7972848-D039-4377-8A5A-D1A8EA78E078}"/>
    <cellStyle name="Normal 41 2 2 2 4 2" xfId="41776" xr:uid="{838C0C1D-F42E-44DD-8728-5EA325793737}"/>
    <cellStyle name="Normal 41 2 2 2 5" xfId="41777" xr:uid="{F55A1A51-F656-42F2-9210-7E7607FC7FFB}"/>
    <cellStyle name="Normal 41 2 2 3" xfId="41778" xr:uid="{B52B62BF-021F-4423-956D-6D112992AA73}"/>
    <cellStyle name="Normal 41 2 2 3 2" xfId="41779" xr:uid="{FA5193B7-84C9-4CCF-83D6-3D06E6FE414E}"/>
    <cellStyle name="Normal 41 2 2 3 2 2" xfId="41780" xr:uid="{1B49A7EE-CD9C-48D8-9A45-F92E009DB26C}"/>
    <cellStyle name="Normal 41 2 2 3 2 2 2" xfId="41781" xr:uid="{037718CE-1768-42DE-B14B-4F9F8B7B06A8}"/>
    <cellStyle name="Normal 41 2 2 3 2 3" xfId="41782" xr:uid="{38FD0C87-9478-495F-A947-05A77D14D3FF}"/>
    <cellStyle name="Normal 41 2 2 3 3" xfId="41783" xr:uid="{B5FF00CD-A9D1-4795-8ECF-277BA795248A}"/>
    <cellStyle name="Normal 41 2 2 3 3 2" xfId="41784" xr:uid="{9AF2DE51-AA13-42A1-942E-C3A52A1B0B80}"/>
    <cellStyle name="Normal 41 2 2 3 3 2 2" xfId="41785" xr:uid="{236596D8-8BC8-4CFE-8035-0C251D333EB7}"/>
    <cellStyle name="Normal 41 2 2 3 3 3" xfId="41786" xr:uid="{B95E23AD-DA62-4B76-812F-FFBBC06EA8F7}"/>
    <cellStyle name="Normal 41 2 2 3 4" xfId="41787" xr:uid="{EF9B777F-38EC-49DA-BEBD-926889C97BAD}"/>
    <cellStyle name="Normal 41 2 2 3 4 2" xfId="41788" xr:uid="{84550776-363D-4B53-B9F6-30699FD6E526}"/>
    <cellStyle name="Normal 41 2 2 3 5" xfId="41789" xr:uid="{F903786C-4664-4388-BFDC-BBC53C9ED1A3}"/>
    <cellStyle name="Normal 41 2 2 4" xfId="41790" xr:uid="{F0E15ED6-AA79-490F-85AE-12D6CE2C9679}"/>
    <cellStyle name="Normal 41 2 2 4 2" xfId="41791" xr:uid="{3C456901-8281-492A-AB8D-18DA8BAF7CAB}"/>
    <cellStyle name="Normal 41 2 2 4 2 2" xfId="41792" xr:uid="{FCDAE25A-D62D-4053-94ED-A10AEE169C43}"/>
    <cellStyle name="Normal 41 2 2 4 3" xfId="41793" xr:uid="{969F6781-B72B-44D0-9831-D3EBFABB3961}"/>
    <cellStyle name="Normal 41 2 2 5" xfId="41794" xr:uid="{E5BE977D-E364-414D-8C12-D2F65C45BC52}"/>
    <cellStyle name="Normal 41 2 2 5 2" xfId="41795" xr:uid="{FA06F312-7CF8-4E32-8D88-43C130BFBC4A}"/>
    <cellStyle name="Normal 41 2 2 5 2 2" xfId="41796" xr:uid="{8972475B-E623-4439-80C5-3F83283DFC63}"/>
    <cellStyle name="Normal 41 2 2 5 3" xfId="41797" xr:uid="{6B1DB80A-D827-421B-8C83-D01C456BE3B1}"/>
    <cellStyle name="Normal 41 2 2 6" xfId="41798" xr:uid="{9D508DFC-0B24-4CB8-8AE2-383B3B8FC318}"/>
    <cellStyle name="Normal 41 2 2 6 2" xfId="41799" xr:uid="{44959615-4D27-4B56-A9E9-1B69D446D34D}"/>
    <cellStyle name="Normal 41 2 2 7" xfId="41800" xr:uid="{7C7F0062-BA85-4687-8EF6-88627BF8D335}"/>
    <cellStyle name="Normal 41 2 3" xfId="41801" xr:uid="{12108B85-A9EE-41BB-A970-75294371F281}"/>
    <cellStyle name="Normal 41 2 3 2" xfId="41802" xr:uid="{B231650B-BDE0-4BEC-B55F-6B3A170F7190}"/>
    <cellStyle name="Normal 41 2 3 2 2" xfId="41803" xr:uid="{826C6672-1CC8-451C-86B4-D9E7F7152523}"/>
    <cellStyle name="Normal 41 2 3 2 2 2" xfId="41804" xr:uid="{EC58F5A0-EA5F-47A6-93AD-AD93D0EF7044}"/>
    <cellStyle name="Normal 41 2 3 2 2 2 2" xfId="41805" xr:uid="{88981AA8-7501-4ECA-A3F2-344E975634E7}"/>
    <cellStyle name="Normal 41 2 3 2 2 3" xfId="41806" xr:uid="{EAF27C50-E65A-457B-99D6-E4F77A8D2F88}"/>
    <cellStyle name="Normal 41 2 3 2 3" xfId="41807" xr:uid="{FD09017D-5CB5-4F86-90D9-5F1AFB77D6CD}"/>
    <cellStyle name="Normal 41 2 3 2 3 2" xfId="41808" xr:uid="{14CCEBF2-6ACC-4B8E-A0DD-C922D20AEC04}"/>
    <cellStyle name="Normal 41 2 3 2 3 2 2" xfId="41809" xr:uid="{3F65928A-6B97-4E0B-A615-36B4AB7E7C6E}"/>
    <cellStyle name="Normal 41 2 3 2 3 3" xfId="41810" xr:uid="{6A149958-E893-482C-B827-72773D1BCADA}"/>
    <cellStyle name="Normal 41 2 3 2 4" xfId="41811" xr:uid="{59CC190D-822A-489D-89B0-FCAD00176A8D}"/>
    <cellStyle name="Normal 41 2 3 2 4 2" xfId="41812" xr:uid="{D3902A9D-17A9-4699-974D-1344E63DEC21}"/>
    <cellStyle name="Normal 41 2 3 2 5" xfId="41813" xr:uid="{47A4402B-04D0-4CCD-B0B1-6526B494EBE1}"/>
    <cellStyle name="Normal 41 2 3 3" xfId="41814" xr:uid="{142CBB67-8203-42B6-8E21-D49673AF7DE1}"/>
    <cellStyle name="Normal 41 2 3 3 2" xfId="41815" xr:uid="{AC5A52BF-253A-4C6A-B50B-697C7452B1B3}"/>
    <cellStyle name="Normal 41 2 3 3 2 2" xfId="41816" xr:uid="{7355D765-5D4F-4D49-AD93-06681631712C}"/>
    <cellStyle name="Normal 41 2 3 3 2 2 2" xfId="41817" xr:uid="{69470F84-54CD-45A2-8CE0-22C1E518103F}"/>
    <cellStyle name="Normal 41 2 3 3 2 3" xfId="41818" xr:uid="{20B1CC75-C413-4655-B388-A5405C205844}"/>
    <cellStyle name="Normal 41 2 3 3 3" xfId="41819" xr:uid="{3EE4C75F-CFA8-41B0-ACF5-835F25CC82E4}"/>
    <cellStyle name="Normal 41 2 3 3 3 2" xfId="41820" xr:uid="{DDF1D0B8-E039-49C9-8F83-C2E22FD9A0D1}"/>
    <cellStyle name="Normal 41 2 3 3 3 2 2" xfId="41821" xr:uid="{316964C9-CF38-4006-8406-3A093D7887FF}"/>
    <cellStyle name="Normal 41 2 3 3 3 3" xfId="41822" xr:uid="{F73224C1-2FFD-40E1-AEB1-0FE92F2A5F70}"/>
    <cellStyle name="Normal 41 2 3 3 4" xfId="41823" xr:uid="{5ECC3027-1512-4C63-A711-4EECE5DF77FD}"/>
    <cellStyle name="Normal 41 2 3 3 4 2" xfId="41824" xr:uid="{2DDF3F31-4AF7-4CDD-BE1D-A37EB8E083B4}"/>
    <cellStyle name="Normal 41 2 3 3 5" xfId="41825" xr:uid="{75A57971-BADF-4DEA-908A-9E13BC120F70}"/>
    <cellStyle name="Normal 41 2 3 4" xfId="41826" xr:uid="{526D8382-4CE9-4094-B776-29C1D8DADFAD}"/>
    <cellStyle name="Normal 41 2 3 4 2" xfId="41827" xr:uid="{EB67B355-87BB-4BBE-92E0-4976BA6ADA4A}"/>
    <cellStyle name="Normal 41 2 3 4 2 2" xfId="41828" xr:uid="{3FD54690-184D-4D0F-8867-A30E7898859B}"/>
    <cellStyle name="Normal 41 2 3 4 3" xfId="41829" xr:uid="{0A6E6FA3-E543-47B5-B411-8C8971E9684D}"/>
    <cellStyle name="Normal 41 2 3 5" xfId="41830" xr:uid="{1550A7BA-DD2C-406D-B898-807EA70F3003}"/>
    <cellStyle name="Normal 41 2 3 5 2" xfId="41831" xr:uid="{53CE1515-E10B-41ED-8DCD-AAA0CB2F092C}"/>
    <cellStyle name="Normal 41 2 3 5 2 2" xfId="41832" xr:uid="{90062810-3C11-410A-A8A4-ED74B3DFA80C}"/>
    <cellStyle name="Normal 41 2 3 5 3" xfId="41833" xr:uid="{595F9712-E50E-4ED6-A259-0C19746A1F40}"/>
    <cellStyle name="Normal 41 2 3 6" xfId="41834" xr:uid="{6C175D30-193B-4454-8CE9-C4A4C972ABC5}"/>
    <cellStyle name="Normal 41 2 3 6 2" xfId="41835" xr:uid="{8B92BC75-AEA0-4C40-BF70-3DC3C003ADE2}"/>
    <cellStyle name="Normal 41 2 3 7" xfId="41836" xr:uid="{86A2271F-857C-4D62-B6AD-A76ED5F4B756}"/>
    <cellStyle name="Normal 41 2 4" xfId="41837" xr:uid="{733C2F84-A456-4109-AC86-678CA24992C7}"/>
    <cellStyle name="Normal 41 2 4 2" xfId="41838" xr:uid="{8DA392C1-A513-4664-923E-32E85A8681A5}"/>
    <cellStyle name="Normal 41 2 4 2 2" xfId="41839" xr:uid="{D7ED4AF2-7447-4332-A37A-9E724A713C02}"/>
    <cellStyle name="Normal 41 2 4 2 2 2" xfId="41840" xr:uid="{9C794067-020A-4A67-808B-6A4174085899}"/>
    <cellStyle name="Normal 41 2 4 2 3" xfId="41841" xr:uid="{E55817A4-080E-48CE-9FDB-DFEB25A9F422}"/>
    <cellStyle name="Normal 41 2 4 3" xfId="41842" xr:uid="{32DE5849-B92F-4916-A279-CBAFE810810C}"/>
    <cellStyle name="Normal 41 2 4 3 2" xfId="41843" xr:uid="{04CC92F1-F592-446E-97D2-4746A954AB80}"/>
    <cellStyle name="Normal 41 2 4 3 2 2" xfId="41844" xr:uid="{8370BD86-981F-4280-BACE-3DECF2BED644}"/>
    <cellStyle name="Normal 41 2 4 3 3" xfId="41845" xr:uid="{40E78281-CA97-4695-9B25-9236C5C59147}"/>
    <cellStyle name="Normal 41 2 4 4" xfId="41846" xr:uid="{F46DB411-0712-4692-BCB8-661646E56B42}"/>
    <cellStyle name="Normal 41 2 4 4 2" xfId="41847" xr:uid="{D8A74CEA-3723-4273-81AF-829A9D442585}"/>
    <cellStyle name="Normal 41 2 4 5" xfId="41848" xr:uid="{3D1AA7DF-F93A-4EED-8E23-6B8F04CC5A68}"/>
    <cellStyle name="Normal 41 2 5" xfId="41849" xr:uid="{954BD174-FFDB-4FFC-B87D-6DDF1CD4B4D5}"/>
    <cellStyle name="Normal 41 2 5 2" xfId="41850" xr:uid="{38CC7163-82C1-4ADB-8322-91234BCD5B91}"/>
    <cellStyle name="Normal 41 2 5 2 2" xfId="41851" xr:uid="{4BD6AB98-BEFB-4995-85EA-EFA6ACE8A84C}"/>
    <cellStyle name="Normal 41 2 5 2 2 2" xfId="41852" xr:uid="{C55C968C-A106-48D5-85BA-956E9FE7E3D0}"/>
    <cellStyle name="Normal 41 2 5 2 3" xfId="41853" xr:uid="{F5436C13-C5A7-40BB-AF7A-739D65D1C00B}"/>
    <cellStyle name="Normal 41 2 5 3" xfId="41854" xr:uid="{EE7B78CF-0BE9-470F-86D0-FFB5633065A4}"/>
    <cellStyle name="Normal 41 2 5 3 2" xfId="41855" xr:uid="{11928C31-44CE-4449-8D6E-3327973F9A06}"/>
    <cellStyle name="Normal 41 2 5 3 2 2" xfId="41856" xr:uid="{02AF2277-BC00-4C4F-91A0-F355363513C7}"/>
    <cellStyle name="Normal 41 2 5 3 3" xfId="41857" xr:uid="{2DEEAC5E-2C71-4DDE-B008-73BA874660BD}"/>
    <cellStyle name="Normal 41 2 5 4" xfId="41858" xr:uid="{FFE23944-2B78-469D-A9BF-5CF0B558E806}"/>
    <cellStyle name="Normal 41 2 5 4 2" xfId="41859" xr:uid="{7FA4415B-862D-4520-95B3-CC25EB6BCF6F}"/>
    <cellStyle name="Normal 41 2 5 5" xfId="41860" xr:uid="{3A12EDF1-A6AD-4367-A678-B91E9CACA316}"/>
    <cellStyle name="Normal 41 2 6" xfId="41861" xr:uid="{7947B1F5-D2F1-419D-9BE7-80135F086558}"/>
    <cellStyle name="Normal 41 2 6 2" xfId="41862" xr:uid="{D7F1BF7A-13DC-4B84-8E30-C18BA9EB6284}"/>
    <cellStyle name="Normal 41 2 6 2 2" xfId="41863" xr:uid="{CD75C8D3-C711-4ACC-BAD2-40C2EF1F4463}"/>
    <cellStyle name="Normal 41 2 6 2 2 2" xfId="41864" xr:uid="{9DC41AA0-8C15-4324-9D5A-8B19F51B04F6}"/>
    <cellStyle name="Normal 41 2 6 2 3" xfId="41865" xr:uid="{3056EF25-46C1-40BE-8E66-F834A42CFE07}"/>
    <cellStyle name="Normal 41 2 6 3" xfId="41866" xr:uid="{47670720-2861-452E-A8C0-0FF190691822}"/>
    <cellStyle name="Normal 41 2 6 3 2" xfId="41867" xr:uid="{D223860B-6334-4375-88E9-9356B0A9F6DB}"/>
    <cellStyle name="Normal 41 2 6 3 2 2" xfId="41868" xr:uid="{F0EA9563-CA9E-484D-B40B-40124127447E}"/>
    <cellStyle name="Normal 41 2 6 3 3" xfId="41869" xr:uid="{E90F848C-C1E4-4EF3-A74F-14690766688C}"/>
    <cellStyle name="Normal 41 2 6 4" xfId="41870" xr:uid="{248FE0BA-D5CE-43C9-8266-C151A400EA4A}"/>
    <cellStyle name="Normal 41 2 6 4 2" xfId="41871" xr:uid="{E42384DC-EC6B-4144-BC1D-48473F84F28B}"/>
    <cellStyle name="Normal 41 2 6 5" xfId="41872" xr:uid="{8659CED9-0D5B-4692-81D3-3E640D2F1B3E}"/>
    <cellStyle name="Normal 41 2 7" xfId="41873" xr:uid="{EBE380FF-53FD-4F67-84C2-C045F5E614CE}"/>
    <cellStyle name="Normal 41 2 7 2" xfId="41874" xr:uid="{1265FB26-A40F-4E95-81EF-01A20C03448E}"/>
    <cellStyle name="Normal 41 2 7 2 2" xfId="41875" xr:uid="{B7BCE02B-673F-40D3-B51E-BBBE749A4940}"/>
    <cellStyle name="Normal 41 2 7 3" xfId="41876" xr:uid="{9E94DB7E-CAED-4068-8AF0-92A1DBF4BC57}"/>
    <cellStyle name="Normal 41 2 8" xfId="41877" xr:uid="{8DF90DE7-5730-4F0D-ADB9-3806C2E41326}"/>
    <cellStyle name="Normal 41 2 8 2" xfId="41878" xr:uid="{C147771C-992C-4E78-BA6F-CFC412372F75}"/>
    <cellStyle name="Normal 41 2 8 2 2" xfId="41879" xr:uid="{5A208BE7-2C39-464D-B309-1279E9E25554}"/>
    <cellStyle name="Normal 41 2 8 3" xfId="41880" xr:uid="{725DE137-F634-4B90-9DC9-0F469AC422DB}"/>
    <cellStyle name="Normal 41 2 9" xfId="41881" xr:uid="{FB11207E-9CCE-4D91-A510-FC303BC3717F}"/>
    <cellStyle name="Normal 41 2 9 2" xfId="41882" xr:uid="{A0F1FF15-1C4A-4819-8FEB-75658FC161B5}"/>
    <cellStyle name="Normal 41 3" xfId="41883" xr:uid="{989DF907-85FC-42CE-8CA4-BB3BE3E48488}"/>
    <cellStyle name="Normal 41 3 2" xfId="41884" xr:uid="{DBF3F9E8-23FF-4E01-A993-708D4EDBB725}"/>
    <cellStyle name="Normal 41 3 2 2" xfId="41885" xr:uid="{94CBDFC2-3543-4FD2-A3C4-0CDE239772B5}"/>
    <cellStyle name="Normal 41 3 2 2 2" xfId="41886" xr:uid="{0EEDD224-32C3-4215-8524-B8F04F4EF4A4}"/>
    <cellStyle name="Normal 41 3 2 2 2 2" xfId="41887" xr:uid="{B659412C-9ABB-45B4-8060-E8D165B4CE2B}"/>
    <cellStyle name="Normal 41 3 2 2 3" xfId="41888" xr:uid="{A1D142C6-CF19-4DB0-9FA9-7AD5703CE3F9}"/>
    <cellStyle name="Normal 41 3 2 3" xfId="41889" xr:uid="{0B271154-2BD4-4422-847D-771E8E666BCB}"/>
    <cellStyle name="Normal 41 3 2 3 2" xfId="41890" xr:uid="{37073434-A05D-4C1C-BE06-37CA39FCBAE7}"/>
    <cellStyle name="Normal 41 3 2 3 2 2" xfId="41891" xr:uid="{86A347F6-B8D7-4293-A40C-B25EED7E89D8}"/>
    <cellStyle name="Normal 41 3 2 3 3" xfId="41892" xr:uid="{CE4AA5A5-13CC-4852-8B1A-DF41D9888E9E}"/>
    <cellStyle name="Normal 41 3 2 4" xfId="41893" xr:uid="{26C13BD9-D9D8-43BD-8D6D-66113A02A135}"/>
    <cellStyle name="Normal 41 3 2 4 2" xfId="41894" xr:uid="{96CBDA3C-C453-48D0-ABE5-60C22CC06850}"/>
    <cellStyle name="Normal 41 3 2 5" xfId="41895" xr:uid="{4DB1C633-59ED-42A3-8016-ED9E95F750BF}"/>
    <cellStyle name="Normal 41 3 3" xfId="41896" xr:uid="{3E66DDED-050C-490A-843F-9509480ED911}"/>
    <cellStyle name="Normal 41 3 3 2" xfId="41897" xr:uid="{85A82D94-FAAB-47BC-A958-FD2CD61259A0}"/>
    <cellStyle name="Normal 41 3 3 2 2" xfId="41898" xr:uid="{C52903A7-D436-4508-8864-3BFA4737F391}"/>
    <cellStyle name="Normal 41 3 3 2 2 2" xfId="41899" xr:uid="{EFC73644-8044-45F8-9337-E387697C865C}"/>
    <cellStyle name="Normal 41 3 3 2 3" xfId="41900" xr:uid="{498C9BB5-CCE9-4745-BC81-970B17061144}"/>
    <cellStyle name="Normal 41 3 3 3" xfId="41901" xr:uid="{EF936611-A1DB-4F7A-BCAE-05AA38A39770}"/>
    <cellStyle name="Normal 41 3 3 3 2" xfId="41902" xr:uid="{3A300980-0357-4FF5-A9F7-0614C0D4BD18}"/>
    <cellStyle name="Normal 41 3 3 3 2 2" xfId="41903" xr:uid="{F6606090-C8EA-4A09-BFDE-2A1AA65A71D5}"/>
    <cellStyle name="Normal 41 3 3 3 3" xfId="41904" xr:uid="{14DBA1C8-3D4B-4AA6-A77D-CD2ECD89A6E8}"/>
    <cellStyle name="Normal 41 3 3 4" xfId="41905" xr:uid="{00189A62-795B-46DB-8DB6-34215EBAF809}"/>
    <cellStyle name="Normal 41 3 3 4 2" xfId="41906" xr:uid="{BED3C0ED-1FAA-41D5-BE6E-77B2AB9C0137}"/>
    <cellStyle name="Normal 41 3 3 5" xfId="41907" xr:uid="{9D3385CF-9ED9-4C79-9570-B4CCCDD7F148}"/>
    <cellStyle name="Normal 41 3 4" xfId="41908" xr:uid="{44B51DB0-8742-472E-993B-C1FDCAC40BB5}"/>
    <cellStyle name="Normal 41 3 4 2" xfId="41909" xr:uid="{D67FD191-ED3A-4BAC-A413-9B677EA82CA3}"/>
    <cellStyle name="Normal 41 3 4 2 2" xfId="41910" xr:uid="{042F0C54-F787-4FB6-9EC3-AB6D46D0260C}"/>
    <cellStyle name="Normal 41 3 4 3" xfId="41911" xr:uid="{C2D45F3A-54E5-471B-B0E9-645AA4119C51}"/>
    <cellStyle name="Normal 41 3 5" xfId="41912" xr:uid="{7672FB5C-7E5F-484D-92A2-86F92CEB9F5C}"/>
    <cellStyle name="Normal 41 3 5 2" xfId="41913" xr:uid="{9D0E2961-205C-4CDC-BD30-E7ACD3E01265}"/>
    <cellStyle name="Normal 41 3 5 2 2" xfId="41914" xr:uid="{B69ACF7A-2707-4936-8974-347644441173}"/>
    <cellStyle name="Normal 41 3 5 3" xfId="41915" xr:uid="{6208D8FE-ACD1-45EC-995F-75AABB0ED7AB}"/>
    <cellStyle name="Normal 41 3 6" xfId="41916" xr:uid="{3F2D1915-9E9A-4BEB-A4BC-FD0A898E65F5}"/>
    <cellStyle name="Normal 41 3 6 2" xfId="41917" xr:uid="{2D23A1E2-6D69-40B9-9A40-919E37164A0B}"/>
    <cellStyle name="Normal 41 3 7" xfId="41918" xr:uid="{D390FE23-EFD3-464C-A615-A5C3C7FA0DFF}"/>
    <cellStyle name="Normal 41 4" xfId="41919" xr:uid="{466686A3-14B1-4016-8473-C03DBBAAA0AF}"/>
    <cellStyle name="Normal 41 4 2" xfId="41920" xr:uid="{053B0817-B71B-4E1F-8F35-B04290A780C9}"/>
    <cellStyle name="Normal 41 4 2 2" xfId="41921" xr:uid="{5B47C195-69AF-439C-8999-EF271BB3E6F7}"/>
    <cellStyle name="Normal 41 4 2 2 2" xfId="41922" xr:uid="{0EE0BDE5-4F71-4AF6-9D19-40EDF16FC40E}"/>
    <cellStyle name="Normal 41 4 2 2 2 2" xfId="41923" xr:uid="{895B87C2-DCD5-4D40-83EA-48E4B4144F1A}"/>
    <cellStyle name="Normal 41 4 2 2 3" xfId="41924" xr:uid="{BCFB7F0E-D771-451D-969B-CD6CD3EABB57}"/>
    <cellStyle name="Normal 41 4 2 3" xfId="41925" xr:uid="{254D3CC6-618A-4DFE-94DF-B0920ECCF8A1}"/>
    <cellStyle name="Normal 41 4 2 3 2" xfId="41926" xr:uid="{C213DDA6-A918-47D3-8217-D011A75A6FFC}"/>
    <cellStyle name="Normal 41 4 2 3 2 2" xfId="41927" xr:uid="{DEDAF797-568C-433A-AE3E-121FAB174C67}"/>
    <cellStyle name="Normal 41 4 2 3 3" xfId="41928" xr:uid="{A569C4E6-9A9A-4819-BB01-9A062796349A}"/>
    <cellStyle name="Normal 41 4 2 4" xfId="41929" xr:uid="{58CBAB05-5E8B-4B1A-A051-384AC6BAA162}"/>
    <cellStyle name="Normal 41 4 2 4 2" xfId="41930" xr:uid="{CA72C869-87B8-4FF7-89AC-28B00E70E2BE}"/>
    <cellStyle name="Normal 41 4 2 5" xfId="41931" xr:uid="{D03031F9-FEA5-46E5-A37E-6922F8425BFC}"/>
    <cellStyle name="Normal 41 4 3" xfId="41932" xr:uid="{EC6A5F81-7C16-4522-8227-44EECDF18B71}"/>
    <cellStyle name="Normal 41 4 3 2" xfId="41933" xr:uid="{822CFFAA-84F0-4BF4-8206-623EF6D9C25B}"/>
    <cellStyle name="Normal 41 4 3 2 2" xfId="41934" xr:uid="{CA267A7E-0E46-42D5-B08B-7A0BBE41F3F6}"/>
    <cellStyle name="Normal 41 4 3 2 2 2" xfId="41935" xr:uid="{5046449C-0206-4AF5-8429-2AEDCF1255DE}"/>
    <cellStyle name="Normal 41 4 3 2 3" xfId="41936" xr:uid="{0B165E21-0524-4F9F-B260-417DE091F74C}"/>
    <cellStyle name="Normal 41 4 3 3" xfId="41937" xr:uid="{3B8CFBC5-A06B-4970-A1F9-0DA2E09E3B1A}"/>
    <cellStyle name="Normal 41 4 3 3 2" xfId="41938" xr:uid="{10CA7854-E913-4713-BEC2-4A03BFB62F93}"/>
    <cellStyle name="Normal 41 4 3 3 2 2" xfId="41939" xr:uid="{7660FA39-7217-489F-836D-3C26E8326929}"/>
    <cellStyle name="Normal 41 4 3 3 3" xfId="41940" xr:uid="{920D97D6-C5CD-4802-BAAD-A651F133711A}"/>
    <cellStyle name="Normal 41 4 3 4" xfId="41941" xr:uid="{21DE8319-B236-4DA9-BB80-B5117D4594C9}"/>
    <cellStyle name="Normal 41 4 3 4 2" xfId="41942" xr:uid="{DC251BE8-B382-49E4-B55D-9BBFCB1B384E}"/>
    <cellStyle name="Normal 41 4 3 5" xfId="41943" xr:uid="{3ACAB486-BA28-4002-85DF-4039792CF856}"/>
    <cellStyle name="Normal 41 4 4" xfId="41944" xr:uid="{C4DA30D5-ED52-40EE-8FC6-349D6013E37F}"/>
    <cellStyle name="Normal 41 4 4 2" xfId="41945" xr:uid="{BDDD8C62-6148-4DFA-B62F-24D803F5A492}"/>
    <cellStyle name="Normal 41 4 4 2 2" xfId="41946" xr:uid="{814678C8-818E-4708-B17B-D84ED9F28779}"/>
    <cellStyle name="Normal 41 4 4 3" xfId="41947" xr:uid="{B2A63ACD-CD20-4C66-8C61-F65FDC244D91}"/>
    <cellStyle name="Normal 41 4 5" xfId="41948" xr:uid="{86339BCB-8DB2-4488-8C7C-E72F62C7A520}"/>
    <cellStyle name="Normal 41 4 5 2" xfId="41949" xr:uid="{9769D733-36B0-4668-94C7-C7A469EADFAD}"/>
    <cellStyle name="Normal 41 4 5 2 2" xfId="41950" xr:uid="{7516B9F9-1619-41E0-8E62-125F6B8A8F8D}"/>
    <cellStyle name="Normal 41 4 5 3" xfId="41951" xr:uid="{9684C28A-B762-47A3-B555-FA6C12FFC690}"/>
    <cellStyle name="Normal 41 4 6" xfId="41952" xr:uid="{23852465-C7B5-4F3D-81B0-925298F71A65}"/>
    <cellStyle name="Normal 41 4 6 2" xfId="41953" xr:uid="{ED7F5C6D-FEFF-45F2-9656-34F04414E28E}"/>
    <cellStyle name="Normal 41 4 7" xfId="41954" xr:uid="{40E83E02-ADEC-4219-8A98-491053C72409}"/>
    <cellStyle name="Normal 41 5" xfId="41955" xr:uid="{F232AA57-3B15-4C5C-B75A-82002030125E}"/>
    <cellStyle name="Normal 41 5 2" xfId="41956" xr:uid="{FB70BADD-375D-4ECC-B5DB-D05901D10F80}"/>
    <cellStyle name="Normal 41 5 2 2" xfId="41957" xr:uid="{9012E25A-A636-4C41-8A0A-68AD0E9F14E6}"/>
    <cellStyle name="Normal 41 5 2 2 2" xfId="41958" xr:uid="{48FF8E63-540C-4ABB-A29F-E01323E2AF1F}"/>
    <cellStyle name="Normal 41 5 2 3" xfId="41959" xr:uid="{6952B0A5-8EDF-4125-95C3-A2C29E8CCC74}"/>
    <cellStyle name="Normal 41 5 3" xfId="41960" xr:uid="{D1E60725-E211-4586-A31E-9355DB78E0B9}"/>
    <cellStyle name="Normal 41 5 3 2" xfId="41961" xr:uid="{C058D592-948A-45C5-B226-C15CEA0BDE4D}"/>
    <cellStyle name="Normal 41 5 3 2 2" xfId="41962" xr:uid="{C2F274EE-09F2-4541-90ED-44E91BCBCD8C}"/>
    <cellStyle name="Normal 41 5 3 3" xfId="41963" xr:uid="{703925F0-2BE8-45D5-922F-7C83C8E66366}"/>
    <cellStyle name="Normal 41 5 4" xfId="41964" xr:uid="{81C0FCB6-3AE4-40B1-B597-EB4137EE8652}"/>
    <cellStyle name="Normal 41 5 4 2" xfId="41965" xr:uid="{47882FED-7C44-4A1E-87F1-90A8DC7E6DC4}"/>
    <cellStyle name="Normal 41 5 5" xfId="41966" xr:uid="{5A9CAA40-9432-4987-B181-F09BDF3EAD0D}"/>
    <cellStyle name="Normal 41 6" xfId="41967" xr:uid="{E393F8F0-D680-4DCD-BCFB-B8F3A7174E88}"/>
    <cellStyle name="Normal 41 6 2" xfId="41968" xr:uid="{87B9F0A5-EC75-48C7-9887-BCAD23602949}"/>
    <cellStyle name="Normal 41 6 2 2" xfId="41969" xr:uid="{EA590507-937D-4880-9C2D-7568747875C9}"/>
    <cellStyle name="Normal 41 6 2 2 2" xfId="41970" xr:uid="{AFB3BA9D-780C-480A-877A-D038965FA7A1}"/>
    <cellStyle name="Normal 41 6 2 3" xfId="41971" xr:uid="{2764FAF8-0D04-45B8-A849-1CA07826DA52}"/>
    <cellStyle name="Normal 41 6 3" xfId="41972" xr:uid="{E0DBD1D4-5605-49C2-882B-9883F1780038}"/>
    <cellStyle name="Normal 41 6 3 2" xfId="41973" xr:uid="{9C92FD86-8A95-4558-A9E4-22DD57C9EE13}"/>
    <cellStyle name="Normal 41 6 3 2 2" xfId="41974" xr:uid="{7C707914-0D76-413B-8CE5-E7F8EAED1B30}"/>
    <cellStyle name="Normal 41 6 3 3" xfId="41975" xr:uid="{33B6DB97-62DE-4668-9F3D-6DE5D25FC82D}"/>
    <cellStyle name="Normal 41 6 4" xfId="41976" xr:uid="{EAD17837-77B4-494A-84FB-C4D6C15D19BD}"/>
    <cellStyle name="Normal 41 6 4 2" xfId="41977" xr:uid="{FE374887-423B-4048-8BC1-8E1F6243EF68}"/>
    <cellStyle name="Normal 41 6 5" xfId="41978" xr:uid="{FC66D18C-2CC6-4431-B916-2295E3E08C51}"/>
    <cellStyle name="Normal 41 7" xfId="41979" xr:uid="{F81DB1D6-82E2-467E-95AA-700EF665368F}"/>
    <cellStyle name="Normal 41 7 2" xfId="41980" xr:uid="{33937FF0-7A7C-4D91-BBF5-1A10224042CD}"/>
    <cellStyle name="Normal 41 7 2 2" xfId="41981" xr:uid="{30741CCE-9E35-4D32-B91C-201D3AF7B27B}"/>
    <cellStyle name="Normal 41 7 2 2 2" xfId="41982" xr:uid="{41DCE6E2-3F4A-48A4-8848-802BB25ABAD0}"/>
    <cellStyle name="Normal 41 7 2 3" xfId="41983" xr:uid="{66FDB2EF-AD74-48C4-8AD4-221406FA66E4}"/>
    <cellStyle name="Normal 41 7 3" xfId="41984" xr:uid="{2EC2D93D-920B-432E-B2B4-E8E529769BFC}"/>
    <cellStyle name="Normal 41 7 3 2" xfId="41985" xr:uid="{8E52000B-9B1C-4163-A5CC-90BBC9B0E869}"/>
    <cellStyle name="Normal 41 7 3 2 2" xfId="41986" xr:uid="{E6CB8073-A464-477B-B66F-E313C5B6FA13}"/>
    <cellStyle name="Normal 41 7 3 3" xfId="41987" xr:uid="{DB52034F-99FD-4016-851E-B0A9E14B30A7}"/>
    <cellStyle name="Normal 41 7 4" xfId="41988" xr:uid="{8EC694DD-2E0B-4CCD-B98D-7C501A16DD9F}"/>
    <cellStyle name="Normal 41 7 4 2" xfId="41989" xr:uid="{F4D3B1F3-8937-40A0-A1CE-0A1B6D53437E}"/>
    <cellStyle name="Normal 41 7 5" xfId="41990" xr:uid="{512E751F-9004-474A-A420-5000336AF414}"/>
    <cellStyle name="Normal 41 8" xfId="41991" xr:uid="{EA034495-85F9-43CF-A277-D239268764BC}"/>
    <cellStyle name="Normal 41 8 2" xfId="41992" xr:uid="{A2523249-45E1-4396-94D8-35A14FF05308}"/>
    <cellStyle name="Normal 41 8 2 2" xfId="41993" xr:uid="{BD126D11-C2C8-49C8-BA41-C4ECB97264ED}"/>
    <cellStyle name="Normal 41 8 3" xfId="41994" xr:uid="{DD290126-0B6A-4980-B8C4-BDCFC2E37819}"/>
    <cellStyle name="Normal 41 9" xfId="41995" xr:uid="{9139E981-E7FA-4AF1-9848-7731193FCF93}"/>
    <cellStyle name="Normal 41 9 2" xfId="41996" xr:uid="{1541390B-82DA-4B3A-BC6D-959E06E69A65}"/>
    <cellStyle name="Normal 41 9 2 2" xfId="41997" xr:uid="{84B550E0-6729-4DE3-9EC3-680B02570547}"/>
    <cellStyle name="Normal 41 9 3" xfId="41998" xr:uid="{170EEB45-1C25-41BE-928E-2CE17BBFDD62}"/>
    <cellStyle name="Normal 42" xfId="41999" xr:uid="{38B31784-92F7-4114-8FD0-CD41CCE3E9B2}"/>
    <cellStyle name="Normal 42 10" xfId="42000" xr:uid="{9C598987-00B0-4FBF-8AB7-8635E0E1735C}"/>
    <cellStyle name="Normal 42 10 2" xfId="42001" xr:uid="{23E3B54E-5977-46A4-BCAD-92432AF91C0F}"/>
    <cellStyle name="Normal 42 11" xfId="42002" xr:uid="{CEFD1D0A-206D-4945-9695-98DC210633DE}"/>
    <cellStyle name="Normal 42 2" xfId="42003" xr:uid="{87D6C348-5E71-4C23-BA71-84DDA3E4DAC4}"/>
    <cellStyle name="Normal 42 2 10" xfId="42004" xr:uid="{91930A37-34B1-42D2-9E3D-4EBE4F1172E7}"/>
    <cellStyle name="Normal 42 2 2" xfId="42005" xr:uid="{F7D61308-2684-4BD4-85B8-596C17FD3610}"/>
    <cellStyle name="Normal 42 2 2 2" xfId="42006" xr:uid="{F9943BE1-D597-4ACE-B58D-75B22A068D89}"/>
    <cellStyle name="Normal 42 2 2 2 2" xfId="42007" xr:uid="{9D920D29-FD21-4342-9529-FDBAC547999A}"/>
    <cellStyle name="Normal 42 2 2 2 2 2" xfId="42008" xr:uid="{8E934D87-C783-4BC5-B44A-5B4DFA2DB8D4}"/>
    <cellStyle name="Normal 42 2 2 2 2 2 2" xfId="42009" xr:uid="{96263E21-F008-4966-9F1D-51ABAE15565B}"/>
    <cellStyle name="Normal 42 2 2 2 2 3" xfId="42010" xr:uid="{347D662E-1122-4686-80DF-FD471B382BDF}"/>
    <cellStyle name="Normal 42 2 2 2 3" xfId="42011" xr:uid="{29AB43AB-667A-4F0B-87E5-A99A06418D10}"/>
    <cellStyle name="Normal 42 2 2 2 3 2" xfId="42012" xr:uid="{BE2092B7-D53F-47C1-A448-F63216956EA7}"/>
    <cellStyle name="Normal 42 2 2 2 3 2 2" xfId="42013" xr:uid="{6C9AF8B8-9754-43B1-9710-81CFBCB68FDA}"/>
    <cellStyle name="Normal 42 2 2 2 3 3" xfId="42014" xr:uid="{B9E0ABDD-6BD1-4331-8BAD-706649F2991C}"/>
    <cellStyle name="Normal 42 2 2 2 4" xfId="42015" xr:uid="{361CA81A-D818-4918-B8C7-3CEFC07E8829}"/>
    <cellStyle name="Normal 42 2 2 2 4 2" xfId="42016" xr:uid="{46E8C3D6-6ACE-4EC3-BC57-5ABDE8995E2E}"/>
    <cellStyle name="Normal 42 2 2 2 5" xfId="42017" xr:uid="{9E6CAFE1-256B-4F13-ACC3-98EAB26F62E7}"/>
    <cellStyle name="Normal 42 2 2 3" xfId="42018" xr:uid="{B90C888B-565A-4FA8-A886-AEC0A1FAFA53}"/>
    <cellStyle name="Normal 42 2 2 3 2" xfId="42019" xr:uid="{282CDFF9-845B-421B-BD33-906F8F602E20}"/>
    <cellStyle name="Normal 42 2 2 3 2 2" xfId="42020" xr:uid="{450E5D59-2246-4632-AA30-15B39F1C1DBB}"/>
    <cellStyle name="Normal 42 2 2 3 2 2 2" xfId="42021" xr:uid="{35A64B38-FAD6-4EF0-BED6-79F96F206CBF}"/>
    <cellStyle name="Normal 42 2 2 3 2 3" xfId="42022" xr:uid="{CD39F244-CC17-47BD-A090-1388C2E31A89}"/>
    <cellStyle name="Normal 42 2 2 3 3" xfId="42023" xr:uid="{60F9285B-631D-494C-84C8-2D20DA015E2E}"/>
    <cellStyle name="Normal 42 2 2 3 3 2" xfId="42024" xr:uid="{692895B3-8C24-47FD-88AE-73389F746090}"/>
    <cellStyle name="Normal 42 2 2 3 3 2 2" xfId="42025" xr:uid="{609CA1EE-5855-4E29-A300-F59CD80790D5}"/>
    <cellStyle name="Normal 42 2 2 3 3 3" xfId="42026" xr:uid="{6372832E-25E9-4FFA-882C-371FD0E2F40B}"/>
    <cellStyle name="Normal 42 2 2 3 4" xfId="42027" xr:uid="{33A51A13-61F2-40C6-9F41-3A19C1D8B3FB}"/>
    <cellStyle name="Normal 42 2 2 3 4 2" xfId="42028" xr:uid="{04F8B272-087E-45AB-A54D-AE860586A576}"/>
    <cellStyle name="Normal 42 2 2 3 5" xfId="42029" xr:uid="{64C6324C-C8C4-4596-8E83-AE5342BD41B1}"/>
    <cellStyle name="Normal 42 2 2 4" xfId="42030" xr:uid="{CE514B2E-5DB1-4ED8-B6FA-5F1ABC6C24F4}"/>
    <cellStyle name="Normal 42 2 2 4 2" xfId="42031" xr:uid="{79B62C68-0146-4C49-9713-E2C16583CA02}"/>
    <cellStyle name="Normal 42 2 2 4 2 2" xfId="42032" xr:uid="{9323B838-B72C-4069-96E0-CDCE2EC358B0}"/>
    <cellStyle name="Normal 42 2 2 4 3" xfId="42033" xr:uid="{C33F7F86-B358-4890-9B4A-7124A856CE8D}"/>
    <cellStyle name="Normal 42 2 2 5" xfId="42034" xr:uid="{812B8341-74D4-4B93-99CD-6B1347C4F195}"/>
    <cellStyle name="Normal 42 2 2 5 2" xfId="42035" xr:uid="{2F5FC677-AA8D-43E8-A9EB-4FB46969C575}"/>
    <cellStyle name="Normal 42 2 2 5 2 2" xfId="42036" xr:uid="{C85AA52B-A9FA-4C7C-B57A-82312A34BF4C}"/>
    <cellStyle name="Normal 42 2 2 5 3" xfId="42037" xr:uid="{4A3B69F8-EBCB-4A4B-B004-DE480DDBE39E}"/>
    <cellStyle name="Normal 42 2 2 6" xfId="42038" xr:uid="{759DD1DB-7C84-4ABE-A9D6-158B27D770F5}"/>
    <cellStyle name="Normal 42 2 2 6 2" xfId="42039" xr:uid="{BE2E7876-B416-455D-906F-7FA4D29DDD1F}"/>
    <cellStyle name="Normal 42 2 2 7" xfId="42040" xr:uid="{7944B857-AD9E-423D-A03F-B4756FE0AA33}"/>
    <cellStyle name="Normal 42 2 3" xfId="42041" xr:uid="{63B296E5-9E96-403B-8ED0-51F31D1CFA2E}"/>
    <cellStyle name="Normal 42 2 3 2" xfId="42042" xr:uid="{F04CAE7E-B490-4C6D-8439-A8B4ECD1031F}"/>
    <cellStyle name="Normal 42 2 3 2 2" xfId="42043" xr:uid="{07D75829-8209-4032-B615-3AA6D7FE4447}"/>
    <cellStyle name="Normal 42 2 3 2 2 2" xfId="42044" xr:uid="{497FF795-6F4D-4121-A20A-DCF8350B8C50}"/>
    <cellStyle name="Normal 42 2 3 2 2 2 2" xfId="42045" xr:uid="{AE4A500C-3AD3-406F-8F44-3439E13D2145}"/>
    <cellStyle name="Normal 42 2 3 2 2 3" xfId="42046" xr:uid="{BC2B4793-659C-49A5-9E7E-02FA95F48275}"/>
    <cellStyle name="Normal 42 2 3 2 3" xfId="42047" xr:uid="{A0F36BC5-C8DE-4F1F-99C1-912793C29F1A}"/>
    <cellStyle name="Normal 42 2 3 2 3 2" xfId="42048" xr:uid="{44F89155-59C3-4814-81B6-0A25A0D5AE82}"/>
    <cellStyle name="Normal 42 2 3 2 3 2 2" xfId="42049" xr:uid="{BCDFF0F2-F08A-43D9-987E-9F51B71C5BC8}"/>
    <cellStyle name="Normal 42 2 3 2 3 3" xfId="42050" xr:uid="{059E2499-2418-4714-84A3-193A617BC1D2}"/>
    <cellStyle name="Normal 42 2 3 2 4" xfId="42051" xr:uid="{CDCBBB00-1266-4963-B8B3-7525340F4C79}"/>
    <cellStyle name="Normal 42 2 3 2 4 2" xfId="42052" xr:uid="{E1108179-A455-479E-B0D1-B85BB5F0D5D0}"/>
    <cellStyle name="Normal 42 2 3 2 5" xfId="42053" xr:uid="{2838C31B-CD35-4484-86F5-0F5CFEC17313}"/>
    <cellStyle name="Normal 42 2 3 3" xfId="42054" xr:uid="{88C5C097-6E4B-43AE-8E97-D4AE4EBCC91D}"/>
    <cellStyle name="Normal 42 2 3 3 2" xfId="42055" xr:uid="{FA1A9D50-97F8-42B0-8A26-D9B8A41E1FD1}"/>
    <cellStyle name="Normal 42 2 3 3 2 2" xfId="42056" xr:uid="{4A5DB9F6-F4B8-44EC-B60A-84DBB96667DA}"/>
    <cellStyle name="Normal 42 2 3 3 2 2 2" xfId="42057" xr:uid="{7EACE6A6-BE9B-411A-B889-267341E9B0FF}"/>
    <cellStyle name="Normal 42 2 3 3 2 3" xfId="42058" xr:uid="{01DD1774-6C9A-4E3A-89FD-B2FAA467FA62}"/>
    <cellStyle name="Normal 42 2 3 3 3" xfId="42059" xr:uid="{FFEB038B-0031-4F00-8B49-004536EEAA99}"/>
    <cellStyle name="Normal 42 2 3 3 3 2" xfId="42060" xr:uid="{DDDEEC72-868B-46B6-AA8E-970A32FFF408}"/>
    <cellStyle name="Normal 42 2 3 3 3 2 2" xfId="42061" xr:uid="{80D83ECE-A730-4DB7-95C1-81BD3F09B450}"/>
    <cellStyle name="Normal 42 2 3 3 3 3" xfId="42062" xr:uid="{14E2063F-18FE-41C0-A5A3-F09C9BC6D02D}"/>
    <cellStyle name="Normal 42 2 3 3 4" xfId="42063" xr:uid="{63533B3F-69D6-4392-A2A5-44C2CF94FCE9}"/>
    <cellStyle name="Normal 42 2 3 3 4 2" xfId="42064" xr:uid="{90BB3FF6-8A24-4EF8-BF72-1BF31494AC57}"/>
    <cellStyle name="Normal 42 2 3 3 5" xfId="42065" xr:uid="{8B0435D0-5FF4-4C4D-8572-8C6601E7353B}"/>
    <cellStyle name="Normal 42 2 3 4" xfId="42066" xr:uid="{4C69C7EE-B3A4-4C85-A358-F5FC1267020D}"/>
    <cellStyle name="Normal 42 2 3 4 2" xfId="42067" xr:uid="{8A19F710-324A-447A-BFDB-CF8A49CE3ABE}"/>
    <cellStyle name="Normal 42 2 3 4 2 2" xfId="42068" xr:uid="{ECD4F2D1-F5A1-4850-8CB2-33C122D81717}"/>
    <cellStyle name="Normal 42 2 3 4 3" xfId="42069" xr:uid="{61ACB127-2072-4485-8EDB-EE53CD2F6B13}"/>
    <cellStyle name="Normal 42 2 3 5" xfId="42070" xr:uid="{C2981A87-7ACA-4771-8FE5-E44A74491668}"/>
    <cellStyle name="Normal 42 2 3 5 2" xfId="42071" xr:uid="{5C6D3799-C8D7-494A-935B-EE5036B10661}"/>
    <cellStyle name="Normal 42 2 3 5 2 2" xfId="42072" xr:uid="{02224D66-6744-459D-B807-974D91B7F42C}"/>
    <cellStyle name="Normal 42 2 3 5 3" xfId="42073" xr:uid="{D4346483-FF2F-4CB3-990B-74F354CDE70D}"/>
    <cellStyle name="Normal 42 2 3 6" xfId="42074" xr:uid="{594F33D9-50CF-46D5-8F99-7F83F0A24FA6}"/>
    <cellStyle name="Normal 42 2 3 6 2" xfId="42075" xr:uid="{A2D45F73-0C78-4A04-B9F6-B2264E336D10}"/>
    <cellStyle name="Normal 42 2 3 7" xfId="42076" xr:uid="{6E6BD590-B807-4B10-BB22-25B14406C417}"/>
    <cellStyle name="Normal 42 2 4" xfId="42077" xr:uid="{B0F4942C-1402-4AD5-9CD7-B077C4501E50}"/>
    <cellStyle name="Normal 42 2 4 2" xfId="42078" xr:uid="{D2696DD6-6EE4-4BB9-9E16-D063F3949B69}"/>
    <cellStyle name="Normal 42 2 4 2 2" xfId="42079" xr:uid="{D7846F1D-1989-43EE-9CA4-09391FF7F036}"/>
    <cellStyle name="Normal 42 2 4 2 2 2" xfId="42080" xr:uid="{5014DE2F-EAFD-46DF-A07A-FBD87913DE31}"/>
    <cellStyle name="Normal 42 2 4 2 3" xfId="42081" xr:uid="{2A620C13-171B-494E-A4E7-21F6CE13CCA5}"/>
    <cellStyle name="Normal 42 2 4 3" xfId="42082" xr:uid="{F7440AE0-C5C4-4C8E-88F9-4B8F072629BE}"/>
    <cellStyle name="Normal 42 2 4 3 2" xfId="42083" xr:uid="{3F06029C-EEEC-40C2-9C43-27A3C7A52493}"/>
    <cellStyle name="Normal 42 2 4 3 2 2" xfId="42084" xr:uid="{42E9C6D2-90A6-4982-A63C-D58437683836}"/>
    <cellStyle name="Normal 42 2 4 3 3" xfId="42085" xr:uid="{6CE11860-15FA-431F-BDF4-55D2511C7D6A}"/>
    <cellStyle name="Normal 42 2 4 4" xfId="42086" xr:uid="{BDE98F6E-0D78-456A-BA6F-EDE8ED874C63}"/>
    <cellStyle name="Normal 42 2 4 4 2" xfId="42087" xr:uid="{1DA4601D-0D74-4D23-AC34-5CC2E1DA9B6D}"/>
    <cellStyle name="Normal 42 2 4 5" xfId="42088" xr:uid="{E8F02060-C0F3-4333-939A-F3A0388ED581}"/>
    <cellStyle name="Normal 42 2 5" xfId="42089" xr:uid="{6B250F1C-05D4-450A-9BD2-9D964117151B}"/>
    <cellStyle name="Normal 42 2 5 2" xfId="42090" xr:uid="{9671A596-46B5-4C6A-B64F-0FFC57CB7908}"/>
    <cellStyle name="Normal 42 2 5 2 2" xfId="42091" xr:uid="{12FA3133-6A90-428F-9239-271D7769B3B9}"/>
    <cellStyle name="Normal 42 2 5 2 2 2" xfId="42092" xr:uid="{C8A9BCB4-D156-4473-B2B0-B8DCA66335B0}"/>
    <cellStyle name="Normal 42 2 5 2 3" xfId="42093" xr:uid="{E2B4A7E1-3CA7-49D2-B4C8-2F29DF21D9E8}"/>
    <cellStyle name="Normal 42 2 5 3" xfId="42094" xr:uid="{68AE73C3-47D3-45D9-8ACA-A02AA9DE46C0}"/>
    <cellStyle name="Normal 42 2 5 3 2" xfId="42095" xr:uid="{AA791DDB-ACC9-4B05-BD07-D90541D19152}"/>
    <cellStyle name="Normal 42 2 5 3 2 2" xfId="42096" xr:uid="{22ADF6E0-BE15-43BE-A9D5-E309BB0B11DA}"/>
    <cellStyle name="Normal 42 2 5 3 3" xfId="42097" xr:uid="{FE60FA43-4978-42C6-9E23-E00C5B995FC5}"/>
    <cellStyle name="Normal 42 2 5 4" xfId="42098" xr:uid="{736C0FDE-9CA7-4B95-9342-1E8BE63E7435}"/>
    <cellStyle name="Normal 42 2 5 4 2" xfId="42099" xr:uid="{524510E5-3CBE-4CC6-97D1-5F46A8B69BA0}"/>
    <cellStyle name="Normal 42 2 5 5" xfId="42100" xr:uid="{F2731552-90F6-4A93-BA22-F940F9E11A6E}"/>
    <cellStyle name="Normal 42 2 6" xfId="42101" xr:uid="{C24AA2FC-C7C7-4435-868B-DD686DE1B94F}"/>
    <cellStyle name="Normal 42 2 6 2" xfId="42102" xr:uid="{8BC600B4-A419-42C4-8226-3A031D417D1A}"/>
    <cellStyle name="Normal 42 2 6 2 2" xfId="42103" xr:uid="{765CAA7A-9B6A-46AB-877D-3902B59879CC}"/>
    <cellStyle name="Normal 42 2 6 2 2 2" xfId="42104" xr:uid="{CA5228D4-523F-4199-87FA-B80662010735}"/>
    <cellStyle name="Normal 42 2 6 2 3" xfId="42105" xr:uid="{4D6471B4-26DE-40A6-A5E4-073A61E53F65}"/>
    <cellStyle name="Normal 42 2 6 3" xfId="42106" xr:uid="{A0F40A58-8432-4B13-9F3F-48C3673664DB}"/>
    <cellStyle name="Normal 42 2 6 3 2" xfId="42107" xr:uid="{42CBA0A6-A94E-4A62-9CDA-7965B23D4CA2}"/>
    <cellStyle name="Normal 42 2 6 3 2 2" xfId="42108" xr:uid="{945ED877-B8DD-4A95-A070-413760B77916}"/>
    <cellStyle name="Normal 42 2 6 3 3" xfId="42109" xr:uid="{191452C7-42C0-4788-90BC-A027FD583D86}"/>
    <cellStyle name="Normal 42 2 6 4" xfId="42110" xr:uid="{CEBF3984-F9D1-48AD-BC63-E5FBD43CBD07}"/>
    <cellStyle name="Normal 42 2 6 4 2" xfId="42111" xr:uid="{4BDF73DC-118A-47E5-A8A9-E3303DF94732}"/>
    <cellStyle name="Normal 42 2 6 5" xfId="42112" xr:uid="{CDDA8108-E57F-42D6-9AEB-93DE0247FBDB}"/>
    <cellStyle name="Normal 42 2 7" xfId="42113" xr:uid="{D38DF2F4-6E62-46DE-A110-73438DD4D3DE}"/>
    <cellStyle name="Normal 42 2 7 2" xfId="42114" xr:uid="{F5231CD1-E5D4-4179-8BD1-735E78697B83}"/>
    <cellStyle name="Normal 42 2 7 2 2" xfId="42115" xr:uid="{2F9B02A8-6693-4C9D-A30C-5C2FCB02807F}"/>
    <cellStyle name="Normal 42 2 7 3" xfId="42116" xr:uid="{47DCC992-FE8A-4A65-A29D-63C4E3B7CA22}"/>
    <cellStyle name="Normal 42 2 8" xfId="42117" xr:uid="{3AD8E037-8487-46FA-8AC3-411F9E812969}"/>
    <cellStyle name="Normal 42 2 8 2" xfId="42118" xr:uid="{AE6158DA-1DE8-4C8B-AF64-0E25CC559E02}"/>
    <cellStyle name="Normal 42 2 8 2 2" xfId="42119" xr:uid="{D0E964D5-1835-4DEA-82BE-054027F40450}"/>
    <cellStyle name="Normal 42 2 8 3" xfId="42120" xr:uid="{F8E8AB7A-2056-4643-B5B7-06D6B6B330B8}"/>
    <cellStyle name="Normal 42 2 9" xfId="42121" xr:uid="{21D53400-2D6B-49CE-A040-B6E16AC99FB9}"/>
    <cellStyle name="Normal 42 2 9 2" xfId="42122" xr:uid="{7E9FC17E-F942-4E1E-AC28-4E64E96AAF56}"/>
    <cellStyle name="Normal 42 3" xfId="42123" xr:uid="{76BCEBD7-CF08-4F16-AC8D-95F894834DCE}"/>
    <cellStyle name="Normal 42 3 2" xfId="42124" xr:uid="{16498F1D-E01A-4189-AF3E-1CC52AAF0570}"/>
    <cellStyle name="Normal 42 3 2 2" xfId="42125" xr:uid="{F41AC1FA-829E-4D73-9EFF-BA4577BAC50D}"/>
    <cellStyle name="Normal 42 3 2 2 2" xfId="42126" xr:uid="{5DB45678-E161-4C3E-BCC8-31B8D1465370}"/>
    <cellStyle name="Normal 42 3 2 2 2 2" xfId="42127" xr:uid="{4FB17E2D-51C2-4D2B-91F7-2E79FD240744}"/>
    <cellStyle name="Normal 42 3 2 2 3" xfId="42128" xr:uid="{57B3DB26-BF4F-4322-948B-ECFDC67BC4EC}"/>
    <cellStyle name="Normal 42 3 2 3" xfId="42129" xr:uid="{16649D03-B1BB-4CBA-ADD5-1EEA26B02E21}"/>
    <cellStyle name="Normal 42 3 2 3 2" xfId="42130" xr:uid="{36F4F26A-8598-4A54-B883-A1D5943902DC}"/>
    <cellStyle name="Normal 42 3 2 3 2 2" xfId="42131" xr:uid="{7C317A58-E4C1-48CA-A8AE-501009C13546}"/>
    <cellStyle name="Normal 42 3 2 3 3" xfId="42132" xr:uid="{1F004C3F-23B0-42A9-BF55-25CD4C960836}"/>
    <cellStyle name="Normal 42 3 2 4" xfId="42133" xr:uid="{B0A3CFA3-1745-444C-A6D0-F471F2E0CF12}"/>
    <cellStyle name="Normal 42 3 2 4 2" xfId="42134" xr:uid="{24049902-8A13-4DAD-80CC-36C006C4E072}"/>
    <cellStyle name="Normal 42 3 2 5" xfId="42135" xr:uid="{26D2A314-7977-48A4-844E-189623BB8CFF}"/>
    <cellStyle name="Normal 42 3 3" xfId="42136" xr:uid="{3DD9EC53-14E1-4BF3-8F8A-E80E4D3EF8F3}"/>
    <cellStyle name="Normal 42 3 3 2" xfId="42137" xr:uid="{F34839EB-A2B0-4252-B3CC-DB211A4CD5F1}"/>
    <cellStyle name="Normal 42 3 3 2 2" xfId="42138" xr:uid="{118F57C3-5024-4268-B9F0-279D44AFDA6A}"/>
    <cellStyle name="Normal 42 3 3 2 2 2" xfId="42139" xr:uid="{B1D6CA72-D17C-4C10-BD92-8402F269F892}"/>
    <cellStyle name="Normal 42 3 3 2 3" xfId="42140" xr:uid="{53008793-A46D-4F79-A53D-CA384DA55B81}"/>
    <cellStyle name="Normal 42 3 3 3" xfId="42141" xr:uid="{4A26D0C2-BBC9-418A-9CFD-9FEDE977F548}"/>
    <cellStyle name="Normal 42 3 3 3 2" xfId="42142" xr:uid="{33146116-C2E2-4DEE-B712-3F82DCA9D0AD}"/>
    <cellStyle name="Normal 42 3 3 3 2 2" xfId="42143" xr:uid="{1500B18C-CF03-45FC-9C5A-22ED757E3567}"/>
    <cellStyle name="Normal 42 3 3 3 3" xfId="42144" xr:uid="{C47ABDFE-9E89-4F6A-93A6-20BE90CC6043}"/>
    <cellStyle name="Normal 42 3 3 4" xfId="42145" xr:uid="{72F8ACA9-A7CB-4415-9938-42BD6337CF65}"/>
    <cellStyle name="Normal 42 3 3 4 2" xfId="42146" xr:uid="{694A1A85-9D46-4329-A71C-26692E9663A0}"/>
    <cellStyle name="Normal 42 3 3 5" xfId="42147" xr:uid="{4BC24E42-8F0E-4E7A-B919-529BA47B552F}"/>
    <cellStyle name="Normal 42 3 4" xfId="42148" xr:uid="{B854DAAD-8855-4716-8A10-54A3A0B2C849}"/>
    <cellStyle name="Normal 42 3 4 2" xfId="42149" xr:uid="{DAA2C786-F2D7-408D-BC6E-364F0DA5622A}"/>
    <cellStyle name="Normal 42 3 4 2 2" xfId="42150" xr:uid="{52A7535B-DA91-4A50-BB61-FC2EDACFFBA7}"/>
    <cellStyle name="Normal 42 3 4 3" xfId="42151" xr:uid="{0487D2BF-2AB4-4018-9B6A-59F207243FA0}"/>
    <cellStyle name="Normal 42 3 5" xfId="42152" xr:uid="{7E0D86A3-1A9B-4E8F-8175-58B7533AA7F5}"/>
    <cellStyle name="Normal 42 3 5 2" xfId="42153" xr:uid="{8B815C35-8052-4147-947A-0E81811CB82E}"/>
    <cellStyle name="Normal 42 3 5 2 2" xfId="42154" xr:uid="{74C421BB-AA3E-4956-9CCB-3947E923E4D7}"/>
    <cellStyle name="Normal 42 3 5 3" xfId="42155" xr:uid="{2FD58A92-0DB2-40FC-AD4B-4F6D9886A296}"/>
    <cellStyle name="Normal 42 3 6" xfId="42156" xr:uid="{D5B43759-F2B9-4BA8-8CCF-91BA1E53FAF3}"/>
    <cellStyle name="Normal 42 3 6 2" xfId="42157" xr:uid="{6BBF92AE-D463-4635-9899-D8D7126B6549}"/>
    <cellStyle name="Normal 42 3 7" xfId="42158" xr:uid="{7F6A0970-A1B9-4DB4-824F-B4CF41357D7A}"/>
    <cellStyle name="Normal 42 4" xfId="42159" xr:uid="{C939A664-D225-47F0-964C-60898A1E98CA}"/>
    <cellStyle name="Normal 42 4 2" xfId="42160" xr:uid="{5FC938C3-D351-4898-A430-D3B217D411E0}"/>
    <cellStyle name="Normal 42 4 2 2" xfId="42161" xr:uid="{3D279C39-185E-43BB-B75D-E43B5BFDA538}"/>
    <cellStyle name="Normal 42 4 2 2 2" xfId="42162" xr:uid="{2381E9EB-B34A-4320-A7C5-82E24F5FD722}"/>
    <cellStyle name="Normal 42 4 2 2 2 2" xfId="42163" xr:uid="{639AE56F-CDE5-4862-B4CE-5353D9A7D6C6}"/>
    <cellStyle name="Normal 42 4 2 2 3" xfId="42164" xr:uid="{11DEA817-D63C-48B4-8C98-D7C2A0172AAA}"/>
    <cellStyle name="Normal 42 4 2 3" xfId="42165" xr:uid="{799D8DF7-92B5-4346-813C-0FFDBE6D9ADD}"/>
    <cellStyle name="Normal 42 4 2 3 2" xfId="42166" xr:uid="{6E7DA337-738C-4549-9400-96E40E3E3EC3}"/>
    <cellStyle name="Normal 42 4 2 3 2 2" xfId="42167" xr:uid="{E8BD615F-27E4-4AA6-A8F1-343370172515}"/>
    <cellStyle name="Normal 42 4 2 3 3" xfId="42168" xr:uid="{616CCD5B-D74F-4433-A6AD-131DCE4E5A2F}"/>
    <cellStyle name="Normal 42 4 2 4" xfId="42169" xr:uid="{75CAFFFE-9B0E-4703-A596-1F9AEF9A32A9}"/>
    <cellStyle name="Normal 42 4 2 4 2" xfId="42170" xr:uid="{412D54DF-547C-460D-9CD5-898BB08207DB}"/>
    <cellStyle name="Normal 42 4 2 5" xfId="42171" xr:uid="{644E53D8-F09A-48E3-912D-57D11B100ADD}"/>
    <cellStyle name="Normal 42 4 3" xfId="42172" xr:uid="{5B4AC65D-C750-4E5E-B1C0-6A073E7BC6D9}"/>
    <cellStyle name="Normal 42 4 3 2" xfId="42173" xr:uid="{F6440E74-B216-4959-8FAD-ADFE4B850636}"/>
    <cellStyle name="Normal 42 4 3 2 2" xfId="42174" xr:uid="{61D8B8A5-4999-4E0D-8062-4F360CF2EB02}"/>
    <cellStyle name="Normal 42 4 3 2 2 2" xfId="42175" xr:uid="{3AAFA7D1-9894-4315-8B95-0919B27A8CC5}"/>
    <cellStyle name="Normal 42 4 3 2 3" xfId="42176" xr:uid="{1464D6F7-A7C5-4737-B1CB-7C852C08893E}"/>
    <cellStyle name="Normal 42 4 3 3" xfId="42177" xr:uid="{ABFF7031-B211-4BA2-B2FC-2F21E01F8040}"/>
    <cellStyle name="Normal 42 4 3 3 2" xfId="42178" xr:uid="{A709FE27-3678-4DF2-83B6-A365DD9A89DA}"/>
    <cellStyle name="Normal 42 4 3 3 2 2" xfId="42179" xr:uid="{7DF29192-AC73-4AB6-AA9B-F757598951AD}"/>
    <cellStyle name="Normal 42 4 3 3 3" xfId="42180" xr:uid="{B7A7D485-08F5-42E5-99E3-911077B89CFB}"/>
    <cellStyle name="Normal 42 4 3 4" xfId="42181" xr:uid="{0C0725BA-9DED-4FB6-8A77-4FDC105DC712}"/>
    <cellStyle name="Normal 42 4 3 4 2" xfId="42182" xr:uid="{51DD9C59-60F8-41B9-B959-41F8107D9B2A}"/>
    <cellStyle name="Normal 42 4 3 5" xfId="42183" xr:uid="{A5287516-E961-4CBF-8614-4C3EDE2B8741}"/>
    <cellStyle name="Normal 42 4 4" xfId="42184" xr:uid="{36F09E1B-5975-4CB0-800B-082A0E7D47B5}"/>
    <cellStyle name="Normal 42 4 4 2" xfId="42185" xr:uid="{FB75B41A-7355-4B70-B151-B39BD8F6B922}"/>
    <cellStyle name="Normal 42 4 4 2 2" xfId="42186" xr:uid="{A607C1DB-A3E7-4456-81E2-7DFA2AB85906}"/>
    <cellStyle name="Normal 42 4 4 3" xfId="42187" xr:uid="{9EC09615-BDA6-4ED0-9914-7D12C5A61C7B}"/>
    <cellStyle name="Normal 42 4 5" xfId="42188" xr:uid="{1D584874-A8CD-411F-A783-0074843969EF}"/>
    <cellStyle name="Normal 42 4 5 2" xfId="42189" xr:uid="{C666D27A-21CD-4E80-90BE-F113A0708DB9}"/>
    <cellStyle name="Normal 42 4 5 2 2" xfId="42190" xr:uid="{F4F3349A-6CA5-4BD1-85B7-E269E33CCFA3}"/>
    <cellStyle name="Normal 42 4 5 3" xfId="42191" xr:uid="{714AA7C9-712C-4594-96BB-60BD916057EF}"/>
    <cellStyle name="Normal 42 4 6" xfId="42192" xr:uid="{84724FB3-E6AD-44D5-8094-0DE44587AC6E}"/>
    <cellStyle name="Normal 42 4 6 2" xfId="42193" xr:uid="{D8B40502-97A1-419B-B7FF-2A55F3EBE659}"/>
    <cellStyle name="Normal 42 4 7" xfId="42194" xr:uid="{C545BC04-2606-4E2C-BA81-6A4C826E26AE}"/>
    <cellStyle name="Normal 42 5" xfId="42195" xr:uid="{FD28DED4-26B9-4098-BE8F-C8C4ED232E8F}"/>
    <cellStyle name="Normal 42 5 2" xfId="42196" xr:uid="{7CED12B7-3C33-4C85-A763-A296E4141689}"/>
    <cellStyle name="Normal 42 5 2 2" xfId="42197" xr:uid="{BBBDBE3F-25CD-48F2-B64D-E7C1E645C8CA}"/>
    <cellStyle name="Normal 42 5 2 2 2" xfId="42198" xr:uid="{BD9A7D39-BA38-4BDA-800E-65DD1EF9F130}"/>
    <cellStyle name="Normal 42 5 2 3" xfId="42199" xr:uid="{2B53E286-8D4C-4F02-B404-8D442E6673AE}"/>
    <cellStyle name="Normal 42 5 3" xfId="42200" xr:uid="{A03FAB04-2899-4766-AAED-DE92629BB582}"/>
    <cellStyle name="Normal 42 5 3 2" xfId="42201" xr:uid="{15E09364-D9E2-425E-83B0-35BE5A83F18D}"/>
    <cellStyle name="Normal 42 5 3 2 2" xfId="42202" xr:uid="{95C7201D-7D50-4888-A18B-29C32287005D}"/>
    <cellStyle name="Normal 42 5 3 3" xfId="42203" xr:uid="{1BC2CF8E-2192-4CEB-AC3F-AA240CDE2A3F}"/>
    <cellStyle name="Normal 42 5 4" xfId="42204" xr:uid="{2C831F6C-6C2A-4FA1-9112-A8AFE7216415}"/>
    <cellStyle name="Normal 42 5 4 2" xfId="42205" xr:uid="{BFD21317-FDB5-4C04-843B-3EB1A6C05F77}"/>
    <cellStyle name="Normal 42 5 5" xfId="42206" xr:uid="{F7B9F9DB-541C-49F9-A7A3-61FB87B4F27F}"/>
    <cellStyle name="Normal 42 6" xfId="42207" xr:uid="{D03F75E4-6ABD-4335-9393-2B0DC33CC2BC}"/>
    <cellStyle name="Normal 42 6 2" xfId="42208" xr:uid="{ADB0503C-3AC7-43CD-B869-2860163582C6}"/>
    <cellStyle name="Normal 42 6 2 2" xfId="42209" xr:uid="{C8E47663-6024-4B6F-B79A-AE861DB977D6}"/>
    <cellStyle name="Normal 42 6 2 2 2" xfId="42210" xr:uid="{C4A784C3-91CD-46D2-9A90-4C5B491E07FC}"/>
    <cellStyle name="Normal 42 6 2 3" xfId="42211" xr:uid="{CF75CBC7-BB4D-4F85-AF66-E67593DFBD78}"/>
    <cellStyle name="Normal 42 6 3" xfId="42212" xr:uid="{9B8216D7-779F-46E7-A695-007E0754A620}"/>
    <cellStyle name="Normal 42 6 3 2" xfId="42213" xr:uid="{FA4871AE-EE49-4E4F-B04E-B88814E6CD10}"/>
    <cellStyle name="Normal 42 6 3 2 2" xfId="42214" xr:uid="{1455A8C3-533A-49D3-9677-AEC8DE86FA07}"/>
    <cellStyle name="Normal 42 6 3 3" xfId="42215" xr:uid="{7422A84E-8176-471A-A3B9-C8AD9BF958F8}"/>
    <cellStyle name="Normal 42 6 4" xfId="42216" xr:uid="{5AFE4CE0-8193-4D3E-93D9-22CF12BCEFE1}"/>
    <cellStyle name="Normal 42 6 4 2" xfId="42217" xr:uid="{A8567D5B-615B-45AB-A4A0-9A0B3E8BB4E8}"/>
    <cellStyle name="Normal 42 6 5" xfId="42218" xr:uid="{99B099A1-5833-4298-81B0-A8EE8AE4DD16}"/>
    <cellStyle name="Normal 42 7" xfId="42219" xr:uid="{6268C2F5-51A3-4BA3-B547-EA85EB1B26EF}"/>
    <cellStyle name="Normal 42 7 2" xfId="42220" xr:uid="{FD2432CE-CEB2-4876-A57E-C972DF2B4F8D}"/>
    <cellStyle name="Normal 42 7 2 2" xfId="42221" xr:uid="{BF37198D-31C0-4A8A-B89C-8F17023A45FB}"/>
    <cellStyle name="Normal 42 7 2 2 2" xfId="42222" xr:uid="{73B3AAA1-FAB2-488B-8E48-D1B1725277C0}"/>
    <cellStyle name="Normal 42 7 2 3" xfId="42223" xr:uid="{7A90E4E1-8BDB-4497-A09B-8D1938791B7A}"/>
    <cellStyle name="Normal 42 7 3" xfId="42224" xr:uid="{4C90E933-8ECB-47BB-A7D8-975253D57092}"/>
    <cellStyle name="Normal 42 7 3 2" xfId="42225" xr:uid="{8CD6FED0-EA8C-4C85-AC26-8DB4026D0DAB}"/>
    <cellStyle name="Normal 42 7 3 2 2" xfId="42226" xr:uid="{40F4503C-F3FA-4C4A-BC49-D0515283FDB9}"/>
    <cellStyle name="Normal 42 7 3 3" xfId="42227" xr:uid="{4096CB6C-E462-4007-9531-DF0C20A06A74}"/>
    <cellStyle name="Normal 42 7 4" xfId="42228" xr:uid="{FBEE4D47-87C4-49CB-8CF2-D6D5AAB38D4C}"/>
    <cellStyle name="Normal 42 7 4 2" xfId="42229" xr:uid="{F75E2EC5-DE27-4A9A-8722-D1E3320A9BB0}"/>
    <cellStyle name="Normal 42 7 5" xfId="42230" xr:uid="{F81B9031-85D0-436E-BB89-8D229DE53489}"/>
    <cellStyle name="Normal 42 8" xfId="42231" xr:uid="{BFFFEE33-0FF9-4A69-8303-42514ACE40D9}"/>
    <cellStyle name="Normal 42 8 2" xfId="42232" xr:uid="{417E9D2B-9AEC-4FD2-A1FD-A5C3E37096BD}"/>
    <cellStyle name="Normal 42 8 2 2" xfId="42233" xr:uid="{5C3552CE-BD52-4053-81DD-92EB3DD02C6F}"/>
    <cellStyle name="Normal 42 8 3" xfId="42234" xr:uid="{6B7789DB-CFBD-498D-82F0-09019B9DADBF}"/>
    <cellStyle name="Normal 42 9" xfId="42235" xr:uid="{15CA5E33-5765-43CE-9DFE-FBDC4550989A}"/>
    <cellStyle name="Normal 42 9 2" xfId="42236" xr:uid="{7AB5CFF2-4611-486C-A354-F29186A6AC5F}"/>
    <cellStyle name="Normal 42 9 2 2" xfId="42237" xr:uid="{C718D9E1-8B4D-41DB-AA83-B6BDAACA4EC6}"/>
    <cellStyle name="Normal 42 9 3" xfId="42238" xr:uid="{4A141320-D50A-4077-A8C3-BD29FCBF25E9}"/>
    <cellStyle name="Normal 43" xfId="42239" xr:uid="{49118CDF-CCAA-440F-82F7-1742A9CF8F2E}"/>
    <cellStyle name="Normal 43 10" xfId="42240" xr:uid="{10B5D50E-869B-4A97-AA09-9FA22CC7E50B}"/>
    <cellStyle name="Normal 43 10 2" xfId="42241" xr:uid="{46908A54-E08F-4809-B291-A90C360EB0A5}"/>
    <cellStyle name="Normal 43 11" xfId="42242" xr:uid="{EBA3B084-3D98-4983-AE3B-82B21A2C83DB}"/>
    <cellStyle name="Normal 43 2" xfId="42243" xr:uid="{17070A62-8ACA-410A-9ABA-F9B317C4BD68}"/>
    <cellStyle name="Normal 43 2 10" xfId="42244" xr:uid="{7B5044A1-C7F3-4E33-B4BA-C10F070F0892}"/>
    <cellStyle name="Normal 43 2 2" xfId="42245" xr:uid="{DAC85F72-7D2B-4424-881C-A285A4049523}"/>
    <cellStyle name="Normal 43 2 2 2" xfId="42246" xr:uid="{DAB26825-6478-4FD4-B486-AEBEC6CD7469}"/>
    <cellStyle name="Normal 43 2 2 2 2" xfId="42247" xr:uid="{092ABA31-798F-44C4-8574-83162BF312D2}"/>
    <cellStyle name="Normal 43 2 2 2 2 2" xfId="42248" xr:uid="{A1D3BF00-21B3-468B-83C5-C8E79F8AADBF}"/>
    <cellStyle name="Normal 43 2 2 2 2 2 2" xfId="42249" xr:uid="{7041D7D6-DB75-4FD7-B77A-7E6720D20978}"/>
    <cellStyle name="Normal 43 2 2 2 2 3" xfId="42250" xr:uid="{621AF2A5-56FF-48AD-8DCC-11E14D05EF4E}"/>
    <cellStyle name="Normal 43 2 2 2 3" xfId="42251" xr:uid="{FC3066BE-CBC0-4316-9962-67E95853F804}"/>
    <cellStyle name="Normal 43 2 2 2 3 2" xfId="42252" xr:uid="{A1FFC1D8-9101-4A01-88BA-C375444887C6}"/>
    <cellStyle name="Normal 43 2 2 2 3 2 2" xfId="42253" xr:uid="{ABA9B962-B3F0-4EA2-9E5C-EB72F16ED6CD}"/>
    <cellStyle name="Normal 43 2 2 2 3 3" xfId="42254" xr:uid="{2C47E487-8F0E-423A-A199-9DF2161F0225}"/>
    <cellStyle name="Normal 43 2 2 2 4" xfId="42255" xr:uid="{0BB86CF6-43D4-4965-A104-F8BA099124FC}"/>
    <cellStyle name="Normal 43 2 2 2 4 2" xfId="42256" xr:uid="{3EB33FA7-BE6A-4E17-9A75-DE9FA03AAB7E}"/>
    <cellStyle name="Normal 43 2 2 2 5" xfId="42257" xr:uid="{395A4F20-36B6-4C55-B996-B3782C2793DF}"/>
    <cellStyle name="Normal 43 2 2 3" xfId="42258" xr:uid="{C5AC2DD1-258B-4433-9489-5ED19589B490}"/>
    <cellStyle name="Normal 43 2 2 3 2" xfId="42259" xr:uid="{9957F755-4B2D-47EA-8D9A-E481065E188F}"/>
    <cellStyle name="Normal 43 2 2 3 2 2" xfId="42260" xr:uid="{53D9B36B-660C-47F9-A3C2-2A645D723EE6}"/>
    <cellStyle name="Normal 43 2 2 3 2 2 2" xfId="42261" xr:uid="{1BC7085E-1CD9-4751-BCEB-C66738F2E513}"/>
    <cellStyle name="Normal 43 2 2 3 2 3" xfId="42262" xr:uid="{82B6003A-7711-4103-A2E8-47564E506D73}"/>
    <cellStyle name="Normal 43 2 2 3 3" xfId="42263" xr:uid="{25D74929-205D-4599-882B-DD90D3E6146A}"/>
    <cellStyle name="Normal 43 2 2 3 3 2" xfId="42264" xr:uid="{F4137CEC-FEFA-4BF7-A594-24B81F0DCFFD}"/>
    <cellStyle name="Normal 43 2 2 3 3 2 2" xfId="42265" xr:uid="{3A6BC060-04FA-4230-8544-2AD5843B8FD3}"/>
    <cellStyle name="Normal 43 2 2 3 3 3" xfId="42266" xr:uid="{C26B1DEB-3228-4E0C-9372-163675AE7B87}"/>
    <cellStyle name="Normal 43 2 2 3 4" xfId="42267" xr:uid="{101DF61F-468B-4638-BCB3-9F647976772D}"/>
    <cellStyle name="Normal 43 2 2 3 4 2" xfId="42268" xr:uid="{F11E25B2-61E0-4A83-A5F5-A73904E1E5AA}"/>
    <cellStyle name="Normal 43 2 2 3 5" xfId="42269" xr:uid="{CD21DDCD-AF55-409C-852C-2EB1F174D885}"/>
    <cellStyle name="Normal 43 2 2 4" xfId="42270" xr:uid="{789CEF3B-9BD5-45A2-9542-DC203D5BE398}"/>
    <cellStyle name="Normal 43 2 2 4 2" xfId="42271" xr:uid="{ACA0384C-5CBF-4870-BDA5-E698C7DD551A}"/>
    <cellStyle name="Normal 43 2 2 4 2 2" xfId="42272" xr:uid="{4D92767D-15A6-4B69-9DDC-CCA5FCDE8376}"/>
    <cellStyle name="Normal 43 2 2 4 3" xfId="42273" xr:uid="{82E2536B-9030-4501-9028-DBBCBE6CAB60}"/>
    <cellStyle name="Normal 43 2 2 5" xfId="42274" xr:uid="{BBA7DCE8-2343-4A01-9EAC-C1E734E38877}"/>
    <cellStyle name="Normal 43 2 2 5 2" xfId="42275" xr:uid="{16529F2C-0EC5-44D5-928F-AFF6EE20BF40}"/>
    <cellStyle name="Normal 43 2 2 5 2 2" xfId="42276" xr:uid="{30100847-681A-4564-8949-D7C250F7C1BA}"/>
    <cellStyle name="Normal 43 2 2 5 3" xfId="42277" xr:uid="{D87C6CB1-6FF7-410F-AADF-88CB39A0E858}"/>
    <cellStyle name="Normal 43 2 2 6" xfId="42278" xr:uid="{88915F12-0993-4EA9-9E2F-672F75653DE6}"/>
    <cellStyle name="Normal 43 2 2 6 2" xfId="42279" xr:uid="{9D9153C6-084C-4077-ADD4-3387F7CA3A8B}"/>
    <cellStyle name="Normal 43 2 2 7" xfId="42280" xr:uid="{43B3F325-1E06-486E-A82C-5C9AB0886F00}"/>
    <cellStyle name="Normal 43 2 3" xfId="42281" xr:uid="{7F94167E-B8C6-4AAC-AE16-75461FF01CAB}"/>
    <cellStyle name="Normal 43 2 3 2" xfId="42282" xr:uid="{3EB5BAB7-D7A6-405B-A688-D06A773E99DC}"/>
    <cellStyle name="Normal 43 2 3 2 2" xfId="42283" xr:uid="{8A50E458-B383-45AE-8689-862945BE32AF}"/>
    <cellStyle name="Normal 43 2 3 2 2 2" xfId="42284" xr:uid="{A2A751DC-4CB0-47B2-8441-C320DCD70009}"/>
    <cellStyle name="Normal 43 2 3 2 2 2 2" xfId="42285" xr:uid="{079B79C9-4C4B-4B68-B606-6E1BCB6CC7D0}"/>
    <cellStyle name="Normal 43 2 3 2 2 3" xfId="42286" xr:uid="{6DADC423-691C-4FBB-9401-7A5C659CAC92}"/>
    <cellStyle name="Normal 43 2 3 2 3" xfId="42287" xr:uid="{8AF6BD42-BD4C-43C0-9291-FBF1F20657BC}"/>
    <cellStyle name="Normal 43 2 3 2 3 2" xfId="42288" xr:uid="{F94AEA6E-1B8D-4915-97CB-F53786F6761E}"/>
    <cellStyle name="Normal 43 2 3 2 3 2 2" xfId="42289" xr:uid="{81A2CC24-213B-45E8-9D5F-CAA8BEBAA513}"/>
    <cellStyle name="Normal 43 2 3 2 3 3" xfId="42290" xr:uid="{D4438622-5E6E-4BEA-8F3B-1C4D6B4A3F49}"/>
    <cellStyle name="Normal 43 2 3 2 4" xfId="42291" xr:uid="{3B7EB3D9-78CC-4951-BAC1-0F38127CB490}"/>
    <cellStyle name="Normal 43 2 3 2 4 2" xfId="42292" xr:uid="{04C9A006-8D34-4F0E-9092-F1EC399744E5}"/>
    <cellStyle name="Normal 43 2 3 2 5" xfId="42293" xr:uid="{F246F699-933E-4523-9EDC-67FB07F13060}"/>
    <cellStyle name="Normal 43 2 3 3" xfId="42294" xr:uid="{79D41DBF-6A13-4FD4-B8A9-B02B7DD35C02}"/>
    <cellStyle name="Normal 43 2 3 3 2" xfId="42295" xr:uid="{33A01F55-E9D6-4359-B312-4177D5ECE4BE}"/>
    <cellStyle name="Normal 43 2 3 3 2 2" xfId="42296" xr:uid="{D47F6832-A4CF-425B-9C54-F57C10399733}"/>
    <cellStyle name="Normal 43 2 3 3 2 2 2" xfId="42297" xr:uid="{5D26C217-BA3D-4E8D-8F16-63B29BE24230}"/>
    <cellStyle name="Normal 43 2 3 3 2 3" xfId="42298" xr:uid="{7462A383-C4F0-4346-80F4-F925CF13B338}"/>
    <cellStyle name="Normal 43 2 3 3 3" xfId="42299" xr:uid="{E5F07147-F44A-46A7-A923-9E7CC0628D4D}"/>
    <cellStyle name="Normal 43 2 3 3 3 2" xfId="42300" xr:uid="{D6FB08B7-F37E-45B7-8CB5-D19416F97C4A}"/>
    <cellStyle name="Normal 43 2 3 3 3 2 2" xfId="42301" xr:uid="{3503D373-3A6C-4470-96FC-B76ECA8D507B}"/>
    <cellStyle name="Normal 43 2 3 3 3 3" xfId="42302" xr:uid="{A4F57EF6-6592-4F29-B1FC-2E6B0D12F03F}"/>
    <cellStyle name="Normal 43 2 3 3 4" xfId="42303" xr:uid="{7C0C956D-C139-4C49-863B-46FA3A4A3454}"/>
    <cellStyle name="Normal 43 2 3 3 4 2" xfId="42304" xr:uid="{BD669A37-2FBA-4BDD-8ED2-5FD776AED3EE}"/>
    <cellStyle name="Normal 43 2 3 3 5" xfId="42305" xr:uid="{6E5A4EB1-4C59-4DFD-89C6-4538AA0EEDB9}"/>
    <cellStyle name="Normal 43 2 3 4" xfId="42306" xr:uid="{197B8D71-3E77-41CC-BEE3-862A6A767A58}"/>
    <cellStyle name="Normal 43 2 3 4 2" xfId="42307" xr:uid="{945B2527-44B4-4856-AA67-0BA9526E4FDA}"/>
    <cellStyle name="Normal 43 2 3 4 2 2" xfId="42308" xr:uid="{390B54ED-AB47-42C4-98A2-079B0A37D5BF}"/>
    <cellStyle name="Normal 43 2 3 4 3" xfId="42309" xr:uid="{77AEF800-2FE0-40E7-9F57-5E8EA5F56432}"/>
    <cellStyle name="Normal 43 2 3 5" xfId="42310" xr:uid="{BCC01D0C-9B0B-4840-9A3A-FECE1A8CC890}"/>
    <cellStyle name="Normal 43 2 3 5 2" xfId="42311" xr:uid="{411C6761-32E3-47A1-B482-8D837FBBB261}"/>
    <cellStyle name="Normal 43 2 3 5 2 2" xfId="42312" xr:uid="{41416A97-E3EC-4C18-92EB-4165811828F3}"/>
    <cellStyle name="Normal 43 2 3 5 3" xfId="42313" xr:uid="{7E633224-2ED5-4917-9133-A591423FC556}"/>
    <cellStyle name="Normal 43 2 3 6" xfId="42314" xr:uid="{6492DE60-DEF9-4771-BAF6-B47EC2B41617}"/>
    <cellStyle name="Normal 43 2 3 6 2" xfId="42315" xr:uid="{0D17C71D-CD45-4563-9855-F3C0AF62D4D2}"/>
    <cellStyle name="Normal 43 2 3 7" xfId="42316" xr:uid="{2B47B6AE-ED73-451C-A642-83B36A79424E}"/>
    <cellStyle name="Normal 43 2 4" xfId="42317" xr:uid="{188862C1-2A52-47B2-B435-C0D57A4E51D7}"/>
    <cellStyle name="Normal 43 2 4 2" xfId="42318" xr:uid="{5686D14B-C35F-49AC-8B38-6AF77753D954}"/>
    <cellStyle name="Normal 43 2 4 2 2" xfId="42319" xr:uid="{2343C4C3-5999-4B61-883B-6B1C10DBCFC0}"/>
    <cellStyle name="Normal 43 2 4 2 2 2" xfId="42320" xr:uid="{2225CB9C-0BAA-4559-9665-30749F8AD6FA}"/>
    <cellStyle name="Normal 43 2 4 2 3" xfId="42321" xr:uid="{151B5C06-E043-4659-81E4-97AD29715C65}"/>
    <cellStyle name="Normal 43 2 4 3" xfId="42322" xr:uid="{E7E10590-9199-46CD-AED1-0A81C9A6F9C3}"/>
    <cellStyle name="Normal 43 2 4 3 2" xfId="42323" xr:uid="{A125C187-82B0-496F-981C-9F3A702FB9EE}"/>
    <cellStyle name="Normal 43 2 4 3 2 2" xfId="42324" xr:uid="{AB560ABC-0A19-4083-B02E-7DE6E0658C41}"/>
    <cellStyle name="Normal 43 2 4 3 3" xfId="42325" xr:uid="{6BEB5E94-6F2C-4617-8181-ED973A742CD7}"/>
    <cellStyle name="Normal 43 2 4 4" xfId="42326" xr:uid="{4171CA9D-3359-4698-9A1F-2B39F7B2DAF8}"/>
    <cellStyle name="Normal 43 2 4 4 2" xfId="42327" xr:uid="{A490F5B9-E38D-4B1F-BC84-BF94990FA3EB}"/>
    <cellStyle name="Normal 43 2 4 5" xfId="42328" xr:uid="{E8E6A1FF-4BAE-4FC5-9A2C-FD694F09A83A}"/>
    <cellStyle name="Normal 43 2 5" xfId="42329" xr:uid="{63387E80-A47E-4149-B805-DBE971E60622}"/>
    <cellStyle name="Normal 43 2 5 2" xfId="42330" xr:uid="{FFF91E1B-E2FF-4A55-86CA-25A79EB10905}"/>
    <cellStyle name="Normal 43 2 5 2 2" xfId="42331" xr:uid="{1B519857-534F-4B36-B668-ED486F94DE55}"/>
    <cellStyle name="Normal 43 2 5 2 2 2" xfId="42332" xr:uid="{648218BF-A079-4045-99E4-13B357F40344}"/>
    <cellStyle name="Normal 43 2 5 2 3" xfId="42333" xr:uid="{B9A1EB13-2BFC-410E-95B8-C9E4FDF61967}"/>
    <cellStyle name="Normal 43 2 5 3" xfId="42334" xr:uid="{1139DEE7-847F-45F1-A6E8-BFA32EC4A5D7}"/>
    <cellStyle name="Normal 43 2 5 3 2" xfId="42335" xr:uid="{B4C151E5-84BF-4DBF-9906-F9DAFF73EAF3}"/>
    <cellStyle name="Normal 43 2 5 3 2 2" xfId="42336" xr:uid="{EF429635-C1C8-4BB6-8D0E-791D6113298A}"/>
    <cellStyle name="Normal 43 2 5 3 3" xfId="42337" xr:uid="{5AEA87A5-632B-4CC1-A919-40E6D96F8758}"/>
    <cellStyle name="Normal 43 2 5 4" xfId="42338" xr:uid="{AD6A7F41-D74A-4208-9601-C5AF99F7F140}"/>
    <cellStyle name="Normal 43 2 5 4 2" xfId="42339" xr:uid="{AAC14041-B8EE-4E87-831C-92259777C1F4}"/>
    <cellStyle name="Normal 43 2 5 5" xfId="42340" xr:uid="{540638F0-FE24-4CD4-AB05-4B1A629DD477}"/>
    <cellStyle name="Normal 43 2 6" xfId="42341" xr:uid="{A08001DA-D0F9-4F86-B0E9-9ADF18D20B57}"/>
    <cellStyle name="Normal 43 2 6 2" xfId="42342" xr:uid="{4BDE0F85-2579-403C-869F-7D5EB53F3FDC}"/>
    <cellStyle name="Normal 43 2 6 2 2" xfId="42343" xr:uid="{93206F1B-A156-41FC-8C4A-5CC95C92A05F}"/>
    <cellStyle name="Normal 43 2 6 2 2 2" xfId="42344" xr:uid="{078F8147-CC94-4BBB-8650-4532741AF4E7}"/>
    <cellStyle name="Normal 43 2 6 2 3" xfId="42345" xr:uid="{7AA85A07-FEB7-40BA-835A-A0A2237FB16C}"/>
    <cellStyle name="Normal 43 2 6 3" xfId="42346" xr:uid="{A40D95F9-FD5F-4EF8-A4AD-7A716027D370}"/>
    <cellStyle name="Normal 43 2 6 3 2" xfId="42347" xr:uid="{E0661C29-FF8F-46CA-BE6E-5E0D9E4882A1}"/>
    <cellStyle name="Normal 43 2 6 3 2 2" xfId="42348" xr:uid="{F9F22495-6265-4036-AB89-D4B105A86F1C}"/>
    <cellStyle name="Normal 43 2 6 3 3" xfId="42349" xr:uid="{9330A53C-1E36-475E-977A-5BC8045539C8}"/>
    <cellStyle name="Normal 43 2 6 4" xfId="42350" xr:uid="{55DEB94A-6F73-4084-BF67-C99F54081024}"/>
    <cellStyle name="Normal 43 2 6 4 2" xfId="42351" xr:uid="{038B17B3-85E4-4071-8C8D-4D9A7CDC2DF5}"/>
    <cellStyle name="Normal 43 2 6 5" xfId="42352" xr:uid="{D3968940-6FDD-4738-91C3-7673C1D93D26}"/>
    <cellStyle name="Normal 43 2 7" xfId="42353" xr:uid="{82BD91B6-BA98-4455-8115-2C59D6870305}"/>
    <cellStyle name="Normal 43 2 7 2" xfId="42354" xr:uid="{B10F2F96-F728-4736-AD9E-EEB466218CD7}"/>
    <cellStyle name="Normal 43 2 7 2 2" xfId="42355" xr:uid="{A9B26FA2-95A6-4472-9C5E-B266A09B7004}"/>
    <cellStyle name="Normal 43 2 7 3" xfId="42356" xr:uid="{B75F8C56-7B6E-4E4A-9811-8350B93C3FAB}"/>
    <cellStyle name="Normal 43 2 8" xfId="42357" xr:uid="{C610B81D-4455-4539-A11A-904945F10035}"/>
    <cellStyle name="Normal 43 2 8 2" xfId="42358" xr:uid="{070C42A2-98A5-40D5-95BF-6E02F6C2AA77}"/>
    <cellStyle name="Normal 43 2 8 2 2" xfId="42359" xr:uid="{9111034F-38B8-4137-9A00-FDE2D1A52ACC}"/>
    <cellStyle name="Normal 43 2 8 3" xfId="42360" xr:uid="{6734AAB8-F021-4B10-870C-90E6C1120F76}"/>
    <cellStyle name="Normal 43 2 9" xfId="42361" xr:uid="{A7F0412A-874C-45FC-8E61-3954B98B9206}"/>
    <cellStyle name="Normal 43 2 9 2" xfId="42362" xr:uid="{CFCB52F2-5DBB-4229-8D3B-86631C60958D}"/>
    <cellStyle name="Normal 43 3" xfId="42363" xr:uid="{9AAEDF73-785B-4E57-81DE-A2F0ACB3A19C}"/>
    <cellStyle name="Normal 43 3 2" xfId="42364" xr:uid="{6BBBB66D-787B-4951-BE8C-6F2F217A6F8F}"/>
    <cellStyle name="Normal 43 3 2 2" xfId="42365" xr:uid="{42C42EF9-C48B-4E7C-8356-8A57BFC207E2}"/>
    <cellStyle name="Normal 43 3 2 2 2" xfId="42366" xr:uid="{591402C4-39D8-4EAA-A7C2-CFA790FE56FC}"/>
    <cellStyle name="Normal 43 3 2 2 2 2" xfId="42367" xr:uid="{B5935928-9625-4E0E-94F3-E41972527F3A}"/>
    <cellStyle name="Normal 43 3 2 2 3" xfId="42368" xr:uid="{9F5018AC-53EA-4B0D-92DB-419BA369502A}"/>
    <cellStyle name="Normal 43 3 2 3" xfId="42369" xr:uid="{C38B4E13-140C-4040-BBC1-693260FFE2D0}"/>
    <cellStyle name="Normal 43 3 2 3 2" xfId="42370" xr:uid="{B88BF692-2006-490D-8582-1CA4CD257DEF}"/>
    <cellStyle name="Normal 43 3 2 3 2 2" xfId="42371" xr:uid="{CBA82EF8-6E48-485E-A2A7-1D9B858E19CE}"/>
    <cellStyle name="Normal 43 3 2 3 3" xfId="42372" xr:uid="{87395AEC-D1C0-4921-85DB-5C2EBF4F3840}"/>
    <cellStyle name="Normal 43 3 2 4" xfId="42373" xr:uid="{2BEBABC2-BF91-4996-A7B3-CEB7D183C2D3}"/>
    <cellStyle name="Normal 43 3 2 4 2" xfId="42374" xr:uid="{C015381D-34B1-4144-9533-05C30D96524E}"/>
    <cellStyle name="Normal 43 3 2 5" xfId="42375" xr:uid="{C3CF627C-9420-42AC-B7B6-E0A02C5BCD95}"/>
    <cellStyle name="Normal 43 3 3" xfId="42376" xr:uid="{EA9E54CF-94A9-4DDF-B32D-D3EE922DE469}"/>
    <cellStyle name="Normal 43 3 3 2" xfId="42377" xr:uid="{534CD359-B316-450E-AFDE-FCE9A38EA9E0}"/>
    <cellStyle name="Normal 43 3 3 2 2" xfId="42378" xr:uid="{EAC20CFB-ADAE-414C-B19F-24955F0FFBC2}"/>
    <cellStyle name="Normal 43 3 3 2 2 2" xfId="42379" xr:uid="{A828825E-DAE6-4DFB-A11F-0753DF55B37C}"/>
    <cellStyle name="Normal 43 3 3 2 3" xfId="42380" xr:uid="{52C45CAF-3E66-4098-B4E3-809D3F4AED3E}"/>
    <cellStyle name="Normal 43 3 3 3" xfId="42381" xr:uid="{FD90ADAC-1297-4C83-B89D-8F665AD72819}"/>
    <cellStyle name="Normal 43 3 3 3 2" xfId="42382" xr:uid="{D743363D-CDC5-43BC-BBC5-215CD453CC23}"/>
    <cellStyle name="Normal 43 3 3 3 2 2" xfId="42383" xr:uid="{675C877D-4279-4DDB-9387-F54F67A18BAE}"/>
    <cellStyle name="Normal 43 3 3 3 3" xfId="42384" xr:uid="{2488D0DC-1650-47D1-9698-22D0E570A902}"/>
    <cellStyle name="Normal 43 3 3 4" xfId="42385" xr:uid="{6C4A7299-B4FF-436E-A9D0-C407E3ABB380}"/>
    <cellStyle name="Normal 43 3 3 4 2" xfId="42386" xr:uid="{26504EB1-795F-45E8-894F-36F5EE857B63}"/>
    <cellStyle name="Normal 43 3 3 5" xfId="42387" xr:uid="{41E3B147-82DA-4F60-AFAB-BE68C7ED3931}"/>
    <cellStyle name="Normal 43 3 4" xfId="42388" xr:uid="{1B683BF8-6989-4EF2-84FB-27A6BDE41F46}"/>
    <cellStyle name="Normal 43 3 4 2" xfId="42389" xr:uid="{6401AF47-32DD-428F-AC7D-F856AB710655}"/>
    <cellStyle name="Normal 43 3 4 2 2" xfId="42390" xr:uid="{7218BDBC-4DE9-40FF-B94F-FC6B1C48923C}"/>
    <cellStyle name="Normal 43 3 4 3" xfId="42391" xr:uid="{0BABD241-3095-4639-B345-66E0ED065F8D}"/>
    <cellStyle name="Normal 43 3 5" xfId="42392" xr:uid="{95CFF0C7-A23E-48B7-9948-861A928F9754}"/>
    <cellStyle name="Normal 43 3 5 2" xfId="42393" xr:uid="{3C0C9C92-9995-4A03-80D2-4006C30272B0}"/>
    <cellStyle name="Normal 43 3 5 2 2" xfId="42394" xr:uid="{1C4B1412-DDA6-42E2-8975-641FD9E28A74}"/>
    <cellStyle name="Normal 43 3 5 3" xfId="42395" xr:uid="{86A4CB12-C3D5-4A39-80F0-D5C19227E691}"/>
    <cellStyle name="Normal 43 3 6" xfId="42396" xr:uid="{15A73042-F8B4-4EE1-AAD0-FED88F558E94}"/>
    <cellStyle name="Normal 43 3 6 2" xfId="42397" xr:uid="{1ACAE71C-5649-4F86-AE07-429C0B509B30}"/>
    <cellStyle name="Normal 43 3 7" xfId="42398" xr:uid="{A0121E69-2D53-47A1-B4FD-64AABB980AB8}"/>
    <cellStyle name="Normal 43 4" xfId="42399" xr:uid="{260896F2-74C6-4D40-A4E5-D08E2E0F8E78}"/>
    <cellStyle name="Normal 43 4 2" xfId="42400" xr:uid="{BDE5890D-2156-49B1-869D-9F4B7E305887}"/>
    <cellStyle name="Normal 43 4 2 2" xfId="42401" xr:uid="{E84FD91D-B56D-49D3-8DDC-0BB29DC08B14}"/>
    <cellStyle name="Normal 43 4 2 2 2" xfId="42402" xr:uid="{43527758-81B1-461B-AB11-798D7F94B501}"/>
    <cellStyle name="Normal 43 4 2 2 2 2" xfId="42403" xr:uid="{6D279DAE-3401-473A-8F6F-AD46137C4E44}"/>
    <cellStyle name="Normal 43 4 2 2 3" xfId="42404" xr:uid="{E6BF13F4-24D8-4A2A-A531-E2B3CEB1E07A}"/>
    <cellStyle name="Normal 43 4 2 3" xfId="42405" xr:uid="{81CF1091-FEEB-4ED0-BC44-3630F08F2233}"/>
    <cellStyle name="Normal 43 4 2 3 2" xfId="42406" xr:uid="{D31FEBEA-F1F0-412F-92BF-1B4C1D0E40FD}"/>
    <cellStyle name="Normal 43 4 2 3 2 2" xfId="42407" xr:uid="{89F27D85-97B6-4E5D-9E85-9F8D23BD1D2B}"/>
    <cellStyle name="Normal 43 4 2 3 3" xfId="42408" xr:uid="{D3C44C20-0C16-44FC-A649-7C74C99C2318}"/>
    <cellStyle name="Normal 43 4 2 4" xfId="42409" xr:uid="{2B9C5881-E7ED-4C1D-A18D-91ED18935820}"/>
    <cellStyle name="Normal 43 4 2 4 2" xfId="42410" xr:uid="{FE8E0FB6-8423-4D1B-9EEC-8037BE1B9DF7}"/>
    <cellStyle name="Normal 43 4 2 5" xfId="42411" xr:uid="{DCFE11CE-D60A-461D-9EF9-4C7D8418EB00}"/>
    <cellStyle name="Normal 43 4 3" xfId="42412" xr:uid="{5E13C86B-F3F1-4DDB-BD6D-3D0D93C19F1C}"/>
    <cellStyle name="Normal 43 4 3 2" xfId="42413" xr:uid="{27ED951A-B392-4A21-BD70-10324E7BAD6E}"/>
    <cellStyle name="Normal 43 4 3 2 2" xfId="42414" xr:uid="{DB2FA038-2AD0-448A-8036-EE3872243616}"/>
    <cellStyle name="Normal 43 4 3 2 2 2" xfId="42415" xr:uid="{0EE1B630-3CA0-49D8-A478-DB6B6AF273FD}"/>
    <cellStyle name="Normal 43 4 3 2 3" xfId="42416" xr:uid="{E067A39E-04E4-4C5E-81E9-92C17603A006}"/>
    <cellStyle name="Normal 43 4 3 3" xfId="42417" xr:uid="{03B7CD36-45FA-4F7F-AE56-074936351DAA}"/>
    <cellStyle name="Normal 43 4 3 3 2" xfId="42418" xr:uid="{8E9F69F3-27CE-441B-98E2-85BFC9038862}"/>
    <cellStyle name="Normal 43 4 3 3 2 2" xfId="42419" xr:uid="{271F8DDB-94F4-41B8-A9A7-B860F284FA18}"/>
    <cellStyle name="Normal 43 4 3 3 3" xfId="42420" xr:uid="{D67B5D41-0874-41DE-B2D3-36B74721E7DB}"/>
    <cellStyle name="Normal 43 4 3 4" xfId="42421" xr:uid="{ECA85A03-8056-4CCF-86CE-A32EF4B6D474}"/>
    <cellStyle name="Normal 43 4 3 4 2" xfId="42422" xr:uid="{EBA873D7-7B4F-4D48-B4EF-2F3A23AA9AF9}"/>
    <cellStyle name="Normal 43 4 3 5" xfId="42423" xr:uid="{5FF51863-9E9D-4AC5-886C-153CFDE0DB39}"/>
    <cellStyle name="Normal 43 4 4" xfId="42424" xr:uid="{8F211689-306D-4940-A86C-B9BAC9DFC778}"/>
    <cellStyle name="Normal 43 4 4 2" xfId="42425" xr:uid="{37CE2D86-893A-4E3D-80A5-B8FCB47F7302}"/>
    <cellStyle name="Normal 43 4 4 2 2" xfId="42426" xr:uid="{EE4E8BDD-643D-4E45-9727-7DFF90B5FD2B}"/>
    <cellStyle name="Normal 43 4 4 3" xfId="42427" xr:uid="{D27B3562-C4ED-403F-8135-57EACDE3D274}"/>
    <cellStyle name="Normal 43 4 5" xfId="42428" xr:uid="{53586893-0873-4020-819E-4003EC643A7E}"/>
    <cellStyle name="Normal 43 4 5 2" xfId="42429" xr:uid="{AF9054CE-0F9D-4F1D-993F-63A0882421A6}"/>
    <cellStyle name="Normal 43 4 5 2 2" xfId="42430" xr:uid="{34D8EDF6-5E36-442F-9D31-E328D89F4F09}"/>
    <cellStyle name="Normal 43 4 5 3" xfId="42431" xr:uid="{9D97D0F7-CAAB-4EB3-8A4B-81D63B4F7C54}"/>
    <cellStyle name="Normal 43 4 6" xfId="42432" xr:uid="{F25BCB94-42F1-48B6-AE41-2768DF2825D1}"/>
    <cellStyle name="Normal 43 4 6 2" xfId="42433" xr:uid="{6069F2C4-75FE-4150-BCD2-6381F5D4297B}"/>
    <cellStyle name="Normal 43 4 7" xfId="42434" xr:uid="{71E84A4A-E9DD-4173-AF11-939ED30E8704}"/>
    <cellStyle name="Normal 43 5" xfId="42435" xr:uid="{329AE196-7D83-4464-9493-418BE2D8B96B}"/>
    <cellStyle name="Normal 43 5 2" xfId="42436" xr:uid="{08BDB945-812D-4319-B32D-50189C20D300}"/>
    <cellStyle name="Normal 43 5 2 2" xfId="42437" xr:uid="{F4F6CFDD-7A18-4EB6-8613-D27924DD0C4F}"/>
    <cellStyle name="Normal 43 5 2 2 2" xfId="42438" xr:uid="{B0375146-0595-4F83-90D9-243DDA9FDC9B}"/>
    <cellStyle name="Normal 43 5 2 3" xfId="42439" xr:uid="{C31B4E07-401F-4BEC-B934-C7FEAF6C0421}"/>
    <cellStyle name="Normal 43 5 3" xfId="42440" xr:uid="{A535CFC6-6FB6-40D1-A728-2B518971733E}"/>
    <cellStyle name="Normal 43 5 3 2" xfId="42441" xr:uid="{C77FF3E4-23D8-40A1-916C-04C4A087EEC4}"/>
    <cellStyle name="Normal 43 5 3 2 2" xfId="42442" xr:uid="{67D2987A-BDE4-4892-9F37-56EEFC3B404E}"/>
    <cellStyle name="Normal 43 5 3 3" xfId="42443" xr:uid="{FF9B2C68-7D00-41D3-AD4C-7BEC2FBBAF41}"/>
    <cellStyle name="Normal 43 5 4" xfId="42444" xr:uid="{CDA6203C-4410-48C7-AA21-155A2E46618E}"/>
    <cellStyle name="Normal 43 5 4 2" xfId="42445" xr:uid="{AAC9E38B-7A41-4B4A-A324-8671E7D11249}"/>
    <cellStyle name="Normal 43 5 5" xfId="42446" xr:uid="{BC05DD3F-54B7-4B43-9D16-095B5242CC7B}"/>
    <cellStyle name="Normal 43 6" xfId="42447" xr:uid="{8891AFDE-BE77-4216-8668-74643181572F}"/>
    <cellStyle name="Normal 43 6 2" xfId="42448" xr:uid="{999C9D37-500D-435F-BBF6-81A0B9EA5677}"/>
    <cellStyle name="Normal 43 6 2 2" xfId="42449" xr:uid="{1D7093FC-3534-48EC-99B7-32AD24C213D2}"/>
    <cellStyle name="Normal 43 6 2 2 2" xfId="42450" xr:uid="{C69E3B4D-48CE-4C2C-8597-1F35A2DE3FCB}"/>
    <cellStyle name="Normal 43 6 2 3" xfId="42451" xr:uid="{587A46FA-895F-4718-B9E7-B9F953123579}"/>
    <cellStyle name="Normal 43 6 3" xfId="42452" xr:uid="{F95AD321-2A3C-427C-A951-D4E6E9A19644}"/>
    <cellStyle name="Normal 43 6 3 2" xfId="42453" xr:uid="{DC06840D-584F-4B99-992B-3EE13A0C05E5}"/>
    <cellStyle name="Normal 43 6 3 2 2" xfId="42454" xr:uid="{E739AF6A-C0CF-4709-A048-79D1270DEC13}"/>
    <cellStyle name="Normal 43 6 3 3" xfId="42455" xr:uid="{15FFC5E3-4CAD-46B5-B865-D5330B1B3D0B}"/>
    <cellStyle name="Normal 43 6 4" xfId="42456" xr:uid="{D20512C2-5B0A-4014-B976-EFBA471CC68E}"/>
    <cellStyle name="Normal 43 6 4 2" xfId="42457" xr:uid="{84393030-91D4-466B-8739-7EB103279548}"/>
    <cellStyle name="Normal 43 6 5" xfId="42458" xr:uid="{E8512742-3D5A-4FEF-9595-0DCB856B8562}"/>
    <cellStyle name="Normal 43 7" xfId="42459" xr:uid="{82819542-40CF-4C16-BBFF-C72DA3FE86D9}"/>
    <cellStyle name="Normal 43 7 2" xfId="42460" xr:uid="{9E3E265E-58BB-4543-93E7-3EBF79E9D643}"/>
    <cellStyle name="Normal 43 7 2 2" xfId="42461" xr:uid="{7857FC47-E0EF-483F-B80F-8F064FD5A346}"/>
    <cellStyle name="Normal 43 7 2 2 2" xfId="42462" xr:uid="{6EFD27BC-F1F5-48FC-A5C2-C3119D1C7D97}"/>
    <cellStyle name="Normal 43 7 2 3" xfId="42463" xr:uid="{8879836E-A33C-4767-B7E2-22A03D352CF1}"/>
    <cellStyle name="Normal 43 7 3" xfId="42464" xr:uid="{02F91BED-F935-4712-A3A3-671272DB44C9}"/>
    <cellStyle name="Normal 43 7 3 2" xfId="42465" xr:uid="{36066E94-84C0-424D-80C2-D532157F3137}"/>
    <cellStyle name="Normal 43 7 3 2 2" xfId="42466" xr:uid="{29E36B92-6CD1-4D26-AE48-70D471265AD6}"/>
    <cellStyle name="Normal 43 7 3 3" xfId="42467" xr:uid="{28FDFBA3-EA3F-4D07-B249-543C084E9F5B}"/>
    <cellStyle name="Normal 43 7 4" xfId="42468" xr:uid="{87BFF46F-EF3B-4298-AAE8-8B0056AABCB8}"/>
    <cellStyle name="Normal 43 7 4 2" xfId="42469" xr:uid="{B4882F7E-5EDD-43A9-B3C8-56118B442408}"/>
    <cellStyle name="Normal 43 7 5" xfId="42470" xr:uid="{ED30D6CA-15A4-4C51-9E85-26588AAEE41C}"/>
    <cellStyle name="Normal 43 8" xfId="42471" xr:uid="{F7784E71-251F-4A08-9E02-AAEAA4CA0E3B}"/>
    <cellStyle name="Normal 43 8 2" xfId="42472" xr:uid="{17E6D40B-48EA-49F4-BEF9-EA6B6D7F7F41}"/>
    <cellStyle name="Normal 43 8 2 2" xfId="42473" xr:uid="{942D238B-D7B5-469A-81CF-B74130B8AC40}"/>
    <cellStyle name="Normal 43 8 3" xfId="42474" xr:uid="{4019E545-C1E3-4532-AF41-60B18E0F9919}"/>
    <cellStyle name="Normal 43 9" xfId="42475" xr:uid="{41E385C6-380E-4B85-8373-70CF5B3186EA}"/>
    <cellStyle name="Normal 43 9 2" xfId="42476" xr:uid="{B1D75062-2B48-49FA-804E-5D94D6340CBD}"/>
    <cellStyle name="Normal 43 9 2 2" xfId="42477" xr:uid="{F7020FBB-527F-49C8-A2C7-4B9532B0C8FA}"/>
    <cellStyle name="Normal 43 9 3" xfId="42478" xr:uid="{2194DC24-F74C-461C-B5BB-BBAC81C3AE1B}"/>
    <cellStyle name="Normal 44" xfId="42479" xr:uid="{81644C39-7524-439A-A9D0-C9AB6F45B7E2}"/>
    <cellStyle name="Normal 44 10" xfId="42480" xr:uid="{0322EFB1-0561-4D7F-8179-0B2B936511E5}"/>
    <cellStyle name="Normal 44 10 2" xfId="42481" xr:uid="{58D2D252-95A3-422B-9178-8FD4386ACD0B}"/>
    <cellStyle name="Normal 44 11" xfId="42482" xr:uid="{7D7BF12A-1308-4184-9B0B-41A7FFFE2628}"/>
    <cellStyle name="Normal 44 2" xfId="42483" xr:uid="{9413325E-87C6-4781-97ED-CC3F83FF1912}"/>
    <cellStyle name="Normal 44 2 10" xfId="42484" xr:uid="{16326E57-6BA3-49BD-AC8E-9C72CA025156}"/>
    <cellStyle name="Normal 44 2 2" xfId="42485" xr:uid="{3324124F-AE69-4398-B9D0-F3BF1A0D5A4F}"/>
    <cellStyle name="Normal 44 2 2 2" xfId="42486" xr:uid="{F4120A52-B7BE-40EA-ACFA-86BA0DD24459}"/>
    <cellStyle name="Normal 44 2 2 2 2" xfId="42487" xr:uid="{0FB66FAD-C07C-4852-9F7A-541AE18C8929}"/>
    <cellStyle name="Normal 44 2 2 2 2 2" xfId="42488" xr:uid="{5B9F02B6-D8E5-469F-8932-EA3DCCB40E74}"/>
    <cellStyle name="Normal 44 2 2 2 2 2 2" xfId="42489" xr:uid="{0C87FE32-F679-460F-922D-56532F1B848E}"/>
    <cellStyle name="Normal 44 2 2 2 2 3" xfId="42490" xr:uid="{84551E2D-59A9-4989-80C4-12D1AC074C69}"/>
    <cellStyle name="Normal 44 2 2 2 3" xfId="42491" xr:uid="{C8F84DEA-C957-4293-964B-DD748BDD9D78}"/>
    <cellStyle name="Normal 44 2 2 2 3 2" xfId="42492" xr:uid="{0583B89E-5644-42E4-8C9C-2346CC639471}"/>
    <cellStyle name="Normal 44 2 2 2 3 2 2" xfId="42493" xr:uid="{E2BBBC26-B729-4CF3-A145-C5C8DD21FD83}"/>
    <cellStyle name="Normal 44 2 2 2 3 3" xfId="42494" xr:uid="{BC9C040C-DE8D-441E-BA38-5F9E583200B0}"/>
    <cellStyle name="Normal 44 2 2 2 4" xfId="42495" xr:uid="{13644FEB-E641-4DAB-95FF-DC8F63E01182}"/>
    <cellStyle name="Normal 44 2 2 2 4 2" xfId="42496" xr:uid="{A35976FB-57E8-4836-8CBE-E6F241E87673}"/>
    <cellStyle name="Normal 44 2 2 2 5" xfId="42497" xr:uid="{52BC3401-6B31-4418-B9E9-2CF6F72C2114}"/>
    <cellStyle name="Normal 44 2 2 3" xfId="42498" xr:uid="{99857EDB-467F-43A0-A30C-4ECB0436B91A}"/>
    <cellStyle name="Normal 44 2 2 3 2" xfId="42499" xr:uid="{AB77C5D5-DAC0-4792-B18C-5D3B21589264}"/>
    <cellStyle name="Normal 44 2 2 3 2 2" xfId="42500" xr:uid="{82F883B5-9C34-43C8-8B06-A5CB795E3376}"/>
    <cellStyle name="Normal 44 2 2 3 2 2 2" xfId="42501" xr:uid="{3F3E095F-2600-41FA-96D6-98B080D8EBF7}"/>
    <cellStyle name="Normal 44 2 2 3 2 3" xfId="42502" xr:uid="{50C1394A-B5D5-4E47-8A54-7326EBA717BF}"/>
    <cellStyle name="Normal 44 2 2 3 3" xfId="42503" xr:uid="{55E3A342-F51B-4B57-92B9-963BA90CBECB}"/>
    <cellStyle name="Normal 44 2 2 3 3 2" xfId="42504" xr:uid="{78DF921E-FA69-4CC0-AD5A-42B1115691AC}"/>
    <cellStyle name="Normal 44 2 2 3 3 2 2" xfId="42505" xr:uid="{33427142-F67C-4592-AB19-6364D831D966}"/>
    <cellStyle name="Normal 44 2 2 3 3 3" xfId="42506" xr:uid="{62BC0F3F-F782-4755-8631-B3FA14F3CF2A}"/>
    <cellStyle name="Normal 44 2 2 3 4" xfId="42507" xr:uid="{2D751AA3-0589-4AE7-919C-7AFBF1FC1FA1}"/>
    <cellStyle name="Normal 44 2 2 3 4 2" xfId="42508" xr:uid="{B4315F87-E7DF-4AF4-9ADF-35418C899389}"/>
    <cellStyle name="Normal 44 2 2 3 5" xfId="42509" xr:uid="{9F8CF486-7DD1-4224-AFB1-28B606793E40}"/>
    <cellStyle name="Normal 44 2 2 4" xfId="42510" xr:uid="{73A691F6-E26A-4853-9660-7A8B74F369F8}"/>
    <cellStyle name="Normal 44 2 2 4 2" xfId="42511" xr:uid="{AE68D05E-952C-468F-BE05-0FC906C76DBD}"/>
    <cellStyle name="Normal 44 2 2 4 2 2" xfId="42512" xr:uid="{F9857390-BC22-4795-8041-9F8192DFE355}"/>
    <cellStyle name="Normal 44 2 2 4 3" xfId="42513" xr:uid="{E33C3FBB-FB0E-4F31-B3F7-94BC9631DFE0}"/>
    <cellStyle name="Normal 44 2 2 5" xfId="42514" xr:uid="{91A6D84C-241A-42F6-86AD-346D0C89920D}"/>
    <cellStyle name="Normal 44 2 2 5 2" xfId="42515" xr:uid="{3BAFFFEC-71AF-46AB-A271-0246EAAFFBEC}"/>
    <cellStyle name="Normal 44 2 2 5 2 2" xfId="42516" xr:uid="{45D1507F-665A-4AD2-BC73-3FBC30D732CE}"/>
    <cellStyle name="Normal 44 2 2 5 3" xfId="42517" xr:uid="{52B87F82-D7D9-4C8E-BDDD-16E2DFFADB14}"/>
    <cellStyle name="Normal 44 2 2 6" xfId="42518" xr:uid="{B31BB17C-A29B-479C-8052-E568A63E4B0E}"/>
    <cellStyle name="Normal 44 2 2 6 2" xfId="42519" xr:uid="{91AA1DB9-E944-4A4A-96DA-A21F58A1F3C3}"/>
    <cellStyle name="Normal 44 2 2 7" xfId="42520" xr:uid="{19F51D8F-EE55-4CC6-9EAF-F00AD0105223}"/>
    <cellStyle name="Normal 44 2 3" xfId="42521" xr:uid="{73D24662-D87E-458C-AE8E-634B0EB82978}"/>
    <cellStyle name="Normal 44 2 3 2" xfId="42522" xr:uid="{F9C96C45-A355-4195-9CA1-F68307FD4B9A}"/>
    <cellStyle name="Normal 44 2 3 2 2" xfId="42523" xr:uid="{DABAD633-0798-447C-A85C-9BAE90279752}"/>
    <cellStyle name="Normal 44 2 3 2 2 2" xfId="42524" xr:uid="{9471C43B-91F4-4F33-9A40-855C1020DAB3}"/>
    <cellStyle name="Normal 44 2 3 2 2 2 2" xfId="42525" xr:uid="{05139B67-2637-4648-9AB9-6921D9C724E2}"/>
    <cellStyle name="Normal 44 2 3 2 2 3" xfId="42526" xr:uid="{810B5FD6-1F61-44CD-8EE7-24ADC6E3BB83}"/>
    <cellStyle name="Normal 44 2 3 2 3" xfId="42527" xr:uid="{4EB20A8D-CD08-4379-9D28-FC953D8A9F0D}"/>
    <cellStyle name="Normal 44 2 3 2 3 2" xfId="42528" xr:uid="{93140CDA-5ED1-46A9-90E2-1C328FA7532B}"/>
    <cellStyle name="Normal 44 2 3 2 3 2 2" xfId="42529" xr:uid="{F6C8508D-3639-4E93-99AD-764A6F18D82C}"/>
    <cellStyle name="Normal 44 2 3 2 3 3" xfId="42530" xr:uid="{CDD76B34-BDB0-4124-86D8-1527A1502CC2}"/>
    <cellStyle name="Normal 44 2 3 2 4" xfId="42531" xr:uid="{751EE13D-F26E-4B3C-BD8E-FD0DFA1D919D}"/>
    <cellStyle name="Normal 44 2 3 2 4 2" xfId="42532" xr:uid="{0E0C1140-776F-4A07-9914-CD7195C84DA8}"/>
    <cellStyle name="Normal 44 2 3 2 5" xfId="42533" xr:uid="{5EC90A61-07B5-4FD1-BFE8-9FA3CFE51756}"/>
    <cellStyle name="Normal 44 2 3 3" xfId="42534" xr:uid="{56AF2529-1BD8-490F-B4C1-DDB79371D9B3}"/>
    <cellStyle name="Normal 44 2 3 3 2" xfId="42535" xr:uid="{C75EAE14-AB05-43A4-B444-80D93EAE2CD9}"/>
    <cellStyle name="Normal 44 2 3 3 2 2" xfId="42536" xr:uid="{264BBFFB-FA54-4A1F-AD22-8B25282AC661}"/>
    <cellStyle name="Normal 44 2 3 3 2 2 2" xfId="42537" xr:uid="{DB8866C3-D08E-4234-A904-E5E7CD3848C4}"/>
    <cellStyle name="Normal 44 2 3 3 2 3" xfId="42538" xr:uid="{BDB9ACF8-BD5C-44CB-AEA9-5CF8910179BE}"/>
    <cellStyle name="Normal 44 2 3 3 3" xfId="42539" xr:uid="{D88CBCA0-E954-4C97-B67B-4B0B51EA20D4}"/>
    <cellStyle name="Normal 44 2 3 3 3 2" xfId="42540" xr:uid="{9E900A6D-70BD-45E9-B370-1D6045744F90}"/>
    <cellStyle name="Normal 44 2 3 3 3 2 2" xfId="42541" xr:uid="{7F9E16E9-17F4-4D8A-9DDD-04A331AC3CF0}"/>
    <cellStyle name="Normal 44 2 3 3 3 3" xfId="42542" xr:uid="{BE2958E0-BBAA-427D-BBF6-CFBF1937B1B6}"/>
    <cellStyle name="Normal 44 2 3 3 4" xfId="42543" xr:uid="{33D555F0-80F6-4C62-93A0-6488F95CBB62}"/>
    <cellStyle name="Normal 44 2 3 3 4 2" xfId="42544" xr:uid="{031C3BD7-44C5-4052-941B-0C969DC099F7}"/>
    <cellStyle name="Normal 44 2 3 3 5" xfId="42545" xr:uid="{68749CAC-A53C-440B-AD2A-B1E1F8FF5BA2}"/>
    <cellStyle name="Normal 44 2 3 4" xfId="42546" xr:uid="{4A9FB899-BD9D-4240-A447-3FD4805C148D}"/>
    <cellStyle name="Normal 44 2 3 4 2" xfId="42547" xr:uid="{69F55566-32A7-4205-B537-F1EC984E0CDB}"/>
    <cellStyle name="Normal 44 2 3 4 2 2" xfId="42548" xr:uid="{9501B2C9-F05B-4259-9A21-9233EBC91767}"/>
    <cellStyle name="Normal 44 2 3 4 3" xfId="42549" xr:uid="{CF01DE01-C864-4F99-99EA-C43784AFCE45}"/>
    <cellStyle name="Normal 44 2 3 5" xfId="42550" xr:uid="{062D5091-3F8A-4F16-AC6D-B5B700ECFFE0}"/>
    <cellStyle name="Normal 44 2 3 5 2" xfId="42551" xr:uid="{0C3AEF0D-25DA-470D-BC5B-3A0D2CD63C51}"/>
    <cellStyle name="Normal 44 2 3 5 2 2" xfId="42552" xr:uid="{ADB68B45-5AB4-413A-AADF-2DFBE358446F}"/>
    <cellStyle name="Normal 44 2 3 5 3" xfId="42553" xr:uid="{B90CF6F3-CBCC-4F86-AA72-9313773248D0}"/>
    <cellStyle name="Normal 44 2 3 6" xfId="42554" xr:uid="{AB1913F9-78B8-49AA-AA17-918478AF8F9E}"/>
    <cellStyle name="Normal 44 2 3 6 2" xfId="42555" xr:uid="{DFD8DCD1-03DA-4E2F-B10F-27278FBEB95F}"/>
    <cellStyle name="Normal 44 2 3 7" xfId="42556" xr:uid="{6EDE9DD6-9EAC-4086-BBFF-2602B6C7262F}"/>
    <cellStyle name="Normal 44 2 4" xfId="42557" xr:uid="{A532F1DB-B3E8-4733-848F-C6D4CA0A8AEF}"/>
    <cellStyle name="Normal 44 2 4 2" xfId="42558" xr:uid="{F5142D0A-90C9-4A37-A693-400667156450}"/>
    <cellStyle name="Normal 44 2 4 2 2" xfId="42559" xr:uid="{6C116068-B3BF-463C-9FE6-02B238D6EF71}"/>
    <cellStyle name="Normal 44 2 4 2 2 2" xfId="42560" xr:uid="{CD89CA26-DAA3-438B-B884-0DF89678683E}"/>
    <cellStyle name="Normal 44 2 4 2 3" xfId="42561" xr:uid="{6065300C-DA3A-4DC5-836D-146DABFE664F}"/>
    <cellStyle name="Normal 44 2 4 3" xfId="42562" xr:uid="{275FEF08-A088-4544-97DF-B2E68CDB485A}"/>
    <cellStyle name="Normal 44 2 4 3 2" xfId="42563" xr:uid="{B011FFE5-72CE-4CD7-8D9B-173A5A452A6E}"/>
    <cellStyle name="Normal 44 2 4 3 2 2" xfId="42564" xr:uid="{8B642877-7CFA-42A8-9353-80C66481036C}"/>
    <cellStyle name="Normal 44 2 4 3 3" xfId="42565" xr:uid="{9099CB18-3E2E-42CF-BA7D-89E86F64958E}"/>
    <cellStyle name="Normal 44 2 4 4" xfId="42566" xr:uid="{55091F4B-A4F9-402D-B640-AA08813B1C44}"/>
    <cellStyle name="Normal 44 2 4 4 2" xfId="42567" xr:uid="{D15E68A2-4DDD-4B4D-B3CD-1C1CBBEC616C}"/>
    <cellStyle name="Normal 44 2 4 5" xfId="42568" xr:uid="{6E833218-BA76-4588-A2F6-927791C19979}"/>
    <cellStyle name="Normal 44 2 5" xfId="42569" xr:uid="{A4CA1412-5D7A-4811-B722-B4D0D4B84BFA}"/>
    <cellStyle name="Normal 44 2 5 2" xfId="42570" xr:uid="{EC3273F0-2F10-4C6E-8445-4A7072CD1563}"/>
    <cellStyle name="Normal 44 2 5 2 2" xfId="42571" xr:uid="{423ECCAF-10FD-4F4E-AAA1-DD1E888D9130}"/>
    <cellStyle name="Normal 44 2 5 2 2 2" xfId="42572" xr:uid="{10722545-08F8-4F58-871D-E6B2504BA2FD}"/>
    <cellStyle name="Normal 44 2 5 2 3" xfId="42573" xr:uid="{80577768-AB86-4DDD-B599-F2D01328444C}"/>
    <cellStyle name="Normal 44 2 5 3" xfId="42574" xr:uid="{84A65080-6A71-4172-9405-7D63A066D94C}"/>
    <cellStyle name="Normal 44 2 5 3 2" xfId="42575" xr:uid="{16DCE1BE-63B2-40EE-A7ED-E7A40E0157A0}"/>
    <cellStyle name="Normal 44 2 5 3 2 2" xfId="42576" xr:uid="{BD96DB88-3D6B-4072-A0C3-05B83D4974BD}"/>
    <cellStyle name="Normal 44 2 5 3 3" xfId="42577" xr:uid="{323C7A55-FA14-46C5-A393-BBE93A2757C9}"/>
    <cellStyle name="Normal 44 2 5 4" xfId="42578" xr:uid="{08F0AC53-6543-41BB-8BA4-CF750A18E55C}"/>
    <cellStyle name="Normal 44 2 5 4 2" xfId="42579" xr:uid="{04DA272D-F453-4F75-B17E-6952AED8920C}"/>
    <cellStyle name="Normal 44 2 5 5" xfId="42580" xr:uid="{F84BB022-A5BF-4064-A370-4C30C2A61B55}"/>
    <cellStyle name="Normal 44 2 6" xfId="42581" xr:uid="{7763FEBF-750D-459F-B836-9476457961ED}"/>
    <cellStyle name="Normal 44 2 6 2" xfId="42582" xr:uid="{76478EC3-CA8D-42C3-80DC-73EF485DCE3D}"/>
    <cellStyle name="Normal 44 2 6 2 2" xfId="42583" xr:uid="{542990AB-C328-4A4B-9688-C6A4777267AB}"/>
    <cellStyle name="Normal 44 2 6 2 2 2" xfId="42584" xr:uid="{C083D44C-7F0D-4A75-9ACD-FCA141B56D3E}"/>
    <cellStyle name="Normal 44 2 6 2 3" xfId="42585" xr:uid="{B6C50F13-4403-489D-A0D8-DC803CEC499C}"/>
    <cellStyle name="Normal 44 2 6 3" xfId="42586" xr:uid="{44C7E898-E8FD-45CE-BFB9-9D268BE07F48}"/>
    <cellStyle name="Normal 44 2 6 3 2" xfId="42587" xr:uid="{80E6488A-D6C9-4503-9F3D-C98959BCB5F5}"/>
    <cellStyle name="Normal 44 2 6 3 2 2" xfId="42588" xr:uid="{D0F34658-5289-48D4-8730-A682C82088AA}"/>
    <cellStyle name="Normal 44 2 6 3 3" xfId="42589" xr:uid="{7A001C59-166D-42B6-B06D-68022EFFB0B0}"/>
    <cellStyle name="Normal 44 2 6 4" xfId="42590" xr:uid="{49B2B702-DC9F-4EFB-8630-2D422120C92E}"/>
    <cellStyle name="Normal 44 2 6 4 2" xfId="42591" xr:uid="{63B6275C-CFA7-416C-9315-C39689461F40}"/>
    <cellStyle name="Normal 44 2 6 5" xfId="42592" xr:uid="{0BD08E95-843D-4357-8790-140660B474F6}"/>
    <cellStyle name="Normal 44 2 7" xfId="42593" xr:uid="{EF7E479A-5555-4096-B7B5-ACCF5D5ED9F4}"/>
    <cellStyle name="Normal 44 2 7 2" xfId="42594" xr:uid="{5DD62D51-93D8-4CFC-A115-E02A3CED04E9}"/>
    <cellStyle name="Normal 44 2 7 2 2" xfId="42595" xr:uid="{45180FB1-2078-48A4-A70C-DDD07AC5DD90}"/>
    <cellStyle name="Normal 44 2 7 3" xfId="42596" xr:uid="{16A9C936-2532-4599-B889-85D2AB7FEAEB}"/>
    <cellStyle name="Normal 44 2 8" xfId="42597" xr:uid="{C6915D80-9FA0-4C35-9D78-8BE6F24D009D}"/>
    <cellStyle name="Normal 44 2 8 2" xfId="42598" xr:uid="{1B0375A9-0F95-4B9B-B118-B761312BA35C}"/>
    <cellStyle name="Normal 44 2 8 2 2" xfId="42599" xr:uid="{B675E4A9-343D-4A81-A1B1-CE8F73EDF2E5}"/>
    <cellStyle name="Normal 44 2 8 3" xfId="42600" xr:uid="{52598286-1A07-46C1-B487-537708A80FBE}"/>
    <cellStyle name="Normal 44 2 9" xfId="42601" xr:uid="{300B08EA-1E75-4134-B29A-94578D34F84F}"/>
    <cellStyle name="Normal 44 2 9 2" xfId="42602" xr:uid="{A20C16DA-5D08-40FD-A132-6600D2BB4BF4}"/>
    <cellStyle name="Normal 44 3" xfId="42603" xr:uid="{7A9E957E-5EDC-492E-913F-A6843D347989}"/>
    <cellStyle name="Normal 44 3 2" xfId="42604" xr:uid="{F0EEAA50-1CA7-4DEB-B8B9-D625CFFC76DE}"/>
    <cellStyle name="Normal 44 3 2 2" xfId="42605" xr:uid="{25A569E1-009F-45F2-8C4B-10C2CA17110E}"/>
    <cellStyle name="Normal 44 3 2 2 2" xfId="42606" xr:uid="{1B52A495-ACB1-47D1-93DD-FFDD68DE1D2E}"/>
    <cellStyle name="Normal 44 3 2 2 2 2" xfId="42607" xr:uid="{D773E9AF-E345-49D7-9BAA-408CD2E6C42E}"/>
    <cellStyle name="Normal 44 3 2 2 3" xfId="42608" xr:uid="{4B23542B-4A22-4B3F-B686-AF2A4CF25681}"/>
    <cellStyle name="Normal 44 3 2 3" xfId="42609" xr:uid="{EE37716F-E6A5-4BB7-A532-E675D982D702}"/>
    <cellStyle name="Normal 44 3 2 3 2" xfId="42610" xr:uid="{23A3058C-9D6E-4EAF-8635-D6765BDFB24C}"/>
    <cellStyle name="Normal 44 3 2 3 2 2" xfId="42611" xr:uid="{0B5DD19F-047B-4D32-8B9E-33C50B6945A7}"/>
    <cellStyle name="Normal 44 3 2 3 3" xfId="42612" xr:uid="{6DB5132C-9ADF-4617-974A-17E006B66A09}"/>
    <cellStyle name="Normal 44 3 2 4" xfId="42613" xr:uid="{364D1032-5C3C-48BE-B263-98A7FDE900CE}"/>
    <cellStyle name="Normal 44 3 2 4 2" xfId="42614" xr:uid="{74D440E6-6932-4F15-8007-C248667DC36C}"/>
    <cellStyle name="Normal 44 3 2 5" xfId="42615" xr:uid="{9F1DB51B-DF2C-4446-9528-CF9FE283959D}"/>
    <cellStyle name="Normal 44 3 3" xfId="42616" xr:uid="{776EB34B-82A3-4E7C-B31F-F560F9367745}"/>
    <cellStyle name="Normal 44 3 3 2" xfId="42617" xr:uid="{37DBAB1E-8450-4011-9FBF-9E12E1BD20B6}"/>
    <cellStyle name="Normal 44 3 3 2 2" xfId="42618" xr:uid="{6C53512E-B82A-4715-A398-F05FE61DADC9}"/>
    <cellStyle name="Normal 44 3 3 2 2 2" xfId="42619" xr:uid="{50303F1E-5EC2-4602-9F29-7F949EEE6E48}"/>
    <cellStyle name="Normal 44 3 3 2 3" xfId="42620" xr:uid="{039DEA52-21D8-42DE-A50C-A515C13B1753}"/>
    <cellStyle name="Normal 44 3 3 3" xfId="42621" xr:uid="{2D06A650-8D25-457B-83F8-FE45B54FAE19}"/>
    <cellStyle name="Normal 44 3 3 3 2" xfId="42622" xr:uid="{0242A166-7BA8-446D-A803-230A00B9F182}"/>
    <cellStyle name="Normal 44 3 3 3 2 2" xfId="42623" xr:uid="{823E80E9-14B2-448D-9F2E-E9E650BC7B91}"/>
    <cellStyle name="Normal 44 3 3 3 3" xfId="42624" xr:uid="{A3042961-FE0E-4790-BDE2-3C2C5B3DF99D}"/>
    <cellStyle name="Normal 44 3 3 4" xfId="42625" xr:uid="{4E60B9C3-F29B-47BC-9012-8BA19A03C2A5}"/>
    <cellStyle name="Normal 44 3 3 4 2" xfId="42626" xr:uid="{61E51B8D-4EC7-4E6F-9364-ED94217FCD8E}"/>
    <cellStyle name="Normal 44 3 3 5" xfId="42627" xr:uid="{44C51CF4-F2FD-4173-9CC4-E48EB3FCDF02}"/>
    <cellStyle name="Normal 44 3 4" xfId="42628" xr:uid="{ADDF004A-75F2-487E-84F1-9F00F218DB1E}"/>
    <cellStyle name="Normal 44 3 4 2" xfId="42629" xr:uid="{BE9CC4A6-CB03-41D7-AF9B-EF964D6F61B8}"/>
    <cellStyle name="Normal 44 3 4 2 2" xfId="42630" xr:uid="{A4CDC03F-B740-4D7D-96E6-A8E5A9E3DAD6}"/>
    <cellStyle name="Normal 44 3 4 3" xfId="42631" xr:uid="{EAE0ED6F-B328-4182-BACF-86356F11DFB3}"/>
    <cellStyle name="Normal 44 3 5" xfId="42632" xr:uid="{92CEE22C-B371-400E-9D27-0F884CB0686C}"/>
    <cellStyle name="Normal 44 3 5 2" xfId="42633" xr:uid="{BA06EC90-191B-48BB-8E9C-3DDC2AD978A8}"/>
    <cellStyle name="Normal 44 3 5 2 2" xfId="42634" xr:uid="{5A778921-FE25-4AEF-A2A6-0FF2D4E8DA16}"/>
    <cellStyle name="Normal 44 3 5 3" xfId="42635" xr:uid="{83CA77EB-B745-48FC-A1C6-0CEC2606E999}"/>
    <cellStyle name="Normal 44 3 6" xfId="42636" xr:uid="{5930FE8C-0226-4023-8757-997674357381}"/>
    <cellStyle name="Normal 44 3 6 2" xfId="42637" xr:uid="{41976BE0-05AB-4023-A50E-E21AC80C43BC}"/>
    <cellStyle name="Normal 44 3 7" xfId="42638" xr:uid="{91429F13-5D11-402E-94D1-D101E41B86BF}"/>
    <cellStyle name="Normal 44 4" xfId="42639" xr:uid="{06941D26-A8A4-4C85-9DFF-7475FAF7E853}"/>
    <cellStyle name="Normal 44 4 2" xfId="42640" xr:uid="{6084425A-3C37-4926-9528-90068623FF51}"/>
    <cellStyle name="Normal 44 4 2 2" xfId="42641" xr:uid="{7FAF84F7-8711-4045-B687-A219F11BB152}"/>
    <cellStyle name="Normal 44 4 2 2 2" xfId="42642" xr:uid="{D8C522A4-BB5C-4762-B696-9FAFA38A74B4}"/>
    <cellStyle name="Normal 44 4 2 2 2 2" xfId="42643" xr:uid="{129EAA3D-4A68-46B2-AA59-FBDA75E1F8B2}"/>
    <cellStyle name="Normal 44 4 2 2 3" xfId="42644" xr:uid="{3FB390D2-1A27-4136-B825-65EC99B0F688}"/>
    <cellStyle name="Normal 44 4 2 3" xfId="42645" xr:uid="{7CACF6C0-FB34-4973-B635-0C73686C4DD2}"/>
    <cellStyle name="Normal 44 4 2 3 2" xfId="42646" xr:uid="{6619191A-E881-4A57-994B-79CA7E8EC3DA}"/>
    <cellStyle name="Normal 44 4 2 3 2 2" xfId="42647" xr:uid="{169E96FB-F8C7-418A-9425-A89DDAD5E597}"/>
    <cellStyle name="Normal 44 4 2 3 3" xfId="42648" xr:uid="{C07DF24E-204A-4B03-B1E1-31AC3A77A8B6}"/>
    <cellStyle name="Normal 44 4 2 4" xfId="42649" xr:uid="{A3709B35-9910-4C90-A726-CEA2AD0BA9D0}"/>
    <cellStyle name="Normal 44 4 2 4 2" xfId="42650" xr:uid="{A2250D77-29BC-4DEA-9002-5638794A71DD}"/>
    <cellStyle name="Normal 44 4 2 5" xfId="42651" xr:uid="{8815C40D-353E-430F-9719-8E625CFABEC7}"/>
    <cellStyle name="Normal 44 4 3" xfId="42652" xr:uid="{33B50E30-F633-4BCB-94F6-A6DDAEBAB28E}"/>
    <cellStyle name="Normal 44 4 3 2" xfId="42653" xr:uid="{8D34CFF0-9F92-4CF6-8817-E63CFA0D0D38}"/>
    <cellStyle name="Normal 44 4 3 2 2" xfId="42654" xr:uid="{E08CC2FB-AB2A-4AC5-AA14-51C6BA92F8AE}"/>
    <cellStyle name="Normal 44 4 3 2 2 2" xfId="42655" xr:uid="{789C2984-2866-415D-82E1-DBF5C7B5208B}"/>
    <cellStyle name="Normal 44 4 3 2 3" xfId="42656" xr:uid="{292E8B70-1DBB-43A5-B00C-35A4F39013EA}"/>
    <cellStyle name="Normal 44 4 3 3" xfId="42657" xr:uid="{192E24B1-CD5D-4260-B8E0-FF90E01DAB09}"/>
    <cellStyle name="Normal 44 4 3 3 2" xfId="42658" xr:uid="{80F8F72B-BD9B-4E1A-9C62-0C580033A921}"/>
    <cellStyle name="Normal 44 4 3 3 2 2" xfId="42659" xr:uid="{20CE3DAC-7FEF-4D7B-972A-A9032427434B}"/>
    <cellStyle name="Normal 44 4 3 3 3" xfId="42660" xr:uid="{6A74F408-34FF-4574-A64D-91A592200174}"/>
    <cellStyle name="Normal 44 4 3 4" xfId="42661" xr:uid="{E1293FB4-49B8-4508-8A65-677812EF7EBD}"/>
    <cellStyle name="Normal 44 4 3 4 2" xfId="42662" xr:uid="{E216B9BC-6DB8-417B-9B83-116CE2F37A9B}"/>
    <cellStyle name="Normal 44 4 3 5" xfId="42663" xr:uid="{DDFC60BD-434C-4654-A2F4-8677E25E5CC8}"/>
    <cellStyle name="Normal 44 4 4" xfId="42664" xr:uid="{A995C8E5-45D7-47FE-AB13-7194554CC13C}"/>
    <cellStyle name="Normal 44 4 4 2" xfId="42665" xr:uid="{8596548C-F01C-4202-991C-5F8D30A4BFF7}"/>
    <cellStyle name="Normal 44 4 4 2 2" xfId="42666" xr:uid="{E3525A50-5680-4665-832F-CA86B060CCC8}"/>
    <cellStyle name="Normal 44 4 4 3" xfId="42667" xr:uid="{7422658B-C1A8-4DFA-9B43-EDE7B431632E}"/>
    <cellStyle name="Normal 44 4 5" xfId="42668" xr:uid="{19B46D20-C0B4-47A2-971B-F030F96CBCC5}"/>
    <cellStyle name="Normal 44 4 5 2" xfId="42669" xr:uid="{A428CFEF-15F6-4BF4-9843-F50A10BC7464}"/>
    <cellStyle name="Normal 44 4 5 2 2" xfId="42670" xr:uid="{4922A744-1538-4EA8-B2FD-E868979AF29C}"/>
    <cellStyle name="Normal 44 4 5 3" xfId="42671" xr:uid="{621B934D-9E49-47FD-A63D-4B5A16A9C89D}"/>
    <cellStyle name="Normal 44 4 6" xfId="42672" xr:uid="{62C96879-91DC-4C1A-A93B-68A952E21612}"/>
    <cellStyle name="Normal 44 4 6 2" xfId="42673" xr:uid="{2AC6A2BD-4FAB-4CD6-89D3-21F98995A2EB}"/>
    <cellStyle name="Normal 44 4 7" xfId="42674" xr:uid="{4B33B85B-9C4E-4933-8FED-2736AF1DD789}"/>
    <cellStyle name="Normal 44 5" xfId="42675" xr:uid="{E3340FCD-85F1-4FA5-BF1F-EBE18BFF6944}"/>
    <cellStyle name="Normal 44 5 2" xfId="42676" xr:uid="{4596D040-F5E0-4770-9D24-713D78A5928A}"/>
    <cellStyle name="Normal 44 5 2 2" xfId="42677" xr:uid="{9BA6EEA7-5523-4B3E-BC48-0FAC57BC5840}"/>
    <cellStyle name="Normal 44 5 2 2 2" xfId="42678" xr:uid="{7E07F6A3-185C-42E1-ABAB-477B3541A685}"/>
    <cellStyle name="Normal 44 5 2 3" xfId="42679" xr:uid="{763CC6F5-19D7-479A-BB6E-6E9F69FB6BB1}"/>
    <cellStyle name="Normal 44 5 3" xfId="42680" xr:uid="{D5899E2D-EE33-407C-AE6A-FB34B8346376}"/>
    <cellStyle name="Normal 44 5 3 2" xfId="42681" xr:uid="{1964E00F-D1D3-493D-AE3D-BA285B3E5D50}"/>
    <cellStyle name="Normal 44 5 3 2 2" xfId="42682" xr:uid="{736741E7-779A-442E-8C0D-DF4E96207132}"/>
    <cellStyle name="Normal 44 5 3 3" xfId="42683" xr:uid="{0F18183F-3B81-4869-A47B-24458C9405BE}"/>
    <cellStyle name="Normal 44 5 4" xfId="42684" xr:uid="{DE6FAD00-296F-4887-A18C-7972380C2A77}"/>
    <cellStyle name="Normal 44 5 4 2" xfId="42685" xr:uid="{E6AB0407-B888-4DC0-B066-AA80706D10D0}"/>
    <cellStyle name="Normal 44 5 5" xfId="42686" xr:uid="{6B47B217-A67C-4A26-AC49-28CC193DD4FF}"/>
    <cellStyle name="Normal 44 6" xfId="42687" xr:uid="{7E7C10ED-76C2-41AF-89C5-BD8F4765F4A0}"/>
    <cellStyle name="Normal 44 6 2" xfId="42688" xr:uid="{1BD105D7-0CFF-4B18-B219-CAEA7827CCD6}"/>
    <cellStyle name="Normal 44 6 2 2" xfId="42689" xr:uid="{A7B773C3-105A-4919-8268-135052606285}"/>
    <cellStyle name="Normal 44 6 2 2 2" xfId="42690" xr:uid="{964A1200-8D7F-4251-9B19-5556F88B706B}"/>
    <cellStyle name="Normal 44 6 2 3" xfId="42691" xr:uid="{A27C9600-C045-450F-A849-754023E3A0FA}"/>
    <cellStyle name="Normal 44 6 3" xfId="42692" xr:uid="{EA1D2AFB-6B11-408A-B0ED-2960153A4326}"/>
    <cellStyle name="Normal 44 6 3 2" xfId="42693" xr:uid="{67C0E56D-1C2D-4F90-AB47-E97675A1DFE1}"/>
    <cellStyle name="Normal 44 6 3 2 2" xfId="42694" xr:uid="{F87A0A74-4F3B-4064-A9A0-D2D771F4AE1A}"/>
    <cellStyle name="Normal 44 6 3 3" xfId="42695" xr:uid="{78E19F22-6A61-4718-B6C4-1747866AC273}"/>
    <cellStyle name="Normal 44 6 4" xfId="42696" xr:uid="{995F893A-1017-48CC-9760-9EAF0D808D89}"/>
    <cellStyle name="Normal 44 6 4 2" xfId="42697" xr:uid="{57CDD072-A197-40B4-A5FF-C18982F5B87C}"/>
    <cellStyle name="Normal 44 6 5" xfId="42698" xr:uid="{AA87DE83-8ABE-49E0-A010-7EA0F92AA981}"/>
    <cellStyle name="Normal 44 7" xfId="42699" xr:uid="{FAB38443-40D2-4486-A9B3-697D6E1FE33F}"/>
    <cellStyle name="Normal 44 7 2" xfId="42700" xr:uid="{A1B41F30-DB59-4B15-8E3A-1C94F770E591}"/>
    <cellStyle name="Normal 44 7 2 2" xfId="42701" xr:uid="{65162E97-D38D-4220-A661-7508BEE66552}"/>
    <cellStyle name="Normal 44 7 2 2 2" xfId="42702" xr:uid="{9C4D5F50-B21F-4A33-A207-A67F8B8F0BE5}"/>
    <cellStyle name="Normal 44 7 2 3" xfId="42703" xr:uid="{0DD3F318-4C56-4B6F-8DA4-9AB3877541C7}"/>
    <cellStyle name="Normal 44 7 3" xfId="42704" xr:uid="{2E8F7BFE-3577-4D70-B43F-A06B0A167A6E}"/>
    <cellStyle name="Normal 44 7 3 2" xfId="42705" xr:uid="{18C79511-C27D-4022-9157-D31FB47D6CB9}"/>
    <cellStyle name="Normal 44 7 3 2 2" xfId="42706" xr:uid="{07AF063F-8C18-4C6E-B763-2673B2F51507}"/>
    <cellStyle name="Normal 44 7 3 3" xfId="42707" xr:uid="{F5AD3CCE-6381-4800-ABF4-7F3D7A6B4698}"/>
    <cellStyle name="Normal 44 7 4" xfId="42708" xr:uid="{41FBF2C0-EC65-43CF-B5AC-4B378BF15C05}"/>
    <cellStyle name="Normal 44 7 4 2" xfId="42709" xr:uid="{A80A951B-2F70-4753-89E1-26E47E6EEA5A}"/>
    <cellStyle name="Normal 44 7 5" xfId="42710" xr:uid="{F2A9187F-4986-483A-99F7-92F015597C18}"/>
    <cellStyle name="Normal 44 8" xfId="42711" xr:uid="{55D30ED2-CF37-4E96-A482-4D68B32B0354}"/>
    <cellStyle name="Normal 44 8 2" xfId="42712" xr:uid="{0E770E8C-4BFE-47ED-9268-B500B4858BDA}"/>
    <cellStyle name="Normal 44 8 2 2" xfId="42713" xr:uid="{8BE5C6C4-1C0D-4CCE-B842-D079A7AE8178}"/>
    <cellStyle name="Normal 44 8 3" xfId="42714" xr:uid="{8ABA2C51-A4CE-4FF3-BEB3-2A2F68DB7BA1}"/>
    <cellStyle name="Normal 44 9" xfId="42715" xr:uid="{7516BE35-7358-49A8-B748-BA3AB7968A6B}"/>
    <cellStyle name="Normal 44 9 2" xfId="42716" xr:uid="{10F28307-6458-49D9-80C9-37A0C7D69DAF}"/>
    <cellStyle name="Normal 44 9 2 2" xfId="42717" xr:uid="{C2AEEA5F-6B1D-4C7A-8E0B-D214FC5BFEC8}"/>
    <cellStyle name="Normal 44 9 3" xfId="42718" xr:uid="{67E6A881-DC82-41F0-8967-A062A65737D8}"/>
    <cellStyle name="Normal 45" xfId="42719" xr:uid="{78FB193E-627A-44C3-A037-A7239F5DFC69}"/>
    <cellStyle name="Normal 45 10" xfId="42720" xr:uid="{F2DA0603-C2EC-4B9D-A7EC-4C3BB2581390}"/>
    <cellStyle name="Normal 45 10 2" xfId="42721" xr:uid="{B7AD232D-5899-40FE-815C-3EE2FAA842DF}"/>
    <cellStyle name="Normal 45 11" xfId="42722" xr:uid="{5E38B8D1-BD97-4464-B839-4C483DFD81A4}"/>
    <cellStyle name="Normal 45 2" xfId="42723" xr:uid="{227B1D9D-B378-480A-BE96-7E4A41994A8F}"/>
    <cellStyle name="Normal 45 2 10" xfId="42724" xr:uid="{0DD24CD1-B0D0-4E5E-A28A-A5F7C2932D3B}"/>
    <cellStyle name="Normal 45 2 2" xfId="42725" xr:uid="{BDD811FE-E029-4B4B-A800-96531B2AC112}"/>
    <cellStyle name="Normal 45 2 2 2" xfId="42726" xr:uid="{9DABE6ED-8DD2-4C49-9360-D9601571464C}"/>
    <cellStyle name="Normal 45 2 2 2 2" xfId="42727" xr:uid="{A034785A-7E23-441C-966F-CE1848E3CBA4}"/>
    <cellStyle name="Normal 45 2 2 2 2 2" xfId="42728" xr:uid="{FBEFD2F4-64BA-4B6A-A973-6B40CA446911}"/>
    <cellStyle name="Normal 45 2 2 2 2 2 2" xfId="42729" xr:uid="{3AA9CFE5-3542-415E-9EE4-20277F3D561D}"/>
    <cellStyle name="Normal 45 2 2 2 2 3" xfId="42730" xr:uid="{4278C9A5-224C-4A53-9FD0-691DF9F1EB41}"/>
    <cellStyle name="Normal 45 2 2 2 3" xfId="42731" xr:uid="{43EDF599-22AA-4363-B107-E62C0FDDE18F}"/>
    <cellStyle name="Normal 45 2 2 2 3 2" xfId="42732" xr:uid="{627E2F4D-9C7A-406C-925E-23C2CF31E51B}"/>
    <cellStyle name="Normal 45 2 2 2 3 2 2" xfId="42733" xr:uid="{B85F24CB-20E9-41B8-A5F2-1BD031054E1F}"/>
    <cellStyle name="Normal 45 2 2 2 3 3" xfId="42734" xr:uid="{5596F905-6BF8-4187-8D18-6458E278DC31}"/>
    <cellStyle name="Normal 45 2 2 2 4" xfId="42735" xr:uid="{BC5847DA-648C-4F18-88FB-9685A53177F1}"/>
    <cellStyle name="Normal 45 2 2 2 4 2" xfId="42736" xr:uid="{0375B3FE-E6EC-4505-8074-37DF557691FC}"/>
    <cellStyle name="Normal 45 2 2 2 5" xfId="42737" xr:uid="{D87F455F-6D84-43D7-8382-92B4A9980C0F}"/>
    <cellStyle name="Normal 45 2 2 3" xfId="42738" xr:uid="{F446834E-5300-4F07-BD7F-27E6069E60A9}"/>
    <cellStyle name="Normal 45 2 2 3 2" xfId="42739" xr:uid="{C785DBD7-334E-4207-A096-4F901ECF4021}"/>
    <cellStyle name="Normal 45 2 2 3 2 2" xfId="42740" xr:uid="{6EFD8206-B108-4584-8137-37E2462FB95B}"/>
    <cellStyle name="Normal 45 2 2 3 2 2 2" xfId="42741" xr:uid="{D06CC423-A793-4C2F-AFA4-831F320DA374}"/>
    <cellStyle name="Normal 45 2 2 3 2 3" xfId="42742" xr:uid="{F25D13C9-7B69-4407-915F-57620B195EB3}"/>
    <cellStyle name="Normal 45 2 2 3 3" xfId="42743" xr:uid="{710DE29F-016B-4E32-9913-4514A291AE7C}"/>
    <cellStyle name="Normal 45 2 2 3 3 2" xfId="42744" xr:uid="{A792F43B-B838-4305-B08B-940A9EDFAC06}"/>
    <cellStyle name="Normal 45 2 2 3 3 2 2" xfId="42745" xr:uid="{0D42E1E2-D154-4935-B437-66E779B98FC9}"/>
    <cellStyle name="Normal 45 2 2 3 3 3" xfId="42746" xr:uid="{3D25E738-E033-4143-ADC1-844AE23FB5EB}"/>
    <cellStyle name="Normal 45 2 2 3 4" xfId="42747" xr:uid="{4150E03E-C61E-42D1-BD55-36593A4D4C7D}"/>
    <cellStyle name="Normal 45 2 2 3 4 2" xfId="42748" xr:uid="{BFF378BF-671F-4CD1-A38C-7B3A0C6956D3}"/>
    <cellStyle name="Normal 45 2 2 3 5" xfId="42749" xr:uid="{C06327F0-420E-41AD-9C62-77E3B007D61E}"/>
    <cellStyle name="Normal 45 2 2 4" xfId="42750" xr:uid="{1EF6B7F2-4EB8-42E1-BC6C-03671C5C2517}"/>
    <cellStyle name="Normal 45 2 2 4 2" xfId="42751" xr:uid="{9771169E-0EB8-4B07-BA26-5B07C3AED33E}"/>
    <cellStyle name="Normal 45 2 2 4 2 2" xfId="42752" xr:uid="{F656A0AE-A685-4104-9B2C-61D1CF4D2AB7}"/>
    <cellStyle name="Normal 45 2 2 4 3" xfId="42753" xr:uid="{5246DE87-B04F-4B90-BEE3-EEE687AE47AD}"/>
    <cellStyle name="Normal 45 2 2 5" xfId="42754" xr:uid="{CA07DF7B-F0D9-4576-AD89-9FC48000C7A8}"/>
    <cellStyle name="Normal 45 2 2 5 2" xfId="42755" xr:uid="{F12064C6-7825-4251-89A7-F41AA19F5AE4}"/>
    <cellStyle name="Normal 45 2 2 5 2 2" xfId="42756" xr:uid="{96C54880-8637-443B-B1E0-43E192F969B2}"/>
    <cellStyle name="Normal 45 2 2 5 3" xfId="42757" xr:uid="{83258774-EDFD-43FB-A3C5-22BC2FB999B1}"/>
    <cellStyle name="Normal 45 2 2 6" xfId="42758" xr:uid="{994B9036-B720-4B1F-87AA-4C899E6CF152}"/>
    <cellStyle name="Normal 45 2 2 6 2" xfId="42759" xr:uid="{9F9EB33F-699C-407C-9C52-277B28FD97F7}"/>
    <cellStyle name="Normal 45 2 2 7" xfId="42760" xr:uid="{5523D001-E190-4619-BDD8-E196867BD80A}"/>
    <cellStyle name="Normal 45 2 3" xfId="42761" xr:uid="{92D73539-9AC8-4B61-A181-6EDD8B23191A}"/>
    <cellStyle name="Normal 45 2 3 2" xfId="42762" xr:uid="{6592EB76-0952-4D84-8092-AC7634A7FBC9}"/>
    <cellStyle name="Normal 45 2 3 2 2" xfId="42763" xr:uid="{BC5166D6-16E5-431D-8D38-3CF66EE50075}"/>
    <cellStyle name="Normal 45 2 3 2 2 2" xfId="42764" xr:uid="{240317EA-F02F-4C0B-819A-6A5048CC6815}"/>
    <cellStyle name="Normal 45 2 3 2 2 2 2" xfId="42765" xr:uid="{197A61A3-BFE9-4C1B-88D8-619A1274251F}"/>
    <cellStyle name="Normal 45 2 3 2 2 3" xfId="42766" xr:uid="{CB706E2B-17AC-41CE-839F-1A7CE6CEA6E0}"/>
    <cellStyle name="Normal 45 2 3 2 3" xfId="42767" xr:uid="{A176DC89-DA38-4200-AA3B-62E77B485E2D}"/>
    <cellStyle name="Normal 45 2 3 2 3 2" xfId="42768" xr:uid="{CD7DA479-5451-4152-94E2-DFF1398986CF}"/>
    <cellStyle name="Normal 45 2 3 2 3 2 2" xfId="42769" xr:uid="{72E0C545-6802-45F3-959E-917FE78ADD77}"/>
    <cellStyle name="Normal 45 2 3 2 3 3" xfId="42770" xr:uid="{9B9E2606-9C4A-4659-B449-7EE4395ED545}"/>
    <cellStyle name="Normal 45 2 3 2 4" xfId="42771" xr:uid="{898B486E-3B64-4EE0-A8AA-58D8B1E7A602}"/>
    <cellStyle name="Normal 45 2 3 2 4 2" xfId="42772" xr:uid="{8A04B8D2-3FED-4E1E-94B7-7FD8481F08C1}"/>
    <cellStyle name="Normal 45 2 3 2 5" xfId="42773" xr:uid="{1511F18A-4E9C-4AD8-8B74-A7C87FEDBA84}"/>
    <cellStyle name="Normal 45 2 3 3" xfId="42774" xr:uid="{D9650547-EF2E-4EF5-9488-5561FBF92A7F}"/>
    <cellStyle name="Normal 45 2 3 3 2" xfId="42775" xr:uid="{DC388882-48F8-4827-992C-F64F67EC17A3}"/>
    <cellStyle name="Normal 45 2 3 3 2 2" xfId="42776" xr:uid="{ABBC6BDC-0165-4646-8D08-15E31B5C721D}"/>
    <cellStyle name="Normal 45 2 3 3 2 2 2" xfId="42777" xr:uid="{FA2DD2D4-FF2E-4301-AA5B-69ED4EA82576}"/>
    <cellStyle name="Normal 45 2 3 3 2 3" xfId="42778" xr:uid="{9885F7BD-AEAD-4A78-B6F5-323FA8113A39}"/>
    <cellStyle name="Normal 45 2 3 3 3" xfId="42779" xr:uid="{1DDABD6E-00DA-457B-81E8-F83F18545A89}"/>
    <cellStyle name="Normal 45 2 3 3 3 2" xfId="42780" xr:uid="{8CADF286-4A02-4AED-80E0-CA4CA57B547C}"/>
    <cellStyle name="Normal 45 2 3 3 3 2 2" xfId="42781" xr:uid="{566227C3-BD5B-4C52-8D81-17E6119F73CD}"/>
    <cellStyle name="Normal 45 2 3 3 3 3" xfId="42782" xr:uid="{26990972-D4A1-40E4-872F-27525643DF7B}"/>
    <cellStyle name="Normal 45 2 3 3 4" xfId="42783" xr:uid="{E99225E9-19EE-4731-BB85-AFCA77A6F347}"/>
    <cellStyle name="Normal 45 2 3 3 4 2" xfId="42784" xr:uid="{FFE3AA7D-D477-420C-873C-912211DFEC97}"/>
    <cellStyle name="Normal 45 2 3 3 5" xfId="42785" xr:uid="{2310F7D4-2BB3-4031-B2F4-6B318B4D76F4}"/>
    <cellStyle name="Normal 45 2 3 4" xfId="42786" xr:uid="{90B9FC59-413F-4C61-8BD9-2D62D6045756}"/>
    <cellStyle name="Normal 45 2 3 4 2" xfId="42787" xr:uid="{CA43AE3E-7B95-4A10-AFBB-1E4D0AC90E49}"/>
    <cellStyle name="Normal 45 2 3 4 2 2" xfId="42788" xr:uid="{A467A554-C5A2-49E3-AA72-5CB6D099E542}"/>
    <cellStyle name="Normal 45 2 3 4 3" xfId="42789" xr:uid="{B84F1CEB-CF6E-453A-AA2B-37839F32E250}"/>
    <cellStyle name="Normal 45 2 3 5" xfId="42790" xr:uid="{C61A48F4-5FD0-44FE-878A-8FC44DF07D6B}"/>
    <cellStyle name="Normal 45 2 3 5 2" xfId="42791" xr:uid="{A7336AD0-27C2-457A-B98B-483AA79C331E}"/>
    <cellStyle name="Normal 45 2 3 5 2 2" xfId="42792" xr:uid="{114B0C4F-37E2-472A-8069-E66377F0F082}"/>
    <cellStyle name="Normal 45 2 3 5 3" xfId="42793" xr:uid="{82661DEA-BB43-49A0-9ECC-1C2842F80161}"/>
    <cellStyle name="Normal 45 2 3 6" xfId="42794" xr:uid="{4BDA428F-8CA2-4079-BCA1-29352AA8F729}"/>
    <cellStyle name="Normal 45 2 3 6 2" xfId="42795" xr:uid="{471220F7-3C72-4ED0-BEC7-53EA10B8A91B}"/>
    <cellStyle name="Normal 45 2 3 7" xfId="42796" xr:uid="{5DEB5CE5-5AB4-485D-871E-37124B549FD3}"/>
    <cellStyle name="Normal 45 2 4" xfId="42797" xr:uid="{02E43553-F5DA-40D0-B327-0A9CEA3D569F}"/>
    <cellStyle name="Normal 45 2 4 2" xfId="42798" xr:uid="{1A8A1252-CC01-4078-B151-322D81EA0DB5}"/>
    <cellStyle name="Normal 45 2 4 2 2" xfId="42799" xr:uid="{9C413306-0C45-4DCF-BDD5-18A1B311A99E}"/>
    <cellStyle name="Normal 45 2 4 2 2 2" xfId="42800" xr:uid="{F7B314C8-4998-45E4-B6FC-817F4BBC7C28}"/>
    <cellStyle name="Normal 45 2 4 2 3" xfId="42801" xr:uid="{C8F7219C-E86D-4678-AE64-A4125922AE88}"/>
    <cellStyle name="Normal 45 2 4 3" xfId="42802" xr:uid="{48F9F95A-281F-4F29-8E3E-56CBFE7AA7B5}"/>
    <cellStyle name="Normal 45 2 4 3 2" xfId="42803" xr:uid="{6054CF82-6D7A-4CAB-B7BF-3E6907E0A7BC}"/>
    <cellStyle name="Normal 45 2 4 3 2 2" xfId="42804" xr:uid="{C5B9B376-29F2-4096-BE30-93F4E8D8533C}"/>
    <cellStyle name="Normal 45 2 4 3 3" xfId="42805" xr:uid="{40551D31-310A-42BD-BC86-75DD29C40D0A}"/>
    <cellStyle name="Normal 45 2 4 4" xfId="42806" xr:uid="{C2D84034-10E6-4CD2-9B32-E6E742AC9BA8}"/>
    <cellStyle name="Normal 45 2 4 4 2" xfId="42807" xr:uid="{995993CA-42B7-42AE-9ACC-8CE2C9E62495}"/>
    <cellStyle name="Normal 45 2 4 5" xfId="42808" xr:uid="{4B1308BF-DFA7-4C5A-9B1A-7271479A8C39}"/>
    <cellStyle name="Normal 45 2 5" xfId="42809" xr:uid="{1F396328-7044-4DFF-A78F-D6853FDAB092}"/>
    <cellStyle name="Normal 45 2 5 2" xfId="42810" xr:uid="{94979847-0843-4ECF-9EB1-025BE45B80BC}"/>
    <cellStyle name="Normal 45 2 5 2 2" xfId="42811" xr:uid="{7A93A32F-FE9F-4B06-8251-3544DD2010A9}"/>
    <cellStyle name="Normal 45 2 5 2 2 2" xfId="42812" xr:uid="{DA06245E-BD4C-4753-86E4-E0F7C104D4C4}"/>
    <cellStyle name="Normal 45 2 5 2 3" xfId="42813" xr:uid="{2DC370F8-4902-45CD-9509-716DE05A2CE5}"/>
    <cellStyle name="Normal 45 2 5 3" xfId="42814" xr:uid="{DAE27F01-D58F-41EE-A35C-B71627B0C811}"/>
    <cellStyle name="Normal 45 2 5 3 2" xfId="42815" xr:uid="{E6CE0B23-467E-4B1C-9820-3FA7D6692370}"/>
    <cellStyle name="Normal 45 2 5 3 2 2" xfId="42816" xr:uid="{1919EB46-1B8B-4CC2-9DCA-93E48D170FAC}"/>
    <cellStyle name="Normal 45 2 5 3 3" xfId="42817" xr:uid="{55E6A440-7173-4A08-AD82-593E19FD2BE7}"/>
    <cellStyle name="Normal 45 2 5 4" xfId="42818" xr:uid="{337F8425-59A7-4ACC-A323-6ED991FF5D66}"/>
    <cellStyle name="Normal 45 2 5 4 2" xfId="42819" xr:uid="{A53BAA43-8CC9-4CF4-9A6E-70E468A0B4C8}"/>
    <cellStyle name="Normal 45 2 5 5" xfId="42820" xr:uid="{963B5657-655D-4B84-A980-2C9753B3B8BF}"/>
    <cellStyle name="Normal 45 2 6" xfId="42821" xr:uid="{65883EEE-D411-41B4-A021-7B289C33BFE0}"/>
    <cellStyle name="Normal 45 2 6 2" xfId="42822" xr:uid="{638B94DB-0D46-41D4-9706-AD155AF1AB29}"/>
    <cellStyle name="Normal 45 2 6 2 2" xfId="42823" xr:uid="{1FA2BF81-1E74-479B-AEC5-0673140A5C22}"/>
    <cellStyle name="Normal 45 2 6 2 2 2" xfId="42824" xr:uid="{68E29583-5C07-4F19-AC7C-9AFD66B25BBF}"/>
    <cellStyle name="Normal 45 2 6 2 3" xfId="42825" xr:uid="{A7E3439F-9EFE-47C6-9340-04D4939A4C64}"/>
    <cellStyle name="Normal 45 2 6 3" xfId="42826" xr:uid="{4FBBCEF7-3D3A-4D8A-8A26-8BDFB3F933A9}"/>
    <cellStyle name="Normal 45 2 6 3 2" xfId="42827" xr:uid="{EBCB1C4B-4132-444A-9B38-35BCBFDF82B7}"/>
    <cellStyle name="Normal 45 2 6 3 2 2" xfId="42828" xr:uid="{6BB8E184-46D9-43A5-9CD2-A7EF4AF60BC3}"/>
    <cellStyle name="Normal 45 2 6 3 3" xfId="42829" xr:uid="{56BDFABD-DCA0-472F-AA18-47B891EF9023}"/>
    <cellStyle name="Normal 45 2 6 4" xfId="42830" xr:uid="{48F4823F-C51F-4C34-A34B-857781CFBF07}"/>
    <cellStyle name="Normal 45 2 6 4 2" xfId="42831" xr:uid="{06C6CD4F-291E-41BD-AF16-EA0FFABEF519}"/>
    <cellStyle name="Normal 45 2 6 5" xfId="42832" xr:uid="{15A99C26-AB1E-4974-B0AF-60E6F7D30FE3}"/>
    <cellStyle name="Normal 45 2 7" xfId="42833" xr:uid="{9B5EC6A5-A147-4FB0-9AB8-BA1B9CAA3324}"/>
    <cellStyle name="Normal 45 2 7 2" xfId="42834" xr:uid="{BF4D8445-E5FD-416E-AB74-3BBD62200153}"/>
    <cellStyle name="Normal 45 2 7 2 2" xfId="42835" xr:uid="{AA83A59A-82D1-4C0B-A61F-1934D76B15AF}"/>
    <cellStyle name="Normal 45 2 7 3" xfId="42836" xr:uid="{6B54CC95-268D-41EF-A532-BBB9CFDF21A2}"/>
    <cellStyle name="Normal 45 2 8" xfId="42837" xr:uid="{E72D707F-169E-46C6-8919-B2E7EC9C67FC}"/>
    <cellStyle name="Normal 45 2 8 2" xfId="42838" xr:uid="{B7C19ACC-15F1-4E6D-B336-DE037E4FB7C1}"/>
    <cellStyle name="Normal 45 2 8 2 2" xfId="42839" xr:uid="{7047B042-9FC1-4C96-99C2-CF4B44941C6D}"/>
    <cellStyle name="Normal 45 2 8 3" xfId="42840" xr:uid="{F2635027-5EBF-43F1-9912-AF030FBCEC9E}"/>
    <cellStyle name="Normal 45 2 9" xfId="42841" xr:uid="{017F6D0B-7AD8-4067-97EA-C90DA52C5F0A}"/>
    <cellStyle name="Normal 45 2 9 2" xfId="42842" xr:uid="{861A90BB-51E4-43E6-9951-C9C3E8F10040}"/>
    <cellStyle name="Normal 45 3" xfId="42843" xr:uid="{8F213B8A-408B-460B-8196-F35BD5BD1731}"/>
    <cellStyle name="Normal 45 3 2" xfId="42844" xr:uid="{447298BC-D703-4B4E-AC90-A71D54AC3B88}"/>
    <cellStyle name="Normal 45 3 2 2" xfId="42845" xr:uid="{90784309-6837-4DA5-A714-B23655E3CC4F}"/>
    <cellStyle name="Normal 45 3 2 2 2" xfId="42846" xr:uid="{3A457CD7-8FDC-4C3A-9C01-1D4303F77E3B}"/>
    <cellStyle name="Normal 45 3 2 2 2 2" xfId="42847" xr:uid="{9E72EAD9-46F2-49C9-96DB-ABA52EEEFC09}"/>
    <cellStyle name="Normal 45 3 2 2 3" xfId="42848" xr:uid="{48451467-D556-4277-8797-85400E35AC49}"/>
    <cellStyle name="Normal 45 3 2 3" xfId="42849" xr:uid="{092D5767-3F96-44CA-89F5-8CDF4994E24E}"/>
    <cellStyle name="Normal 45 3 2 3 2" xfId="42850" xr:uid="{77EE327A-8400-41ED-A351-86A3DB5F2671}"/>
    <cellStyle name="Normal 45 3 2 3 2 2" xfId="42851" xr:uid="{34BE4A1A-ADE2-4AF0-80C9-5D5C9E2138F3}"/>
    <cellStyle name="Normal 45 3 2 3 3" xfId="42852" xr:uid="{90C23844-26E0-497F-BDF1-A19888B0C485}"/>
    <cellStyle name="Normal 45 3 2 4" xfId="42853" xr:uid="{83D26ECB-6D3F-4DEC-9CD7-AF8EEB9211F5}"/>
    <cellStyle name="Normal 45 3 2 4 2" xfId="42854" xr:uid="{CB753428-87FB-4FD0-B7AD-1CDF7651D665}"/>
    <cellStyle name="Normal 45 3 2 5" xfId="42855" xr:uid="{821D0D30-0B60-4EC8-B414-E716A4F44ED5}"/>
    <cellStyle name="Normal 45 3 3" xfId="42856" xr:uid="{1D0397B7-5A8D-4205-A216-781F6B4BE140}"/>
    <cellStyle name="Normal 45 3 3 2" xfId="42857" xr:uid="{D60D8771-4397-40D9-881D-497873E30A92}"/>
    <cellStyle name="Normal 45 3 3 2 2" xfId="42858" xr:uid="{D33D5C03-CCFE-4FEA-A36A-02B999D7096F}"/>
    <cellStyle name="Normal 45 3 3 2 2 2" xfId="42859" xr:uid="{B138FC5F-3DA4-4F0B-A7D2-6F4FA4AB5A65}"/>
    <cellStyle name="Normal 45 3 3 2 3" xfId="42860" xr:uid="{C542C9FA-C3A5-4BD7-8528-713B1C75F307}"/>
    <cellStyle name="Normal 45 3 3 3" xfId="42861" xr:uid="{4327F3B3-9E57-43C5-8FB9-53A8D81C7219}"/>
    <cellStyle name="Normal 45 3 3 3 2" xfId="42862" xr:uid="{BB9C8839-E2C5-4129-BE57-CCEFCAEF9AB1}"/>
    <cellStyle name="Normal 45 3 3 3 2 2" xfId="42863" xr:uid="{065F3716-5474-4D26-9694-3EED7513F53E}"/>
    <cellStyle name="Normal 45 3 3 3 3" xfId="42864" xr:uid="{13780FC0-BBBF-4A2F-B3CC-8DBA31B999DB}"/>
    <cellStyle name="Normal 45 3 3 4" xfId="42865" xr:uid="{A76A1876-E29F-4CDC-89ED-297EBD7F2CAC}"/>
    <cellStyle name="Normal 45 3 3 4 2" xfId="42866" xr:uid="{D1A09521-9BB5-4AAC-A5A5-2C22936C100A}"/>
    <cellStyle name="Normal 45 3 3 5" xfId="42867" xr:uid="{7997170E-0C09-4121-AD70-83620826EC2B}"/>
    <cellStyle name="Normal 45 3 4" xfId="42868" xr:uid="{99D22A4C-4E87-41A9-8E74-2F9B412CC5A4}"/>
    <cellStyle name="Normal 45 3 4 2" xfId="42869" xr:uid="{1153093B-64A1-4AF2-807C-4529A3A1897D}"/>
    <cellStyle name="Normal 45 3 4 2 2" xfId="42870" xr:uid="{86C7AF6D-B992-4DD4-8102-E83275848A70}"/>
    <cellStyle name="Normal 45 3 4 3" xfId="42871" xr:uid="{970B7021-EF5C-4965-830C-300C02659423}"/>
    <cellStyle name="Normal 45 3 5" xfId="42872" xr:uid="{390EF1FB-8FA2-4D5F-9ED7-CBC50E224235}"/>
    <cellStyle name="Normal 45 3 5 2" xfId="42873" xr:uid="{E1284229-49F0-45D3-8D91-7EB7BD862D3C}"/>
    <cellStyle name="Normal 45 3 5 2 2" xfId="42874" xr:uid="{5AF08BC6-0FAF-4068-BB61-FC68E30094BD}"/>
    <cellStyle name="Normal 45 3 5 3" xfId="42875" xr:uid="{B9479759-18EF-4FA0-B648-2FAE6CDA979B}"/>
    <cellStyle name="Normal 45 3 6" xfId="42876" xr:uid="{D123D922-5FB7-404C-AD9C-85AF8276F56E}"/>
    <cellStyle name="Normal 45 3 6 2" xfId="42877" xr:uid="{4996C75D-2753-47D8-84BC-D753CAEE31DB}"/>
    <cellStyle name="Normal 45 3 7" xfId="42878" xr:uid="{2DFE95F1-CDA5-4A82-A05D-A1B13DF8C209}"/>
    <cellStyle name="Normal 45 4" xfId="42879" xr:uid="{ABF6EA9F-35B8-4FA1-92DF-18E7CB4C5617}"/>
    <cellStyle name="Normal 45 4 2" xfId="42880" xr:uid="{30691F9A-B48C-4D8A-BF41-D75B81E2426A}"/>
    <cellStyle name="Normal 45 4 2 2" xfId="42881" xr:uid="{2DEFFEDA-EA12-4C73-A7AF-7098A942A4AB}"/>
    <cellStyle name="Normal 45 4 2 2 2" xfId="42882" xr:uid="{CA2EC04D-3039-4382-8C11-78693493CF1D}"/>
    <cellStyle name="Normal 45 4 2 2 2 2" xfId="42883" xr:uid="{BC71086B-D996-4550-B42C-5DFE6040D7E7}"/>
    <cellStyle name="Normal 45 4 2 2 3" xfId="42884" xr:uid="{5617FE64-7014-4BE0-8CCB-E14FDB5681EE}"/>
    <cellStyle name="Normal 45 4 2 3" xfId="42885" xr:uid="{1C3C317D-8A59-4F0E-9AC4-AB1483AE4895}"/>
    <cellStyle name="Normal 45 4 2 3 2" xfId="42886" xr:uid="{E3E9D649-2452-4FD1-98A0-92336FC2339D}"/>
    <cellStyle name="Normal 45 4 2 3 2 2" xfId="42887" xr:uid="{3A9E2DFC-11E1-4775-A107-E0135F8ED5C2}"/>
    <cellStyle name="Normal 45 4 2 3 3" xfId="42888" xr:uid="{7E3168E9-9BF4-4C47-BC40-A90FF2936E2F}"/>
    <cellStyle name="Normal 45 4 2 4" xfId="42889" xr:uid="{05990652-B7D1-45F9-BDD4-C869051560D8}"/>
    <cellStyle name="Normal 45 4 2 4 2" xfId="42890" xr:uid="{546B6A0C-89CD-4B59-80C3-E6FC8B17B42D}"/>
    <cellStyle name="Normal 45 4 2 5" xfId="42891" xr:uid="{A9B28028-B762-4875-821A-D686DF6D80E1}"/>
    <cellStyle name="Normal 45 4 3" xfId="42892" xr:uid="{BB64B2D1-EA1F-459A-8F6D-5956CCBBA87F}"/>
    <cellStyle name="Normal 45 4 3 2" xfId="42893" xr:uid="{C91521BF-E9E9-4956-9530-54C7C25917E8}"/>
    <cellStyle name="Normal 45 4 3 2 2" xfId="42894" xr:uid="{5AF3B68D-ECEC-4357-8603-A093BC25BC32}"/>
    <cellStyle name="Normal 45 4 3 2 2 2" xfId="42895" xr:uid="{11C11F79-01A5-4BE0-A317-728AD2B6B53B}"/>
    <cellStyle name="Normal 45 4 3 2 3" xfId="42896" xr:uid="{5B3DD9DB-A6EE-45A8-8D46-C6D30240EE63}"/>
    <cellStyle name="Normal 45 4 3 3" xfId="42897" xr:uid="{C4486ADB-BFF0-4A6A-86E6-C247F734BD1E}"/>
    <cellStyle name="Normal 45 4 3 3 2" xfId="42898" xr:uid="{88791C7D-880C-424E-B2A4-C1F5C3F0088C}"/>
    <cellStyle name="Normal 45 4 3 3 2 2" xfId="42899" xr:uid="{3E1E1C6A-6B4D-4A27-AFDB-9C3B8013098F}"/>
    <cellStyle name="Normal 45 4 3 3 3" xfId="42900" xr:uid="{5501A0C7-27D6-4A9C-BE1B-94901E689CB6}"/>
    <cellStyle name="Normal 45 4 3 4" xfId="42901" xr:uid="{BFAB0078-5D30-40A2-944E-C74BD8810A35}"/>
    <cellStyle name="Normal 45 4 3 4 2" xfId="42902" xr:uid="{31D7229F-4E6D-4F09-B5BC-2D9021EDE31B}"/>
    <cellStyle name="Normal 45 4 3 5" xfId="42903" xr:uid="{02E94D34-D420-4F6B-AA8E-51A448B63CCF}"/>
    <cellStyle name="Normal 45 4 4" xfId="42904" xr:uid="{50FDE03F-8428-4A4F-B51E-38CABF556854}"/>
    <cellStyle name="Normal 45 4 4 2" xfId="42905" xr:uid="{939B1DD7-845A-41E1-B8FD-EB4260DCA6A8}"/>
    <cellStyle name="Normal 45 4 4 2 2" xfId="42906" xr:uid="{BDE2DAAF-C503-462C-888F-BE48FB09B6E1}"/>
    <cellStyle name="Normal 45 4 4 3" xfId="42907" xr:uid="{C282FAD8-744D-4F03-A04E-D7454AEDEC2B}"/>
    <cellStyle name="Normal 45 4 5" xfId="42908" xr:uid="{2588BC5C-2820-4DEB-85B2-74A59F465A47}"/>
    <cellStyle name="Normal 45 4 5 2" xfId="42909" xr:uid="{6E33C1FF-205A-48BC-B72B-3A4A90CAB673}"/>
    <cellStyle name="Normal 45 4 5 2 2" xfId="42910" xr:uid="{39CD4F05-537D-4B25-ADB6-AE3A84BCF6ED}"/>
    <cellStyle name="Normal 45 4 5 3" xfId="42911" xr:uid="{48A21CEB-4DCA-4BF2-A3E6-FA383BC1E23C}"/>
    <cellStyle name="Normal 45 4 6" xfId="42912" xr:uid="{6B096CCA-4EB9-4241-865B-DEE0C4F0697E}"/>
    <cellStyle name="Normal 45 4 6 2" xfId="42913" xr:uid="{C8BC9B23-2F33-4F52-A538-076C90851694}"/>
    <cellStyle name="Normal 45 4 7" xfId="42914" xr:uid="{E84CB154-052E-4394-8800-EEDAC9260CA0}"/>
    <cellStyle name="Normal 45 5" xfId="42915" xr:uid="{865D8C3E-6891-4355-84C3-52867BF8A7D8}"/>
    <cellStyle name="Normal 45 5 2" xfId="42916" xr:uid="{58D4665D-2E66-4925-910F-9C5F9FC9B88E}"/>
    <cellStyle name="Normal 45 5 2 2" xfId="42917" xr:uid="{4BA53D2A-6E42-42DF-A331-483B26440A5F}"/>
    <cellStyle name="Normal 45 5 2 2 2" xfId="42918" xr:uid="{8ECC31A0-E58E-4B75-9F50-540550949C95}"/>
    <cellStyle name="Normal 45 5 2 3" xfId="42919" xr:uid="{7F148290-F5C4-4871-BFAA-98E1618C4039}"/>
    <cellStyle name="Normal 45 5 3" xfId="42920" xr:uid="{5FF5A2A5-0BE0-4A58-B5D1-77FB55CD9DAD}"/>
    <cellStyle name="Normal 45 5 3 2" xfId="42921" xr:uid="{3B5D1B03-8C59-4BCE-8DBB-87D252734272}"/>
    <cellStyle name="Normal 45 5 3 2 2" xfId="42922" xr:uid="{3E3EF3D5-0EE5-4DAF-8D2A-FEB5A92E76E0}"/>
    <cellStyle name="Normal 45 5 3 3" xfId="42923" xr:uid="{CBA80D71-1F73-42FC-9077-59C7648A7746}"/>
    <cellStyle name="Normal 45 5 4" xfId="42924" xr:uid="{D911036F-DFFF-4D87-A37E-C32275023FFE}"/>
    <cellStyle name="Normal 45 5 4 2" xfId="42925" xr:uid="{25C579BB-9954-4C94-A03A-15F8656F52C9}"/>
    <cellStyle name="Normal 45 5 5" xfId="42926" xr:uid="{205D81D5-4A46-4ED4-8F80-A19534527481}"/>
    <cellStyle name="Normal 45 6" xfId="42927" xr:uid="{6CD9E0E3-6B5F-4F39-9B0B-D98A760A10EE}"/>
    <cellStyle name="Normal 45 6 2" xfId="42928" xr:uid="{CC38CB8A-A19D-4949-B330-ECB6DEAC43C8}"/>
    <cellStyle name="Normal 45 6 2 2" xfId="42929" xr:uid="{70715EB4-9383-48E7-B37D-E0B0E9EB08FB}"/>
    <cellStyle name="Normal 45 6 2 2 2" xfId="42930" xr:uid="{DEAA0BE6-869D-4C5D-8D13-3FF69F52DE08}"/>
    <cellStyle name="Normal 45 6 2 3" xfId="42931" xr:uid="{B666294F-B9DB-4076-A3D7-3E3F1A482ECC}"/>
    <cellStyle name="Normal 45 6 3" xfId="42932" xr:uid="{D16D9827-E6C9-4153-A91F-A04E6568A89B}"/>
    <cellStyle name="Normal 45 6 3 2" xfId="42933" xr:uid="{A494518B-0448-4293-B59D-EB5EB553A335}"/>
    <cellStyle name="Normal 45 6 3 2 2" xfId="42934" xr:uid="{5F602C06-8988-40FF-B31F-B708C2363D5D}"/>
    <cellStyle name="Normal 45 6 3 3" xfId="42935" xr:uid="{98464C29-49A4-4ADC-908B-15EF0C40040E}"/>
    <cellStyle name="Normal 45 6 4" xfId="42936" xr:uid="{E46E88CB-B308-4D95-815A-8C2FA30136D6}"/>
    <cellStyle name="Normal 45 6 4 2" xfId="42937" xr:uid="{5B62FFFC-4F51-4457-8092-9E1F0BFE5F18}"/>
    <cellStyle name="Normal 45 6 5" xfId="42938" xr:uid="{DC912972-9A2A-455B-A7C4-EC119094986A}"/>
    <cellStyle name="Normal 45 7" xfId="42939" xr:uid="{518B8A73-6384-403A-ACDE-B0943F9F0E8B}"/>
    <cellStyle name="Normal 45 7 2" xfId="42940" xr:uid="{27560893-9468-4E8E-81E3-5DADD4AE0692}"/>
    <cellStyle name="Normal 45 7 2 2" xfId="42941" xr:uid="{6A499C2D-02AD-4D3A-96DD-08A7982F09AD}"/>
    <cellStyle name="Normal 45 7 2 2 2" xfId="42942" xr:uid="{24D7B95F-141E-4D90-87F7-B4CD40433E2F}"/>
    <cellStyle name="Normal 45 7 2 3" xfId="42943" xr:uid="{D62237E3-E34B-48B8-8ED0-9F82C008A6B4}"/>
    <cellStyle name="Normal 45 7 3" xfId="42944" xr:uid="{3DDF0E8A-7774-4977-8FDB-653AA4DACE25}"/>
    <cellStyle name="Normal 45 7 3 2" xfId="42945" xr:uid="{9C728B0C-6A89-41DE-A3DC-0E22A41499D3}"/>
    <cellStyle name="Normal 45 7 3 2 2" xfId="42946" xr:uid="{753A8553-6F8C-4377-BE04-649E808C4E0E}"/>
    <cellStyle name="Normal 45 7 3 3" xfId="42947" xr:uid="{98A27768-9CC2-413D-962A-FF048001773E}"/>
    <cellStyle name="Normal 45 7 4" xfId="42948" xr:uid="{778A2165-0046-4A83-87AA-62F303B643E6}"/>
    <cellStyle name="Normal 45 7 4 2" xfId="42949" xr:uid="{63C21C9F-1D2E-4C28-B198-5B4712366E06}"/>
    <cellStyle name="Normal 45 7 5" xfId="42950" xr:uid="{2E1A89AE-360B-473C-9CDB-99854B35D278}"/>
    <cellStyle name="Normal 45 8" xfId="42951" xr:uid="{B784AE8B-AFCC-404C-B8FA-935EBB3BF854}"/>
    <cellStyle name="Normal 45 8 2" xfId="42952" xr:uid="{D7BA4C57-0F1A-4E00-8629-01CFD2502325}"/>
    <cellStyle name="Normal 45 8 2 2" xfId="42953" xr:uid="{29095E68-FE9C-485F-9467-64CFE9DC8660}"/>
    <cellStyle name="Normal 45 8 3" xfId="42954" xr:uid="{503FAEEA-12B2-4D85-ACFE-7AD7945E8344}"/>
    <cellStyle name="Normal 45 9" xfId="42955" xr:uid="{9B7E7BCF-C3F5-4CD8-AA38-A768DFA38B2A}"/>
    <cellStyle name="Normal 45 9 2" xfId="42956" xr:uid="{00E993DF-5E4C-4849-A0B8-3D71A504EAF6}"/>
    <cellStyle name="Normal 45 9 2 2" xfId="42957" xr:uid="{41D8BA3E-1B1E-4C42-BA9D-811B783B4A45}"/>
    <cellStyle name="Normal 45 9 3" xfId="42958" xr:uid="{9177AA06-49B3-4616-B409-54ED065E5E08}"/>
    <cellStyle name="Normal 46" xfId="42959" xr:uid="{78B0E8A8-B616-477B-9CCF-58545308322A}"/>
    <cellStyle name="Normal 46 2" xfId="42960" xr:uid="{F3B5EBD7-7E87-4B6F-9697-1298455C20E6}"/>
    <cellStyle name="Normal 47" xfId="42961" xr:uid="{437D4123-FCA8-4CDB-91B1-F6FB0BA74F6C}"/>
    <cellStyle name="Normal 47 2" xfId="42962" xr:uid="{860C9656-F01F-44F3-9AD4-7BE1F0BC50FC}"/>
    <cellStyle name="Normal 48" xfId="42963" xr:uid="{71FC4E35-8162-4198-8368-0D96F2A06DE4}"/>
    <cellStyle name="Normal 48 2" xfId="42964" xr:uid="{6D55D96F-C140-40DC-96C2-A389205FA2B9}"/>
    <cellStyle name="Normal 49" xfId="42965" xr:uid="{8CE11F67-91F6-41F6-B26C-C79FDAC6CF04}"/>
    <cellStyle name="Normal 49 2" xfId="42966" xr:uid="{C065B3EA-3005-4FC8-8C9D-AC934469BA61}"/>
    <cellStyle name="Normal 5" xfId="206" xr:uid="{8179B2F1-BAA1-4B28-9C0A-93BE5E1EDDC3}"/>
    <cellStyle name="Normal 5 2" xfId="209" xr:uid="{ECD6502E-EECA-4100-B32C-F55DFB540C31}"/>
    <cellStyle name="Normal 5 2 2" xfId="42969" xr:uid="{87DAD588-75E4-46EA-A79C-93E09EF51073}"/>
    <cellStyle name="Normal 5 2 3" xfId="42968" xr:uid="{F50432A2-1664-475A-91C4-5FC882F0656F}"/>
    <cellStyle name="Normal 5 3" xfId="219" xr:uid="{A0927660-2DD2-49AD-BB88-35EC5DB979BF}"/>
    <cellStyle name="Normal 5 3 2" xfId="42970" xr:uid="{64B9FFD6-B406-4866-B55A-DCF4813CEF40}"/>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5 6" xfId="42967" xr:uid="{1627C13E-E3AB-4484-9CF9-B4FC8667B384}"/>
    <cellStyle name="Normal 50" xfId="42971" xr:uid="{8ED96978-278B-4839-8AEC-19DD757DB134}"/>
    <cellStyle name="Normal 50 2" xfId="42972" xr:uid="{A201A995-C463-420E-8958-2D10A72A5A8A}"/>
    <cellStyle name="Normal 51" xfId="42973" xr:uid="{A436D4BF-229B-4B59-9E3B-5A03CE4E982B}"/>
    <cellStyle name="Normal 51 2" xfId="42974" xr:uid="{6F9EFC10-A6DD-49D6-9455-E4B67460990F}"/>
    <cellStyle name="Normal 52" xfId="42975" xr:uid="{F422AFCE-895F-4C80-AB91-EE9A00684DD4}"/>
    <cellStyle name="Normal 52 2" xfId="42976" xr:uid="{9D31C144-A4D8-4E2C-9853-6B2937F54C25}"/>
    <cellStyle name="Normal 53" xfId="42977" xr:uid="{3F64331F-736F-426F-BFC5-F194E9F4BA26}"/>
    <cellStyle name="Normal 54" xfId="42978" xr:uid="{8E8791FA-E442-4ECB-B863-E32465873E4C}"/>
    <cellStyle name="Normal 55" xfId="42979" xr:uid="{1429AD39-F6F8-49A2-AEA1-E1B352AE3695}"/>
    <cellStyle name="Normal 55 2" xfId="42980" xr:uid="{917A9342-74B2-4EC0-999B-07DF576AC594}"/>
    <cellStyle name="Normal 56" xfId="42981" xr:uid="{0D2E23B4-6456-4052-8E32-C3BA955A5813}"/>
    <cellStyle name="Normal 56 2" xfId="42982" xr:uid="{32418963-EA8E-4B4D-AC65-8C3B8679F637}"/>
    <cellStyle name="Normal 57" xfId="42983" xr:uid="{6239AC00-8D0F-4988-9474-C321B8E7BDF4}"/>
    <cellStyle name="Normal 57 2" xfId="42984" xr:uid="{0B698D0F-7419-4422-9B67-18CDF7EDFC4F}"/>
    <cellStyle name="Normal 58" xfId="42985" xr:uid="{D152CFCC-A430-4292-867A-991E3FBA0833}"/>
    <cellStyle name="Normal 58 2" xfId="42986" xr:uid="{6EE0D188-B53C-4CAB-BE11-7CFC840208CC}"/>
    <cellStyle name="Normal 59" xfId="42987" xr:uid="{46723683-0B26-4F4E-A342-066C90396122}"/>
    <cellStyle name="Normal 59 2" xfId="42988" xr:uid="{5DFB9AF1-2083-4CFE-B52C-D7D4911180B7}"/>
    <cellStyle name="Normal 6" xfId="216" xr:uid="{3FE45E9B-24E0-424A-A04B-EBDD9151CF3B}"/>
    <cellStyle name="Normal 6 10" xfId="42989" xr:uid="{8DE7BECE-6D17-418E-BF5A-E538C992A00A}"/>
    <cellStyle name="Normal 6 2" xfId="42990" xr:uid="{B372911F-9C9D-4FC5-8473-FF2A4E6FDB46}"/>
    <cellStyle name="Normal 6 2 2" xfId="42991" xr:uid="{C1E0A67A-E81E-4029-99D0-7F66F2C91F3C}"/>
    <cellStyle name="Normal 6 2 3" xfId="42992" xr:uid="{C21DC20E-6DD2-4F97-8BFF-FFA6DD72D327}"/>
    <cellStyle name="Normal 6 2 4" xfId="42993" xr:uid="{4CD73A04-FAB9-4CA9-A6CC-80EF0F124267}"/>
    <cellStyle name="Normal 6 2 5" xfId="42994" xr:uid="{23F42703-330F-460F-8864-617E3D162155}"/>
    <cellStyle name="Normal 6 2 6" xfId="42995" xr:uid="{EF3EB746-D009-406A-A50A-A3C0D12A7CF3}"/>
    <cellStyle name="Normal 6 2 7" xfId="42996" xr:uid="{A96EDF6A-3904-418C-8259-7DE4E1CA929E}"/>
    <cellStyle name="Normal 6 3" xfId="42997" xr:uid="{114B171C-ECEB-40E2-8F51-FC8B9D90F8B8}"/>
    <cellStyle name="Normal 6 4" xfId="42998" xr:uid="{05185E88-5C0F-444F-96B4-0395028770CF}"/>
    <cellStyle name="Normal 6 5" xfId="42999" xr:uid="{3C6C48A1-5482-4CEA-8EB6-793FA1A14765}"/>
    <cellStyle name="Normal 6 6" xfId="43000" xr:uid="{92E2CC90-6F01-409E-A57A-0471F9B487C7}"/>
    <cellStyle name="Normal 6 7" xfId="43001" xr:uid="{25E1109F-BF52-4414-A4FA-B31A8D32C8FC}"/>
    <cellStyle name="Normal 6 8" xfId="43002" xr:uid="{9E396188-8E24-4CF5-8D3E-C980CA00A5BC}"/>
    <cellStyle name="Normal 6 9" xfId="43003" xr:uid="{81974AEC-52AB-4966-830E-FFBD619BB667}"/>
    <cellStyle name="Normal 60" xfId="43004" xr:uid="{63C83794-3DE4-4705-B4E0-CA3516DFDDE6}"/>
    <cellStyle name="Normal 60 2" xfId="43005" xr:uid="{006C36FF-94E8-4410-91B6-ECA683D7575B}"/>
    <cellStyle name="Normal 61" xfId="43006" xr:uid="{6F088229-C0E3-4B85-B89A-0A420EDC18BE}"/>
    <cellStyle name="Normal 62" xfId="43007" xr:uid="{BE78B1FB-3979-4294-939A-DA2FD1858C3C}"/>
    <cellStyle name="Normal 62 2" xfId="43008" xr:uid="{F3455F28-9ABC-4AC1-BD6A-AC43EDD8968F}"/>
    <cellStyle name="Normal 63" xfId="43009" xr:uid="{C582E4C9-3A55-43C1-949F-0460C0F0C85B}"/>
    <cellStyle name="Normal 63 2" xfId="43010" xr:uid="{83135D87-6010-4DFB-979D-AF67226B501E}"/>
    <cellStyle name="Normal 64" xfId="43011" xr:uid="{73612785-F97E-47DD-A961-0C328E048AA7}"/>
    <cellStyle name="Normal 64 2" xfId="43012" xr:uid="{00D6FB76-EC74-49C7-84BD-9705EAB6F120}"/>
    <cellStyle name="Normal 65" xfId="43013" xr:uid="{49B97604-83FC-46E0-A3AB-53C3E09F3249}"/>
    <cellStyle name="Normal 66" xfId="43014" xr:uid="{1D6C1F8A-BE29-48D0-A08C-D5F57CFB34F5}"/>
    <cellStyle name="Normal 66 2" xfId="43015" xr:uid="{E29C50AB-E2C9-48AF-A1AE-1FECB6D62047}"/>
    <cellStyle name="Normal 67" xfId="43016" xr:uid="{9F58DC4B-D434-4155-9C7A-CFDCD3B33F9C}"/>
    <cellStyle name="Normal 67 2" xfId="43017" xr:uid="{691C1E32-CEA3-4027-965D-BE0DCA06C07A}"/>
    <cellStyle name="Normal 68" xfId="43018" xr:uid="{89896BDE-1749-484B-AC76-920357B4E40C}"/>
    <cellStyle name="Normal 68 2" xfId="43019" xr:uid="{7DF97409-0CD0-4E93-884E-A4A1B694A3DB}"/>
    <cellStyle name="Normal 69" xfId="43020" xr:uid="{C2D0AEC2-8CF9-4F52-9C16-D89605DCE686}"/>
    <cellStyle name="Normal 7" xfId="234" xr:uid="{FAC0D42A-0F83-46F2-A3C1-01D353D8355C}"/>
    <cellStyle name="Normal 7 2" xfId="43021" xr:uid="{536CB61F-4696-4A2E-BC34-175243C3DE5F}"/>
    <cellStyle name="Normal 7 2 2" xfId="43022" xr:uid="{B26D9B19-EABB-4FDB-8D59-B4AE87812DF9}"/>
    <cellStyle name="Normal 7 2 3" xfId="43023" xr:uid="{3A730CCC-0B97-4B35-B442-FB4E444536F3}"/>
    <cellStyle name="Normal 7 2 4" xfId="43024" xr:uid="{C7131731-38CE-4E51-AF51-AF189CF9E10F}"/>
    <cellStyle name="Normal 7 2 5" xfId="43025" xr:uid="{84F38AA2-2B2D-46D6-84AC-8A72D76B68A4}"/>
    <cellStyle name="Normal 7 2 6" xfId="43026" xr:uid="{7BE34294-9B39-4D55-A579-9E92BFEBA59C}"/>
    <cellStyle name="Normal 7 2 7" xfId="43027" xr:uid="{87493834-252D-4243-91A9-DECD87FA59BE}"/>
    <cellStyle name="Normal 7 3" xfId="43028" xr:uid="{75F1D41F-7882-4E71-9627-779AADD07396}"/>
    <cellStyle name="Normal 7 4" xfId="43029" xr:uid="{FB73359C-D10B-4BB2-BC56-C9402CEEBD22}"/>
    <cellStyle name="Normal 7 5" xfId="43030" xr:uid="{2B5E525F-D8EB-4AF9-AE9D-05D50BC041D4}"/>
    <cellStyle name="Normal 7 6" xfId="43031" xr:uid="{1703A165-26CF-4AB0-A346-A43FF28F6E54}"/>
    <cellStyle name="Normal 7 7" xfId="43032" xr:uid="{8E5674FB-1DB5-4E63-8A77-509296BAABF8}"/>
    <cellStyle name="Normal 7 8" xfId="43033" xr:uid="{AC966034-256A-4A68-8A28-0B239EAFD710}"/>
    <cellStyle name="Normal 7 9" xfId="43034" xr:uid="{1C0D3436-CC09-43F0-BCAC-4180F83D9FAF}"/>
    <cellStyle name="Normal 70" xfId="43035" xr:uid="{1800413E-947A-4F75-A9FE-170A2150A875}"/>
    <cellStyle name="Normal 70 2" xfId="43036" xr:uid="{95DC7D19-F337-4EB6-9461-FACBCC319919}"/>
    <cellStyle name="Normal 71" xfId="43037" xr:uid="{4222912F-50E1-42CC-ADD3-BDC4163AF4DE}"/>
    <cellStyle name="Normal 71 2" xfId="43038" xr:uid="{9DD3C89D-CC85-46CF-9141-5E605B13E877}"/>
    <cellStyle name="Normal 72" xfId="43039" xr:uid="{41209A0F-0E23-4F8D-8080-74386A3EEC1F}"/>
    <cellStyle name="Normal 73" xfId="43040" xr:uid="{0A743D6E-22A7-4992-80B8-B651E4FC3C89}"/>
    <cellStyle name="Normal 73 2" xfId="43041" xr:uid="{8C61B37E-BA44-45E7-ADA6-261A4D590FBC}"/>
    <cellStyle name="Normal 74" xfId="43042" xr:uid="{9A02C7BD-05DC-4528-AD1D-6573989F9660}"/>
    <cellStyle name="Normal 75" xfId="43043" xr:uid="{C181B356-34B1-4A6A-BBD4-262C42FF1952}"/>
    <cellStyle name="Normal 75 2" xfId="43044" xr:uid="{869E4CEB-BAF1-4705-A4F4-AF79A1A8FD69}"/>
    <cellStyle name="Normal 76" xfId="43045" xr:uid="{5126DFBE-76BB-4ECF-855B-CF9580EA0D5E}"/>
    <cellStyle name="Normal 77" xfId="43046" xr:uid="{5AFB2317-A28B-468F-9C9D-43D9F3DF7CC5}"/>
    <cellStyle name="Normal 77 2" xfId="43047" xr:uid="{C7DC2539-AC12-4EA9-A3ED-899882B967B0}"/>
    <cellStyle name="Normal 78" xfId="43048" xr:uid="{7E6DAF9B-5DB0-44BB-97FC-3B3061A268DC}"/>
    <cellStyle name="Normal 78 2" xfId="43049" xr:uid="{E915F53F-BCC7-47D7-8371-6197440257C4}"/>
    <cellStyle name="Normal 79" xfId="43050" xr:uid="{7ED65FE1-CE62-48A8-9325-1F809E0F12BB}"/>
    <cellStyle name="Normal 79 2" xfId="43051" xr:uid="{568CE435-1C7E-4DE1-AECE-245812D78D58}"/>
    <cellStyle name="Normal 8" xfId="15" xr:uid="{00000000-0005-0000-0000-00003C000000}"/>
    <cellStyle name="Normal 8 2" xfId="40" xr:uid="{00000000-0005-0000-0000-00003D000000}"/>
    <cellStyle name="Normal 8 2 2" xfId="43054" xr:uid="{E6523E9F-404A-45AF-8B20-E061CCACED6A}"/>
    <cellStyle name="Normal 8 2 3" xfId="43055" xr:uid="{A45E1308-DAF8-4384-94C8-4EAC51B02BDE}"/>
    <cellStyle name="Normal 8 2 4" xfId="43053" xr:uid="{8B09C9E4-C446-4EC7-9E94-6F9B19C24584}"/>
    <cellStyle name="Normal 8 3" xfId="43056" xr:uid="{AD7F8C0D-FDEF-43FE-AD5B-72EA10FE3DBB}"/>
    <cellStyle name="Normal 8 4" xfId="43057" xr:uid="{424C2DE5-372F-4EFD-971A-AF172B8FF5FA}"/>
    <cellStyle name="Normal 8 4 2" xfId="43058" xr:uid="{45F8A188-4A2F-44E7-BB58-2EA683C4A60B}"/>
    <cellStyle name="Normal 8 4 2 2" xfId="43059" xr:uid="{41BDC49D-46B8-4B15-B33C-BD3ED8688DCD}"/>
    <cellStyle name="Normal 8 4 3" xfId="43060" xr:uid="{A64234BB-52A3-492E-A4C0-3BE008D5DCE7}"/>
    <cellStyle name="Normal 8 5" xfId="43061" xr:uid="{1E0304AC-A732-4CCD-971D-017EAF0F96DA}"/>
    <cellStyle name="Normal 8 5 2" xfId="43062" xr:uid="{D2102AD2-2D02-40CD-A845-A521512C316B}"/>
    <cellStyle name="Normal 8 5 2 2" xfId="43063" xr:uid="{BF291235-3E10-440E-BF1B-D30A63EB6B44}"/>
    <cellStyle name="Normal 8 5 3" xfId="43064" xr:uid="{5C3AB39F-060D-4796-B466-61DC8083BBA0}"/>
    <cellStyle name="Normal 8 6" xfId="43065" xr:uid="{E9172C87-CDE5-4761-A682-4FDD1112146B}"/>
    <cellStyle name="Normal 8 6 2" xfId="43066" xr:uid="{A5F7659B-F278-463D-B07D-570B60DCD621}"/>
    <cellStyle name="Normal 8 6 2 2" xfId="43067" xr:uid="{448A0755-2AF6-498C-96A6-04158C1153C0}"/>
    <cellStyle name="Normal 8 6 3" xfId="43068" xr:uid="{865E5834-337E-4378-A35B-EEA35F1172AC}"/>
    <cellStyle name="Normal 8 7" xfId="43069" xr:uid="{BC438681-6276-42FE-9493-23230F8F197D}"/>
    <cellStyle name="Normal 8 7 2" xfId="43070" xr:uid="{46C3904F-19ED-412A-B879-21008B0BB746}"/>
    <cellStyle name="Normal 8 7 2 2" xfId="43071" xr:uid="{E387A33D-9FC1-440B-BF7F-F57B3F8952A1}"/>
    <cellStyle name="Normal 8 7 3" xfId="43072" xr:uid="{59A65E7B-7AE2-4829-9C0F-3CF4F773407C}"/>
    <cellStyle name="Normal 8 8" xfId="43052" xr:uid="{9BB9DABD-0886-444B-B0FA-D50F996AD34B}"/>
    <cellStyle name="Normal 80" xfId="43073" xr:uid="{BD6B3CF2-42DC-48CE-8F58-23F87006F42B}"/>
    <cellStyle name="Normal 80 2" xfId="43074" xr:uid="{00AB5F52-7BD8-4C0E-9BDA-66C0DDAFD78C}"/>
    <cellStyle name="Normal 81" xfId="43075" xr:uid="{76863ACC-C5C2-42DF-915D-1C9082345666}"/>
    <cellStyle name="Normal 81 2" xfId="43076" xr:uid="{987BEDF3-FC44-4E34-B961-34F2CE645D2D}"/>
    <cellStyle name="Normal 82" xfId="43077" xr:uid="{EA663A7B-CC6D-4AEE-8689-B3662728B24A}"/>
    <cellStyle name="Normal 82 2" xfId="43078" xr:uid="{C8D10431-D677-48EC-88F0-E5B2EF3C503F}"/>
    <cellStyle name="Normal 83" xfId="43079" xr:uid="{82051870-8087-44CF-839B-1F4396484190}"/>
    <cellStyle name="Normal 83 2" xfId="43080" xr:uid="{3635266B-CE16-435D-A0FC-0D1714887E7F}"/>
    <cellStyle name="Normal 84" xfId="43081" xr:uid="{C44DA06B-9A0B-450A-A8D4-960432C2F4C6}"/>
    <cellStyle name="Normal 85" xfId="43082" xr:uid="{DF08C653-927C-4A7B-A2F2-5C80A7069988}"/>
    <cellStyle name="Normal 86" xfId="43083" xr:uid="{7CAC37D4-A5BD-4BE3-B1F7-19033AFE9DEC}"/>
    <cellStyle name="Normal 87" xfId="43084" xr:uid="{8F141CC8-CB11-4943-9385-BE17E1F8296A}"/>
    <cellStyle name="Normal 88" xfId="43085" xr:uid="{EC69218F-0488-42A4-AAA2-D3C3F740002B}"/>
    <cellStyle name="Normal 89" xfId="43086" xr:uid="{0A0DD187-B248-446C-B0A6-200D4193FF43}"/>
    <cellStyle name="Normal 9" xfId="236" xr:uid="{B66824AE-FE9E-4271-AC05-30F9336E8D54}"/>
    <cellStyle name="Normal 9 2" xfId="43088" xr:uid="{2BFD19F5-9779-4FA7-AB01-0B334236816A}"/>
    <cellStyle name="Normal 9 2 2" xfId="43089" xr:uid="{199BC451-5D26-428A-900F-0F13DE87F170}"/>
    <cellStyle name="Normal 9 3" xfId="43090" xr:uid="{B72352FA-9F3D-4A6D-BBDC-2EFE32ADE8AC}"/>
    <cellStyle name="Normal 9 4" xfId="43091" xr:uid="{7F116FC0-1D05-4B27-90D2-355FD826C7A6}"/>
    <cellStyle name="Normal 9 5" xfId="43087" xr:uid="{574B17B3-E084-4A2A-BA56-188A4F7BF15D}"/>
    <cellStyle name="Normal 90" xfId="43092" xr:uid="{24C510A3-2E96-4755-964D-822DAA09F78C}"/>
    <cellStyle name="Normal 90 2" xfId="43093" xr:uid="{9DC29AA8-0D63-4BE6-B4D6-5C9EF01E871C}"/>
    <cellStyle name="Normal 91" xfId="43094" xr:uid="{85B95461-2F54-4FEC-BA48-53C41A4BD0DB}"/>
    <cellStyle name="Normal 92" xfId="43095" xr:uid="{3BD625EE-4995-4A8B-A403-E68DBD399CED}"/>
    <cellStyle name="Normal 93" xfId="46157" xr:uid="{7B4F8007-44A5-41F7-A2AA-6E9E3BB633BF}"/>
    <cellStyle name="Normal 93 2" xfId="207" xr:uid="{C41977AC-3DE1-4579-BD06-76BA32A81E86}"/>
    <cellStyle name="Normal 94" xfId="43096" xr:uid="{E8A8A51C-EA53-4ADE-99BA-2E012DB52564}"/>
    <cellStyle name="Normal 94 2" xfId="43097" xr:uid="{D18E2797-354E-4295-9A28-71518FF84911}"/>
    <cellStyle name="Normal 95" xfId="43098" xr:uid="{2279E567-3540-4142-A0AB-B8BC926DF826}"/>
    <cellStyle name="Normal 95 2" xfId="43099" xr:uid="{6C51FF31-F2A6-45C7-81D3-B452327CFFEE}"/>
    <cellStyle name="Normal 96" xfId="43100" xr:uid="{DF65231D-C698-4380-831C-4E974E6323E0}"/>
    <cellStyle name="Normal 96 2" xfId="43101" xr:uid="{EB4940F3-24A2-4943-BBA1-2FDB39C08B58}"/>
    <cellStyle name="Normal 97" xfId="43102" xr:uid="{7A03EF8D-45FE-4723-8B76-B74A7CCFBDB0}"/>
    <cellStyle name="Normal 97 2" xfId="43103" xr:uid="{63870064-F4A0-4607-A323-6A0205095CAC}"/>
    <cellStyle name="Normal 98" xfId="43104" xr:uid="{F69C47FE-E329-45F2-A33A-87B2C29D1283}"/>
    <cellStyle name="Normal 98 2" xfId="43105" xr:uid="{9C4548B9-7130-4A15-90FF-CA7AA40F7564}"/>
    <cellStyle name="Normal 99" xfId="43106" xr:uid="{D172001F-8F0A-4A84-BAC7-7DB7F7DEE29E}"/>
    <cellStyle name="Normal 99 2" xfId="43107" xr:uid="{5C26DF75-6F8D-4A52-A562-3CF1F4638B95}"/>
    <cellStyle name="Normal_FCT RCI GERMANY LEASE - Monthly Report Payment Date 19 06 2012" xfId="211" xr:uid="{FE5B02C0-2D9F-4EFB-99BE-44D4809FCDD3}"/>
    <cellStyle name="Normal2" xfId="43108" xr:uid="{49F37990-F0EC-4D67-BC6F-0EFEF9F3B9FC}"/>
    <cellStyle name="Normale_concentrations" xfId="43109" xr:uid="{17340EB2-8443-4589-9030-F9C9C1684B14}"/>
    <cellStyle name="Nota" xfId="43110" xr:uid="{A484E99F-D205-440C-9626-2F51E9E8807E}"/>
    <cellStyle name="Nota 2" xfId="43111" xr:uid="{8731B530-66F4-4A2C-97F8-F4851E7A1B43}"/>
    <cellStyle name="Notas" xfId="43112" xr:uid="{84F1D891-42C4-4C78-8CEE-A90D7C35AF48}"/>
    <cellStyle name="Notas 2" xfId="43113" xr:uid="{6B89CEBC-6CE0-42B8-B66B-970B55A1C3D7}"/>
    <cellStyle name="Notas 2 2" xfId="43114" xr:uid="{976FA443-85DB-454E-998A-5E97B386BC56}"/>
    <cellStyle name="Notas 2 2 2" xfId="43115" xr:uid="{89FA67E2-8FA9-4DA7-8A15-2B8191AF9CD6}"/>
    <cellStyle name="Notas 2 2 2 2" xfId="43116" xr:uid="{9CAC66D0-8504-430D-84AF-269B182AEF44}"/>
    <cellStyle name="Notas 2 2 3" xfId="43117" xr:uid="{BC094E93-A1F6-4E51-9D89-A02C6A6738D1}"/>
    <cellStyle name="Notas 2 3" xfId="43118" xr:uid="{0E669769-CD47-416F-AEA7-0B7C18A00529}"/>
    <cellStyle name="Notas 2 3 2" xfId="43119" xr:uid="{148C0771-5DAA-4012-B252-A6BE66609FB1}"/>
    <cellStyle name="Notas 2 3 2 2" xfId="43120" xr:uid="{31E80B5B-6AD0-4F5A-9D18-0CF3A8829E58}"/>
    <cellStyle name="Notas 2 3 3" xfId="43121" xr:uid="{8AF0B3D5-A9C0-4314-B93D-C0130109C224}"/>
    <cellStyle name="Notas 2 4" xfId="43122" xr:uid="{E7B096DA-A54E-4C77-86B5-7CC1E33EFD9C}"/>
    <cellStyle name="Notas 2 4 2" xfId="43123" xr:uid="{AAB7DB4A-D9F6-4617-86AD-3C1ADEEC085A}"/>
    <cellStyle name="Notas 2 5" xfId="43124" xr:uid="{CC3CE1B7-5461-49C8-976B-DBF810B62BD9}"/>
    <cellStyle name="Notas 3" xfId="43125" xr:uid="{6C191DA3-DF0B-457D-B8FE-BAA424CEA221}"/>
    <cellStyle name="Notas 3 2" xfId="43126" xr:uid="{1DD32C53-AD40-406E-B90F-30822305F1F6}"/>
    <cellStyle name="Notas 3 2 2" xfId="43127" xr:uid="{7AAEB402-8911-47B5-958A-79AD8E469C86}"/>
    <cellStyle name="Notas 3 3" xfId="43128" xr:uid="{25049414-8ED5-4A2E-904E-DD4E24016ECE}"/>
    <cellStyle name="Notas 4" xfId="43129" xr:uid="{73B1A08E-55FD-43A7-A574-260B4594E84A}"/>
    <cellStyle name="Notas 4 2" xfId="43130" xr:uid="{785D509E-EB06-4629-858C-0E65CC8C29EA}"/>
    <cellStyle name="Notas 4 2 2" xfId="43131" xr:uid="{99AFAA5E-13B7-4D4B-90B4-26258856EF3D}"/>
    <cellStyle name="Notas 4 3" xfId="43132" xr:uid="{7C1542BD-A68B-43AE-900D-996941162371}"/>
    <cellStyle name="Notas 5" xfId="43133" xr:uid="{A3ED728A-6EF1-485E-AF05-31306E5C1FE1}"/>
    <cellStyle name="Notas 5 2" xfId="43134" xr:uid="{34866886-6B74-4754-8D56-B897C7938360}"/>
    <cellStyle name="Notas 5 2 2" xfId="43135" xr:uid="{DC7849B2-5FEA-43A4-80E8-CF6BD797ACFE}"/>
    <cellStyle name="Notas 5 3" xfId="43136" xr:uid="{8A9F2175-3909-4DBA-9B37-00E5FB612B50}"/>
    <cellStyle name="Notas 6" xfId="43137" xr:uid="{B9FC27C6-2C73-4F12-9217-C032D3740C8B}"/>
    <cellStyle name="Notas 6 2" xfId="43138" xr:uid="{918D4E4B-CD0A-4910-A71B-2CD03C74A7FD}"/>
    <cellStyle name="Notas 6 2 2" xfId="43139" xr:uid="{5169133C-FEB8-4577-833C-68A4DC31D96C}"/>
    <cellStyle name="Notas 6 3" xfId="43140" xr:uid="{39B15634-C685-4FFA-BFB0-1B9601E6A287}"/>
    <cellStyle name="Notas 7" xfId="43141" xr:uid="{A09E6DD3-1D1D-4784-A68D-9DA2FF8065BA}"/>
    <cellStyle name="Note 10" xfId="43143" xr:uid="{D16FF741-4B4D-445C-ADB2-EAA43B969438}"/>
    <cellStyle name="Note 10 2" xfId="43144" xr:uid="{64750CEA-2652-4B66-8A59-181AD4A3C5EC}"/>
    <cellStyle name="Note 10 2 2" xfId="43145" xr:uid="{6677B461-2858-4AA2-96C8-FEEE3D79E908}"/>
    <cellStyle name="Note 10 3" xfId="43146" xr:uid="{E1F9E48E-75A9-4841-9B24-FB2EE74B6844}"/>
    <cellStyle name="Note 11" xfId="43147" xr:uid="{FBDA96B7-42F3-4F84-A81C-76A089B2043F}"/>
    <cellStyle name="Note 11 2" xfId="43148" xr:uid="{C470DE2C-86AC-4DBF-BE05-75C193225AD1}"/>
    <cellStyle name="Note 11 2 2" xfId="43149" xr:uid="{0AC4013B-02EC-4A01-A877-9C2F81AD74F2}"/>
    <cellStyle name="Note 11 3" xfId="43150" xr:uid="{09C4C492-1C01-41F3-A48E-D18656AE9F5B}"/>
    <cellStyle name="Note 12" xfId="43151" xr:uid="{27DD9069-BA09-408C-BA2A-19F5E52F83C6}"/>
    <cellStyle name="Note 12 2" xfId="43152" xr:uid="{DD0BF8E3-EDC0-439A-BBE1-C3CDBCDECBB0}"/>
    <cellStyle name="Note 12 2 2" xfId="43153" xr:uid="{431B05C0-89B9-4579-8210-A8A4374B089C}"/>
    <cellStyle name="Note 12 3" xfId="43154" xr:uid="{2F47DCE8-1DB6-46EA-8517-0C97CD2B7735}"/>
    <cellStyle name="Note 13" xfId="43155" xr:uid="{5E8DDAE6-939A-4034-B9F9-CA7DC8EF3498}"/>
    <cellStyle name="Note 13 2" xfId="43156" xr:uid="{875B02D8-5012-46FF-BCC3-FE2E6C82AEA2}"/>
    <cellStyle name="Note 13 2 2" xfId="43157" xr:uid="{75388083-FA43-4198-81E1-001E407BD7DC}"/>
    <cellStyle name="Note 13 3" xfId="43158" xr:uid="{257693B8-5544-485D-8859-B13EE9842A3C}"/>
    <cellStyle name="Note 14" xfId="43159" xr:uid="{A023272C-7F39-4828-B423-BC4F2F5BB8F4}"/>
    <cellStyle name="Note 14 2" xfId="43160" xr:uid="{41474005-6B11-48B0-8904-86B06C841F0B}"/>
    <cellStyle name="Note 14 2 2" xfId="43161" xr:uid="{17E4B5E6-837E-4741-9F2E-0A70CE306D92}"/>
    <cellStyle name="Note 14 3" xfId="43162" xr:uid="{15A908FB-F702-4F68-8B1F-EB224CB9D805}"/>
    <cellStyle name="Note 15" xfId="43163" xr:uid="{CCE273CD-7EEF-4C3C-8FAC-3F26136D8C4B}"/>
    <cellStyle name="Note 15 2" xfId="43164" xr:uid="{E8B91F8F-8C4D-4989-9DBD-9B38BE688F81}"/>
    <cellStyle name="Note 15 2 2" xfId="43165" xr:uid="{C03EA1B4-2E00-462A-BA16-E44217A9749A}"/>
    <cellStyle name="Note 15 3" xfId="43166" xr:uid="{A6E9FE8A-C4E5-454F-A744-7E8732FE5C1C}"/>
    <cellStyle name="Note 16" xfId="43167" xr:uid="{BAE3015E-105A-4897-BBC8-5E0AA69DCA58}"/>
    <cellStyle name="Note 16 2" xfId="43168" xr:uid="{9467F5CD-E285-417B-A899-1EE54BAE8A56}"/>
    <cellStyle name="Note 16 2 2" xfId="43169" xr:uid="{E2D74953-7335-4B81-B214-ED1E9FCE7840}"/>
    <cellStyle name="Note 16 3" xfId="43170" xr:uid="{DE5D7B8B-81AE-4021-BA3D-0B104A925A79}"/>
    <cellStyle name="Note 17" xfId="43171" xr:uid="{DCC6CB20-3301-4375-8C1D-6F71C3214591}"/>
    <cellStyle name="Note 17 2" xfId="43172" xr:uid="{287A98AD-546F-44E6-B0B5-BE2486C0AAC6}"/>
    <cellStyle name="Note 17 2 2" xfId="43173" xr:uid="{FFB29B74-965C-4BC7-9DCD-BE7E55B3B5DE}"/>
    <cellStyle name="Note 17 3" xfId="43174" xr:uid="{DAD4FAD7-604C-401D-B9F5-1C6B4798B2E0}"/>
    <cellStyle name="Note 18" xfId="43175" xr:uid="{4D9FCA29-FF13-4E9B-8BF0-A4EBC0BDE570}"/>
    <cellStyle name="Note 18 2" xfId="43176" xr:uid="{4C11F4C0-6B02-404D-9B96-D943841911F7}"/>
    <cellStyle name="Note 18 2 2" xfId="43177" xr:uid="{78B7F770-BE31-44E6-8B7F-8A132212F124}"/>
    <cellStyle name="Note 18 3" xfId="43178" xr:uid="{5CCB4053-50CC-4031-856A-85F2EC23CE23}"/>
    <cellStyle name="Note 19" xfId="43179" xr:uid="{F4AC4F52-BE34-43CA-830F-363E1BA8A041}"/>
    <cellStyle name="Note 2" xfId="156" xr:uid="{8C7ADD44-4A5C-42D6-91C2-464AAF0F9145}"/>
    <cellStyle name="Note 2 2" xfId="179" xr:uid="{ECE948CC-A2AC-488C-8D6B-33789C083F33}"/>
    <cellStyle name="Note 2 2 2" xfId="43182" xr:uid="{AA3993DD-CD35-4FC0-BD78-A68434A0D166}"/>
    <cellStyle name="Note 2 2 3" xfId="43181" xr:uid="{A15D86C5-0621-45B4-A5FB-1B82B4996D3C}"/>
    <cellStyle name="Note 2 3" xfId="204" xr:uid="{54512D92-4CBE-4A0C-9AC4-4DA2D6AEF3E5}"/>
    <cellStyle name="Note 2 3 2" xfId="43184" xr:uid="{26E269DB-7D14-45F0-8850-1FFFDB758713}"/>
    <cellStyle name="Note 2 3 3" xfId="43183" xr:uid="{25F099A5-2F0F-4E48-ADBB-13652C7AF9C3}"/>
    <cellStyle name="Note 2 4" xfId="43185" xr:uid="{48F25053-8831-40A6-81EB-8C77C003BB0D}"/>
    <cellStyle name="Note 2 5" xfId="43186" xr:uid="{6D9469D2-5071-4D91-B8D0-922BC17747E8}"/>
    <cellStyle name="Note 2 6" xfId="43187" xr:uid="{9530E0E3-6E7D-4BEF-B7CA-A44842E27E1E}"/>
    <cellStyle name="Note 2 7" xfId="43188" xr:uid="{085F2C26-6CA4-4325-B1C3-AC3C7842E337}"/>
    <cellStyle name="Note 2 8" xfId="43189" xr:uid="{339B1EB6-4299-4EE5-9E72-1914DAEB6FBA}"/>
    <cellStyle name="Note 2 9" xfId="43180" xr:uid="{7AEBC8A3-8E0C-417F-ABF8-C8BDAE00CEEA}"/>
    <cellStyle name="Note 20" xfId="43142" xr:uid="{A50D18A9-1AF4-45C1-83C9-540C98D9B786}"/>
    <cellStyle name="Note 3" xfId="43190" xr:uid="{A9F3594D-7030-40C4-AA9B-0245EE75BCE5}"/>
    <cellStyle name="Note 3 2" xfId="43191" xr:uid="{75608307-0938-4C68-B2FE-7C00EFAC7D0E}"/>
    <cellStyle name="Note 3 2 2" xfId="43192" xr:uid="{4F3F4C33-FA22-4897-B0CD-BB588A0C5223}"/>
    <cellStyle name="Note 3 3" xfId="43193" xr:uid="{20E98E06-66D8-49AE-9756-59DAF3CC5AF0}"/>
    <cellStyle name="Note 3 4" xfId="43194" xr:uid="{3ECB4E49-1CEE-4B0B-A359-7C50B48DADA0}"/>
    <cellStyle name="Note 3 5" xfId="43195" xr:uid="{38B69C38-F671-4616-AFC0-49F9FAB84EEE}"/>
    <cellStyle name="Note 3 6" xfId="43196" xr:uid="{542EB132-4AFF-49EE-B2F2-B82C1928F041}"/>
    <cellStyle name="Note 3 7" xfId="43197" xr:uid="{FA8EC603-F4EC-4237-93C2-06DBEFF4161A}"/>
    <cellStyle name="Note 3 8" xfId="43198" xr:uid="{9C05D7B4-0E06-4C86-BA2F-F19637FF7CFE}"/>
    <cellStyle name="Note 4" xfId="43199" xr:uid="{E83D5BD1-2964-4997-80CE-D6AD619B179B}"/>
    <cellStyle name="Note 4 2" xfId="43200" xr:uid="{579260EA-37CB-44FE-AF74-095D194CC9F5}"/>
    <cellStyle name="Note 4 2 2" xfId="43201" xr:uid="{00006FB2-BEEA-4A0B-97E1-E54EB0B922AA}"/>
    <cellStyle name="Note 4 3" xfId="43202" xr:uid="{EE8D6AEA-3BEC-4B01-861A-A99EC86E47C4}"/>
    <cellStyle name="Note 4 4" xfId="43203" xr:uid="{51DF45EF-1940-4383-BA83-557D06426D3C}"/>
    <cellStyle name="Note 4 5" xfId="43204" xr:uid="{2212F737-D89D-4A75-AB34-A0A96BA0E04D}"/>
    <cellStyle name="Note 4 6" xfId="43205" xr:uid="{DCEB67C2-2FE6-422E-BABB-9E79CF741921}"/>
    <cellStyle name="Note 4 7" xfId="43206" xr:uid="{2789764D-2BB6-42A5-8A42-FC64378C019F}"/>
    <cellStyle name="Note 4 8" xfId="43207" xr:uid="{34E0BCB1-FA1E-4062-B9D6-DF6B8A84BFA9}"/>
    <cellStyle name="Note 5" xfId="43208" xr:uid="{3A7BA744-589E-4DE7-BB14-B1AE02FA7333}"/>
    <cellStyle name="Note 5 2" xfId="43209" xr:uid="{9FDD1550-ECE5-48B2-A371-FFA38134541F}"/>
    <cellStyle name="Note 5 2 2" xfId="43210" xr:uid="{40E60C9B-2EC8-43E5-81E6-30AD68266388}"/>
    <cellStyle name="Note 5 3" xfId="43211" xr:uid="{7167DDEB-02E8-44F3-B095-3F0B4E7823CF}"/>
    <cellStyle name="Note 5 4" xfId="43212" xr:uid="{C4D63591-36B4-4B52-8B76-3524BF41F664}"/>
    <cellStyle name="Note 5 5" xfId="43213" xr:uid="{4831EEB8-04D3-48E0-A6A8-D1A380053F32}"/>
    <cellStyle name="Note 5 6" xfId="43214" xr:uid="{C80FFE13-EF75-4C66-9C9A-88AB181B2857}"/>
    <cellStyle name="Note 5 7" xfId="43215" xr:uid="{998FF47C-F181-414F-A421-BC1DE42362A6}"/>
    <cellStyle name="Note 5 8" xfId="43216" xr:uid="{F5AA65B3-C8F7-44EC-BAC6-0AD7F3FD66AA}"/>
    <cellStyle name="Note 6" xfId="43217" xr:uid="{8EEBC882-529C-41B6-9F53-4DEFAD557EDC}"/>
    <cellStyle name="Note 6 2" xfId="43218" xr:uid="{57D49111-980E-4D78-BC88-1FE7E3AA2BB7}"/>
    <cellStyle name="Note 6 2 2" xfId="43219" xr:uid="{639048C0-E764-4D94-BE75-D4A7F1424371}"/>
    <cellStyle name="Note 6 3" xfId="43220" xr:uid="{0697B36D-ED53-42D5-B741-FC786A2A377C}"/>
    <cellStyle name="Note 7" xfId="43221" xr:uid="{407CD5C6-AAF7-458F-AE76-6BDAC639EED4}"/>
    <cellStyle name="Note 7 2" xfId="43222" xr:uid="{A7744227-97CF-4B95-BF4C-AE89C0B809A4}"/>
    <cellStyle name="Note 7 2 2" xfId="43223" xr:uid="{9AE398DD-403F-456C-8E5E-3A1253DF61DF}"/>
    <cellStyle name="Note 7 3" xfId="43224" xr:uid="{4D2B684B-4AB4-437C-9135-09FD0632F9A2}"/>
    <cellStyle name="Note 8" xfId="43225" xr:uid="{4CFB2A0D-57FB-407C-9497-CE6255C628ED}"/>
    <cellStyle name="Note 8 2" xfId="43226" xr:uid="{D39E417C-4060-4159-8763-FCFD1FDBF6B9}"/>
    <cellStyle name="Note 8 2 2" xfId="43227" xr:uid="{CD174521-13F8-4729-BF86-C573AB29BA7B}"/>
    <cellStyle name="Note 8 3" xfId="43228" xr:uid="{834812BF-EF0A-467E-BD0C-908BC4056785}"/>
    <cellStyle name="Note 9" xfId="43229" xr:uid="{B2279FE6-3601-4F25-B8C9-E4B03158D210}"/>
    <cellStyle name="Note 9 2" xfId="43230" xr:uid="{5FB3022B-2944-4E77-A82C-B8DD46CD97CF}"/>
    <cellStyle name="Note 9 2 2" xfId="43231" xr:uid="{BE0148B0-357F-4199-862A-31B16D1ADE36}"/>
    <cellStyle name="Note 9 3" xfId="43232" xr:uid="{D62CA7D3-A701-4A5F-AA01-D84D83E3CCFE}"/>
    <cellStyle name="Notiz" xfId="43233" xr:uid="{D069FCA7-C9B4-47C8-A582-66F85C29DDE2}"/>
    <cellStyle name="Notiz 2" xfId="43234" xr:uid="{FEA8F299-D9CD-4F96-B951-CF59ABDCA6D6}"/>
    <cellStyle name="Number" xfId="43235" xr:uid="{0083DB68-5CD0-4462-AD62-42209C95AB33}"/>
    <cellStyle name="Number 2" xfId="43236" xr:uid="{FD9B065D-11E1-4421-9EC0-88329A05AEA3}"/>
    <cellStyle name="Number 2 2" xfId="43237" xr:uid="{80A5D9D4-D84F-409D-A1C5-C22D06FC7E16}"/>
    <cellStyle name="Number 2 2 2" xfId="43238" xr:uid="{E5DCE9C2-DB30-45EE-8E55-8BFF1A86ED3B}"/>
    <cellStyle name="Number 2 3" xfId="43239" xr:uid="{A20B88C2-4F51-4AAB-9E77-29EAD5972746}"/>
    <cellStyle name="Number 2 3 2" xfId="43240" xr:uid="{EC0EACAB-DF71-43C2-9CC2-B91FE8C7D48A}"/>
    <cellStyle name="Number 2 4" xfId="43241" xr:uid="{54566969-265F-4263-9C27-95FC0362BBDF}"/>
    <cellStyle name="Number 3" xfId="43242" xr:uid="{CDE1F0FB-D4FF-481F-A95E-C9DB160707EB}"/>
    <cellStyle name="Number 3 2" xfId="43243" xr:uid="{6F8724E0-BE33-471E-BA93-72EB40363C67}"/>
    <cellStyle name="Number 4" xfId="43244" xr:uid="{6AD4A407-7600-48E9-83C6-EC812FCD942F}"/>
    <cellStyle name="Number 4 2" xfId="43245" xr:uid="{F76913F3-4D11-4740-B962-FD956582CB40}"/>
    <cellStyle name="Number 5" xfId="43246" xr:uid="{9E633A4A-ADDD-47E8-8E96-B65E8E1AB480}"/>
    <cellStyle name="Number 5 2" xfId="43247" xr:uid="{FF9472F2-EF51-4FA0-AE52-2E9D51D8E87E}"/>
    <cellStyle name="Number 6" xfId="43248" xr:uid="{76D0C1FB-638C-45F0-8892-DE4913B8A7E4}"/>
    <cellStyle name="Number 6 2" xfId="43249" xr:uid="{58A3DE59-29F1-4613-A8D6-7DF9CAC4943A}"/>
    <cellStyle name="optionalExposure" xfId="43250" xr:uid="{1F11465D-04EB-4BAA-9783-55EB74A04E55}"/>
    <cellStyle name="optionalMaturity" xfId="43251" xr:uid="{C8C21B27-0D29-4592-915A-566F3D996D5F}"/>
    <cellStyle name="optionalPD" xfId="43252" xr:uid="{03977041-46A6-40BC-B00B-ED3CD7774154}"/>
    <cellStyle name="optionalPercentage" xfId="43253" xr:uid="{B75B5336-2BBB-4509-851E-A60C73D83097}"/>
    <cellStyle name="optionalSelection" xfId="43254" xr:uid="{A6148EDB-B5B3-4128-9525-087A0C3D2080}"/>
    <cellStyle name="optionalText" xfId="43255" xr:uid="{7009D59A-1833-4AA3-92AD-88F6A8FF8EB9}"/>
    <cellStyle name="Output" xfId="121" builtinId="21" customBuiltin="1"/>
    <cellStyle name="Output 10" xfId="43257" xr:uid="{08DCF8CE-18B2-4DBD-B55D-E3507FFD96E9}"/>
    <cellStyle name="Output 10 2" xfId="43258" xr:uid="{3AC613E2-0D73-4D02-BC10-F288A4077382}"/>
    <cellStyle name="Output 11" xfId="43259" xr:uid="{CC705302-B44E-489F-9A2F-7A90131396B3}"/>
    <cellStyle name="Output 11 2" xfId="43260" xr:uid="{5DF18A76-43ED-438D-8B3B-49378BB8A8D0}"/>
    <cellStyle name="Output 12" xfId="43261" xr:uid="{4279AB6B-3116-4AA7-B02F-252F2948DE18}"/>
    <cellStyle name="Output 12 2" xfId="43262" xr:uid="{8FE8EB7A-0528-468F-8427-78842B92D1F5}"/>
    <cellStyle name="Output 13" xfId="43263" xr:uid="{78C186D1-2E25-4BAC-992C-5A384574F4A4}"/>
    <cellStyle name="Output 13 2" xfId="43264" xr:uid="{B68B9B25-572F-4697-9E51-9340B32CAADE}"/>
    <cellStyle name="Output 14" xfId="43265" xr:uid="{0A7D756A-9CD7-43F8-97E1-9CB82AFA881A}"/>
    <cellStyle name="Output 14 2" xfId="43266" xr:uid="{CD8AFDC5-B5F2-4350-B7BC-603BE63A23B5}"/>
    <cellStyle name="Output 15" xfId="43267" xr:uid="{351A0EBF-816A-4E62-B83E-B72BD9C6F289}"/>
    <cellStyle name="Output 15 2" xfId="43268" xr:uid="{12F80FAF-B169-4C09-90BB-E98E9361777C}"/>
    <cellStyle name="Output 16" xfId="43269" xr:uid="{8FAA0D8C-F15B-431C-AEE1-20A627530377}"/>
    <cellStyle name="Output 16 2" xfId="43270" xr:uid="{0A9BCE3E-3D9D-4D87-B30F-B26EE1FCF989}"/>
    <cellStyle name="Output 17" xfId="43271" xr:uid="{682117BF-9050-4E05-9350-DBCA36E9A24C}"/>
    <cellStyle name="Output 17 2" xfId="43272" xr:uid="{CBD3FB3D-FBE5-4D73-A6C8-8CBB8A2DF554}"/>
    <cellStyle name="Output 18" xfId="43273" xr:uid="{240E0469-6A85-41E7-83D0-AAD2441A98A7}"/>
    <cellStyle name="Output 18 2" xfId="43274" xr:uid="{0F58F7F8-5B3C-43E4-980E-206A6F789F19}"/>
    <cellStyle name="Output 19" xfId="43275" xr:uid="{59D519BB-DE28-485D-A95D-F159193C84B5}"/>
    <cellStyle name="Output 19 2" xfId="43276" xr:uid="{A0A1B4AA-57A9-442D-A8C3-FA9ACB5328F6}"/>
    <cellStyle name="Output 2" xfId="43277" xr:uid="{8020D380-D783-4227-98A7-25E06A9089FD}"/>
    <cellStyle name="Output 2 2" xfId="43278" xr:uid="{39A2BEA4-B1D2-465A-ADE7-08F82B45CBFC}"/>
    <cellStyle name="Output 20" xfId="43279" xr:uid="{9A09F33B-65DA-4A4F-88B5-8AAD10B6C07E}"/>
    <cellStyle name="Output 20 2" xfId="43280" xr:uid="{62AD6A61-5705-4BA0-838B-A7435650753D}"/>
    <cellStyle name="Output 21" xfId="43281" xr:uid="{02D5012A-43C9-4246-914A-AC842ED17973}"/>
    <cellStyle name="Output 21 2" xfId="43282" xr:uid="{96E5E743-1AD1-4703-84C6-C067BC775561}"/>
    <cellStyle name="Output 22" xfId="43283" xr:uid="{CA2B3302-038B-4109-B3C1-E0336711F89C}"/>
    <cellStyle name="Output 22 2" xfId="43284" xr:uid="{63BBB015-A6D5-4A5D-B7FA-DB6E5C0515AE}"/>
    <cellStyle name="Output 23" xfId="43285" xr:uid="{A595CF71-0516-49AA-81D9-6C0C942CEF40}"/>
    <cellStyle name="Output 23 2" xfId="43286" xr:uid="{794D5D8B-C7C5-4275-86E6-32CF9BB8FD4E}"/>
    <cellStyle name="Output 24" xfId="43287" xr:uid="{F1617BA0-897C-417F-90E9-A313D7D7FF6C}"/>
    <cellStyle name="Output 24 2" xfId="43288" xr:uid="{E5DA06D0-A0F4-4631-9ADF-1054EE3EB80E}"/>
    <cellStyle name="Output 25" xfId="43289" xr:uid="{B118263A-E1E6-48F8-AAE7-D2F56E9758FE}"/>
    <cellStyle name="Output 25 2" xfId="43290" xr:uid="{D8483B99-FB7C-4683-9356-A7D92B14F0BC}"/>
    <cellStyle name="Output 26" xfId="43291" xr:uid="{B1CF3568-7840-4FFA-811D-9F6E3B089CEE}"/>
    <cellStyle name="Output 26 2" xfId="43292" xr:uid="{D15E5FB2-A319-4D9E-B775-9842DFDADD65}"/>
    <cellStyle name="Output 27" xfId="43293" xr:uid="{3A167DD1-A8AF-4A79-B091-9833420D836C}"/>
    <cellStyle name="Output 27 2" xfId="43294" xr:uid="{8D0D8C82-394C-44F5-92CA-361AFF824BFA}"/>
    <cellStyle name="Output 28" xfId="43295" xr:uid="{55846B17-A9E4-41F0-AE7E-BF725223F318}"/>
    <cellStyle name="Output 28 2" xfId="43296" xr:uid="{C5E1F309-8993-48FF-BB73-28CD8ED5FD4B}"/>
    <cellStyle name="Output 29" xfId="43297" xr:uid="{B5B9FF90-5451-4D93-AC26-99D4123C5B50}"/>
    <cellStyle name="Output 29 2" xfId="43298" xr:uid="{A4749BA0-6837-4C67-A697-D18C3D403C41}"/>
    <cellStyle name="Output 3" xfId="43299" xr:uid="{458C6766-DFFF-4525-AAA3-9051C1AE1923}"/>
    <cellStyle name="Output 3 2" xfId="43300" xr:uid="{696B77A2-5AA6-4D5E-AEFD-F3924E4FC3BD}"/>
    <cellStyle name="Output 30" xfId="43301" xr:uid="{C0904313-ED42-4DD4-B5DF-527B992141C4}"/>
    <cellStyle name="Output 30 2" xfId="43302" xr:uid="{0BD6DA50-AF62-44CC-876D-370DD0AD0A54}"/>
    <cellStyle name="Output 31" xfId="43303" xr:uid="{083B231D-6B55-47DA-A2E8-355F1FEB4D90}"/>
    <cellStyle name="Output 31 2" xfId="43304" xr:uid="{2C5C95E1-0FAD-4743-8E12-4848E56C855F}"/>
    <cellStyle name="Output 32" xfId="43305" xr:uid="{1EB8B5AB-3295-409E-89DC-3215A5A0FBDC}"/>
    <cellStyle name="Output 32 2" xfId="43306" xr:uid="{1CA1B7D7-DF83-4732-8B1B-5E5EED42F3F4}"/>
    <cellStyle name="Output 33" xfId="43307" xr:uid="{D14A7CBE-FCAA-44AF-9676-0FD116DA23CB}"/>
    <cellStyle name="Output 33 2" xfId="43308" xr:uid="{E578716D-BCF9-4A1C-BE2D-6AF7B0B0A569}"/>
    <cellStyle name="Output 34" xfId="43309" xr:uid="{6C6637D5-9B42-43F1-86CB-234E23AD4FAC}"/>
    <cellStyle name="Output 35" xfId="43256" xr:uid="{DF853A58-5218-4669-91D2-9D7515BC2B8F}"/>
    <cellStyle name="Output 4" xfId="43310" xr:uid="{88479E67-94CE-4856-84A0-E53D42E659CF}"/>
    <cellStyle name="Output 4 2" xfId="43311" xr:uid="{15C3A5FB-FB6E-4712-B6CD-A2F0A4C87A98}"/>
    <cellStyle name="Output 5" xfId="43312" xr:uid="{F410F5AF-2F3E-4D3A-9BBF-F68BBAB4A1DF}"/>
    <cellStyle name="Output 5 2" xfId="43313" xr:uid="{156C2250-9D94-45E1-B09E-98922004B2C5}"/>
    <cellStyle name="Output 6" xfId="43314" xr:uid="{DECB0A05-AB90-4C29-9B6D-93FBEBCB4A2A}"/>
    <cellStyle name="Output 6 2" xfId="43315" xr:uid="{9FED9544-CF93-4781-A9F8-EF86500CCDC5}"/>
    <cellStyle name="Output 7" xfId="43316" xr:uid="{3195BCB1-2D16-4267-A4D5-27089063FF2D}"/>
    <cellStyle name="Output 7 2" xfId="43317" xr:uid="{199FF55B-FCB6-43E5-8F11-9D9AAEB07399}"/>
    <cellStyle name="Output 8" xfId="43318" xr:uid="{5DD3E302-D053-4887-A335-EE0D91CBB13C}"/>
    <cellStyle name="Output 8 2" xfId="43319" xr:uid="{375CA483-458D-4BF7-92F8-563B566C9E9B}"/>
    <cellStyle name="Output 9" xfId="43320" xr:uid="{C235BF61-4C0E-4C12-ACE1-63313AA0A55E}"/>
    <cellStyle name="Output 9 2" xfId="43321" xr:uid="{C407E498-2E9D-44B1-AA60-0711F433ABE2}"/>
    <cellStyle name="Output Amounts" xfId="43322" xr:uid="{E08ACA7A-D967-48EB-848D-087787C6DEBF}"/>
    <cellStyle name="Output Column Headings" xfId="43323" xr:uid="{B7F30BE6-743E-4C28-976C-D2025F06F05F}"/>
    <cellStyle name="Output Line Items" xfId="43324" xr:uid="{4DC67BF3-FB24-4EE3-8F41-08DE12534701}"/>
    <cellStyle name="Output Report Heading" xfId="43325" xr:uid="{5F5AEE90-4730-4262-AD78-6841D3E5A539}"/>
    <cellStyle name="Output Report Title" xfId="43326" xr:uid="{9028C800-6035-4D34-A36D-9999B9DCC788}"/>
    <cellStyle name="Page Heading Large" xfId="43327" xr:uid="{2E9F0A33-3904-4018-B47A-B2987E53F4DF}"/>
    <cellStyle name="Page Heading Small" xfId="43328" xr:uid="{C0496131-059C-4162-87E1-CC16743EB58F}"/>
    <cellStyle name="PB Table Heading" xfId="43329" xr:uid="{6FB4BC90-9288-48D3-8827-20802CD50BEF}"/>
    <cellStyle name="PB Table Highlight1" xfId="43330" xr:uid="{C5100138-513B-4EE0-9A5D-78779C0B4DF8}"/>
    <cellStyle name="PB Table Highlight2" xfId="43331" xr:uid="{6ADFDE8F-7056-4F45-BBD9-54931D79DE03}"/>
    <cellStyle name="PB Table Highlight3" xfId="43332" xr:uid="{30368228-BA67-4EB6-8D0F-DA0E99E8992C}"/>
    <cellStyle name="PB Table Standard Row" xfId="43333" xr:uid="{0EE13062-4483-417C-9F1F-F395C6464759}"/>
    <cellStyle name="PB Table Standard Row 2" xfId="43334" xr:uid="{9505E920-48DD-43CD-AC44-B1FDB1459B44}"/>
    <cellStyle name="PB Table Standard Row 2 2" xfId="43335" xr:uid="{63BB3A25-0CEB-40FA-B083-F5F63B930326}"/>
    <cellStyle name="PB Table Standard Row 3" xfId="43336" xr:uid="{F114BA89-9DA4-4A2B-A10A-7A7D62582080}"/>
    <cellStyle name="PB Table Standard Row 3 2" xfId="43337" xr:uid="{B637D217-CDD8-4E3A-A36D-71B98810CDBD}"/>
    <cellStyle name="PB Table Standard Row 4" xfId="43338" xr:uid="{6632700E-7AC8-4651-B7DB-19CCAC3776D7}"/>
    <cellStyle name="PB Table Subtotal Row" xfId="43339" xr:uid="{21C49415-B919-48B5-9C4E-0F211214D70C}"/>
    <cellStyle name="PB Table Subtotal Row 2" xfId="43340" xr:uid="{FB173A34-2DD9-4E6A-A36F-D35AEE3564E8}"/>
    <cellStyle name="PB Table Subtotal Row 2 2" xfId="43341" xr:uid="{D7B7F3CD-0000-4CD9-8C53-9C56A9FBFC8B}"/>
    <cellStyle name="PB Table Subtotal Row 3" xfId="43342" xr:uid="{9B2867CF-307C-4787-817F-67088E0A98F1}"/>
    <cellStyle name="PB Table Subtotal Row 3 2" xfId="43343" xr:uid="{AE8B745E-5469-4C0C-BBE9-33403D3E64D4}"/>
    <cellStyle name="PB Table Subtotal Row 4" xfId="43344" xr:uid="{E4F95A5F-7C58-4D67-A3B2-A6D19DDB5B20}"/>
    <cellStyle name="PB Table Subtotal Row 4 2" xfId="43345" xr:uid="{B97480B8-3042-4869-A754-484F7298CED3}"/>
    <cellStyle name="PB Table Subtotal Row 5" xfId="43346" xr:uid="{AFB2F2A4-0768-4F1A-9AD6-92053B49F87F}"/>
    <cellStyle name="PB Table Total Row" xfId="43347" xr:uid="{80720A3E-1E4A-4038-AAB6-91F9F6FD9DDA}"/>
    <cellStyle name="PB Table Total Row 2" xfId="43348" xr:uid="{3F2CFAF2-6A95-4A12-A9C4-BD7926B5B5FF}"/>
    <cellStyle name="PB Table Total Row 2 10" xfId="43349" xr:uid="{75CF5182-C8E7-49A3-93A0-67878CDB1B4A}"/>
    <cellStyle name="PB Table Total Row 2 10 2" xfId="43350" xr:uid="{D5037490-5F69-4E99-8828-FD2B01B712A6}"/>
    <cellStyle name="PB Table Total Row 2 10 2 2" xfId="43351" xr:uid="{36E845D6-58E6-45FF-9B06-E92B3C19E882}"/>
    <cellStyle name="PB Table Total Row 2 10 3" xfId="43352" xr:uid="{5EE4958A-C77C-43D7-8B15-F7F79B2CBDF5}"/>
    <cellStyle name="PB Table Total Row 2 11" xfId="43353" xr:uid="{BD8EB13C-EAF3-44CD-A898-72BA0AD2839C}"/>
    <cellStyle name="PB Table Total Row 2 11 2" xfId="43354" xr:uid="{CDA11988-AB91-480E-A478-6EC66B97CA1E}"/>
    <cellStyle name="PB Table Total Row 2 11 2 2" xfId="43355" xr:uid="{55C10561-89F8-449C-85D1-F1BFC15B91BA}"/>
    <cellStyle name="PB Table Total Row 2 11 3" xfId="43356" xr:uid="{9B768560-4CA7-4847-82AB-F08B61D4420A}"/>
    <cellStyle name="PB Table Total Row 2 12" xfId="43357" xr:uid="{D3F38F38-D9C6-428F-BCF7-6486338117B3}"/>
    <cellStyle name="PB Table Total Row 2 12 2" xfId="43358" xr:uid="{C0D15DE7-93B2-4863-970B-462DB783CE6C}"/>
    <cellStyle name="PB Table Total Row 2 12 2 2" xfId="43359" xr:uid="{3B21743D-6DE9-4AEC-AD42-F4083AB76ECA}"/>
    <cellStyle name="PB Table Total Row 2 12 3" xfId="43360" xr:uid="{13757772-12FB-4D90-BB69-CFB368032BE0}"/>
    <cellStyle name="PB Table Total Row 2 13" xfId="43361" xr:uid="{058E16A2-043B-4EAF-A893-68E6F4ADB5DD}"/>
    <cellStyle name="PB Table Total Row 2 13 2" xfId="43362" xr:uid="{4F417DAC-9052-4E39-A140-8F88270FF984}"/>
    <cellStyle name="PB Table Total Row 2 13 2 2" xfId="43363" xr:uid="{3BA7D37B-1CCD-4CEE-A7CE-20AFCD23403E}"/>
    <cellStyle name="PB Table Total Row 2 13 3" xfId="43364" xr:uid="{7ACD2D3C-D294-4E0E-B1B6-824FA12F2C55}"/>
    <cellStyle name="PB Table Total Row 2 14" xfId="43365" xr:uid="{637D1D21-1FE8-4DC9-BEC6-DA2CEB5EBE8E}"/>
    <cellStyle name="PB Table Total Row 2 14 2" xfId="43366" xr:uid="{DE548309-85D9-46DB-85F8-42A1E6D412B1}"/>
    <cellStyle name="PB Table Total Row 2 15" xfId="43367" xr:uid="{C0DD45EF-F5B7-47B9-A78D-F04E4F99ABB7}"/>
    <cellStyle name="PB Table Total Row 2 2" xfId="43368" xr:uid="{640D082E-21BF-4A15-897A-E22FC410BC7A}"/>
    <cellStyle name="PB Table Total Row 2 2 10" xfId="43369" xr:uid="{B9608E4E-84AE-439C-807C-656A6BAE277E}"/>
    <cellStyle name="PB Table Total Row 2 2 10 2" xfId="43370" xr:uid="{F46D9CC1-7E8A-42B9-9BEA-40FC500ED7EF}"/>
    <cellStyle name="PB Table Total Row 2 2 10 2 2" xfId="43371" xr:uid="{77C463FF-43DD-4819-A2A0-BDB210A05FB3}"/>
    <cellStyle name="PB Table Total Row 2 2 10 3" xfId="43372" xr:uid="{6042C2CE-18DF-499E-8AFD-EA321306A3FB}"/>
    <cellStyle name="PB Table Total Row 2 2 11" xfId="43373" xr:uid="{3401F9D7-AF6F-4BC4-A294-A87D2D8865E3}"/>
    <cellStyle name="PB Table Total Row 2 2 11 2" xfId="43374" xr:uid="{6031FF0A-D982-4607-86FF-0D6BBE988149}"/>
    <cellStyle name="PB Table Total Row 2 2 11 2 2" xfId="43375" xr:uid="{D3454554-7474-4838-A862-594727B481CC}"/>
    <cellStyle name="PB Table Total Row 2 2 11 3" xfId="43376" xr:uid="{BE220E9A-BF62-4ADB-B8FC-B0947AA5728A}"/>
    <cellStyle name="PB Table Total Row 2 2 12" xfId="43377" xr:uid="{0FA1B459-CA5F-4137-A5CD-6AEC18671399}"/>
    <cellStyle name="PB Table Total Row 2 2 12 2" xfId="43378" xr:uid="{372839E8-D1D4-493F-8B34-3AA77D009652}"/>
    <cellStyle name="PB Table Total Row 2 2 12 2 2" xfId="43379" xr:uid="{97E810DF-9C7B-4ED6-AE25-24F741119AE6}"/>
    <cellStyle name="PB Table Total Row 2 2 12 3" xfId="43380" xr:uid="{F633B279-C5D9-4450-B7FC-981CB445E80B}"/>
    <cellStyle name="PB Table Total Row 2 2 13" xfId="43381" xr:uid="{805E124F-BA2C-409F-A52A-2E3159AABEB1}"/>
    <cellStyle name="PB Table Total Row 2 2 13 2" xfId="43382" xr:uid="{331C60BC-6FB8-4A97-A520-31F5B57303AA}"/>
    <cellStyle name="PB Table Total Row 2 2 14" xfId="43383" xr:uid="{70560924-1D35-4409-8CDF-FA3F351C94F7}"/>
    <cellStyle name="PB Table Total Row 2 2 2" xfId="43384" xr:uid="{992AF6B0-FAF5-4C29-B4CC-3C6DC6FF9146}"/>
    <cellStyle name="PB Table Total Row 2 2 2 10" xfId="43385" xr:uid="{8EEE1C41-4A6E-43EB-AF84-A03C0A0649EB}"/>
    <cellStyle name="PB Table Total Row 2 2 2 10 2" xfId="43386" xr:uid="{9C335D7A-0FA6-4A49-846A-E0B8A076F481}"/>
    <cellStyle name="PB Table Total Row 2 2 2 10 2 2" xfId="43387" xr:uid="{30313140-96DB-4B3D-A7C7-5015B9C7798C}"/>
    <cellStyle name="PB Table Total Row 2 2 2 10 3" xfId="43388" xr:uid="{E7ECA7E6-2E27-4FDE-8B9F-999C6BAEF2A0}"/>
    <cellStyle name="PB Table Total Row 2 2 2 11" xfId="43389" xr:uid="{16A34829-ABBF-4A96-8EAE-BEE9641B04E0}"/>
    <cellStyle name="PB Table Total Row 2 2 2 11 2" xfId="43390" xr:uid="{7E12EA94-8CF7-4E26-AA7F-647481908923}"/>
    <cellStyle name="PB Table Total Row 2 2 2 11 2 2" xfId="43391" xr:uid="{05E4684D-521A-471C-AAB3-63E40DEFA18F}"/>
    <cellStyle name="PB Table Total Row 2 2 2 11 3" xfId="43392" xr:uid="{5A1C0212-3420-4E32-9307-3DE5A3D405BB}"/>
    <cellStyle name="PB Table Total Row 2 2 2 12" xfId="43393" xr:uid="{063B8193-4642-4FCB-897F-99DCE87E3879}"/>
    <cellStyle name="PB Table Total Row 2 2 2 12 2" xfId="43394" xr:uid="{06E95756-6F77-4AB6-85F0-C054EF5EC727}"/>
    <cellStyle name="PB Table Total Row 2 2 2 13" xfId="43395" xr:uid="{18844A1C-F41B-4CFE-BA54-86317474E6A5}"/>
    <cellStyle name="PB Table Total Row 2 2 2 2" xfId="43396" xr:uid="{EA5C4E0C-22B5-4A2D-91B1-35F85254D419}"/>
    <cellStyle name="PB Table Total Row 2 2 2 2 10" xfId="43397" xr:uid="{A81A2C47-D1D1-4CCA-81E9-23C0179B17C0}"/>
    <cellStyle name="PB Table Total Row 2 2 2 2 10 2" xfId="43398" xr:uid="{D7F942EE-CA43-45EB-BA34-76BE8AD0883D}"/>
    <cellStyle name="PB Table Total Row 2 2 2 2 10 2 2" xfId="43399" xr:uid="{C9748B0E-B28C-4695-8B2A-C9EB252B587F}"/>
    <cellStyle name="PB Table Total Row 2 2 2 2 10 3" xfId="43400" xr:uid="{4BE49851-4504-4447-99CC-F69CF1ACDFEB}"/>
    <cellStyle name="PB Table Total Row 2 2 2 2 11" xfId="43401" xr:uid="{45D6E239-5E42-4AFE-9940-9638D49CE4E4}"/>
    <cellStyle name="PB Table Total Row 2 2 2 2 11 2" xfId="43402" xr:uid="{68C36A75-8CBC-453D-B9F7-51FCA3E0EF0A}"/>
    <cellStyle name="PB Table Total Row 2 2 2 2 12" xfId="43403" xr:uid="{AFB01D05-E005-42EB-A51C-0B5A348B7A5E}"/>
    <cellStyle name="PB Table Total Row 2 2 2 2 2" xfId="43404" xr:uid="{CDE96D9C-2006-4B48-A043-B40F562D4AC7}"/>
    <cellStyle name="PB Table Total Row 2 2 2 2 2 2" xfId="43405" xr:uid="{62565BF2-7F4D-41CB-AF84-FAD083CF6DA8}"/>
    <cellStyle name="PB Table Total Row 2 2 2 2 2 2 2" xfId="43406" xr:uid="{C533D637-292E-4BC4-8D25-C476CB517AFE}"/>
    <cellStyle name="PB Table Total Row 2 2 2 2 2 3" xfId="43407" xr:uid="{23009AB2-7FFE-49DA-B524-FFFC15A10714}"/>
    <cellStyle name="PB Table Total Row 2 2 2 2 3" xfId="43408" xr:uid="{E969CCB4-2EE0-4504-9266-B445F4509974}"/>
    <cellStyle name="PB Table Total Row 2 2 2 2 3 2" xfId="43409" xr:uid="{724D8903-78C9-4EF8-B539-A31DE5DBA0D1}"/>
    <cellStyle name="PB Table Total Row 2 2 2 2 3 2 2" xfId="43410" xr:uid="{767D3CD1-4CA0-4D43-A52C-9AD104AEDEE9}"/>
    <cellStyle name="PB Table Total Row 2 2 2 2 3 3" xfId="43411" xr:uid="{FAB5EE4D-B627-45DB-9C8B-66D30CE03BEC}"/>
    <cellStyle name="PB Table Total Row 2 2 2 2 4" xfId="43412" xr:uid="{4F2BD13C-2C0E-4690-8282-FD8F6A0C14E0}"/>
    <cellStyle name="PB Table Total Row 2 2 2 2 4 2" xfId="43413" xr:uid="{069A4BC3-FBA2-4C06-99D2-B2D8D81BFD87}"/>
    <cellStyle name="PB Table Total Row 2 2 2 2 4 2 2" xfId="43414" xr:uid="{6ECC4614-C722-43E9-89C4-8BE6BE4AB422}"/>
    <cellStyle name="PB Table Total Row 2 2 2 2 4 3" xfId="43415" xr:uid="{86071771-D044-4E35-BF65-CF0DA071D4C0}"/>
    <cellStyle name="PB Table Total Row 2 2 2 2 5" xfId="43416" xr:uid="{1362D908-877A-4B71-AA4F-6EF9A5D10197}"/>
    <cellStyle name="PB Table Total Row 2 2 2 2 5 2" xfId="43417" xr:uid="{008D2385-CAB8-40D7-9117-DDDA41ADDACD}"/>
    <cellStyle name="PB Table Total Row 2 2 2 2 5 2 2" xfId="43418" xr:uid="{550C4D96-EE21-4BD4-B4D9-A211C2CA4852}"/>
    <cellStyle name="PB Table Total Row 2 2 2 2 5 3" xfId="43419" xr:uid="{ECE49AAD-5CB8-4143-B258-2D5D2088E4B1}"/>
    <cellStyle name="PB Table Total Row 2 2 2 2 6" xfId="43420" xr:uid="{6F4D6BF8-8511-44B7-90FD-3EFE62FE1308}"/>
    <cellStyle name="PB Table Total Row 2 2 2 2 6 2" xfId="43421" xr:uid="{E85CF05A-7593-4A13-BE9E-2947E6A60B69}"/>
    <cellStyle name="PB Table Total Row 2 2 2 2 6 2 2" xfId="43422" xr:uid="{09B82A5A-7428-45BC-AACE-08C02E501373}"/>
    <cellStyle name="PB Table Total Row 2 2 2 2 6 3" xfId="43423" xr:uid="{355CACE2-D761-4F55-A54C-AB7F85317762}"/>
    <cellStyle name="PB Table Total Row 2 2 2 2 7" xfId="43424" xr:uid="{CA7FA4C2-B946-4F9A-8A57-B5A4A33EC5BE}"/>
    <cellStyle name="PB Table Total Row 2 2 2 2 7 2" xfId="43425" xr:uid="{6AD24C83-B216-4297-8F34-BFA329BBDC18}"/>
    <cellStyle name="PB Table Total Row 2 2 2 2 7 2 2" xfId="43426" xr:uid="{F5FA912D-AC82-45F0-A549-8C8430467D64}"/>
    <cellStyle name="PB Table Total Row 2 2 2 2 7 3" xfId="43427" xr:uid="{130B3A46-9CEA-4F5B-AAC7-C54036CD4C0A}"/>
    <cellStyle name="PB Table Total Row 2 2 2 2 8" xfId="43428" xr:uid="{8619CC1E-7523-42F9-87C1-C47752024515}"/>
    <cellStyle name="PB Table Total Row 2 2 2 2 8 2" xfId="43429" xr:uid="{A6AC3632-232A-4DA3-B531-91B26A5DEBE5}"/>
    <cellStyle name="PB Table Total Row 2 2 2 2 8 2 2" xfId="43430" xr:uid="{385C2852-4E56-4381-88DE-8B8CD0A4C0D5}"/>
    <cellStyle name="PB Table Total Row 2 2 2 2 8 3" xfId="43431" xr:uid="{8E9A426D-8654-4157-B7A0-BABBC174FECE}"/>
    <cellStyle name="PB Table Total Row 2 2 2 2 9" xfId="43432" xr:uid="{BC5942C5-3B45-491D-BFAB-B67BD6B8FFBE}"/>
    <cellStyle name="PB Table Total Row 2 2 2 2 9 2" xfId="43433" xr:uid="{AFDACD1B-2A91-4F77-AA59-B49376509916}"/>
    <cellStyle name="PB Table Total Row 2 2 2 2 9 2 2" xfId="43434" xr:uid="{D06F9111-47C4-47FB-BD0F-2B2FA19AC773}"/>
    <cellStyle name="PB Table Total Row 2 2 2 2 9 3" xfId="43435" xr:uid="{384AD861-9326-4E0F-8597-CC9D1E50ECCB}"/>
    <cellStyle name="PB Table Total Row 2 2 2 3" xfId="43436" xr:uid="{A97653EF-D17E-4DC6-86B0-360147B3F5A1}"/>
    <cellStyle name="PB Table Total Row 2 2 2 3 10" xfId="43437" xr:uid="{6F18BB41-AA80-4F7C-BDB0-AF23581B5D2D}"/>
    <cellStyle name="PB Table Total Row 2 2 2 3 10 2" xfId="43438" xr:uid="{668479C2-2BDB-4666-9879-4D03B173CA93}"/>
    <cellStyle name="PB Table Total Row 2 2 2 3 11" xfId="43439" xr:uid="{1FC84BB3-ADAE-4AFA-828F-AE64012562F4}"/>
    <cellStyle name="PB Table Total Row 2 2 2 3 2" xfId="43440" xr:uid="{D530ED86-8E0C-43A8-BEAB-FA1639186D5D}"/>
    <cellStyle name="PB Table Total Row 2 2 2 3 2 2" xfId="43441" xr:uid="{CC50AA5E-5B8A-499B-9995-2B28585633D0}"/>
    <cellStyle name="PB Table Total Row 2 2 2 3 2 2 2" xfId="43442" xr:uid="{B0723B15-BB29-4273-B42F-392EA8C28F48}"/>
    <cellStyle name="PB Table Total Row 2 2 2 3 2 3" xfId="43443" xr:uid="{0C02C916-EB69-469C-97D9-116866578549}"/>
    <cellStyle name="PB Table Total Row 2 2 2 3 3" xfId="43444" xr:uid="{A19A6B6A-45CB-426B-AB4F-90506B9F4605}"/>
    <cellStyle name="PB Table Total Row 2 2 2 3 3 2" xfId="43445" xr:uid="{BDFEA89E-5DB8-444A-B354-B682DD6FD806}"/>
    <cellStyle name="PB Table Total Row 2 2 2 3 3 2 2" xfId="43446" xr:uid="{37FC3B57-84E8-469B-A40D-D458D1E06DA4}"/>
    <cellStyle name="PB Table Total Row 2 2 2 3 3 3" xfId="43447" xr:uid="{32026341-31C4-4396-961F-5DB5C6CEB1E1}"/>
    <cellStyle name="PB Table Total Row 2 2 2 3 4" xfId="43448" xr:uid="{760CBB58-EEC8-4ED5-BE7D-349FCD9EB64A}"/>
    <cellStyle name="PB Table Total Row 2 2 2 3 4 2" xfId="43449" xr:uid="{8005D367-7D23-4CC2-8B01-070B92EC532D}"/>
    <cellStyle name="PB Table Total Row 2 2 2 3 4 2 2" xfId="43450" xr:uid="{CCE2C117-2DD8-48FA-8D6D-3E92CFA05D90}"/>
    <cellStyle name="PB Table Total Row 2 2 2 3 4 3" xfId="43451" xr:uid="{F5EDB655-AFAB-4447-A61F-79C75381038E}"/>
    <cellStyle name="PB Table Total Row 2 2 2 3 5" xfId="43452" xr:uid="{0977B4E6-4291-41F9-AB04-BDA01579668F}"/>
    <cellStyle name="PB Table Total Row 2 2 2 3 5 2" xfId="43453" xr:uid="{54EF8BA6-F861-4270-BAD1-713E45B57E4F}"/>
    <cellStyle name="PB Table Total Row 2 2 2 3 5 2 2" xfId="43454" xr:uid="{7991298C-23A0-4A31-89D3-F8058F0D4AFE}"/>
    <cellStyle name="PB Table Total Row 2 2 2 3 5 3" xfId="43455" xr:uid="{5B038AA3-B4EE-45F4-A680-2DC02B4CA37C}"/>
    <cellStyle name="PB Table Total Row 2 2 2 3 6" xfId="43456" xr:uid="{1E6E17BC-CD2B-4666-A993-8E5A3E513CE6}"/>
    <cellStyle name="PB Table Total Row 2 2 2 3 6 2" xfId="43457" xr:uid="{E65470CB-4BEC-4EC4-89E6-9506C3CB975E}"/>
    <cellStyle name="PB Table Total Row 2 2 2 3 6 2 2" xfId="43458" xr:uid="{E48056AA-09D2-48C9-9A62-BD90807DF468}"/>
    <cellStyle name="PB Table Total Row 2 2 2 3 6 3" xfId="43459" xr:uid="{BCE7BEA1-A4E4-414D-9900-1D6EDC07F1CB}"/>
    <cellStyle name="PB Table Total Row 2 2 2 3 7" xfId="43460" xr:uid="{EF9E5674-4A08-4779-8A11-542E1AE5B791}"/>
    <cellStyle name="PB Table Total Row 2 2 2 3 7 2" xfId="43461" xr:uid="{F61850D7-0092-4531-8F36-5E7754023DF7}"/>
    <cellStyle name="PB Table Total Row 2 2 2 3 7 2 2" xfId="43462" xr:uid="{B99223B6-55BE-4EC5-96C4-F5594EBBF59E}"/>
    <cellStyle name="PB Table Total Row 2 2 2 3 7 3" xfId="43463" xr:uid="{31B8A3D1-128F-42B1-800E-9E9FF0CCB591}"/>
    <cellStyle name="PB Table Total Row 2 2 2 3 8" xfId="43464" xr:uid="{CD6D96D8-F2FF-4469-94BA-8091ED399A6B}"/>
    <cellStyle name="PB Table Total Row 2 2 2 3 8 2" xfId="43465" xr:uid="{EF9816D9-0C9F-4A3E-A670-FB816B618C7A}"/>
    <cellStyle name="PB Table Total Row 2 2 2 3 8 2 2" xfId="43466" xr:uid="{43F94E51-1C4E-407E-996D-21D5843B4890}"/>
    <cellStyle name="PB Table Total Row 2 2 2 3 8 3" xfId="43467" xr:uid="{3040260E-4E92-4B84-B151-8775CC6F152E}"/>
    <cellStyle name="PB Table Total Row 2 2 2 3 9" xfId="43468" xr:uid="{4FB99673-9707-4F21-BA88-B5A1E5E0D36C}"/>
    <cellStyle name="PB Table Total Row 2 2 2 3 9 2" xfId="43469" xr:uid="{EB67E173-9F2D-4CC7-B496-4CA7C6D3C397}"/>
    <cellStyle name="PB Table Total Row 2 2 2 3 9 2 2" xfId="43470" xr:uid="{925F610A-587B-44F1-A963-4845C156D527}"/>
    <cellStyle name="PB Table Total Row 2 2 2 3 9 3" xfId="43471" xr:uid="{5D0B32E7-76D3-4B18-AAD0-B7F77969228F}"/>
    <cellStyle name="PB Table Total Row 2 2 2 4" xfId="43472" xr:uid="{E0826D32-8FC0-46C7-87C8-1C47869CF857}"/>
    <cellStyle name="PB Table Total Row 2 2 2 4 2" xfId="43473" xr:uid="{AE7CA878-00CE-4C32-808F-4EEA36FDEDFE}"/>
    <cellStyle name="PB Table Total Row 2 2 2 4 2 2" xfId="43474" xr:uid="{ED905DA7-548C-48F7-85BA-237EEE1A1DFD}"/>
    <cellStyle name="PB Table Total Row 2 2 2 4 3" xfId="43475" xr:uid="{72C6A3DC-483D-495F-A98E-76B509928B2D}"/>
    <cellStyle name="PB Table Total Row 2 2 2 5" xfId="43476" xr:uid="{6F4DD74C-E948-49F6-B3F8-3EEDDA63D5F3}"/>
    <cellStyle name="PB Table Total Row 2 2 2 5 2" xfId="43477" xr:uid="{760C430B-B055-405B-84AD-75598A7A905D}"/>
    <cellStyle name="PB Table Total Row 2 2 2 5 2 2" xfId="43478" xr:uid="{0078B775-0D99-4783-A34D-3F21CB0CC779}"/>
    <cellStyle name="PB Table Total Row 2 2 2 5 3" xfId="43479" xr:uid="{A741662E-3E70-4128-9FEF-CBF9A5B50E66}"/>
    <cellStyle name="PB Table Total Row 2 2 2 6" xfId="43480" xr:uid="{7B34F8FE-0AE2-4AB9-8DD5-32D31AC94DB2}"/>
    <cellStyle name="PB Table Total Row 2 2 2 6 2" xfId="43481" xr:uid="{99BC6927-AB86-44FC-A637-8E4F8F8270B5}"/>
    <cellStyle name="PB Table Total Row 2 2 2 6 2 2" xfId="43482" xr:uid="{C2F6CF17-1168-49FE-861F-868EEC72EFD1}"/>
    <cellStyle name="PB Table Total Row 2 2 2 6 3" xfId="43483" xr:uid="{66B03BE3-16DF-42B6-927C-23E57DC61E34}"/>
    <cellStyle name="PB Table Total Row 2 2 2 7" xfId="43484" xr:uid="{5044B6B1-91A5-4323-A39E-D46CD93AAF9D}"/>
    <cellStyle name="PB Table Total Row 2 2 2 7 2" xfId="43485" xr:uid="{0A35EB0B-D63D-4071-9048-5AEF8420F4D1}"/>
    <cellStyle name="PB Table Total Row 2 2 2 7 2 2" xfId="43486" xr:uid="{469D8389-2336-4B95-804D-615B881A65F6}"/>
    <cellStyle name="PB Table Total Row 2 2 2 7 3" xfId="43487" xr:uid="{43D387E8-BD02-451D-B3E7-2535E74E3AAF}"/>
    <cellStyle name="PB Table Total Row 2 2 2 8" xfId="43488" xr:uid="{B2CB3A0D-5A7D-427F-A2B5-A8E99759D39F}"/>
    <cellStyle name="PB Table Total Row 2 2 2 8 2" xfId="43489" xr:uid="{C044D6DF-A1D1-43AF-8BB5-9653AEC1C149}"/>
    <cellStyle name="PB Table Total Row 2 2 2 8 2 2" xfId="43490" xr:uid="{7C6F2538-E2D5-4445-8338-8CDD80A81C0C}"/>
    <cellStyle name="PB Table Total Row 2 2 2 8 3" xfId="43491" xr:uid="{1150C3D6-3EE7-4E49-814A-C4F8D7754C85}"/>
    <cellStyle name="PB Table Total Row 2 2 2 9" xfId="43492" xr:uid="{A7AC0534-68B3-4F3B-AED0-BEFC1A7C6D16}"/>
    <cellStyle name="PB Table Total Row 2 2 2 9 2" xfId="43493" xr:uid="{357D2F36-0944-4BD6-BB36-A60B46E452F5}"/>
    <cellStyle name="PB Table Total Row 2 2 2 9 2 2" xfId="43494" xr:uid="{3246C388-3309-4DC2-9522-D2D4FA8E5CE4}"/>
    <cellStyle name="PB Table Total Row 2 2 2 9 3" xfId="43495" xr:uid="{5357856C-2CE2-4C45-B7B2-38AD85BBC3CA}"/>
    <cellStyle name="PB Table Total Row 2 2 3" xfId="43496" xr:uid="{EA40CC07-1E4B-441C-8C48-64D3350967E2}"/>
    <cellStyle name="PB Table Total Row 2 2 3 10" xfId="43497" xr:uid="{C8D0E8A7-FF05-43C6-9834-345CEAD38BD4}"/>
    <cellStyle name="PB Table Total Row 2 2 3 10 2" xfId="43498" xr:uid="{2F2C400A-CC4D-40F0-B86C-C71AA5A9A134}"/>
    <cellStyle name="PB Table Total Row 2 2 3 10 2 2" xfId="43499" xr:uid="{7D3CE9FC-8F80-4F12-B427-6B8052409010}"/>
    <cellStyle name="PB Table Total Row 2 2 3 10 3" xfId="43500" xr:uid="{6B04A8BF-8DC2-470A-AE5A-AD9BC9254489}"/>
    <cellStyle name="PB Table Total Row 2 2 3 11" xfId="43501" xr:uid="{E891D934-7F62-4858-A463-382E56A4B5F8}"/>
    <cellStyle name="PB Table Total Row 2 2 3 11 2" xfId="43502" xr:uid="{03F06F26-BCD9-4530-BF85-F7C6F688A409}"/>
    <cellStyle name="PB Table Total Row 2 2 3 12" xfId="43503" xr:uid="{93698FD7-5045-451A-845D-A8838E653EFC}"/>
    <cellStyle name="PB Table Total Row 2 2 3 2" xfId="43504" xr:uid="{B4EAAB39-A314-48D6-A02A-7D12EF524D03}"/>
    <cellStyle name="PB Table Total Row 2 2 3 2 10" xfId="43505" xr:uid="{84F453F0-EFC2-4B08-95C2-B7AAC99CD863}"/>
    <cellStyle name="PB Table Total Row 2 2 3 2 10 2" xfId="43506" xr:uid="{C53FBC06-5B8D-4CD1-A027-7742C925BC1A}"/>
    <cellStyle name="PB Table Total Row 2 2 3 2 11" xfId="43507" xr:uid="{E6B30119-BDB1-460B-B765-E134F2A641B1}"/>
    <cellStyle name="PB Table Total Row 2 2 3 2 2" xfId="43508" xr:uid="{6C51C6F4-21C4-465F-BD48-9E4B48C11C18}"/>
    <cellStyle name="PB Table Total Row 2 2 3 2 2 2" xfId="43509" xr:uid="{B3205752-909E-475F-BD8A-AB7E78AFAF12}"/>
    <cellStyle name="PB Table Total Row 2 2 3 2 2 2 2" xfId="43510" xr:uid="{E5FFE642-7DB8-400E-BB31-8E06DD01089F}"/>
    <cellStyle name="PB Table Total Row 2 2 3 2 2 3" xfId="43511" xr:uid="{4BF3AD3B-8011-4618-8C61-D52024736503}"/>
    <cellStyle name="PB Table Total Row 2 2 3 2 3" xfId="43512" xr:uid="{5ADBE9C3-28F2-4FFA-A668-FC10BCDE8E62}"/>
    <cellStyle name="PB Table Total Row 2 2 3 2 3 2" xfId="43513" xr:uid="{ED8F6346-A60C-4582-A0DF-1CA7EBE7585C}"/>
    <cellStyle name="PB Table Total Row 2 2 3 2 3 2 2" xfId="43514" xr:uid="{913192A4-36AA-49EB-B913-ECB90DFFDB5C}"/>
    <cellStyle name="PB Table Total Row 2 2 3 2 3 3" xfId="43515" xr:uid="{C66A5178-B388-47D0-A7C2-934FB8D6BC30}"/>
    <cellStyle name="PB Table Total Row 2 2 3 2 4" xfId="43516" xr:uid="{D783EFA3-97F2-4F14-8097-E5A1773CC257}"/>
    <cellStyle name="PB Table Total Row 2 2 3 2 4 2" xfId="43517" xr:uid="{F7EED82F-EAD3-425D-A256-4309D2CA45BD}"/>
    <cellStyle name="PB Table Total Row 2 2 3 2 4 2 2" xfId="43518" xr:uid="{A8E07C44-0030-43AD-811D-807DD256EA12}"/>
    <cellStyle name="PB Table Total Row 2 2 3 2 4 3" xfId="43519" xr:uid="{3E95BA05-9F78-4447-AD3E-E7657C45A110}"/>
    <cellStyle name="PB Table Total Row 2 2 3 2 5" xfId="43520" xr:uid="{F166EF09-DD4F-4C2C-8829-48BF5C6D1660}"/>
    <cellStyle name="PB Table Total Row 2 2 3 2 5 2" xfId="43521" xr:uid="{7C506094-1EA9-4EAE-8E38-46922B916546}"/>
    <cellStyle name="PB Table Total Row 2 2 3 2 5 2 2" xfId="43522" xr:uid="{5ED16957-E940-4F93-AF0F-50DF90163C15}"/>
    <cellStyle name="PB Table Total Row 2 2 3 2 5 3" xfId="43523" xr:uid="{4415A402-28F3-41B8-B446-01A9A0CBB7DA}"/>
    <cellStyle name="PB Table Total Row 2 2 3 2 6" xfId="43524" xr:uid="{6A2261B8-15C4-41E6-9100-FBF201B63DD8}"/>
    <cellStyle name="PB Table Total Row 2 2 3 2 6 2" xfId="43525" xr:uid="{4F9F9C2D-A0E6-4D29-812A-BBDAD3D149E9}"/>
    <cellStyle name="PB Table Total Row 2 2 3 2 6 2 2" xfId="43526" xr:uid="{7C91346E-4F9C-48A4-98DF-94BAC02A4C9E}"/>
    <cellStyle name="PB Table Total Row 2 2 3 2 6 3" xfId="43527" xr:uid="{07BDF1A6-C42D-41A6-935D-AA1361E1DEA6}"/>
    <cellStyle name="PB Table Total Row 2 2 3 2 7" xfId="43528" xr:uid="{20F6F215-20D6-4A2A-ADA0-8DA49B768FA2}"/>
    <cellStyle name="PB Table Total Row 2 2 3 2 7 2" xfId="43529" xr:uid="{7D128A1F-AFF2-4B17-B3FD-DD68A0D50A19}"/>
    <cellStyle name="PB Table Total Row 2 2 3 2 7 2 2" xfId="43530" xr:uid="{4D251FAA-CEAE-4146-9F21-2210D8D163B9}"/>
    <cellStyle name="PB Table Total Row 2 2 3 2 7 3" xfId="43531" xr:uid="{026541D7-7CB0-4E15-90D0-FCB3419151C2}"/>
    <cellStyle name="PB Table Total Row 2 2 3 2 8" xfId="43532" xr:uid="{773FF623-1EDA-4972-8E15-E48775158D51}"/>
    <cellStyle name="PB Table Total Row 2 2 3 2 8 2" xfId="43533" xr:uid="{0C728589-7E5A-4507-9753-9E89A534BFC9}"/>
    <cellStyle name="PB Table Total Row 2 2 3 2 8 2 2" xfId="43534" xr:uid="{7E1A6EFD-6A55-4923-B160-214CF031E80D}"/>
    <cellStyle name="PB Table Total Row 2 2 3 2 8 3" xfId="43535" xr:uid="{810E7194-4B2A-4712-B8F4-8B95AD4A7516}"/>
    <cellStyle name="PB Table Total Row 2 2 3 2 9" xfId="43536" xr:uid="{151E6A0B-94F4-43C5-B56D-5209D9BDB18B}"/>
    <cellStyle name="PB Table Total Row 2 2 3 2 9 2" xfId="43537" xr:uid="{C2C22A8B-A77E-422B-BDFC-8B268E4736F7}"/>
    <cellStyle name="PB Table Total Row 2 2 3 2 9 2 2" xfId="43538" xr:uid="{1D0183F9-08BE-4523-9531-E97AD188CF8E}"/>
    <cellStyle name="PB Table Total Row 2 2 3 2 9 3" xfId="43539" xr:uid="{F600AD9B-F5EA-4006-A931-975108CE0477}"/>
    <cellStyle name="PB Table Total Row 2 2 3 3" xfId="43540" xr:uid="{1DFFEAA9-915D-4D9F-A682-F2E6DDCD35D6}"/>
    <cellStyle name="PB Table Total Row 2 2 3 3 2" xfId="43541" xr:uid="{70466939-7629-4EBC-87C7-4B422B4FC30A}"/>
    <cellStyle name="PB Table Total Row 2 2 3 3 2 2" xfId="43542" xr:uid="{E30AFDEB-796D-4866-A0D4-C6F9C37B5485}"/>
    <cellStyle name="PB Table Total Row 2 2 3 3 3" xfId="43543" xr:uid="{9DAEAAFD-CA2C-42A7-972E-3F006960B5A1}"/>
    <cellStyle name="PB Table Total Row 2 2 3 4" xfId="43544" xr:uid="{D569E0F9-CC10-4BE5-A4C7-45E332A74EB9}"/>
    <cellStyle name="PB Table Total Row 2 2 3 4 2" xfId="43545" xr:uid="{6C528724-5BB0-4D09-B1CA-4EA33AC8EE5E}"/>
    <cellStyle name="PB Table Total Row 2 2 3 4 2 2" xfId="43546" xr:uid="{FFCBE821-C3E1-4B2C-852C-47155FBEB74A}"/>
    <cellStyle name="PB Table Total Row 2 2 3 4 3" xfId="43547" xr:uid="{58992A9F-1C59-49FD-BB5B-F1E3FA161BF6}"/>
    <cellStyle name="PB Table Total Row 2 2 3 5" xfId="43548" xr:uid="{EEF560D8-DDBA-4CB0-854A-A1D6F599A208}"/>
    <cellStyle name="PB Table Total Row 2 2 3 5 2" xfId="43549" xr:uid="{06D8F8A1-4D1A-47AD-BDB9-9781F7644052}"/>
    <cellStyle name="PB Table Total Row 2 2 3 5 2 2" xfId="43550" xr:uid="{660C5133-C9E6-4EBD-BC16-ED0A508EC465}"/>
    <cellStyle name="PB Table Total Row 2 2 3 5 3" xfId="43551" xr:uid="{8FF14F12-0E6A-45CD-BD2D-3A1FE0DE09A0}"/>
    <cellStyle name="PB Table Total Row 2 2 3 6" xfId="43552" xr:uid="{8D53DF56-4414-44B8-B479-754CFB297237}"/>
    <cellStyle name="PB Table Total Row 2 2 3 6 2" xfId="43553" xr:uid="{01E99582-D6F5-40DE-A58B-756EE6B856A8}"/>
    <cellStyle name="PB Table Total Row 2 2 3 6 2 2" xfId="43554" xr:uid="{5398C4E6-6FF6-44AF-A3D3-15304FE120C3}"/>
    <cellStyle name="PB Table Total Row 2 2 3 6 3" xfId="43555" xr:uid="{8504DA28-5272-4CFE-8FF0-384ADFF92909}"/>
    <cellStyle name="PB Table Total Row 2 2 3 7" xfId="43556" xr:uid="{2A09834F-5C4D-438B-8A82-9B2C20F3E1D5}"/>
    <cellStyle name="PB Table Total Row 2 2 3 7 2" xfId="43557" xr:uid="{07CE6F05-6401-44C2-9E44-AF44452EC02D}"/>
    <cellStyle name="PB Table Total Row 2 2 3 7 2 2" xfId="43558" xr:uid="{F2D152B9-544F-42EF-93CA-6FEAC53E54A3}"/>
    <cellStyle name="PB Table Total Row 2 2 3 7 3" xfId="43559" xr:uid="{4DEF4235-9232-470C-9482-5DC7B92E7FFA}"/>
    <cellStyle name="PB Table Total Row 2 2 3 8" xfId="43560" xr:uid="{E42E0211-B514-4E01-952C-B52DCF7F7273}"/>
    <cellStyle name="PB Table Total Row 2 2 3 8 2" xfId="43561" xr:uid="{19E43E1E-D2CE-49C2-805F-47F062D86B6E}"/>
    <cellStyle name="PB Table Total Row 2 2 3 8 2 2" xfId="43562" xr:uid="{330DE86E-A28E-4A60-90A4-ABADD4A29E06}"/>
    <cellStyle name="PB Table Total Row 2 2 3 8 3" xfId="43563" xr:uid="{47020AAF-D12C-41C8-8727-B14DFCBBDE15}"/>
    <cellStyle name="PB Table Total Row 2 2 3 9" xfId="43564" xr:uid="{BAEC6C95-F2ED-424A-819E-857C649117C6}"/>
    <cellStyle name="PB Table Total Row 2 2 3 9 2" xfId="43565" xr:uid="{D5CAC724-0D40-43B8-993E-74ECDECF8560}"/>
    <cellStyle name="PB Table Total Row 2 2 3 9 2 2" xfId="43566" xr:uid="{475FA860-0A03-4B81-886B-A872EF6ECADE}"/>
    <cellStyle name="PB Table Total Row 2 2 3 9 3" xfId="43567" xr:uid="{6C80371D-63C8-44CE-A7DE-C0DA6425222C}"/>
    <cellStyle name="PB Table Total Row 2 2 4" xfId="43568" xr:uid="{B3E35BFC-917F-42DA-852F-7DD6B325A5AD}"/>
    <cellStyle name="PB Table Total Row 2 2 4 10" xfId="43569" xr:uid="{48010387-B592-43AF-ABB6-286C424115A9}"/>
    <cellStyle name="PB Table Total Row 2 2 4 10 2" xfId="43570" xr:uid="{9FAA3491-2DCC-4D5C-B468-65A0D878DBBF}"/>
    <cellStyle name="PB Table Total Row 2 2 4 11" xfId="43571" xr:uid="{F85BA2A0-0450-497F-9F27-4B000C5B8137}"/>
    <cellStyle name="PB Table Total Row 2 2 4 2" xfId="43572" xr:uid="{796BEED4-C418-434E-B252-3F67A58AC3B6}"/>
    <cellStyle name="PB Table Total Row 2 2 4 2 2" xfId="43573" xr:uid="{4E36D129-715A-4E41-A317-FC5FA5225BF7}"/>
    <cellStyle name="PB Table Total Row 2 2 4 2 2 2" xfId="43574" xr:uid="{40440FD4-BD02-43DB-A4F0-B5E8A7F53B40}"/>
    <cellStyle name="PB Table Total Row 2 2 4 2 3" xfId="43575" xr:uid="{980E3E92-0A02-4960-AA67-1D5E609E6176}"/>
    <cellStyle name="PB Table Total Row 2 2 4 3" xfId="43576" xr:uid="{6E5F939E-DDB8-47CB-9987-B66C091FBE06}"/>
    <cellStyle name="PB Table Total Row 2 2 4 3 2" xfId="43577" xr:uid="{31C84162-40DF-4FCB-81E7-2B06687D3EB0}"/>
    <cellStyle name="PB Table Total Row 2 2 4 3 2 2" xfId="43578" xr:uid="{CAEF0B38-176E-49FA-B31B-B8DDF0B3A82B}"/>
    <cellStyle name="PB Table Total Row 2 2 4 3 3" xfId="43579" xr:uid="{DE9375A3-2DC3-42E8-B59C-4FEB17684137}"/>
    <cellStyle name="PB Table Total Row 2 2 4 4" xfId="43580" xr:uid="{27D8D0C2-3290-44DB-861B-CF0931AD8C0E}"/>
    <cellStyle name="PB Table Total Row 2 2 4 4 2" xfId="43581" xr:uid="{8E756D0B-8766-4C17-A00B-7A6C2D0BC9D3}"/>
    <cellStyle name="PB Table Total Row 2 2 4 4 2 2" xfId="43582" xr:uid="{7F1FFEAF-6469-486F-BC3E-30395AA32610}"/>
    <cellStyle name="PB Table Total Row 2 2 4 4 3" xfId="43583" xr:uid="{8AFC5EB8-29FC-4B45-89F1-6243A93F6743}"/>
    <cellStyle name="PB Table Total Row 2 2 4 5" xfId="43584" xr:uid="{05D8C2E1-3CFE-45B9-973F-96FE397AF11F}"/>
    <cellStyle name="PB Table Total Row 2 2 4 5 2" xfId="43585" xr:uid="{08928405-D035-4F85-8C22-D44880319005}"/>
    <cellStyle name="PB Table Total Row 2 2 4 5 2 2" xfId="43586" xr:uid="{D5EB99CD-C8E2-4988-B015-0E73668D7C26}"/>
    <cellStyle name="PB Table Total Row 2 2 4 5 3" xfId="43587" xr:uid="{60FF1D2B-1C60-4D40-8020-F23CA3DEF9FE}"/>
    <cellStyle name="PB Table Total Row 2 2 4 6" xfId="43588" xr:uid="{DB5171EB-AC02-46F6-8C3C-332CDC70804F}"/>
    <cellStyle name="PB Table Total Row 2 2 4 6 2" xfId="43589" xr:uid="{B1684697-90FB-4DFC-BDC3-7B5A538D9888}"/>
    <cellStyle name="PB Table Total Row 2 2 4 6 2 2" xfId="43590" xr:uid="{4D0B24DF-CC40-45FE-9ACF-666C576C8797}"/>
    <cellStyle name="PB Table Total Row 2 2 4 6 3" xfId="43591" xr:uid="{CF0F865E-64CA-4A68-95F1-9A1342FF84A6}"/>
    <cellStyle name="PB Table Total Row 2 2 4 7" xfId="43592" xr:uid="{4CBFC9C9-99D3-46AF-A998-6BC7519E1A2E}"/>
    <cellStyle name="PB Table Total Row 2 2 4 7 2" xfId="43593" xr:uid="{ABFAB787-2309-4EC8-B8E9-6E7E8C0F28C3}"/>
    <cellStyle name="PB Table Total Row 2 2 4 7 2 2" xfId="43594" xr:uid="{219E98C5-DD4D-4AC3-AEC6-80CAB43BB75C}"/>
    <cellStyle name="PB Table Total Row 2 2 4 7 3" xfId="43595" xr:uid="{9DCA9074-7B48-4E86-B055-34B40DCE6280}"/>
    <cellStyle name="PB Table Total Row 2 2 4 8" xfId="43596" xr:uid="{8A7EEF0E-5C8E-4552-A79E-19BE906D5135}"/>
    <cellStyle name="PB Table Total Row 2 2 4 8 2" xfId="43597" xr:uid="{0E455F2B-7E70-4742-9081-8466A2646AC3}"/>
    <cellStyle name="PB Table Total Row 2 2 4 8 2 2" xfId="43598" xr:uid="{6F4301D4-D42F-496F-879B-4036415B4107}"/>
    <cellStyle name="PB Table Total Row 2 2 4 8 3" xfId="43599" xr:uid="{EB240623-B302-4447-BC58-5B258C532489}"/>
    <cellStyle name="PB Table Total Row 2 2 4 9" xfId="43600" xr:uid="{5B62DA56-55BE-44E7-A49A-F109F48B7E54}"/>
    <cellStyle name="PB Table Total Row 2 2 4 9 2" xfId="43601" xr:uid="{96086F7E-A5CD-43DD-97C1-EE1E2D34AA6F}"/>
    <cellStyle name="PB Table Total Row 2 2 4 9 2 2" xfId="43602" xr:uid="{A1CD2996-D8CA-4FAB-9AF6-4EDDF8696BB1}"/>
    <cellStyle name="PB Table Total Row 2 2 4 9 3" xfId="43603" xr:uid="{B14E00A1-111E-43F2-A7E6-FF5C2E14757F}"/>
    <cellStyle name="PB Table Total Row 2 2 5" xfId="43604" xr:uid="{5E1F7E22-71FB-4815-95D5-B87F6C59145E}"/>
    <cellStyle name="PB Table Total Row 2 2 5 2" xfId="43605" xr:uid="{1DDB7A8D-2322-4741-9DD4-514B123D3705}"/>
    <cellStyle name="PB Table Total Row 2 2 5 2 2" xfId="43606" xr:uid="{EFEC52A2-5DCF-43B2-ACA9-176F958336C7}"/>
    <cellStyle name="PB Table Total Row 2 2 5 3" xfId="43607" xr:uid="{3AEF6913-A60A-4738-9F69-78820533EF3B}"/>
    <cellStyle name="PB Table Total Row 2 2 6" xfId="43608" xr:uid="{15C9C010-4909-43A1-8320-0068B4993501}"/>
    <cellStyle name="PB Table Total Row 2 2 6 2" xfId="43609" xr:uid="{BCCEC637-0843-420D-BEDB-9E622C771E42}"/>
    <cellStyle name="PB Table Total Row 2 2 6 2 2" xfId="43610" xr:uid="{6B76468B-2DF5-468C-9CB3-23D58259F3B6}"/>
    <cellStyle name="PB Table Total Row 2 2 6 3" xfId="43611" xr:uid="{31ADDF3A-4198-45F4-B4EB-499233928E3B}"/>
    <cellStyle name="PB Table Total Row 2 2 7" xfId="43612" xr:uid="{134FCE49-A869-44FE-BA6F-3CB4352B988E}"/>
    <cellStyle name="PB Table Total Row 2 2 7 2" xfId="43613" xr:uid="{C20EE87B-9239-4611-A24C-6A3E738E63C6}"/>
    <cellStyle name="PB Table Total Row 2 2 7 2 2" xfId="43614" xr:uid="{E49A0D04-C9E3-48DD-8A93-C87A3632E462}"/>
    <cellStyle name="PB Table Total Row 2 2 7 3" xfId="43615" xr:uid="{FEA37C3D-219B-44E6-930A-15312657DE5A}"/>
    <cellStyle name="PB Table Total Row 2 2 8" xfId="43616" xr:uid="{0FE6D1A8-CE7D-49FB-97CA-8B52F59AA393}"/>
    <cellStyle name="PB Table Total Row 2 2 8 2" xfId="43617" xr:uid="{ED2411E8-93E8-4F6B-A918-10E8E22461F1}"/>
    <cellStyle name="PB Table Total Row 2 2 8 2 2" xfId="43618" xr:uid="{FC987776-003D-40E9-8708-C37E3D7C7BEE}"/>
    <cellStyle name="PB Table Total Row 2 2 8 3" xfId="43619" xr:uid="{AB87AE88-F2FE-4E38-8EA3-7258914569B0}"/>
    <cellStyle name="PB Table Total Row 2 2 9" xfId="43620" xr:uid="{C67219B5-0F81-47AA-A66F-6A9CCE9DEF4C}"/>
    <cellStyle name="PB Table Total Row 2 2 9 2" xfId="43621" xr:uid="{41D4F272-E245-4F26-B2B5-ADF0622073A5}"/>
    <cellStyle name="PB Table Total Row 2 2 9 2 2" xfId="43622" xr:uid="{6B818F45-E7DE-405C-8640-3E5B2A3CC43D}"/>
    <cellStyle name="PB Table Total Row 2 2 9 3" xfId="43623" xr:uid="{D12578A5-7E56-4696-8CCE-A397F3D07E4A}"/>
    <cellStyle name="PB Table Total Row 2 3" xfId="43624" xr:uid="{94A78344-7280-4082-8EF0-C00BF582A81C}"/>
    <cellStyle name="PB Table Total Row 2 3 10" xfId="43625" xr:uid="{A0133B6C-2AD9-4F09-A646-C44390F466D1}"/>
    <cellStyle name="PB Table Total Row 2 3 10 2" xfId="43626" xr:uid="{DCE98AA4-FD8A-45E7-95B3-51A87BAF8633}"/>
    <cellStyle name="PB Table Total Row 2 3 10 2 2" xfId="43627" xr:uid="{89C13315-6F08-4C86-ABE4-F065A67510F2}"/>
    <cellStyle name="PB Table Total Row 2 3 10 3" xfId="43628" xr:uid="{1F583D0F-2703-4992-8C33-39327E48BB97}"/>
    <cellStyle name="PB Table Total Row 2 3 11" xfId="43629" xr:uid="{51A330E6-D19A-4C5E-953D-7594B0ABA7B0}"/>
    <cellStyle name="PB Table Total Row 2 3 11 2" xfId="43630" xr:uid="{80B34AD1-C51C-46D2-A1DA-13531DBF037E}"/>
    <cellStyle name="PB Table Total Row 2 3 11 2 2" xfId="43631" xr:uid="{54E53704-C5BD-4D42-916B-AC1EBA4754C8}"/>
    <cellStyle name="PB Table Total Row 2 3 11 3" xfId="43632" xr:uid="{6D2C9A77-E95F-49D8-A637-9B246C4DDB21}"/>
    <cellStyle name="PB Table Total Row 2 3 12" xfId="43633" xr:uid="{2A3E8EF5-BB9D-4AE4-862E-690B7D2484DD}"/>
    <cellStyle name="PB Table Total Row 2 3 12 2" xfId="43634" xr:uid="{C3E4497C-9687-44EE-B0B1-BF3542209019}"/>
    <cellStyle name="PB Table Total Row 2 3 13" xfId="43635" xr:uid="{CE6C5049-629D-4CD0-8AC5-D2719430037C}"/>
    <cellStyle name="PB Table Total Row 2 3 2" xfId="43636" xr:uid="{09249E11-62A2-461C-ACDE-660812D48785}"/>
    <cellStyle name="PB Table Total Row 2 3 2 10" xfId="43637" xr:uid="{FA884450-7813-49FB-B49B-48F389FE1901}"/>
    <cellStyle name="PB Table Total Row 2 3 2 10 2" xfId="43638" xr:uid="{F60563F1-189C-4AEA-9785-21DC422C7F27}"/>
    <cellStyle name="PB Table Total Row 2 3 2 10 2 2" xfId="43639" xr:uid="{48A66C85-BA25-4CFF-A9C7-D4F96CDDCF83}"/>
    <cellStyle name="PB Table Total Row 2 3 2 10 3" xfId="43640" xr:uid="{3B503988-E780-46CC-9A75-07254A10D299}"/>
    <cellStyle name="PB Table Total Row 2 3 2 11" xfId="43641" xr:uid="{BF520C07-1265-46AF-9932-844126839570}"/>
    <cellStyle name="PB Table Total Row 2 3 2 11 2" xfId="43642" xr:uid="{C585120E-7578-4559-BECD-F843F64DFE3F}"/>
    <cellStyle name="PB Table Total Row 2 3 2 12" xfId="43643" xr:uid="{AA863E95-B5A9-46E4-B562-6BB1C9DDF420}"/>
    <cellStyle name="PB Table Total Row 2 3 2 2" xfId="43644" xr:uid="{DB5CDFF1-1A89-4FA7-AF98-5FA497FD4A62}"/>
    <cellStyle name="PB Table Total Row 2 3 2 2 2" xfId="43645" xr:uid="{14C16134-96DD-400B-8EF0-8FB95A1C4064}"/>
    <cellStyle name="PB Table Total Row 2 3 2 2 2 2" xfId="43646" xr:uid="{122B37D6-3878-448D-9AC3-95A509785594}"/>
    <cellStyle name="PB Table Total Row 2 3 2 2 3" xfId="43647" xr:uid="{9373A784-F82B-4030-A019-1B927AE281D6}"/>
    <cellStyle name="PB Table Total Row 2 3 2 3" xfId="43648" xr:uid="{2CCC361C-79CB-4ED3-A73C-387CC0C5233E}"/>
    <cellStyle name="PB Table Total Row 2 3 2 3 2" xfId="43649" xr:uid="{2463D15A-6F8A-43E4-9E10-C9E55B7575C9}"/>
    <cellStyle name="PB Table Total Row 2 3 2 3 2 2" xfId="43650" xr:uid="{8B5681FB-A6CF-4441-8C97-AA95F751BDC6}"/>
    <cellStyle name="PB Table Total Row 2 3 2 3 3" xfId="43651" xr:uid="{F2AD3E87-FE1B-43BD-B1E1-52278423CC6D}"/>
    <cellStyle name="PB Table Total Row 2 3 2 4" xfId="43652" xr:uid="{F477ED97-6103-42C6-8DF5-798F349B1580}"/>
    <cellStyle name="PB Table Total Row 2 3 2 4 2" xfId="43653" xr:uid="{94E78FAA-7B40-4152-A749-E3C5424F9F2C}"/>
    <cellStyle name="PB Table Total Row 2 3 2 4 2 2" xfId="43654" xr:uid="{82547ED1-D903-4C51-838E-F66F34C055BF}"/>
    <cellStyle name="PB Table Total Row 2 3 2 4 3" xfId="43655" xr:uid="{C98150B3-D973-4264-B83D-AE17FF076B60}"/>
    <cellStyle name="PB Table Total Row 2 3 2 5" xfId="43656" xr:uid="{CE1F0154-8120-42D5-BE0D-46BCF04B9F74}"/>
    <cellStyle name="PB Table Total Row 2 3 2 5 2" xfId="43657" xr:uid="{6D6A4D69-5AF6-48D4-A944-387C31BE3AC7}"/>
    <cellStyle name="PB Table Total Row 2 3 2 5 2 2" xfId="43658" xr:uid="{A336F147-57F8-4D40-AF4F-846D51312A42}"/>
    <cellStyle name="PB Table Total Row 2 3 2 5 3" xfId="43659" xr:uid="{9D5CBBE8-261E-4D4F-9AA9-4CB56081A63A}"/>
    <cellStyle name="PB Table Total Row 2 3 2 6" xfId="43660" xr:uid="{61F7923D-6395-4E64-8023-AE35EDD975D0}"/>
    <cellStyle name="PB Table Total Row 2 3 2 6 2" xfId="43661" xr:uid="{057A508E-4E88-40ED-B39C-B31F942D3E11}"/>
    <cellStyle name="PB Table Total Row 2 3 2 6 2 2" xfId="43662" xr:uid="{5531C0AA-EB74-4D12-B4E7-4B56BE19CB10}"/>
    <cellStyle name="PB Table Total Row 2 3 2 6 3" xfId="43663" xr:uid="{B6A2EAD2-29C7-43E5-B99A-B9B13C1F3704}"/>
    <cellStyle name="PB Table Total Row 2 3 2 7" xfId="43664" xr:uid="{5D510834-5AD1-4076-A656-321C9CCF0773}"/>
    <cellStyle name="PB Table Total Row 2 3 2 7 2" xfId="43665" xr:uid="{D0024F04-F1FA-4E94-A551-F3697A58646E}"/>
    <cellStyle name="PB Table Total Row 2 3 2 7 2 2" xfId="43666" xr:uid="{7D1CBE01-DFC3-41D7-9D66-FFA0ED068842}"/>
    <cellStyle name="PB Table Total Row 2 3 2 7 3" xfId="43667" xr:uid="{B6226BBD-4573-437F-B9F8-EAEDCF241062}"/>
    <cellStyle name="PB Table Total Row 2 3 2 8" xfId="43668" xr:uid="{2D075E51-FBBA-4831-ACF4-8606D6A40DDF}"/>
    <cellStyle name="PB Table Total Row 2 3 2 8 2" xfId="43669" xr:uid="{29254102-2D22-4953-B3D7-D2E9EBE80AFC}"/>
    <cellStyle name="PB Table Total Row 2 3 2 8 2 2" xfId="43670" xr:uid="{C42D7308-0006-4A98-B2F9-7130CD19600E}"/>
    <cellStyle name="PB Table Total Row 2 3 2 8 3" xfId="43671" xr:uid="{A026A2FB-F8AF-49A6-A4D1-E870495A09F2}"/>
    <cellStyle name="PB Table Total Row 2 3 2 9" xfId="43672" xr:uid="{8A6D12C7-7E48-4F67-80FB-E038FA226FE5}"/>
    <cellStyle name="PB Table Total Row 2 3 2 9 2" xfId="43673" xr:uid="{9DE8CC1F-5772-403A-8929-EF2448250C8E}"/>
    <cellStyle name="PB Table Total Row 2 3 2 9 2 2" xfId="43674" xr:uid="{D1A9FC14-6DDB-402D-BCA2-29DFFAF74B0D}"/>
    <cellStyle name="PB Table Total Row 2 3 2 9 3" xfId="43675" xr:uid="{4A72FDEE-0B2E-485E-8A6B-06B95707FF5F}"/>
    <cellStyle name="PB Table Total Row 2 3 3" xfId="43676" xr:uid="{9D090A32-55C7-4A61-AD1A-052ED0552CF8}"/>
    <cellStyle name="PB Table Total Row 2 3 3 10" xfId="43677" xr:uid="{B0588042-E991-41E1-B7DF-E1821D4EA150}"/>
    <cellStyle name="PB Table Total Row 2 3 3 10 2" xfId="43678" xr:uid="{B59ACC4D-7BC4-4E52-8707-4FCB7B4BD01D}"/>
    <cellStyle name="PB Table Total Row 2 3 3 11" xfId="43679" xr:uid="{E6CDE47F-F071-4682-A953-15326149E16E}"/>
    <cellStyle name="PB Table Total Row 2 3 3 2" xfId="43680" xr:uid="{A9A46D5B-F079-4C72-8D33-A7B19C00D9A8}"/>
    <cellStyle name="PB Table Total Row 2 3 3 2 2" xfId="43681" xr:uid="{1F8CAB51-F7AE-4EDC-8781-D66918995539}"/>
    <cellStyle name="PB Table Total Row 2 3 3 2 2 2" xfId="43682" xr:uid="{00A5A785-F4EA-4DBD-9523-FEFFE83C1C45}"/>
    <cellStyle name="PB Table Total Row 2 3 3 2 3" xfId="43683" xr:uid="{886E8079-74B8-4A85-A1F5-A19B908F4C92}"/>
    <cellStyle name="PB Table Total Row 2 3 3 3" xfId="43684" xr:uid="{0DDD51BA-C693-417E-B178-DA95FAA76A79}"/>
    <cellStyle name="PB Table Total Row 2 3 3 3 2" xfId="43685" xr:uid="{7ED5F7EA-45AE-40DA-9801-103EC78F6F7B}"/>
    <cellStyle name="PB Table Total Row 2 3 3 3 2 2" xfId="43686" xr:uid="{1E84CBEC-1351-4DF8-A97A-6B622368265E}"/>
    <cellStyle name="PB Table Total Row 2 3 3 3 3" xfId="43687" xr:uid="{EC2F1527-D30B-47DE-AABE-4B1A2A915D55}"/>
    <cellStyle name="PB Table Total Row 2 3 3 4" xfId="43688" xr:uid="{9D67DE13-7263-43D2-B2FF-2B9740541ECB}"/>
    <cellStyle name="PB Table Total Row 2 3 3 4 2" xfId="43689" xr:uid="{055512B9-8CAB-42DA-91AC-4514535B68F6}"/>
    <cellStyle name="PB Table Total Row 2 3 3 4 2 2" xfId="43690" xr:uid="{CFCF0149-32E5-454A-9DDE-58B0F0E34146}"/>
    <cellStyle name="PB Table Total Row 2 3 3 4 3" xfId="43691" xr:uid="{DED2DDE2-A46F-4465-98AE-7272C30A607D}"/>
    <cellStyle name="PB Table Total Row 2 3 3 5" xfId="43692" xr:uid="{76293EB2-EEC4-4797-BB42-ABE7818D52E2}"/>
    <cellStyle name="PB Table Total Row 2 3 3 5 2" xfId="43693" xr:uid="{F63D97F2-3791-4661-9B6D-760643330C76}"/>
    <cellStyle name="PB Table Total Row 2 3 3 5 2 2" xfId="43694" xr:uid="{CE0865F3-74F5-467C-BFEE-8778F1550ADA}"/>
    <cellStyle name="PB Table Total Row 2 3 3 5 3" xfId="43695" xr:uid="{A65572A0-93A9-43CE-B133-E4CF28C846DA}"/>
    <cellStyle name="PB Table Total Row 2 3 3 6" xfId="43696" xr:uid="{A7B60497-9DF4-4181-AE64-B780BC7FE8C6}"/>
    <cellStyle name="PB Table Total Row 2 3 3 6 2" xfId="43697" xr:uid="{24E8EEBC-7C88-4A33-8DF9-64CEE90024F7}"/>
    <cellStyle name="PB Table Total Row 2 3 3 6 2 2" xfId="43698" xr:uid="{0ABD27B2-D7B1-4205-A73D-FB364FFC3D21}"/>
    <cellStyle name="PB Table Total Row 2 3 3 6 3" xfId="43699" xr:uid="{7B2CE120-C752-4931-942D-E99A156C86A3}"/>
    <cellStyle name="PB Table Total Row 2 3 3 7" xfId="43700" xr:uid="{408A4EBE-4B01-4EFD-8DDC-33B652B2CDB3}"/>
    <cellStyle name="PB Table Total Row 2 3 3 7 2" xfId="43701" xr:uid="{8D2FE861-6BE8-4679-BEE3-C988AA808D3C}"/>
    <cellStyle name="PB Table Total Row 2 3 3 7 2 2" xfId="43702" xr:uid="{3BF34F92-7BE2-4B15-9F11-5BE13755F679}"/>
    <cellStyle name="PB Table Total Row 2 3 3 7 3" xfId="43703" xr:uid="{D3F79F68-9075-473E-878F-1CA86E40C792}"/>
    <cellStyle name="PB Table Total Row 2 3 3 8" xfId="43704" xr:uid="{549B07EA-7D36-47F6-9B39-54C25B9AEDEA}"/>
    <cellStyle name="PB Table Total Row 2 3 3 8 2" xfId="43705" xr:uid="{D323E775-4531-4196-B9E0-A05DDE5A9B8D}"/>
    <cellStyle name="PB Table Total Row 2 3 3 8 2 2" xfId="43706" xr:uid="{016A9314-A154-4206-9DE9-D708BB50D5D5}"/>
    <cellStyle name="PB Table Total Row 2 3 3 8 3" xfId="43707" xr:uid="{307D8D9E-0448-432A-A122-5601D3CA56FD}"/>
    <cellStyle name="PB Table Total Row 2 3 3 9" xfId="43708" xr:uid="{77FB5D06-C82D-432A-87C5-B54642FF2A1A}"/>
    <cellStyle name="PB Table Total Row 2 3 3 9 2" xfId="43709" xr:uid="{EDC85947-B129-4E26-AE83-A060D2351EAF}"/>
    <cellStyle name="PB Table Total Row 2 3 3 9 2 2" xfId="43710" xr:uid="{C0757BA0-A171-44C1-9B62-15612DA4DD42}"/>
    <cellStyle name="PB Table Total Row 2 3 3 9 3" xfId="43711" xr:uid="{B633E13B-C8FB-4A21-B619-F1A826BD35CE}"/>
    <cellStyle name="PB Table Total Row 2 3 4" xfId="43712" xr:uid="{101394BF-59F9-464E-970F-6FF37EC3C971}"/>
    <cellStyle name="PB Table Total Row 2 3 4 2" xfId="43713" xr:uid="{67B8C219-6229-4F43-A30E-F878822BE732}"/>
    <cellStyle name="PB Table Total Row 2 3 4 2 2" xfId="43714" xr:uid="{335B6133-0C83-4F58-BF3C-AA5C60D2E40F}"/>
    <cellStyle name="PB Table Total Row 2 3 4 3" xfId="43715" xr:uid="{2FBD3857-758D-4D7D-A58D-A8A41BDAAC55}"/>
    <cellStyle name="PB Table Total Row 2 3 5" xfId="43716" xr:uid="{413E3967-0222-455A-B061-6C0EEFD6D662}"/>
    <cellStyle name="PB Table Total Row 2 3 5 2" xfId="43717" xr:uid="{494B1878-94C6-47C6-BE58-3860B6FF0C63}"/>
    <cellStyle name="PB Table Total Row 2 3 5 2 2" xfId="43718" xr:uid="{42BBC0CC-206F-43E9-85D3-6152B005372E}"/>
    <cellStyle name="PB Table Total Row 2 3 5 3" xfId="43719" xr:uid="{02801CA5-A1EE-440E-AA1B-6DC97C0841E5}"/>
    <cellStyle name="PB Table Total Row 2 3 6" xfId="43720" xr:uid="{551D546C-A1A3-49BE-A1B9-E2AFB00D7723}"/>
    <cellStyle name="PB Table Total Row 2 3 6 2" xfId="43721" xr:uid="{9279B3B7-2DFF-4A8F-8D5B-B0B07BAA3411}"/>
    <cellStyle name="PB Table Total Row 2 3 6 2 2" xfId="43722" xr:uid="{A2861749-4FC2-4117-A958-96B126D3BD2F}"/>
    <cellStyle name="PB Table Total Row 2 3 6 3" xfId="43723" xr:uid="{05379058-98A2-458C-9051-A93C30D601A8}"/>
    <cellStyle name="PB Table Total Row 2 3 7" xfId="43724" xr:uid="{E1AEB191-D8C4-4FED-B66F-91B5177F5EC7}"/>
    <cellStyle name="PB Table Total Row 2 3 7 2" xfId="43725" xr:uid="{C00D47A2-1D5C-4BD7-91FE-A3653FD8B309}"/>
    <cellStyle name="PB Table Total Row 2 3 7 2 2" xfId="43726" xr:uid="{6C67FB5E-F781-4F1D-B39A-0129680D9F91}"/>
    <cellStyle name="PB Table Total Row 2 3 7 3" xfId="43727" xr:uid="{A0F3A857-9AC0-4A9A-B920-71C580849814}"/>
    <cellStyle name="PB Table Total Row 2 3 8" xfId="43728" xr:uid="{1084DD83-74B6-447C-8532-DB1BFE78259D}"/>
    <cellStyle name="PB Table Total Row 2 3 8 2" xfId="43729" xr:uid="{D0605384-E925-4929-AD94-447D2966D25B}"/>
    <cellStyle name="PB Table Total Row 2 3 8 2 2" xfId="43730" xr:uid="{947D9D82-AC5E-49DA-9054-0AFC8F2C3DF6}"/>
    <cellStyle name="PB Table Total Row 2 3 8 3" xfId="43731" xr:uid="{04353980-97F1-416F-9380-554D93F5059B}"/>
    <cellStyle name="PB Table Total Row 2 3 9" xfId="43732" xr:uid="{55EFEAC6-207B-467D-9E6D-AA47CDC9E6E8}"/>
    <cellStyle name="PB Table Total Row 2 3 9 2" xfId="43733" xr:uid="{8245FF8E-3391-4EE1-A09D-FCC1F06C45E6}"/>
    <cellStyle name="PB Table Total Row 2 3 9 2 2" xfId="43734" xr:uid="{36339F69-BAC7-404F-8315-797A6C0881F2}"/>
    <cellStyle name="PB Table Total Row 2 3 9 3" xfId="43735" xr:uid="{7793A385-0BFA-48FF-870C-ACF8DE2FEDA2}"/>
    <cellStyle name="PB Table Total Row 2 4" xfId="43736" xr:uid="{227192B4-DEA7-4AE0-9BFE-7D1429136AE4}"/>
    <cellStyle name="PB Table Total Row 2 4 10" xfId="43737" xr:uid="{3315AE92-C50B-4899-B701-D2C976027C03}"/>
    <cellStyle name="PB Table Total Row 2 4 10 2" xfId="43738" xr:uid="{7038FE55-04CC-4FEB-9904-5F7C4D061CF0}"/>
    <cellStyle name="PB Table Total Row 2 4 10 2 2" xfId="43739" xr:uid="{B700D2AB-6889-4879-AEED-25A90AD4682C}"/>
    <cellStyle name="PB Table Total Row 2 4 10 3" xfId="43740" xr:uid="{13490EC6-6DF6-476E-8FE6-97877B9BE5B2}"/>
    <cellStyle name="PB Table Total Row 2 4 11" xfId="43741" xr:uid="{0CEA47D1-9C32-4555-B5BD-5AC1E9834E70}"/>
    <cellStyle name="PB Table Total Row 2 4 11 2" xfId="43742" xr:uid="{4984CB8C-EA30-4032-AAD7-D33C9382AD70}"/>
    <cellStyle name="PB Table Total Row 2 4 12" xfId="43743" xr:uid="{79BDF256-603A-4FAB-A10B-565B775FEAB3}"/>
    <cellStyle name="PB Table Total Row 2 4 2" xfId="43744" xr:uid="{756BEC87-BB51-4F3F-93F8-7C5660A0E3FD}"/>
    <cellStyle name="PB Table Total Row 2 4 2 10" xfId="43745" xr:uid="{9A02EC1A-32C1-4090-AD6D-964F28EBC788}"/>
    <cellStyle name="PB Table Total Row 2 4 2 10 2" xfId="43746" xr:uid="{3A9AF7D1-B059-4435-B842-9397787E1E87}"/>
    <cellStyle name="PB Table Total Row 2 4 2 11" xfId="43747" xr:uid="{D1ACDB5D-C565-44C0-9B01-FDD2587F3B46}"/>
    <cellStyle name="PB Table Total Row 2 4 2 2" xfId="43748" xr:uid="{3A9BE06D-0F1E-4729-87B0-7E76BAB679B5}"/>
    <cellStyle name="PB Table Total Row 2 4 2 2 2" xfId="43749" xr:uid="{FDC09145-7B3F-4F83-A773-1EBFB98F3A3D}"/>
    <cellStyle name="PB Table Total Row 2 4 2 2 2 2" xfId="43750" xr:uid="{61AD8419-0773-4C84-A6A4-7520FF1DAB20}"/>
    <cellStyle name="PB Table Total Row 2 4 2 2 3" xfId="43751" xr:uid="{F7731539-02BE-4B56-8628-39A34EC81707}"/>
    <cellStyle name="PB Table Total Row 2 4 2 3" xfId="43752" xr:uid="{8D9FB415-B472-4D0C-A03B-6100D83FE55B}"/>
    <cellStyle name="PB Table Total Row 2 4 2 3 2" xfId="43753" xr:uid="{45BA1F36-A729-434A-AC67-076B67C38312}"/>
    <cellStyle name="PB Table Total Row 2 4 2 3 2 2" xfId="43754" xr:uid="{25066723-AC15-41B0-80DE-DC22C0123100}"/>
    <cellStyle name="PB Table Total Row 2 4 2 3 3" xfId="43755" xr:uid="{4221FE06-A074-447D-A7B6-AB3B23280803}"/>
    <cellStyle name="PB Table Total Row 2 4 2 4" xfId="43756" xr:uid="{1B5FC8B6-6F04-4161-B369-3600B081BFA0}"/>
    <cellStyle name="PB Table Total Row 2 4 2 4 2" xfId="43757" xr:uid="{816A21C4-3605-46D7-9185-D6A62AD82A95}"/>
    <cellStyle name="PB Table Total Row 2 4 2 4 2 2" xfId="43758" xr:uid="{9232D619-4D90-47AD-A57B-C456C91E0E58}"/>
    <cellStyle name="PB Table Total Row 2 4 2 4 3" xfId="43759" xr:uid="{3C6331C6-3681-481A-B5B9-0C102B77A605}"/>
    <cellStyle name="PB Table Total Row 2 4 2 5" xfId="43760" xr:uid="{1134E853-F977-45E8-9F39-F63606A0B286}"/>
    <cellStyle name="PB Table Total Row 2 4 2 5 2" xfId="43761" xr:uid="{4FE1ABF6-15CA-42BF-93B0-85E75ED14072}"/>
    <cellStyle name="PB Table Total Row 2 4 2 5 2 2" xfId="43762" xr:uid="{E5D328E3-F765-40A3-A1E2-BDD8985118B6}"/>
    <cellStyle name="PB Table Total Row 2 4 2 5 3" xfId="43763" xr:uid="{4D55B753-B01E-4A32-80D9-7A15A8B14789}"/>
    <cellStyle name="PB Table Total Row 2 4 2 6" xfId="43764" xr:uid="{4EFFF48B-C5AC-4261-867A-FB948E0F5DC5}"/>
    <cellStyle name="PB Table Total Row 2 4 2 6 2" xfId="43765" xr:uid="{F5757911-330E-49D6-A35C-26E1B78F9743}"/>
    <cellStyle name="PB Table Total Row 2 4 2 6 2 2" xfId="43766" xr:uid="{8C6AF4A2-6796-415E-BDB6-C9DDCA4EBC09}"/>
    <cellStyle name="PB Table Total Row 2 4 2 6 3" xfId="43767" xr:uid="{2BE5FD5D-34B9-4CFC-A7AB-1C74FCB80C4B}"/>
    <cellStyle name="PB Table Total Row 2 4 2 7" xfId="43768" xr:uid="{1EEDE64E-2DC3-4CE7-BB3D-B6C50D82B3C6}"/>
    <cellStyle name="PB Table Total Row 2 4 2 7 2" xfId="43769" xr:uid="{FFDADF3B-E491-453D-BE03-C0D532B8EDE4}"/>
    <cellStyle name="PB Table Total Row 2 4 2 7 2 2" xfId="43770" xr:uid="{8545C064-725D-4522-868C-80918B52EDB3}"/>
    <cellStyle name="PB Table Total Row 2 4 2 7 3" xfId="43771" xr:uid="{F4C59A81-B0D2-4809-88AF-F9AD73DEC635}"/>
    <cellStyle name="PB Table Total Row 2 4 2 8" xfId="43772" xr:uid="{7316886C-31A0-4820-B694-8D13EAE7A916}"/>
    <cellStyle name="PB Table Total Row 2 4 2 8 2" xfId="43773" xr:uid="{CB1B5B1A-BE95-4BB4-BFB6-B590D33FE60F}"/>
    <cellStyle name="PB Table Total Row 2 4 2 8 2 2" xfId="43774" xr:uid="{37CEABCB-FC02-464D-B652-4CAD374D6665}"/>
    <cellStyle name="PB Table Total Row 2 4 2 8 3" xfId="43775" xr:uid="{7E340D0B-B149-4F83-832C-5090BCBEFEDB}"/>
    <cellStyle name="PB Table Total Row 2 4 2 9" xfId="43776" xr:uid="{BE25C352-35AE-44E8-A9EF-22348BF37304}"/>
    <cellStyle name="PB Table Total Row 2 4 2 9 2" xfId="43777" xr:uid="{0B592E43-A176-4B43-9D8D-65D9424BAD9C}"/>
    <cellStyle name="PB Table Total Row 2 4 2 9 2 2" xfId="43778" xr:uid="{D929A5AA-66F7-4D36-957B-69E8DC1E957B}"/>
    <cellStyle name="PB Table Total Row 2 4 2 9 3" xfId="43779" xr:uid="{2C357908-C986-444E-AA07-EEA5ADA995C7}"/>
    <cellStyle name="PB Table Total Row 2 4 3" xfId="43780" xr:uid="{12A5BD1D-4E20-4F72-9B17-748E7A826286}"/>
    <cellStyle name="PB Table Total Row 2 4 3 2" xfId="43781" xr:uid="{F2AC4D47-01B2-43F4-B73A-A80A3C6DE502}"/>
    <cellStyle name="PB Table Total Row 2 4 3 2 2" xfId="43782" xr:uid="{20944F91-6641-4FA5-9A83-7C824BBB63B9}"/>
    <cellStyle name="PB Table Total Row 2 4 3 3" xfId="43783" xr:uid="{D387C508-7996-47E9-8539-6CC0BD03C817}"/>
    <cellStyle name="PB Table Total Row 2 4 4" xfId="43784" xr:uid="{A9776360-A5F2-4335-891D-6D9911B07FEE}"/>
    <cellStyle name="PB Table Total Row 2 4 4 2" xfId="43785" xr:uid="{42DC312E-9339-483A-93B5-2853E3F433A4}"/>
    <cellStyle name="PB Table Total Row 2 4 4 2 2" xfId="43786" xr:uid="{41756B1A-5366-45F2-91AE-0D1A9F28DED7}"/>
    <cellStyle name="PB Table Total Row 2 4 4 3" xfId="43787" xr:uid="{435B9747-A143-4A67-A7EB-8E1EA524F71B}"/>
    <cellStyle name="PB Table Total Row 2 4 5" xfId="43788" xr:uid="{CCCE3284-8F97-47DB-8301-B15CEACFEFC9}"/>
    <cellStyle name="PB Table Total Row 2 4 5 2" xfId="43789" xr:uid="{DEDE78D9-E891-401C-83A6-3F4EC9BA2835}"/>
    <cellStyle name="PB Table Total Row 2 4 5 2 2" xfId="43790" xr:uid="{D2A122A2-B776-4FCF-89EA-6D2E03203439}"/>
    <cellStyle name="PB Table Total Row 2 4 5 3" xfId="43791" xr:uid="{0F6D0972-7749-43D0-AB0F-0DF08069E530}"/>
    <cellStyle name="PB Table Total Row 2 4 6" xfId="43792" xr:uid="{D9921823-3B91-4835-91EC-A68E7B6AB203}"/>
    <cellStyle name="PB Table Total Row 2 4 6 2" xfId="43793" xr:uid="{49AC71BB-FA1B-4F84-804C-D4C91ED63BB0}"/>
    <cellStyle name="PB Table Total Row 2 4 6 2 2" xfId="43794" xr:uid="{6C316F0B-17D7-45DF-B3FE-BEF5BFE13FA9}"/>
    <cellStyle name="PB Table Total Row 2 4 6 3" xfId="43795" xr:uid="{0CFD78F5-4DB6-4686-943F-0104A3BFB906}"/>
    <cellStyle name="PB Table Total Row 2 4 7" xfId="43796" xr:uid="{CD9E13F8-ACB6-4DA0-8435-FBB56E1F8FFA}"/>
    <cellStyle name="PB Table Total Row 2 4 7 2" xfId="43797" xr:uid="{BD3A7B49-2C90-43EF-BCF5-01CB64E54567}"/>
    <cellStyle name="PB Table Total Row 2 4 7 2 2" xfId="43798" xr:uid="{0A64D9B3-B04E-42C1-B852-199168D5B3F7}"/>
    <cellStyle name="PB Table Total Row 2 4 7 3" xfId="43799" xr:uid="{485F269E-5A38-4D82-AB2C-ECD92A39CD61}"/>
    <cellStyle name="PB Table Total Row 2 4 8" xfId="43800" xr:uid="{6553B220-075B-46E8-B02A-5D233084EEE3}"/>
    <cellStyle name="PB Table Total Row 2 4 8 2" xfId="43801" xr:uid="{C164DB0D-C8FC-43A5-867D-76D1E41EE079}"/>
    <cellStyle name="PB Table Total Row 2 4 8 2 2" xfId="43802" xr:uid="{9F3FD807-F307-4634-AACB-BA814C0DCA00}"/>
    <cellStyle name="PB Table Total Row 2 4 8 3" xfId="43803" xr:uid="{6FB99264-EE29-4949-9ADB-F0E4195A96D5}"/>
    <cellStyle name="PB Table Total Row 2 4 9" xfId="43804" xr:uid="{C3AA26E3-1CEB-4726-94B9-04AFD6F537A9}"/>
    <cellStyle name="PB Table Total Row 2 4 9 2" xfId="43805" xr:uid="{B7D514B4-4ECD-4772-837E-3B9CD8FF0998}"/>
    <cellStyle name="PB Table Total Row 2 4 9 2 2" xfId="43806" xr:uid="{1319A364-1A61-49EF-945E-6AC22FB1D962}"/>
    <cellStyle name="PB Table Total Row 2 4 9 3" xfId="43807" xr:uid="{22A18682-20AE-4B51-8D78-98D6B968F995}"/>
    <cellStyle name="PB Table Total Row 2 5" xfId="43808" xr:uid="{C80D5D4A-EF11-42CD-BCBE-8694F006968D}"/>
    <cellStyle name="PB Table Total Row 2 5 10" xfId="43809" xr:uid="{73476850-5AC4-47F3-B93C-AE042CD42F16}"/>
    <cellStyle name="PB Table Total Row 2 5 10 2" xfId="43810" xr:uid="{6AC3C3DA-E66F-4950-8777-CFBF281A5163}"/>
    <cellStyle name="PB Table Total Row 2 5 11" xfId="43811" xr:uid="{6D9470A6-C9CB-42A0-B1FE-99F90430D567}"/>
    <cellStyle name="PB Table Total Row 2 5 2" xfId="43812" xr:uid="{641E13C2-FA48-4473-B89A-27539E3BFFB5}"/>
    <cellStyle name="PB Table Total Row 2 5 2 2" xfId="43813" xr:uid="{C0FA63D4-834F-4645-A2AB-3FA7B8B9D9F5}"/>
    <cellStyle name="PB Table Total Row 2 5 2 2 2" xfId="43814" xr:uid="{64A6A891-D881-4C17-BCDF-71F7ECAB67A2}"/>
    <cellStyle name="PB Table Total Row 2 5 2 3" xfId="43815" xr:uid="{DB2E78D7-0CB9-4B83-A9E2-806D1F5931E0}"/>
    <cellStyle name="PB Table Total Row 2 5 3" xfId="43816" xr:uid="{BBFC0C1A-6262-46D3-81E6-4626500A6713}"/>
    <cellStyle name="PB Table Total Row 2 5 3 2" xfId="43817" xr:uid="{22FBDCAB-FB62-44AA-82EF-3B1F95FB13C2}"/>
    <cellStyle name="PB Table Total Row 2 5 3 2 2" xfId="43818" xr:uid="{750FCA20-61F5-42C4-892F-6F089534CB55}"/>
    <cellStyle name="PB Table Total Row 2 5 3 3" xfId="43819" xr:uid="{B90C07DC-BD8C-4007-A380-78CEC941C8A7}"/>
    <cellStyle name="PB Table Total Row 2 5 4" xfId="43820" xr:uid="{A00B006E-FD82-4EA8-931C-E3177C49A082}"/>
    <cellStyle name="PB Table Total Row 2 5 4 2" xfId="43821" xr:uid="{80F64264-D6C3-48F1-AB1E-A235E23F9A77}"/>
    <cellStyle name="PB Table Total Row 2 5 4 2 2" xfId="43822" xr:uid="{F1E3F0F6-1EC1-4274-8283-E2B97CF2302D}"/>
    <cellStyle name="PB Table Total Row 2 5 4 3" xfId="43823" xr:uid="{D3893E1F-5913-4DA4-A15A-A5A37E7A03F4}"/>
    <cellStyle name="PB Table Total Row 2 5 5" xfId="43824" xr:uid="{CC507558-B31B-4F38-8FF4-86C3675A7385}"/>
    <cellStyle name="PB Table Total Row 2 5 5 2" xfId="43825" xr:uid="{60F08307-7468-4F0F-AB0A-9E42CED113AB}"/>
    <cellStyle name="PB Table Total Row 2 5 5 2 2" xfId="43826" xr:uid="{A797946C-A71E-4C85-9DEC-07F56B3E55D0}"/>
    <cellStyle name="PB Table Total Row 2 5 5 3" xfId="43827" xr:uid="{8DE84FAC-42A4-47CD-AEE3-7DB22C07C270}"/>
    <cellStyle name="PB Table Total Row 2 5 6" xfId="43828" xr:uid="{2F9637F5-01CD-4360-A380-05A02F1D0D30}"/>
    <cellStyle name="PB Table Total Row 2 5 6 2" xfId="43829" xr:uid="{C0030A4C-EA7E-4A76-B055-49A6B5624459}"/>
    <cellStyle name="PB Table Total Row 2 5 6 2 2" xfId="43830" xr:uid="{9A05FDC1-6142-400B-B82F-06638D4027CF}"/>
    <cellStyle name="PB Table Total Row 2 5 6 3" xfId="43831" xr:uid="{8C5CF9FD-0139-4FB7-BFCB-E4A91466D64E}"/>
    <cellStyle name="PB Table Total Row 2 5 7" xfId="43832" xr:uid="{F92FF4CE-E11C-4CCC-982C-FDF33E0BE6F8}"/>
    <cellStyle name="PB Table Total Row 2 5 7 2" xfId="43833" xr:uid="{B3314385-3C5E-4D17-A483-AAA53B0E79F2}"/>
    <cellStyle name="PB Table Total Row 2 5 7 2 2" xfId="43834" xr:uid="{7146B6CA-31E5-447F-B168-AFD45EC24E2B}"/>
    <cellStyle name="PB Table Total Row 2 5 7 3" xfId="43835" xr:uid="{38F3C9F0-2711-42A9-AF72-7E3E9CB30E4C}"/>
    <cellStyle name="PB Table Total Row 2 5 8" xfId="43836" xr:uid="{23C6FDAA-70B3-423C-8966-AB601568E598}"/>
    <cellStyle name="PB Table Total Row 2 5 8 2" xfId="43837" xr:uid="{5A36C4C5-9827-415F-B9CD-575A3E810949}"/>
    <cellStyle name="PB Table Total Row 2 5 8 2 2" xfId="43838" xr:uid="{E4FB06C0-34C1-4A74-A245-492C34369D11}"/>
    <cellStyle name="PB Table Total Row 2 5 8 3" xfId="43839" xr:uid="{634ABADF-05AB-4B7C-B706-A1D3B9B314CB}"/>
    <cellStyle name="PB Table Total Row 2 5 9" xfId="43840" xr:uid="{72C93DAF-747C-4F09-8889-63558A1D7EB0}"/>
    <cellStyle name="PB Table Total Row 2 5 9 2" xfId="43841" xr:uid="{EC194238-A37B-4B22-84A8-37CF46F7D529}"/>
    <cellStyle name="PB Table Total Row 2 5 9 2 2" xfId="43842" xr:uid="{440D06D1-B016-410C-859B-D9D5DFBC0499}"/>
    <cellStyle name="PB Table Total Row 2 5 9 3" xfId="43843" xr:uid="{C8F991FB-C4A7-4619-B3DC-4B216E878CFD}"/>
    <cellStyle name="PB Table Total Row 2 6" xfId="43844" xr:uid="{ADC7CBA7-A408-4D12-8416-BEA4BEED20D4}"/>
    <cellStyle name="PB Table Total Row 2 6 2" xfId="43845" xr:uid="{23C79393-7615-4B35-842F-08AA83C2CCF2}"/>
    <cellStyle name="PB Table Total Row 2 6 2 2" xfId="43846" xr:uid="{73D4EDEC-254F-4E65-AB34-290E83EB7BEF}"/>
    <cellStyle name="PB Table Total Row 2 6 3" xfId="43847" xr:uid="{706C9A20-BB86-4871-AE8A-A111A6DEFDBA}"/>
    <cellStyle name="PB Table Total Row 2 7" xfId="43848" xr:uid="{AE245A2D-F53C-4A58-BE29-7ECBB22553FD}"/>
    <cellStyle name="PB Table Total Row 2 7 2" xfId="43849" xr:uid="{DFDF633D-29A2-4C44-95BB-9420918E3EDF}"/>
    <cellStyle name="PB Table Total Row 2 7 2 2" xfId="43850" xr:uid="{BD42C9A1-D168-4224-96D4-AEF7F27E72DF}"/>
    <cellStyle name="PB Table Total Row 2 7 3" xfId="43851" xr:uid="{D7391A3E-F700-44E1-A061-797A8CC86728}"/>
    <cellStyle name="PB Table Total Row 2 8" xfId="43852" xr:uid="{354527B6-ADC3-49F7-9FA7-89F2D313B78C}"/>
    <cellStyle name="PB Table Total Row 2 8 2" xfId="43853" xr:uid="{DFF6AA73-2EE3-4C90-B04A-4D7B49BABCCE}"/>
    <cellStyle name="PB Table Total Row 2 8 2 2" xfId="43854" xr:uid="{A2A8BDC6-ADC7-4193-9EE3-5BC2ABA516BF}"/>
    <cellStyle name="PB Table Total Row 2 8 3" xfId="43855" xr:uid="{B2ACA5EA-E3CA-4E42-8956-051BA780CA8B}"/>
    <cellStyle name="PB Table Total Row 2 9" xfId="43856" xr:uid="{28CC6119-0FF7-4019-A33C-EEE454CA53C3}"/>
    <cellStyle name="PB Table Total Row 2 9 2" xfId="43857" xr:uid="{8B4A10A1-0CC0-4049-A6A7-5889A9135086}"/>
    <cellStyle name="PB Table Total Row 2 9 2 2" xfId="43858" xr:uid="{F6B17373-B6FC-4E01-8DB0-1B124FDD7132}"/>
    <cellStyle name="PB Table Total Row 2 9 3" xfId="43859" xr:uid="{516E31EE-8547-4F17-BD71-96DB6F3A5348}"/>
    <cellStyle name="PB Table Total Row 3" xfId="43860" xr:uid="{D9D2D7F0-CFC3-4E46-9AC1-1996B00BA313}"/>
    <cellStyle name="PB Table Total Row 3 10" xfId="43861" xr:uid="{E76BFDED-087A-4B88-9AE7-C62F130EAAF8}"/>
    <cellStyle name="PB Table Total Row 3 10 2" xfId="43862" xr:uid="{C3166EFC-0889-43D4-BE1E-5539BB37411E}"/>
    <cellStyle name="PB Table Total Row 3 10 2 2" xfId="43863" xr:uid="{684B53EA-6989-41C0-9384-B3AEFF4CEF89}"/>
    <cellStyle name="PB Table Total Row 3 10 3" xfId="43864" xr:uid="{11AC3CC3-0275-46EE-A452-072C729BF25C}"/>
    <cellStyle name="PB Table Total Row 3 11" xfId="43865" xr:uid="{ED0E7FE8-347B-4AAE-9992-92CBC913694F}"/>
    <cellStyle name="PB Table Total Row 3 11 2" xfId="43866" xr:uid="{58593C69-17C3-4343-A7E0-ADA66D2CE66E}"/>
    <cellStyle name="PB Table Total Row 3 11 2 2" xfId="43867" xr:uid="{7388B7CA-7E33-49FC-B00A-C041B8B2D4F0}"/>
    <cellStyle name="PB Table Total Row 3 11 3" xfId="43868" xr:uid="{23F010D9-BD43-4D81-9EFB-73A3965F3D72}"/>
    <cellStyle name="PB Table Total Row 3 12" xfId="43869" xr:uid="{622DF40A-A131-433E-99EF-9F9C19C43763}"/>
    <cellStyle name="PB Table Total Row 3 12 2" xfId="43870" xr:uid="{FD54C521-A549-42C1-A0A0-2FF598468070}"/>
    <cellStyle name="PB Table Total Row 3 12 2 2" xfId="43871" xr:uid="{77D29E21-CCFC-4282-B943-719CB2585FA0}"/>
    <cellStyle name="PB Table Total Row 3 12 3" xfId="43872" xr:uid="{ED7FDAA2-BE8C-47B2-BF69-9E330E15287B}"/>
    <cellStyle name="PB Table Total Row 3 13" xfId="43873" xr:uid="{64D0B564-A000-4B97-86A0-B8ED4DF9CC19}"/>
    <cellStyle name="PB Table Total Row 3 13 2" xfId="43874" xr:uid="{3C01B23D-223A-48B4-9403-51663130E13C}"/>
    <cellStyle name="PB Table Total Row 3 14" xfId="43875" xr:uid="{B5198146-5821-4999-B2DC-4E46AE4A7D43}"/>
    <cellStyle name="PB Table Total Row 3 2" xfId="43876" xr:uid="{25929F97-A7AC-4EBD-BE81-029180F29CAC}"/>
    <cellStyle name="PB Table Total Row 3 2 10" xfId="43877" xr:uid="{DA1D1E6B-9285-4361-A4AC-B7654AED3DB9}"/>
    <cellStyle name="PB Table Total Row 3 2 10 2" xfId="43878" xr:uid="{4B440287-8328-4FA1-BA3F-F65FC446823E}"/>
    <cellStyle name="PB Table Total Row 3 2 10 2 2" xfId="43879" xr:uid="{089F4A45-EF30-4F01-9148-6536A63A7BB3}"/>
    <cellStyle name="PB Table Total Row 3 2 10 3" xfId="43880" xr:uid="{17E28991-0158-47B3-8F5E-8DDA5233A075}"/>
    <cellStyle name="PB Table Total Row 3 2 11" xfId="43881" xr:uid="{959BCA65-F214-4326-8F11-864CBC09067F}"/>
    <cellStyle name="PB Table Total Row 3 2 11 2" xfId="43882" xr:uid="{6D20E22D-2366-43E7-A568-D9380D16CB6F}"/>
    <cellStyle name="PB Table Total Row 3 2 11 2 2" xfId="43883" xr:uid="{68FE2DAF-5351-4F03-AF21-6CD4AD130EE4}"/>
    <cellStyle name="PB Table Total Row 3 2 11 3" xfId="43884" xr:uid="{E7F3AA52-31FD-432D-B331-0DCEF1B33391}"/>
    <cellStyle name="PB Table Total Row 3 2 12" xfId="43885" xr:uid="{426D145C-68B1-48C9-B164-04734B9694A0}"/>
    <cellStyle name="PB Table Total Row 3 2 12 2" xfId="43886" xr:uid="{30AB39F2-587F-4D26-B1F1-66D6F11F75C2}"/>
    <cellStyle name="PB Table Total Row 3 2 13" xfId="43887" xr:uid="{CB7433E8-8225-4F62-A07B-64935E32AF49}"/>
    <cellStyle name="PB Table Total Row 3 2 2" xfId="43888" xr:uid="{1900F3E8-0AE1-454E-A8FA-3D1C9CFB80E1}"/>
    <cellStyle name="PB Table Total Row 3 2 2 10" xfId="43889" xr:uid="{62EAE63F-40DE-4DC1-AE63-0F18529548EA}"/>
    <cellStyle name="PB Table Total Row 3 2 2 10 2" xfId="43890" xr:uid="{139AD4D3-E0BC-412D-9D24-BD77EC8B381C}"/>
    <cellStyle name="PB Table Total Row 3 2 2 10 2 2" xfId="43891" xr:uid="{A159CA31-A828-4A70-945A-3761AB006DD8}"/>
    <cellStyle name="PB Table Total Row 3 2 2 10 3" xfId="43892" xr:uid="{4254F0B9-5062-4F91-8112-82B0599A37DE}"/>
    <cellStyle name="PB Table Total Row 3 2 2 11" xfId="43893" xr:uid="{B870EBA2-EAD5-4482-A3DD-277610B8A502}"/>
    <cellStyle name="PB Table Total Row 3 2 2 11 2" xfId="43894" xr:uid="{98B04D92-19FA-405E-9A23-D95C7E062D37}"/>
    <cellStyle name="PB Table Total Row 3 2 2 12" xfId="43895" xr:uid="{7EA718B2-BDB1-40A6-8DD1-B179CB7844A7}"/>
    <cellStyle name="PB Table Total Row 3 2 2 2" xfId="43896" xr:uid="{DB7A1CE3-7021-42AD-B0DB-28A8A35E23E8}"/>
    <cellStyle name="PB Table Total Row 3 2 2 2 2" xfId="43897" xr:uid="{204425AF-C335-411D-B863-92AE07E8EA39}"/>
    <cellStyle name="PB Table Total Row 3 2 2 2 2 2" xfId="43898" xr:uid="{72D6C9D4-C81E-4D8E-A23A-453FB9E1A412}"/>
    <cellStyle name="PB Table Total Row 3 2 2 2 3" xfId="43899" xr:uid="{24223150-A27A-4C85-9414-D2F919C9EC08}"/>
    <cellStyle name="PB Table Total Row 3 2 2 3" xfId="43900" xr:uid="{87B1FDBA-3963-46E9-8590-C0B4CAE7DEB2}"/>
    <cellStyle name="PB Table Total Row 3 2 2 3 2" xfId="43901" xr:uid="{AAF8F7ED-9F68-4065-B6C7-4B28FC60A289}"/>
    <cellStyle name="PB Table Total Row 3 2 2 3 2 2" xfId="43902" xr:uid="{0E322F3F-D98C-4593-9C18-262C8285F66F}"/>
    <cellStyle name="PB Table Total Row 3 2 2 3 3" xfId="43903" xr:uid="{F81243F4-8CC5-4E22-A290-229634661A91}"/>
    <cellStyle name="PB Table Total Row 3 2 2 4" xfId="43904" xr:uid="{CE39EF1C-D255-4E62-90E5-E820DE2EA132}"/>
    <cellStyle name="PB Table Total Row 3 2 2 4 2" xfId="43905" xr:uid="{0BFBD343-5BBC-4F9F-AB1D-A2E7C25ABF2F}"/>
    <cellStyle name="PB Table Total Row 3 2 2 4 2 2" xfId="43906" xr:uid="{056FC89C-49C6-4B6B-BD5A-A75D4E089C89}"/>
    <cellStyle name="PB Table Total Row 3 2 2 4 3" xfId="43907" xr:uid="{876349AB-059C-4B0D-A3B0-00BA416613C8}"/>
    <cellStyle name="PB Table Total Row 3 2 2 5" xfId="43908" xr:uid="{72A5C100-D473-4CFE-AA58-130A557D82F3}"/>
    <cellStyle name="PB Table Total Row 3 2 2 5 2" xfId="43909" xr:uid="{11940FE7-601A-49A1-9B68-333C43BAAA86}"/>
    <cellStyle name="PB Table Total Row 3 2 2 5 2 2" xfId="43910" xr:uid="{2213043B-F678-4A9E-BA53-BD147F64E7AC}"/>
    <cellStyle name="PB Table Total Row 3 2 2 5 3" xfId="43911" xr:uid="{B4D3E02E-8141-47D0-A622-C7DA30FFC78A}"/>
    <cellStyle name="PB Table Total Row 3 2 2 6" xfId="43912" xr:uid="{11331125-25D2-4649-8595-C0023BBD5BAD}"/>
    <cellStyle name="PB Table Total Row 3 2 2 6 2" xfId="43913" xr:uid="{34712AD0-5ACC-4FA7-84F7-F10890E7CA9A}"/>
    <cellStyle name="PB Table Total Row 3 2 2 6 2 2" xfId="43914" xr:uid="{EE3C36A1-7FD9-4490-804A-ACC0A2CD4C95}"/>
    <cellStyle name="PB Table Total Row 3 2 2 6 3" xfId="43915" xr:uid="{308BEB45-1C0D-4628-A48A-DB1AC0ADDB0E}"/>
    <cellStyle name="PB Table Total Row 3 2 2 7" xfId="43916" xr:uid="{7C95FF5A-8F22-4262-B803-124AD40B121C}"/>
    <cellStyle name="PB Table Total Row 3 2 2 7 2" xfId="43917" xr:uid="{5DD0B34B-D02D-4112-AFCD-86F899EC42CF}"/>
    <cellStyle name="PB Table Total Row 3 2 2 7 2 2" xfId="43918" xr:uid="{159A7A95-E378-48CA-9395-5F3D643BF8C6}"/>
    <cellStyle name="PB Table Total Row 3 2 2 7 3" xfId="43919" xr:uid="{26C2A464-8C18-4708-95D6-8AC152FAF4B2}"/>
    <cellStyle name="PB Table Total Row 3 2 2 8" xfId="43920" xr:uid="{121FD761-E490-424F-B804-D1802D0E4415}"/>
    <cellStyle name="PB Table Total Row 3 2 2 8 2" xfId="43921" xr:uid="{EB780B22-5207-4556-ADC4-FBB750575B8D}"/>
    <cellStyle name="PB Table Total Row 3 2 2 8 2 2" xfId="43922" xr:uid="{1833676A-08E2-44D3-A0EB-EC2BC53F1304}"/>
    <cellStyle name="PB Table Total Row 3 2 2 8 3" xfId="43923" xr:uid="{2550DEA4-C304-4685-BABB-49CD828C0BA1}"/>
    <cellStyle name="PB Table Total Row 3 2 2 9" xfId="43924" xr:uid="{D407C453-F416-4CB2-B4BE-78FF0E0A9ED6}"/>
    <cellStyle name="PB Table Total Row 3 2 2 9 2" xfId="43925" xr:uid="{A52E377F-F828-4B11-98B8-C285CE1ADFB3}"/>
    <cellStyle name="PB Table Total Row 3 2 2 9 2 2" xfId="43926" xr:uid="{9E3B8CE8-ECD7-47F2-9E7C-1DCAF1C3CAB4}"/>
    <cellStyle name="PB Table Total Row 3 2 2 9 3" xfId="43927" xr:uid="{D3DA9DBF-1B46-4C39-AF6B-4F16D9526BB5}"/>
    <cellStyle name="PB Table Total Row 3 2 3" xfId="43928" xr:uid="{41F3B806-A448-41C5-AEF6-5C7C6D2DF9C4}"/>
    <cellStyle name="PB Table Total Row 3 2 3 10" xfId="43929" xr:uid="{865BE5EB-CB36-4FC3-B571-23A3EAB45DE8}"/>
    <cellStyle name="PB Table Total Row 3 2 3 10 2" xfId="43930" xr:uid="{F2054F3E-B0CE-484F-BA6C-6656FD088940}"/>
    <cellStyle name="PB Table Total Row 3 2 3 11" xfId="43931" xr:uid="{5C6F1D10-E664-45ED-B3D8-9CB580A6292D}"/>
    <cellStyle name="PB Table Total Row 3 2 3 2" xfId="43932" xr:uid="{8509E6BB-A06B-47F1-AE0C-527AE0B1C725}"/>
    <cellStyle name="PB Table Total Row 3 2 3 2 2" xfId="43933" xr:uid="{A4EC89BD-3AEB-4D70-8EC8-5F78EA421BE1}"/>
    <cellStyle name="PB Table Total Row 3 2 3 2 2 2" xfId="43934" xr:uid="{1813DB48-DE02-40FD-8848-F2D4C298AA53}"/>
    <cellStyle name="PB Table Total Row 3 2 3 2 3" xfId="43935" xr:uid="{824078E2-5AAB-4E75-B764-7E9A5EF1BCF6}"/>
    <cellStyle name="PB Table Total Row 3 2 3 3" xfId="43936" xr:uid="{EB62C3E5-3461-485F-80A5-64E802108BBF}"/>
    <cellStyle name="PB Table Total Row 3 2 3 3 2" xfId="43937" xr:uid="{C318592C-EFEA-4DD8-835E-438B413C2982}"/>
    <cellStyle name="PB Table Total Row 3 2 3 3 2 2" xfId="43938" xr:uid="{148B10A9-FCE6-4C82-9600-E4D9902CDD5E}"/>
    <cellStyle name="PB Table Total Row 3 2 3 3 3" xfId="43939" xr:uid="{2ED3D3C5-A4B1-4347-86D5-BAAC3D3E2566}"/>
    <cellStyle name="PB Table Total Row 3 2 3 4" xfId="43940" xr:uid="{BAAB0F4C-FEB2-41DE-9F71-157E6B0B167F}"/>
    <cellStyle name="PB Table Total Row 3 2 3 4 2" xfId="43941" xr:uid="{C1F0A393-8305-4D9A-B6D6-1FA88523120C}"/>
    <cellStyle name="PB Table Total Row 3 2 3 4 2 2" xfId="43942" xr:uid="{A3A03568-C82A-4456-9B33-311599523C6A}"/>
    <cellStyle name="PB Table Total Row 3 2 3 4 3" xfId="43943" xr:uid="{5AA72B3C-5ADC-45B6-AED0-BF1D253FF61B}"/>
    <cellStyle name="PB Table Total Row 3 2 3 5" xfId="43944" xr:uid="{09C82BC9-C6C5-437C-8141-CEDEDCF672C8}"/>
    <cellStyle name="PB Table Total Row 3 2 3 5 2" xfId="43945" xr:uid="{12DBF2C6-47F4-46CB-A198-EE9C92491A0E}"/>
    <cellStyle name="PB Table Total Row 3 2 3 5 2 2" xfId="43946" xr:uid="{F72414A8-11BF-4946-A546-AD5CB9DC205D}"/>
    <cellStyle name="PB Table Total Row 3 2 3 5 3" xfId="43947" xr:uid="{D936C63E-75FE-4CBE-9D61-C1F37E87224D}"/>
    <cellStyle name="PB Table Total Row 3 2 3 6" xfId="43948" xr:uid="{1A050F90-621F-44EE-84EB-D81835440312}"/>
    <cellStyle name="PB Table Total Row 3 2 3 6 2" xfId="43949" xr:uid="{5F3567F9-49BF-4BCE-B616-ACFB6E872D73}"/>
    <cellStyle name="PB Table Total Row 3 2 3 6 2 2" xfId="43950" xr:uid="{4CBC3BA0-148A-4F34-BF08-9A56573447EE}"/>
    <cellStyle name="PB Table Total Row 3 2 3 6 3" xfId="43951" xr:uid="{DF7856C9-AB5C-4DF4-9340-F0F5F4FA5EDE}"/>
    <cellStyle name="PB Table Total Row 3 2 3 7" xfId="43952" xr:uid="{771F72D6-4811-43FA-A6D3-20A6A48359E7}"/>
    <cellStyle name="PB Table Total Row 3 2 3 7 2" xfId="43953" xr:uid="{CE9637E7-9E9A-4166-879B-C39BA0630614}"/>
    <cellStyle name="PB Table Total Row 3 2 3 7 2 2" xfId="43954" xr:uid="{8E591928-CC41-4A76-B3D0-CF2FF05E40E9}"/>
    <cellStyle name="PB Table Total Row 3 2 3 7 3" xfId="43955" xr:uid="{C157ED17-9035-40E0-BC28-864867DE9D6D}"/>
    <cellStyle name="PB Table Total Row 3 2 3 8" xfId="43956" xr:uid="{50A81A1C-39A1-4E35-8947-B5E1C03F826C}"/>
    <cellStyle name="PB Table Total Row 3 2 3 8 2" xfId="43957" xr:uid="{F092CD57-AB9C-4D3D-BFF8-473F22461664}"/>
    <cellStyle name="PB Table Total Row 3 2 3 8 2 2" xfId="43958" xr:uid="{A466EC5F-7002-445D-9ADD-A828CEC7CD0E}"/>
    <cellStyle name="PB Table Total Row 3 2 3 8 3" xfId="43959" xr:uid="{1B26E34C-AFF9-4D69-845F-9B5BA33CA16C}"/>
    <cellStyle name="PB Table Total Row 3 2 3 9" xfId="43960" xr:uid="{0E82216C-4436-4597-BC39-BEDD05B218DD}"/>
    <cellStyle name="PB Table Total Row 3 2 3 9 2" xfId="43961" xr:uid="{0BD4E765-AEF7-402C-9DB4-AA50F8FFE530}"/>
    <cellStyle name="PB Table Total Row 3 2 3 9 2 2" xfId="43962" xr:uid="{F6066CFC-B84D-4845-B9D1-089DFE993C9D}"/>
    <cellStyle name="PB Table Total Row 3 2 3 9 3" xfId="43963" xr:uid="{DB58CBD5-838A-4BB5-9037-7C5E70D5B48D}"/>
    <cellStyle name="PB Table Total Row 3 2 4" xfId="43964" xr:uid="{C167D4CB-F6A9-4784-B901-3DADA20CC80F}"/>
    <cellStyle name="PB Table Total Row 3 2 4 2" xfId="43965" xr:uid="{81C4F12D-EF93-450F-8784-F1B751AB28EB}"/>
    <cellStyle name="PB Table Total Row 3 2 4 2 2" xfId="43966" xr:uid="{6725B67F-3CE2-484F-949C-43A282C505D4}"/>
    <cellStyle name="PB Table Total Row 3 2 4 3" xfId="43967" xr:uid="{6D444330-603F-4B4E-AABB-1EAEC7346B15}"/>
    <cellStyle name="PB Table Total Row 3 2 5" xfId="43968" xr:uid="{C90A71C3-863A-43E8-B6F9-F826BF192DD3}"/>
    <cellStyle name="PB Table Total Row 3 2 5 2" xfId="43969" xr:uid="{E90AD693-FACB-4493-A20E-A9E456320438}"/>
    <cellStyle name="PB Table Total Row 3 2 5 2 2" xfId="43970" xr:uid="{B5AC29F5-3FD8-4603-915A-7AE4E44B6750}"/>
    <cellStyle name="PB Table Total Row 3 2 5 3" xfId="43971" xr:uid="{DAC74065-158A-4A3D-ACD0-BECAE5C187C3}"/>
    <cellStyle name="PB Table Total Row 3 2 6" xfId="43972" xr:uid="{E2A28303-B58F-44BD-8DDA-73315F63BF50}"/>
    <cellStyle name="PB Table Total Row 3 2 6 2" xfId="43973" xr:uid="{965370FC-AB14-42E5-8E6E-8EA5BE8A3F3E}"/>
    <cellStyle name="PB Table Total Row 3 2 6 2 2" xfId="43974" xr:uid="{2D9B1A6D-A50C-4685-B506-977FAE865D3E}"/>
    <cellStyle name="PB Table Total Row 3 2 6 3" xfId="43975" xr:uid="{7E40BBCE-364E-4F83-9E02-04A304F45934}"/>
    <cellStyle name="PB Table Total Row 3 2 7" xfId="43976" xr:uid="{28EAAD32-CDEC-463E-BD99-1C97E99DFC37}"/>
    <cellStyle name="PB Table Total Row 3 2 7 2" xfId="43977" xr:uid="{1AA9DABC-48A5-4804-80FD-9B53E47075AE}"/>
    <cellStyle name="PB Table Total Row 3 2 7 2 2" xfId="43978" xr:uid="{E1AC3AC6-D758-4946-A61F-ABCB5290CE52}"/>
    <cellStyle name="PB Table Total Row 3 2 7 3" xfId="43979" xr:uid="{E22C7082-9B4F-45BF-A7D1-0D24C47407F4}"/>
    <cellStyle name="PB Table Total Row 3 2 8" xfId="43980" xr:uid="{34B04D1B-0CD4-4DEB-8F75-85DC5744A607}"/>
    <cellStyle name="PB Table Total Row 3 2 8 2" xfId="43981" xr:uid="{5F74AD1B-DB9D-4A24-987D-247E91B241FE}"/>
    <cellStyle name="PB Table Total Row 3 2 8 2 2" xfId="43982" xr:uid="{AEC83339-918F-4ABA-BFC4-67D55FBA59DF}"/>
    <cellStyle name="PB Table Total Row 3 2 8 3" xfId="43983" xr:uid="{9D7D6BE5-DCEA-433C-A0F0-F21B7FD0B37E}"/>
    <cellStyle name="PB Table Total Row 3 2 9" xfId="43984" xr:uid="{4D2C513B-54D8-4594-814E-97BEB5CA6C7A}"/>
    <cellStyle name="PB Table Total Row 3 2 9 2" xfId="43985" xr:uid="{991B5462-037A-4C89-82B9-90A347A493F7}"/>
    <cellStyle name="PB Table Total Row 3 2 9 2 2" xfId="43986" xr:uid="{C7F42380-C7E0-45A8-9932-61451038D150}"/>
    <cellStyle name="PB Table Total Row 3 2 9 3" xfId="43987" xr:uid="{DBCC9AF8-7894-49F0-A81E-34151BE8D88C}"/>
    <cellStyle name="PB Table Total Row 3 3" xfId="43988" xr:uid="{2F9DF646-AECD-4DB3-B423-0A6578B7C53E}"/>
    <cellStyle name="PB Table Total Row 3 3 10" xfId="43989" xr:uid="{03454300-3226-4C93-849F-8D0592F403D7}"/>
    <cellStyle name="PB Table Total Row 3 3 10 2" xfId="43990" xr:uid="{CE794BF5-9726-4254-A92D-BAC45DD6D964}"/>
    <cellStyle name="PB Table Total Row 3 3 10 2 2" xfId="43991" xr:uid="{912AE509-4644-40E6-BFB5-F5BCA99BB055}"/>
    <cellStyle name="PB Table Total Row 3 3 10 3" xfId="43992" xr:uid="{1214F3BE-525A-4D87-B5FD-1A4BC3DF6C04}"/>
    <cellStyle name="PB Table Total Row 3 3 11" xfId="43993" xr:uid="{90958EC7-3FDC-479B-85BF-7B2176639AB6}"/>
    <cellStyle name="PB Table Total Row 3 3 11 2" xfId="43994" xr:uid="{BFD36565-057E-47E4-BBB7-D64F807F655F}"/>
    <cellStyle name="PB Table Total Row 3 3 12" xfId="43995" xr:uid="{8F66B59F-6C01-439E-AC78-6EC3673BFE9F}"/>
    <cellStyle name="PB Table Total Row 3 3 2" xfId="43996" xr:uid="{B70DE2FF-5E2B-4564-BF69-6665F7DE273C}"/>
    <cellStyle name="PB Table Total Row 3 3 2 10" xfId="43997" xr:uid="{EACE161F-04CA-4B1F-B188-DEDE5621E010}"/>
    <cellStyle name="PB Table Total Row 3 3 2 10 2" xfId="43998" xr:uid="{10F3D56F-4660-4EA3-9489-F9C6F0A34759}"/>
    <cellStyle name="PB Table Total Row 3 3 2 11" xfId="43999" xr:uid="{590470A2-30DB-4180-82C1-BF371956F473}"/>
    <cellStyle name="PB Table Total Row 3 3 2 2" xfId="44000" xr:uid="{2C7132C3-F097-4B95-8345-DFC89D75FAC0}"/>
    <cellStyle name="PB Table Total Row 3 3 2 2 2" xfId="44001" xr:uid="{2D3370CE-C450-4573-95AF-8E0DC77333CF}"/>
    <cellStyle name="PB Table Total Row 3 3 2 2 2 2" xfId="44002" xr:uid="{3A26616E-8879-4ACC-A220-F93F4CC78F22}"/>
    <cellStyle name="PB Table Total Row 3 3 2 2 3" xfId="44003" xr:uid="{F4F815EC-64BC-4B0F-8D4E-473A76D98F79}"/>
    <cellStyle name="PB Table Total Row 3 3 2 3" xfId="44004" xr:uid="{622397F2-CB5D-459B-9201-384F668BD4A2}"/>
    <cellStyle name="PB Table Total Row 3 3 2 3 2" xfId="44005" xr:uid="{1834B2A9-7111-4A29-9728-9934E12B3000}"/>
    <cellStyle name="PB Table Total Row 3 3 2 3 2 2" xfId="44006" xr:uid="{A0F373A4-20AD-438C-B483-BEB50A6CB73E}"/>
    <cellStyle name="PB Table Total Row 3 3 2 3 3" xfId="44007" xr:uid="{882C53F3-4AD6-4276-BE35-A32BCB95F487}"/>
    <cellStyle name="PB Table Total Row 3 3 2 4" xfId="44008" xr:uid="{DBC2C4E2-50CC-42E4-8BCA-F518F7BA561A}"/>
    <cellStyle name="PB Table Total Row 3 3 2 4 2" xfId="44009" xr:uid="{1E1C0EF6-8471-4711-893F-3171E028EBEB}"/>
    <cellStyle name="PB Table Total Row 3 3 2 4 2 2" xfId="44010" xr:uid="{6B856C1F-E504-41E3-9864-4B05581B1E67}"/>
    <cellStyle name="PB Table Total Row 3 3 2 4 3" xfId="44011" xr:uid="{8AB067F9-2335-442E-A62B-92072BD2774D}"/>
    <cellStyle name="PB Table Total Row 3 3 2 5" xfId="44012" xr:uid="{7D85B9C8-60F8-4F70-A858-7D6174BFBCB8}"/>
    <cellStyle name="PB Table Total Row 3 3 2 5 2" xfId="44013" xr:uid="{605D0A90-8383-46DD-9BD6-20A80E54DCA9}"/>
    <cellStyle name="PB Table Total Row 3 3 2 5 2 2" xfId="44014" xr:uid="{105C01A9-5416-4B2D-8C39-598141F04294}"/>
    <cellStyle name="PB Table Total Row 3 3 2 5 3" xfId="44015" xr:uid="{A6E3D21A-0349-4530-AD74-9E1ED51B7DE0}"/>
    <cellStyle name="PB Table Total Row 3 3 2 6" xfId="44016" xr:uid="{BEEDFE2F-CD5D-4B24-8DD1-17DA7488B175}"/>
    <cellStyle name="PB Table Total Row 3 3 2 6 2" xfId="44017" xr:uid="{79123CBE-A491-474F-9386-A7383D8AF58A}"/>
    <cellStyle name="PB Table Total Row 3 3 2 6 2 2" xfId="44018" xr:uid="{A66D2F1F-12EF-48EE-B3CC-4C5508D66006}"/>
    <cellStyle name="PB Table Total Row 3 3 2 6 3" xfId="44019" xr:uid="{1DBA7639-D62C-4B3B-A8BD-6EAC1AF1156D}"/>
    <cellStyle name="PB Table Total Row 3 3 2 7" xfId="44020" xr:uid="{6C86C127-9028-4AAC-9F49-A9B27C5AB432}"/>
    <cellStyle name="PB Table Total Row 3 3 2 7 2" xfId="44021" xr:uid="{385A1026-F39B-4EE0-8C59-7FA7940FFB60}"/>
    <cellStyle name="PB Table Total Row 3 3 2 7 2 2" xfId="44022" xr:uid="{021445B5-28E5-4EAA-97AD-EACFB9249020}"/>
    <cellStyle name="PB Table Total Row 3 3 2 7 3" xfId="44023" xr:uid="{2DBFA186-346E-40FC-AA7D-88E69A5A3723}"/>
    <cellStyle name="PB Table Total Row 3 3 2 8" xfId="44024" xr:uid="{FF963C49-DBF8-44EF-8CE2-DEB756D84617}"/>
    <cellStyle name="PB Table Total Row 3 3 2 8 2" xfId="44025" xr:uid="{B3AE36CA-40DF-4467-96B2-6923365D1F38}"/>
    <cellStyle name="PB Table Total Row 3 3 2 8 2 2" xfId="44026" xr:uid="{ACEAB5D9-AC64-4B4E-9943-4F7AE816A7FE}"/>
    <cellStyle name="PB Table Total Row 3 3 2 8 3" xfId="44027" xr:uid="{083374E0-F1EE-4DCF-9E9E-7824FA1FF2D8}"/>
    <cellStyle name="PB Table Total Row 3 3 2 9" xfId="44028" xr:uid="{379B42A7-9924-4123-B506-EEFADEDF6D6A}"/>
    <cellStyle name="PB Table Total Row 3 3 2 9 2" xfId="44029" xr:uid="{4CABCE04-8443-42E1-A8D6-4026A379D8B3}"/>
    <cellStyle name="PB Table Total Row 3 3 2 9 2 2" xfId="44030" xr:uid="{7697A434-9D70-4EDF-B17F-EB3CB0DCDF79}"/>
    <cellStyle name="PB Table Total Row 3 3 2 9 3" xfId="44031" xr:uid="{03784FD8-7E17-4E9C-B18D-6507B4322DE5}"/>
    <cellStyle name="PB Table Total Row 3 3 3" xfId="44032" xr:uid="{7CD5907A-DB0C-4E97-A89F-4B04E05772F5}"/>
    <cellStyle name="PB Table Total Row 3 3 3 2" xfId="44033" xr:uid="{5F5F3CB5-9A8B-4E16-BDE9-61E92DBBB4D3}"/>
    <cellStyle name="PB Table Total Row 3 3 3 2 2" xfId="44034" xr:uid="{20CB3015-E790-411F-A7B1-9D77D4EB6D77}"/>
    <cellStyle name="PB Table Total Row 3 3 3 3" xfId="44035" xr:uid="{3F713C98-D3CC-47B5-87BF-FB9F29BF180D}"/>
    <cellStyle name="PB Table Total Row 3 3 4" xfId="44036" xr:uid="{D2AD2C1F-1EFF-4520-95EB-1E10E30B986C}"/>
    <cellStyle name="PB Table Total Row 3 3 4 2" xfId="44037" xr:uid="{F75FCC99-A897-494E-8739-3C345072F1DC}"/>
    <cellStyle name="PB Table Total Row 3 3 4 2 2" xfId="44038" xr:uid="{F9F46B80-EDDF-401C-9A38-5F8D88D0AD2E}"/>
    <cellStyle name="PB Table Total Row 3 3 4 3" xfId="44039" xr:uid="{C325A8B2-75EF-4B01-AD1B-58BCEBEAC614}"/>
    <cellStyle name="PB Table Total Row 3 3 5" xfId="44040" xr:uid="{47FBE855-4DF4-4E9E-80EF-2EF7DCC7D48C}"/>
    <cellStyle name="PB Table Total Row 3 3 5 2" xfId="44041" xr:uid="{AAAE8586-E660-4F33-9EA6-8E65DEDD42E4}"/>
    <cellStyle name="PB Table Total Row 3 3 5 2 2" xfId="44042" xr:uid="{F1941811-7320-483A-9810-87531CD6DF2C}"/>
    <cellStyle name="PB Table Total Row 3 3 5 3" xfId="44043" xr:uid="{C32A07DA-57CF-47DF-B4E2-5A97048B2E40}"/>
    <cellStyle name="PB Table Total Row 3 3 6" xfId="44044" xr:uid="{A040243C-F943-4665-BA2A-D793FADC702F}"/>
    <cellStyle name="PB Table Total Row 3 3 6 2" xfId="44045" xr:uid="{AECD3F34-1C46-4C10-A3CA-67FA5C87E518}"/>
    <cellStyle name="PB Table Total Row 3 3 6 2 2" xfId="44046" xr:uid="{CD107006-7F2A-4005-A03C-B17C1F96D044}"/>
    <cellStyle name="PB Table Total Row 3 3 6 3" xfId="44047" xr:uid="{A9860EE5-5EE0-4E30-8F3D-70F90DA2C53C}"/>
    <cellStyle name="PB Table Total Row 3 3 7" xfId="44048" xr:uid="{0F839767-9A34-4D0D-A054-A722FE0F5605}"/>
    <cellStyle name="PB Table Total Row 3 3 7 2" xfId="44049" xr:uid="{46CCB2D9-1295-462B-A57E-6357AF46DCB3}"/>
    <cellStyle name="PB Table Total Row 3 3 7 2 2" xfId="44050" xr:uid="{E8881EBC-C08B-4716-93CA-AB73775FA15F}"/>
    <cellStyle name="PB Table Total Row 3 3 7 3" xfId="44051" xr:uid="{3B56D095-CC23-4E29-9B84-65F9201170A3}"/>
    <cellStyle name="PB Table Total Row 3 3 8" xfId="44052" xr:uid="{877406CF-E9FB-410B-9876-F3984AD762E7}"/>
    <cellStyle name="PB Table Total Row 3 3 8 2" xfId="44053" xr:uid="{C2E6A976-8D6F-4F32-90DF-694086C8C503}"/>
    <cellStyle name="PB Table Total Row 3 3 8 2 2" xfId="44054" xr:uid="{F7F12147-DE42-4684-9EBC-9DCED6B070EF}"/>
    <cellStyle name="PB Table Total Row 3 3 8 3" xfId="44055" xr:uid="{4362F8BE-E379-4110-86E7-83798EF7E603}"/>
    <cellStyle name="PB Table Total Row 3 3 9" xfId="44056" xr:uid="{C50C594A-FA06-44C7-82B7-E03179292FB5}"/>
    <cellStyle name="PB Table Total Row 3 3 9 2" xfId="44057" xr:uid="{E70DD6A8-F176-46A2-9D8B-7078B577FCD2}"/>
    <cellStyle name="PB Table Total Row 3 3 9 2 2" xfId="44058" xr:uid="{008A7D16-6F37-4699-B2E3-4043096A5D59}"/>
    <cellStyle name="PB Table Total Row 3 3 9 3" xfId="44059" xr:uid="{AE30E44A-3FE2-41C0-B009-E9798F20AA52}"/>
    <cellStyle name="PB Table Total Row 3 4" xfId="44060" xr:uid="{E5FF7DC8-3843-466A-9AE3-8DAD43D8BA83}"/>
    <cellStyle name="PB Table Total Row 3 4 10" xfId="44061" xr:uid="{EC03F2AD-E7AB-487F-B038-C33CEAC9207A}"/>
    <cellStyle name="PB Table Total Row 3 4 10 2" xfId="44062" xr:uid="{C47294FD-F3D0-44D0-837D-039159610449}"/>
    <cellStyle name="PB Table Total Row 3 4 11" xfId="44063" xr:uid="{7C5E8A69-7D6C-4698-A5CB-7171C76D315F}"/>
    <cellStyle name="PB Table Total Row 3 4 2" xfId="44064" xr:uid="{EE621ECF-393B-4F2F-A6F3-BE0DD7164E16}"/>
    <cellStyle name="PB Table Total Row 3 4 2 2" xfId="44065" xr:uid="{A33FE77F-2CB5-4F7A-84E3-F03EA71E063D}"/>
    <cellStyle name="PB Table Total Row 3 4 2 2 2" xfId="44066" xr:uid="{94808C41-7800-49DB-AE4C-96AEACE8A30A}"/>
    <cellStyle name="PB Table Total Row 3 4 2 3" xfId="44067" xr:uid="{4266BEC4-BE59-41FC-9875-B8DB8648EC4B}"/>
    <cellStyle name="PB Table Total Row 3 4 3" xfId="44068" xr:uid="{6923A9A6-86D5-4503-87D8-812CC3B06155}"/>
    <cellStyle name="PB Table Total Row 3 4 3 2" xfId="44069" xr:uid="{7D0D9B77-5E88-4747-B92C-D280AA7EB60E}"/>
    <cellStyle name="PB Table Total Row 3 4 3 2 2" xfId="44070" xr:uid="{BD697963-9340-4A22-9E77-B5BE746A1173}"/>
    <cellStyle name="PB Table Total Row 3 4 3 3" xfId="44071" xr:uid="{F8E898A0-A8B3-429A-B05E-8DED11C36F58}"/>
    <cellStyle name="PB Table Total Row 3 4 4" xfId="44072" xr:uid="{1069728A-25B4-47DD-AB7E-0905AD80C45C}"/>
    <cellStyle name="PB Table Total Row 3 4 4 2" xfId="44073" xr:uid="{38576C77-B766-452C-A9FE-9910E28F9F22}"/>
    <cellStyle name="PB Table Total Row 3 4 4 2 2" xfId="44074" xr:uid="{8B8A6A9D-5577-43CF-883B-7C8EFC9B72C7}"/>
    <cellStyle name="PB Table Total Row 3 4 4 3" xfId="44075" xr:uid="{B08CD017-DA11-4798-BE02-732238CAAE43}"/>
    <cellStyle name="PB Table Total Row 3 4 5" xfId="44076" xr:uid="{1F3F1C3E-E393-4420-A7FD-9BE7036901A2}"/>
    <cellStyle name="PB Table Total Row 3 4 5 2" xfId="44077" xr:uid="{0E8A486F-4817-4494-AD2C-2102B24661FE}"/>
    <cellStyle name="PB Table Total Row 3 4 5 2 2" xfId="44078" xr:uid="{DA198CB7-AEF7-4329-87F4-D1725255AC29}"/>
    <cellStyle name="PB Table Total Row 3 4 5 3" xfId="44079" xr:uid="{7C1D4544-4853-4886-912F-27976A2FA0EC}"/>
    <cellStyle name="PB Table Total Row 3 4 6" xfId="44080" xr:uid="{292B77DB-B5C8-43A5-B842-C5680D12422A}"/>
    <cellStyle name="PB Table Total Row 3 4 6 2" xfId="44081" xr:uid="{16C20586-481F-4E18-B330-C9ABC4F89ADD}"/>
    <cellStyle name="PB Table Total Row 3 4 6 2 2" xfId="44082" xr:uid="{7A5E7610-958C-44AB-A3AE-E66472D41197}"/>
    <cellStyle name="PB Table Total Row 3 4 6 3" xfId="44083" xr:uid="{B5017CD2-2CA4-4EBC-BC46-B6E0078A2B2F}"/>
    <cellStyle name="PB Table Total Row 3 4 7" xfId="44084" xr:uid="{1D82A752-3E0D-4400-AD34-0EAC4395A76D}"/>
    <cellStyle name="PB Table Total Row 3 4 7 2" xfId="44085" xr:uid="{123DD449-E759-4741-A618-1003438EF47C}"/>
    <cellStyle name="PB Table Total Row 3 4 7 2 2" xfId="44086" xr:uid="{9AD0B4B7-D116-413A-AC0D-9755E667C5F0}"/>
    <cellStyle name="PB Table Total Row 3 4 7 3" xfId="44087" xr:uid="{84F0CC38-7CB3-49B4-8B5F-C966CB635286}"/>
    <cellStyle name="PB Table Total Row 3 4 8" xfId="44088" xr:uid="{2302F97C-F84F-4679-AF7A-820C40356230}"/>
    <cellStyle name="PB Table Total Row 3 4 8 2" xfId="44089" xr:uid="{1814B0A9-24E0-47E7-B814-04926E5D99CD}"/>
    <cellStyle name="PB Table Total Row 3 4 8 2 2" xfId="44090" xr:uid="{C51AAAB4-3C3A-4112-B88C-61EFC5078DA2}"/>
    <cellStyle name="PB Table Total Row 3 4 8 3" xfId="44091" xr:uid="{91B57A4C-8AC5-4F56-9DC5-ECFAC1F5026C}"/>
    <cellStyle name="PB Table Total Row 3 4 9" xfId="44092" xr:uid="{CFD307A9-94B7-4663-A148-38CAA60EFA13}"/>
    <cellStyle name="PB Table Total Row 3 4 9 2" xfId="44093" xr:uid="{8EB3EE9D-007A-477D-8489-E34F3C5CA6F4}"/>
    <cellStyle name="PB Table Total Row 3 4 9 2 2" xfId="44094" xr:uid="{B7BA37C7-E912-4440-AE75-A232AFE27649}"/>
    <cellStyle name="PB Table Total Row 3 4 9 3" xfId="44095" xr:uid="{1C5C93C9-A996-4909-992F-94ABF41FC66C}"/>
    <cellStyle name="PB Table Total Row 3 5" xfId="44096" xr:uid="{0DF1F282-ED5A-4A80-BCED-979EA7058014}"/>
    <cellStyle name="PB Table Total Row 3 5 2" xfId="44097" xr:uid="{1E9F6357-80E2-4F10-90EE-71A3F6586DC3}"/>
    <cellStyle name="PB Table Total Row 3 5 2 2" xfId="44098" xr:uid="{52B01D26-CC74-42BB-A1E5-A62F16788A39}"/>
    <cellStyle name="PB Table Total Row 3 5 3" xfId="44099" xr:uid="{BC0AD6F3-EB95-41F1-9B4C-9D9CB2CC48A2}"/>
    <cellStyle name="PB Table Total Row 3 6" xfId="44100" xr:uid="{D73A1475-DC8E-4F74-867A-AB38CD54E2A3}"/>
    <cellStyle name="PB Table Total Row 3 6 2" xfId="44101" xr:uid="{B9B25B8E-2E54-4A12-A7FD-FF14C3C4E84B}"/>
    <cellStyle name="PB Table Total Row 3 6 2 2" xfId="44102" xr:uid="{49A1506D-D96A-4AB9-9368-0FED69ECDAA7}"/>
    <cellStyle name="PB Table Total Row 3 6 3" xfId="44103" xr:uid="{8B48D5DC-E31D-4AED-B8F2-586071390EF2}"/>
    <cellStyle name="PB Table Total Row 3 7" xfId="44104" xr:uid="{5E2CEBB5-9B7D-4945-894B-B4902661166F}"/>
    <cellStyle name="PB Table Total Row 3 7 2" xfId="44105" xr:uid="{858B5B97-D930-481F-B3D4-80F6B393121F}"/>
    <cellStyle name="PB Table Total Row 3 7 2 2" xfId="44106" xr:uid="{FD88E9F6-2788-4845-80AF-FCF068BCFCD0}"/>
    <cellStyle name="PB Table Total Row 3 7 3" xfId="44107" xr:uid="{BB37AA3D-AA3A-4CEB-AE6F-1E766A862B97}"/>
    <cellStyle name="PB Table Total Row 3 8" xfId="44108" xr:uid="{AE27F2A0-1B24-4E4F-BD6A-DD734568E3D0}"/>
    <cellStyle name="PB Table Total Row 3 8 2" xfId="44109" xr:uid="{2367BDC3-8847-4BBC-9E4D-FF32C87DF6FF}"/>
    <cellStyle name="PB Table Total Row 3 8 2 2" xfId="44110" xr:uid="{34501C67-FAA4-49F6-88F6-3C7928002AD0}"/>
    <cellStyle name="PB Table Total Row 3 8 3" xfId="44111" xr:uid="{BB4D2DC9-A833-492A-8CCC-43F11496A7CB}"/>
    <cellStyle name="PB Table Total Row 3 9" xfId="44112" xr:uid="{A4EBCFDD-2DD0-47D0-BBFB-EC06F39B94BB}"/>
    <cellStyle name="PB Table Total Row 3 9 2" xfId="44113" xr:uid="{493E4DAF-9DEB-4545-8967-BFE4443BF8BB}"/>
    <cellStyle name="PB Table Total Row 3 9 2 2" xfId="44114" xr:uid="{CC99C1DA-7D60-46F8-BC7A-577DDB3112C9}"/>
    <cellStyle name="PB Table Total Row 3 9 3" xfId="44115" xr:uid="{36EFB5E1-D894-4B48-A44F-7CE5B4279CC5}"/>
    <cellStyle name="PB Table Total Row 4" xfId="44116" xr:uid="{411D4646-D016-41EE-877A-B2EA471D2DF5}"/>
    <cellStyle name="PB Table Total Row 4 10" xfId="44117" xr:uid="{5F340BF7-452D-477C-9940-B76E2B841077}"/>
    <cellStyle name="PB Table Total Row 4 10 2" xfId="44118" xr:uid="{D9D35962-CEE1-45E8-ADAB-B19D99DBB366}"/>
    <cellStyle name="PB Table Total Row 4 10 2 2" xfId="44119" xr:uid="{B78F3D77-F812-46AB-96A5-7FDAF3C6474C}"/>
    <cellStyle name="PB Table Total Row 4 10 3" xfId="44120" xr:uid="{0BFDCAFB-CAE1-4E20-A446-550A37DAA739}"/>
    <cellStyle name="PB Table Total Row 4 11" xfId="44121" xr:uid="{67D61E3A-559F-4332-B259-CA4FAE2BDBD2}"/>
    <cellStyle name="PB Table Total Row 4 11 2" xfId="44122" xr:uid="{9325694F-C15B-4C64-BAD4-D89B1FC84734}"/>
    <cellStyle name="PB Table Total Row 4 11 2 2" xfId="44123" xr:uid="{85155A31-A3E5-4143-B129-0E24F7F0F7C1}"/>
    <cellStyle name="PB Table Total Row 4 11 3" xfId="44124" xr:uid="{203019C6-5807-4732-ADAE-7746CEBC1928}"/>
    <cellStyle name="PB Table Total Row 4 12" xfId="44125" xr:uid="{A31FC14D-6FB6-43D7-9E6D-3C0412417B95}"/>
    <cellStyle name="PB Table Total Row 4 12 2" xfId="44126" xr:uid="{B55D9CC9-FC12-4B32-9B21-3EF4C8EE5EE4}"/>
    <cellStyle name="PB Table Total Row 4 13" xfId="44127" xr:uid="{851C1349-1ED0-48B2-8359-563A723E394E}"/>
    <cellStyle name="PB Table Total Row 4 2" xfId="44128" xr:uid="{253FCE70-9121-4CAF-9BD1-215EE7177F27}"/>
    <cellStyle name="PB Table Total Row 4 2 10" xfId="44129" xr:uid="{6FA7737E-18FA-401D-9A44-25F5DDE62EF7}"/>
    <cellStyle name="PB Table Total Row 4 2 10 2" xfId="44130" xr:uid="{901BEEEE-B7EC-4B2B-9AB5-FF08E068474E}"/>
    <cellStyle name="PB Table Total Row 4 2 10 2 2" xfId="44131" xr:uid="{7C524164-F0C9-4450-A95F-E6F492E327AF}"/>
    <cellStyle name="PB Table Total Row 4 2 10 3" xfId="44132" xr:uid="{2448573C-0FEB-4358-86F4-75DE2BA5D33A}"/>
    <cellStyle name="PB Table Total Row 4 2 11" xfId="44133" xr:uid="{00976D85-7413-4D17-8FC1-A55F427BD143}"/>
    <cellStyle name="PB Table Total Row 4 2 11 2" xfId="44134" xr:uid="{CCEF6621-3544-46CD-9DA8-E921772747ED}"/>
    <cellStyle name="PB Table Total Row 4 2 12" xfId="44135" xr:uid="{EF6E521C-7995-4989-A131-D26BF82CA42B}"/>
    <cellStyle name="PB Table Total Row 4 2 2" xfId="44136" xr:uid="{54B2D163-E975-4BEE-BC34-52D3D978F77D}"/>
    <cellStyle name="PB Table Total Row 4 2 2 2" xfId="44137" xr:uid="{474C9C43-ECD3-43B7-AB61-27C0EEDF0F8C}"/>
    <cellStyle name="PB Table Total Row 4 2 2 2 2" xfId="44138" xr:uid="{18C229F1-AEF0-4551-ACCF-146E97F7452B}"/>
    <cellStyle name="PB Table Total Row 4 2 2 3" xfId="44139" xr:uid="{D7092AD2-3D24-486E-B905-63ABEE294806}"/>
    <cellStyle name="PB Table Total Row 4 2 3" xfId="44140" xr:uid="{14CB19E5-667E-4982-9DD4-62967B293D5B}"/>
    <cellStyle name="PB Table Total Row 4 2 3 2" xfId="44141" xr:uid="{6581663D-A49B-4DFD-B344-2239E1D59D9E}"/>
    <cellStyle name="PB Table Total Row 4 2 3 2 2" xfId="44142" xr:uid="{DD8C7733-4D98-41FB-94B7-A13E0E80FB8E}"/>
    <cellStyle name="PB Table Total Row 4 2 3 3" xfId="44143" xr:uid="{2D55579F-20A7-472E-8C63-45E9CB1257A2}"/>
    <cellStyle name="PB Table Total Row 4 2 4" xfId="44144" xr:uid="{710D2AB1-52E1-4DD2-A88A-BE26117171EB}"/>
    <cellStyle name="PB Table Total Row 4 2 4 2" xfId="44145" xr:uid="{A985C12E-4D3D-4D63-BDBA-9D8CA45C31E5}"/>
    <cellStyle name="PB Table Total Row 4 2 4 2 2" xfId="44146" xr:uid="{D956639E-822D-4F50-AF18-148FBB562F67}"/>
    <cellStyle name="PB Table Total Row 4 2 4 3" xfId="44147" xr:uid="{D5139C2C-CAAC-44A5-AF64-F32638A9DBD1}"/>
    <cellStyle name="PB Table Total Row 4 2 5" xfId="44148" xr:uid="{96009FB7-9CF9-4556-9EDF-176B647F57BB}"/>
    <cellStyle name="PB Table Total Row 4 2 5 2" xfId="44149" xr:uid="{F9A3B9D9-B76E-4AE6-9EBB-14068282D72F}"/>
    <cellStyle name="PB Table Total Row 4 2 5 2 2" xfId="44150" xr:uid="{984C80F2-AADD-481B-BA48-203272F785D4}"/>
    <cellStyle name="PB Table Total Row 4 2 5 3" xfId="44151" xr:uid="{7322CA63-0537-4C00-A8FC-13C55F8A43BE}"/>
    <cellStyle name="PB Table Total Row 4 2 6" xfId="44152" xr:uid="{DB884EA4-F841-4CFD-BAF8-86FDE19AB72B}"/>
    <cellStyle name="PB Table Total Row 4 2 6 2" xfId="44153" xr:uid="{0EDA9A84-3671-42B9-BD2B-E9F7628A4FC4}"/>
    <cellStyle name="PB Table Total Row 4 2 6 2 2" xfId="44154" xr:uid="{C20C7A44-9BCF-4B86-86F3-6ED2A4CCD987}"/>
    <cellStyle name="PB Table Total Row 4 2 6 3" xfId="44155" xr:uid="{C72262A7-7E5F-43DF-827D-F729A291463C}"/>
    <cellStyle name="PB Table Total Row 4 2 7" xfId="44156" xr:uid="{E56560AE-0893-4155-803D-20F4C747970D}"/>
    <cellStyle name="PB Table Total Row 4 2 7 2" xfId="44157" xr:uid="{52B8FECD-13D8-4C8C-BCDB-D5C2622F79BA}"/>
    <cellStyle name="PB Table Total Row 4 2 7 2 2" xfId="44158" xr:uid="{5217FC80-402B-4935-A9CC-509A659380FC}"/>
    <cellStyle name="PB Table Total Row 4 2 7 3" xfId="44159" xr:uid="{63BFF5F6-8FC8-4243-A8B1-3F2FAA8BB420}"/>
    <cellStyle name="PB Table Total Row 4 2 8" xfId="44160" xr:uid="{43D94644-A924-4703-8C7E-6EDFF7585A17}"/>
    <cellStyle name="PB Table Total Row 4 2 8 2" xfId="44161" xr:uid="{A2FA1EA0-D83B-42C3-8D07-CA71DA009D4B}"/>
    <cellStyle name="PB Table Total Row 4 2 8 2 2" xfId="44162" xr:uid="{62DA300F-181F-4888-99F8-5F994E0E5D8A}"/>
    <cellStyle name="PB Table Total Row 4 2 8 3" xfId="44163" xr:uid="{5EF93363-C4CF-4943-AB2E-E8E66EAE81FF}"/>
    <cellStyle name="PB Table Total Row 4 2 9" xfId="44164" xr:uid="{65E7E123-781F-489F-804A-C915649495F8}"/>
    <cellStyle name="PB Table Total Row 4 2 9 2" xfId="44165" xr:uid="{A808B30F-9FB2-47C3-853A-16B603F2E521}"/>
    <cellStyle name="PB Table Total Row 4 2 9 2 2" xfId="44166" xr:uid="{C0E14FFD-7487-48DB-B1BB-E8CA439338B4}"/>
    <cellStyle name="PB Table Total Row 4 2 9 3" xfId="44167" xr:uid="{74C46F6A-2196-4BCA-9338-39B2EC932861}"/>
    <cellStyle name="PB Table Total Row 4 3" xfId="44168" xr:uid="{2A0E654D-A772-4E7A-AC61-4C93FAE371FB}"/>
    <cellStyle name="PB Table Total Row 4 3 10" xfId="44169" xr:uid="{D51F542E-8E97-4F86-BAE8-C52A2674719C}"/>
    <cellStyle name="PB Table Total Row 4 3 10 2" xfId="44170" xr:uid="{CD7A111E-E574-42A1-92C5-09B0BD70AEB7}"/>
    <cellStyle name="PB Table Total Row 4 3 11" xfId="44171" xr:uid="{63B2355B-5A10-4416-9719-5E106D2A15FE}"/>
    <cellStyle name="PB Table Total Row 4 3 2" xfId="44172" xr:uid="{146C607D-60DC-4306-9A21-D2BEEB10B2F5}"/>
    <cellStyle name="PB Table Total Row 4 3 2 2" xfId="44173" xr:uid="{A3FA21FF-6598-4E53-9092-AB0C95487A79}"/>
    <cellStyle name="PB Table Total Row 4 3 2 2 2" xfId="44174" xr:uid="{0C2E7376-2946-49FD-95C4-AD85F9A59877}"/>
    <cellStyle name="PB Table Total Row 4 3 2 3" xfId="44175" xr:uid="{CE9FA771-FDFB-4048-9D81-6C57745D30ED}"/>
    <cellStyle name="PB Table Total Row 4 3 3" xfId="44176" xr:uid="{8B1C91E9-AC6E-425E-B98A-71FAB9FDCABE}"/>
    <cellStyle name="PB Table Total Row 4 3 3 2" xfId="44177" xr:uid="{62A75B13-7F92-410A-AFF1-710A05B1AF41}"/>
    <cellStyle name="PB Table Total Row 4 3 3 2 2" xfId="44178" xr:uid="{5E29045D-3C51-4E71-9DA6-3F2301B75537}"/>
    <cellStyle name="PB Table Total Row 4 3 3 3" xfId="44179" xr:uid="{4FD105A5-B458-4D5A-BA54-4788875F0DE3}"/>
    <cellStyle name="PB Table Total Row 4 3 4" xfId="44180" xr:uid="{847188F3-E393-44D0-83B8-8908F151024A}"/>
    <cellStyle name="PB Table Total Row 4 3 4 2" xfId="44181" xr:uid="{F4EFD427-F475-4489-8F89-15ADE33A4A3B}"/>
    <cellStyle name="PB Table Total Row 4 3 4 2 2" xfId="44182" xr:uid="{70D8899E-AFFC-459E-B293-7629CA4935EB}"/>
    <cellStyle name="PB Table Total Row 4 3 4 3" xfId="44183" xr:uid="{4B4BABCC-BD28-41F9-A40B-7DDE32D85193}"/>
    <cellStyle name="PB Table Total Row 4 3 5" xfId="44184" xr:uid="{A89D6FF0-B3C1-4D90-BFCD-0985F7CC8411}"/>
    <cellStyle name="PB Table Total Row 4 3 5 2" xfId="44185" xr:uid="{9B913284-73CB-4AD1-ACE8-7892DD44F37B}"/>
    <cellStyle name="PB Table Total Row 4 3 5 2 2" xfId="44186" xr:uid="{500EA18B-5C63-4960-BDC0-917CB272355B}"/>
    <cellStyle name="PB Table Total Row 4 3 5 3" xfId="44187" xr:uid="{36A03082-E77A-4353-A413-6442ADC8E081}"/>
    <cellStyle name="PB Table Total Row 4 3 6" xfId="44188" xr:uid="{62D06123-7166-43AA-A882-E2D426750815}"/>
    <cellStyle name="PB Table Total Row 4 3 6 2" xfId="44189" xr:uid="{74BC0361-0036-402F-BB65-FBE947ED1C5F}"/>
    <cellStyle name="PB Table Total Row 4 3 6 2 2" xfId="44190" xr:uid="{6B9D3D36-3D41-454A-A9D7-B009F3E05503}"/>
    <cellStyle name="PB Table Total Row 4 3 6 3" xfId="44191" xr:uid="{0E2BB3ED-3532-4B52-901B-36C08DC3AD9F}"/>
    <cellStyle name="PB Table Total Row 4 3 7" xfId="44192" xr:uid="{46FF0FB9-62B2-4BE5-B0A6-4A9EBF826FBD}"/>
    <cellStyle name="PB Table Total Row 4 3 7 2" xfId="44193" xr:uid="{4D51750E-C5B6-4650-9D11-7F273CD680D4}"/>
    <cellStyle name="PB Table Total Row 4 3 7 2 2" xfId="44194" xr:uid="{51041E14-EA8D-4D6F-9096-B1B4A6369B55}"/>
    <cellStyle name="PB Table Total Row 4 3 7 3" xfId="44195" xr:uid="{277C0EF3-DDA5-4377-8340-CB902593BC5B}"/>
    <cellStyle name="PB Table Total Row 4 3 8" xfId="44196" xr:uid="{D41A0683-6081-42EE-A406-BB482B422019}"/>
    <cellStyle name="PB Table Total Row 4 3 8 2" xfId="44197" xr:uid="{698E8A25-6A95-436B-B182-72DCF4D507EF}"/>
    <cellStyle name="PB Table Total Row 4 3 8 2 2" xfId="44198" xr:uid="{DE771C71-6629-4F2E-A11B-3368E19A4B6B}"/>
    <cellStyle name="PB Table Total Row 4 3 8 3" xfId="44199" xr:uid="{D6462392-006B-4D6E-AB71-6E3972544649}"/>
    <cellStyle name="PB Table Total Row 4 3 9" xfId="44200" xr:uid="{BAEF528A-E954-4804-B6B6-1559C1E8D949}"/>
    <cellStyle name="PB Table Total Row 4 3 9 2" xfId="44201" xr:uid="{8BDA76E0-62C9-48A0-AD52-F8F76382BF96}"/>
    <cellStyle name="PB Table Total Row 4 3 9 2 2" xfId="44202" xr:uid="{0B810860-C790-46B5-AC2A-A31C01A042F9}"/>
    <cellStyle name="PB Table Total Row 4 3 9 3" xfId="44203" xr:uid="{639F3968-26E3-4C36-9F33-F99F62204480}"/>
    <cellStyle name="PB Table Total Row 4 4" xfId="44204" xr:uid="{FE60ED0E-DAE9-4A94-829B-D57C4200A8EC}"/>
    <cellStyle name="PB Table Total Row 4 4 2" xfId="44205" xr:uid="{9C3C5482-C09A-481E-BC0D-C8471968218A}"/>
    <cellStyle name="PB Table Total Row 4 4 2 2" xfId="44206" xr:uid="{B59FF337-6EE6-494C-B90B-0B0DD7237C91}"/>
    <cellStyle name="PB Table Total Row 4 4 3" xfId="44207" xr:uid="{F39F1084-FC95-430C-9CC0-1CE4BD51CB4A}"/>
    <cellStyle name="PB Table Total Row 4 5" xfId="44208" xr:uid="{02C86F00-E270-4EEB-A14B-42791ECBB914}"/>
    <cellStyle name="PB Table Total Row 4 5 2" xfId="44209" xr:uid="{07F82B52-CF04-4A39-979B-922CE378CBC5}"/>
    <cellStyle name="PB Table Total Row 4 5 2 2" xfId="44210" xr:uid="{B5D04697-ED7F-41CE-B255-6DA8CF6C8DDA}"/>
    <cellStyle name="PB Table Total Row 4 5 3" xfId="44211" xr:uid="{EE4BAFC8-5381-4A81-A643-C9F2C34E1CDC}"/>
    <cellStyle name="PB Table Total Row 4 6" xfId="44212" xr:uid="{96A5FF5F-50C5-4435-A0EF-02D7724B5F2D}"/>
    <cellStyle name="PB Table Total Row 4 6 2" xfId="44213" xr:uid="{3134FE29-7070-42EE-8EDF-ECE447C27616}"/>
    <cellStyle name="PB Table Total Row 4 6 2 2" xfId="44214" xr:uid="{66EDE470-59E9-427F-A265-82675B36D302}"/>
    <cellStyle name="PB Table Total Row 4 6 3" xfId="44215" xr:uid="{46D3ED68-CDFD-4DAA-86B0-01D808387EE8}"/>
    <cellStyle name="PB Table Total Row 4 7" xfId="44216" xr:uid="{703CC51A-4EC5-455F-85A8-B1B963F98489}"/>
    <cellStyle name="PB Table Total Row 4 7 2" xfId="44217" xr:uid="{16D01608-3EAA-4A29-A416-B2C206B7E335}"/>
    <cellStyle name="PB Table Total Row 4 7 2 2" xfId="44218" xr:uid="{94EECE74-0CC3-4451-9FEF-99676F98E5F9}"/>
    <cellStyle name="PB Table Total Row 4 7 3" xfId="44219" xr:uid="{328F3FE4-6880-4384-A3F4-4E89DC7A6338}"/>
    <cellStyle name="PB Table Total Row 4 8" xfId="44220" xr:uid="{60CF7BEE-F5E4-4FBA-9EDE-501E5B523669}"/>
    <cellStyle name="PB Table Total Row 4 8 2" xfId="44221" xr:uid="{0573FEE5-614A-4BD0-BD81-053A31636EBE}"/>
    <cellStyle name="PB Table Total Row 4 8 2 2" xfId="44222" xr:uid="{55017233-BAF4-4593-98EF-CCAE77A1E309}"/>
    <cellStyle name="PB Table Total Row 4 8 3" xfId="44223" xr:uid="{C90F1E40-8F0C-420B-A230-96D9C2147413}"/>
    <cellStyle name="PB Table Total Row 4 9" xfId="44224" xr:uid="{7EE50A0D-6448-4891-A207-AFF405C73E94}"/>
    <cellStyle name="PB Table Total Row 4 9 2" xfId="44225" xr:uid="{9E9733A0-8888-4D69-918A-B9A41A3BD69C}"/>
    <cellStyle name="PB Table Total Row 4 9 2 2" xfId="44226" xr:uid="{AD9138F1-9F66-4EA9-9AC8-FAFAAC0D6A0E}"/>
    <cellStyle name="PB Table Total Row 4 9 3" xfId="44227" xr:uid="{FF3E7F0D-7421-4842-9671-A181B41AB281}"/>
    <cellStyle name="per.style" xfId="44228" xr:uid="{39665193-4145-40FD-BEA5-50B5F0C3DD49}"/>
    <cellStyle name="Percent" xfId="16" builtinId="5"/>
    <cellStyle name="Percent [0]" xfId="44229" xr:uid="{F1CBDDF8-07D6-4CA7-8E09-1C1383E2D963}"/>
    <cellStyle name="Percent [00]" xfId="44230" xr:uid="{1549EA33-9723-4733-BADD-89C203325EC6}"/>
    <cellStyle name="Percent [2]" xfId="44231" xr:uid="{50D20E75-282F-45EB-88E5-91353923270A}"/>
    <cellStyle name="Percent 00" xfId="44232" xr:uid="{60563733-BA47-4481-8146-7C66BA85364C}"/>
    <cellStyle name="Percent 00 10" xfId="44233" xr:uid="{D2694898-5ACB-40D0-A67B-96CCA3D09C0E}"/>
    <cellStyle name="Percent 00 11" xfId="44234" xr:uid="{10E433F9-BDC7-4148-982B-16635202A033}"/>
    <cellStyle name="Percent 00 12" xfId="44235" xr:uid="{2ED6E25E-D171-4C28-9E74-17B6862BAD34}"/>
    <cellStyle name="Percent 00 13" xfId="44236" xr:uid="{C476E237-E628-4662-9137-756B618119F7}"/>
    <cellStyle name="Percent 00 14" xfId="44237" xr:uid="{0C43DB0B-A0FE-4DFC-8698-EC48F25F98FB}"/>
    <cellStyle name="Percent 00 15" xfId="44238" xr:uid="{232EEEE7-8C7E-4BB4-92F6-865E9BFFB573}"/>
    <cellStyle name="Percent 00 16" xfId="44239" xr:uid="{D0F6B686-A68B-4B20-9B16-1783212FB43D}"/>
    <cellStyle name="Percent 00 17" xfId="44240" xr:uid="{90F72D4E-8422-4D18-9307-1238EF5FFF68}"/>
    <cellStyle name="Percent 00 18" xfId="44241" xr:uid="{02181166-DB96-46B4-8BE3-45EAF1F3FB40}"/>
    <cellStyle name="Percent 00 2" xfId="44242" xr:uid="{C2503C04-27FF-41CC-8125-CA0F6B2A5482}"/>
    <cellStyle name="Percent 00 3" xfId="44243" xr:uid="{9D70F0CA-D285-4976-BFFA-98A46610AEF9}"/>
    <cellStyle name="Percent 00 4" xfId="44244" xr:uid="{78945B4D-ACA0-43ED-8FB0-10530FFD970F}"/>
    <cellStyle name="Percent 00 5" xfId="44245" xr:uid="{16ED4D58-50C8-4FBC-98B7-E498E8660E7C}"/>
    <cellStyle name="Percent 00 6" xfId="44246" xr:uid="{0E2FCF54-B9B4-41F3-A3A6-FCA53987066A}"/>
    <cellStyle name="Percent 00 7" xfId="44247" xr:uid="{AB06707C-5721-406C-A8D7-8655C72EF740}"/>
    <cellStyle name="Percent 00 8" xfId="44248" xr:uid="{25F56F1A-DCA0-40FA-8D92-DFB6AD2C3C41}"/>
    <cellStyle name="Percent 00 9" xfId="44249" xr:uid="{EC60A290-4AD3-492F-813A-F811730EDCDA}"/>
    <cellStyle name="Percent 2" xfId="105" xr:uid="{00000000-0005-0000-0000-00003F000000}"/>
    <cellStyle name="Percent 2 2" xfId="44251" xr:uid="{0E8785AC-A64B-4998-98EC-8EAD9BEAE82A}"/>
    <cellStyle name="Percent 2 2 2" xfId="44252" xr:uid="{A97DDC45-DCA3-4D3A-BB69-AA2950B14763}"/>
    <cellStyle name="Percent 2 2 3" xfId="44253" xr:uid="{3F208CAB-9214-4FA3-BDCC-540268CF7B68}"/>
    <cellStyle name="Percent 2 3" xfId="44254" xr:uid="{0AA09880-611D-45F3-B016-C0EE6C7D190E}"/>
    <cellStyle name="Percent 2 4" xfId="44255" xr:uid="{2F7063C5-B62D-4B80-B895-FD9E87260060}"/>
    <cellStyle name="Percent 2 5" xfId="44256" xr:uid="{E9561CF1-A62F-4E3C-8BCD-94A4A32FC5E7}"/>
    <cellStyle name="Percent 2 6" xfId="44257" xr:uid="{60629E13-390E-4024-B9E4-FF52C8C5B2C7}"/>
    <cellStyle name="Percent 2 7" xfId="44258" xr:uid="{7279FD4C-AE46-4008-94E8-184A3F5A91CC}"/>
    <cellStyle name="Percent 2 8" xfId="44250" xr:uid="{0CD88E28-65C7-4F64-86B3-265A7E1462E9}"/>
    <cellStyle name="Percent 3" xfId="44259" xr:uid="{463DA947-D447-4302-B182-CD15BD581A83}"/>
    <cellStyle name="Percent 3 2" xfId="44260" xr:uid="{52D306F1-A5FE-4C23-A35B-12A4D3E25B04}"/>
    <cellStyle name="Percent 4" xfId="44261" xr:uid="{AE31CC4D-904F-4DA1-B7D0-08791CE62B3D}"/>
    <cellStyle name="Percent 4 2" xfId="44262" xr:uid="{44E95186-C22B-4271-9296-9E1C1F5343F4}"/>
    <cellStyle name="Percent 4 2 2" xfId="44263" xr:uid="{736D4D14-2DDE-427F-92C4-BCE4232DD9CF}"/>
    <cellStyle name="Percent 4 2 3" xfId="44264" xr:uid="{A6944924-5CB3-4339-9AE5-EBD4B7D51F4D}"/>
    <cellStyle name="Percent 4 2 4" xfId="44265" xr:uid="{AA115E4F-E7C6-463C-A7EF-95D691FDB11E}"/>
    <cellStyle name="Percent 4 2 5" xfId="44266" xr:uid="{E31ACDFD-320E-4A3F-8EF7-F57CC9437A5E}"/>
    <cellStyle name="Percent 4 2 6" xfId="44267" xr:uid="{F17AE5C3-4E34-47A6-8AF8-5EB64FFC7675}"/>
    <cellStyle name="Percent 4 2 7" xfId="44268" xr:uid="{C21D9332-8060-4B0B-AF04-A2F6057C9B1A}"/>
    <cellStyle name="Percent 4 3" xfId="44269" xr:uid="{BDBE3976-8D10-49AE-B79A-781535DBADC4}"/>
    <cellStyle name="Percent 4 4" xfId="44270" xr:uid="{2774C11F-13B1-4F27-84FC-7E0A0A546678}"/>
    <cellStyle name="Percent 4 5" xfId="44271" xr:uid="{0651C437-9B57-4B12-9E86-674C35CCADFB}"/>
    <cellStyle name="Percent 4 6" xfId="44272" xr:uid="{02DFC3D1-88CD-4DAA-9E1E-70C70D4A06CF}"/>
    <cellStyle name="Percent 4 7" xfId="44273" xr:uid="{7B156A2E-BE5F-473F-92FE-FD4A29647701}"/>
    <cellStyle name="Percent 4 8" xfId="44274" xr:uid="{7BECB991-12F2-449E-A0DE-F4AA1ECF9BF2}"/>
    <cellStyle name="Percent 5" xfId="44275" xr:uid="{EF0B7EAB-3467-4A2E-A6D9-6A977955757F}"/>
    <cellStyle name="Percent 5 2" xfId="44276" xr:uid="{FA166074-3493-405E-AC07-A8A6E76B22D1}"/>
    <cellStyle name="Percent 6" xfId="46159" xr:uid="{4929BB91-E289-456C-9431-D33FC40B12B3}"/>
    <cellStyle name="Percent 7" xfId="44277" xr:uid="{FC235554-36C5-4120-BB2C-CEAA8A3DD3ED}"/>
    <cellStyle name="Percent 7 2" xfId="44278" xr:uid="{7BB7C9BF-FA11-4429-9427-A6BF4B1BF838}"/>
    <cellStyle name="Percent 7 2 2" xfId="44279" xr:uid="{089823C3-E44B-46B4-B324-EA0961F2161C}"/>
    <cellStyle name="Percent 7 2 3" xfId="44280" xr:uid="{CF45A7F0-DDF2-49AB-833A-4906E2C00813}"/>
    <cellStyle name="Percent 7 2 4" xfId="44281" xr:uid="{C5DDA105-95CD-4748-ABF8-CE0DA0D70824}"/>
    <cellStyle name="Percent 7 2 5" xfId="44282" xr:uid="{9C8EC78B-C3FC-464A-BA46-D570DB76DD35}"/>
    <cellStyle name="Percent 7 2 6" xfId="44283" xr:uid="{401D3138-2D22-466E-B394-A4E2945FA644}"/>
    <cellStyle name="Percent 7 2 7" xfId="44284" xr:uid="{63560174-6E99-4A21-A3BA-1A2EAC9818A4}"/>
    <cellStyle name="Percent 7 3" xfId="44285" xr:uid="{104D7D70-2886-4465-819D-9A9976B6131B}"/>
    <cellStyle name="Percent 7 4" xfId="44286" xr:uid="{05A50F16-CC62-4F68-9929-2AB963282095}"/>
    <cellStyle name="Percent 7 5" xfId="44287" xr:uid="{26E652DB-3618-4753-B080-1F83BA371F39}"/>
    <cellStyle name="Percent 7 6" xfId="44288" xr:uid="{C371A8B4-9A57-4D7D-9791-C94328FDD776}"/>
    <cellStyle name="Percent 7 7" xfId="44289" xr:uid="{2F617A1A-9D91-4136-B4A8-082F1D641AA3}"/>
    <cellStyle name="Percent 7 8" xfId="44290" xr:uid="{C0F234F1-D84A-4657-A475-CB4F930FADAB}"/>
    <cellStyle name="Percent 8" xfId="44291" xr:uid="{7866056D-FCF8-4835-B835-1484AA88DF2E}"/>
    <cellStyle name="Percent 8 2" xfId="44292" xr:uid="{49BEF537-0DDC-4F5B-A148-508A50FD6A3B}"/>
    <cellStyle name="Percent 8 3" xfId="44293" xr:uid="{9305AC0A-348C-4083-8662-AA019ABE2653}"/>
    <cellStyle name="Percent 8 4" xfId="44294" xr:uid="{2664AE9A-9E1B-4064-BE85-6DF264477867}"/>
    <cellStyle name="Percent 8 5" xfId="44295" xr:uid="{34198358-52E6-428E-B0F4-90F8F4C8D98E}"/>
    <cellStyle name="Percent 8 6" xfId="44296" xr:uid="{1613197C-84F7-4BF1-BDBC-79357C0ED25D}"/>
    <cellStyle name="Percent 8 7" xfId="44297" xr:uid="{52EAE9EB-E147-4E24-88B1-54D470879626}"/>
    <cellStyle name="Percent 9" xfId="44298" xr:uid="{10E525D0-8CBD-4337-8DD3-179DCC8281D7}"/>
    <cellStyle name="Percent 9 2" xfId="44299" xr:uid="{DB2624BC-2C8A-4D12-9D28-2A5140F3429C}"/>
    <cellStyle name="Percent 9 3" xfId="44300" xr:uid="{7703E16F-7AC7-4DE6-B0B9-DE5D7212E023}"/>
    <cellStyle name="Percent 9 4" xfId="44301" xr:uid="{BC1B11A5-F8A3-49DB-8317-63F879B699E7}"/>
    <cellStyle name="Percent 9 5" xfId="44302" xr:uid="{13A145D1-B6DF-4369-BCBF-33C4747833EE}"/>
    <cellStyle name="Percent 9 6" xfId="44303" xr:uid="{E1AF8F9B-4600-44F7-9AAB-B3029354F9B0}"/>
    <cellStyle name="Percent 9 7" xfId="44304" xr:uid="{8FEE94B6-FBF7-4E46-BF32-B9F6E98A74D2}"/>
    <cellStyle name="Percent Hard" xfId="44305" xr:uid="{F04E9D72-ABEA-46D6-812A-125024049E73}"/>
    <cellStyle name="Percent Hard 10" xfId="44306" xr:uid="{A7D4DAEE-DCB6-475F-B826-BF7792A98ABE}"/>
    <cellStyle name="Percent Hard 11" xfId="44307" xr:uid="{D167212E-8D22-485D-A17E-B3F8F442D572}"/>
    <cellStyle name="Percent Hard 12" xfId="44308" xr:uid="{22B2D4C6-46E0-4E7D-BC43-AA9BE7EA942B}"/>
    <cellStyle name="Percent Hard 2" xfId="44309" xr:uid="{DD188558-3D64-477F-8673-8E9BDD5DF76B}"/>
    <cellStyle name="Percent Hard 3" xfId="44310" xr:uid="{384AB44C-9CCD-400C-9E4E-8F8402479CDC}"/>
    <cellStyle name="Percent Hard 4" xfId="44311" xr:uid="{1B539666-F722-4BCB-89D1-E33CE8F69E34}"/>
    <cellStyle name="Percent Hard 5" xfId="44312" xr:uid="{FD930B18-E252-4E03-9941-93F54D0BE52C}"/>
    <cellStyle name="Percent Hard 6" xfId="44313" xr:uid="{8DED117C-8350-466E-862F-C30BB9CBD30F}"/>
    <cellStyle name="Percent Hard 7" xfId="44314" xr:uid="{B82CBAE1-340E-4A86-83C3-50F5FA259C63}"/>
    <cellStyle name="Percent Hard 8" xfId="44315" xr:uid="{ED81E499-C42D-4F10-AF8C-1DDA15924891}"/>
    <cellStyle name="Percent Hard 9" xfId="44316" xr:uid="{EE243C1E-DC4A-4B71-8A1E-1C8714CB0BF6}"/>
    <cellStyle name="Pourcentage 10" xfId="106" xr:uid="{00000000-0005-0000-0000-000040000000}"/>
    <cellStyle name="Pourcentage 10 2" xfId="44317" xr:uid="{4B6896D4-EA32-4CB3-AB6C-2FAA91B30F26}"/>
    <cellStyle name="Pourcentage 191" xfId="240" xr:uid="{A7CB4799-1E2B-46B6-8A70-0EAA0D41E627}"/>
    <cellStyle name="Pourcentage 191 2" xfId="44318" xr:uid="{7AA5F405-5FD9-4483-8761-1893DEB0555D}"/>
    <cellStyle name="Pourcentage 192" xfId="44319" xr:uid="{C67097E9-094C-447A-A2EA-16680FF441CB}"/>
    <cellStyle name="Pourcentage 192 2" xfId="44320" xr:uid="{4E77B7DC-A2FE-4CE8-942C-9F5FA5FA94DC}"/>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209" xfId="44321" xr:uid="{E6A3717D-4784-462B-AE54-C935070A7C93}"/>
    <cellStyle name="Pourcentage 209 2" xfId="44322" xr:uid="{A66E36DE-3893-4EF1-914D-F948A1FB236D}"/>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4 2 2" xfId="44323" xr:uid="{C4AF40B4-143B-440F-81D4-8ED73339837B}"/>
    <cellStyle name="Pourcentage 4 3" xfId="44324" xr:uid="{97A0E89F-4805-4293-908B-102F708D68A9}"/>
    <cellStyle name="Pourcentage 4 3 2" xfId="44325" xr:uid="{1446ED2E-2B4C-4FFF-A679-096344C1432F}"/>
    <cellStyle name="Pourcentage 4 4" xfId="44326" xr:uid="{18AFA99C-7CAA-4177-A2E2-595D1C957DC4}"/>
    <cellStyle name="Pourcentage 4 5" xfId="44327" xr:uid="{021F8FF4-5523-4119-95A2-5F393589DF7D}"/>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Pourcentage 6" xfId="44328" xr:uid="{C621A972-FF2C-4FEC-8828-CBA3FF76BDE7}"/>
    <cellStyle name="Pourcentage 6 2" xfId="44329" xr:uid="{D5550304-A94E-4881-8E85-863B3A06EFF3}"/>
    <cellStyle name="Pourcentage 7" xfId="44330" xr:uid="{CD183124-4128-4A1E-B616-45B4A109934F}"/>
    <cellStyle name="Pourcentage 7 2" xfId="44331" xr:uid="{CC312F8A-97FD-42A1-A057-CB092572C631}"/>
    <cellStyle name="Pourcentage 8" xfId="44332" xr:uid="{6C532802-F8A5-4F73-98DE-72021B317863}"/>
    <cellStyle name="Processing Cell" xfId="44333" xr:uid="{7B37F224-2C98-409E-8477-90B6431DFEE1}"/>
    <cellStyle name="PSChar" xfId="44334" xr:uid="{2801CCE0-3EDA-4C67-A4F9-89005AB6E0F8}"/>
    <cellStyle name="PSDate" xfId="44335" xr:uid="{5D67590F-ECB1-4C2F-9FEC-2D3F2C5C3A3B}"/>
    <cellStyle name="PSHeading" xfId="44336" xr:uid="{7F413287-25CF-4368-853D-0071CFFB0877}"/>
    <cellStyle name="PSSpacer" xfId="44337" xr:uid="{42CA289E-E7D3-49B2-8836-CD1570D7B0C8}"/>
    <cellStyle name="Reference" xfId="44338" xr:uid="{D2184F75-EEDC-4DBD-9208-22910E26FFD1}"/>
    <cellStyle name="regstoresfromspecstores" xfId="44339" xr:uid="{DE82181B-5F4E-45FF-AD1D-FD8F1F2D66C9}"/>
    <cellStyle name="RevList" xfId="44340" xr:uid="{30B0766E-3C23-473E-BF08-6E9F1A8D9D6D}"/>
    <cellStyle name="Salida" xfId="44341" xr:uid="{62601889-347D-4802-AFCD-DD25338E65DF}"/>
    <cellStyle name="Salida 2" xfId="44342" xr:uid="{7D84E325-3F4E-4D7D-9B33-B86C4CA3FD08}"/>
    <cellStyle name="SAPBEXaggData" xfId="44343" xr:uid="{BC4C1AAA-337D-4AE2-A047-EDB58C3BF0AB}"/>
    <cellStyle name="SAPBEXaggDataEmph" xfId="44344" xr:uid="{2F2C578E-0A59-41ED-9FB5-1AF67397488D}"/>
    <cellStyle name="SAPBEXaggItem" xfId="44345" xr:uid="{A77EFC42-E183-4E81-8296-F724BFF70128}"/>
    <cellStyle name="SAPBEXaggItemX" xfId="44346" xr:uid="{2181F6A3-D121-433D-9E67-6F6C5FF5ADF4}"/>
    <cellStyle name="SAPBEXchaText" xfId="44347" xr:uid="{260C4C48-4B1F-4D02-9F62-61E0CD4E7AD5}"/>
    <cellStyle name="SAPBEXexcBad7" xfId="44348" xr:uid="{EED71202-8601-4AD1-A12F-EEE901BB404E}"/>
    <cellStyle name="SAPBEXexcBad8" xfId="44349" xr:uid="{37D9E53D-30CB-49BE-9C35-9EE6C8A801BC}"/>
    <cellStyle name="SAPBEXexcBad9" xfId="44350" xr:uid="{AFFA4203-7EC2-4219-81E9-888ADFC4AFD2}"/>
    <cellStyle name="SAPBEXexcCritical4" xfId="44351" xr:uid="{A3DEBA1C-2D63-4B62-BEBB-2D7BE4A298F7}"/>
    <cellStyle name="SAPBEXexcCritical5" xfId="44352" xr:uid="{6B6F6340-D427-4D40-B25A-4B6C21375D8F}"/>
    <cellStyle name="SAPBEXexcCritical6" xfId="44353" xr:uid="{022C351E-6F54-493D-9847-BE9485F94D2E}"/>
    <cellStyle name="SAPBEXexcGood1" xfId="44354" xr:uid="{C3FB53AB-B12E-4541-9773-8F8D83CD6B15}"/>
    <cellStyle name="SAPBEXexcGood2" xfId="44355" xr:uid="{5BBCD3DB-F14A-46FB-BFF8-40F5D7BB2066}"/>
    <cellStyle name="SAPBEXexcGood3" xfId="44356" xr:uid="{323ABBA5-46D5-48E7-A779-432EA93EC928}"/>
    <cellStyle name="SAPBEXfilterDrill" xfId="44357" xr:uid="{51C3DA32-87DA-4088-8080-2F931BE7294B}"/>
    <cellStyle name="SAPBEXfilterDrill 2" xfId="44358" xr:uid="{596CD450-DC81-4551-8B1C-2DEBD0BF9EFE}"/>
    <cellStyle name="SAPBEXfilterDrill 2 2" xfId="44359" xr:uid="{2ED2EEB8-4546-4984-A6A5-F4905E5F3FEF}"/>
    <cellStyle name="SAPBEXfilterDrill 3" xfId="44360" xr:uid="{982E62BD-692C-4011-9CB8-2CED995879DE}"/>
    <cellStyle name="SAPBEXfilterDrill 3 2" xfId="44361" xr:uid="{9DB7C1CE-AA1E-4E32-8FF8-FDBE2DFE7ADB}"/>
    <cellStyle name="SAPBEXfilterDrill 4" xfId="44362" xr:uid="{F1F8307B-4E03-411E-B59B-732736C43E52}"/>
    <cellStyle name="SAPBEXfilterDrill 4 2" xfId="44363" xr:uid="{AFED5DD9-7248-47E9-AE2C-2C22352CAFD1}"/>
    <cellStyle name="SAPBEXfilterDrill 5" xfId="44364" xr:uid="{2B77C18C-2E96-490A-9A7F-B06F75B76741}"/>
    <cellStyle name="SAPBEXfilterItem" xfId="44365" xr:uid="{E14A459E-1D18-4C0F-B927-14353B59D8F4}"/>
    <cellStyle name="SAPBEXfilterText" xfId="44366" xr:uid="{71AAA626-26EC-48D9-AF14-C6703A68CF8A}"/>
    <cellStyle name="SAPBEXformats" xfId="44367" xr:uid="{A57BB67A-8873-447D-B335-A3AB2C42E696}"/>
    <cellStyle name="SAPBEXheaderItem" xfId="44368" xr:uid="{EFDC4761-DA5F-49EA-813C-A1EC2B1C4283}"/>
    <cellStyle name="SAPBEXheaderItem 10" xfId="44369" xr:uid="{FE86EFB5-AA69-4A5F-A1B0-F4E30FDACBB6}"/>
    <cellStyle name="SAPBEXheaderItem 11" xfId="44370" xr:uid="{C1BD574C-8DE6-4E29-A1E8-FAC6E5D2015D}"/>
    <cellStyle name="SAPBEXheaderItem 12" xfId="44371" xr:uid="{BFF8031D-76B8-444D-A874-8766EB5BD93E}"/>
    <cellStyle name="SAPBEXheaderItem 2" xfId="44372" xr:uid="{8CEFDF93-3053-4618-84DB-8D851D7D6FE8}"/>
    <cellStyle name="SAPBEXheaderItem 3" xfId="44373" xr:uid="{BFA03BD4-E4B2-443A-84DF-CD8A93CE8A4B}"/>
    <cellStyle name="SAPBEXheaderItem 4" xfId="44374" xr:uid="{C4F72B12-9455-41ED-B6D8-44CEFAE194BB}"/>
    <cellStyle name="SAPBEXheaderItem 5" xfId="44375" xr:uid="{32B3D939-3196-40AB-B5B3-1B5F8DFC9D38}"/>
    <cellStyle name="SAPBEXheaderItem 6" xfId="44376" xr:uid="{10B89E71-D16E-4C55-B10E-EBDBA33B44C3}"/>
    <cellStyle name="SAPBEXheaderItem 7" xfId="44377" xr:uid="{F321CDFF-8D3A-4B39-A98C-94C4A606B34F}"/>
    <cellStyle name="SAPBEXheaderItem 8" xfId="44378" xr:uid="{44774E48-EC13-41F3-B1E7-EFEBB8FC602D}"/>
    <cellStyle name="SAPBEXheaderItem 9" xfId="44379" xr:uid="{C108FE64-0536-46CA-BC10-0375A7F36547}"/>
    <cellStyle name="SAPBEXheaderText" xfId="44380" xr:uid="{5C70B7BE-3EAD-4171-B251-556A05F2EA3F}"/>
    <cellStyle name="SAPBEXheaderText 10" xfId="44381" xr:uid="{E0C71513-A894-4DC9-B568-291D245AC5F4}"/>
    <cellStyle name="SAPBEXheaderText 11" xfId="44382" xr:uid="{14E4DFB2-0FD2-42EB-8712-409F90919201}"/>
    <cellStyle name="SAPBEXheaderText 12" xfId="44383" xr:uid="{EC9CCEDF-0062-425F-BEBE-CFBB8B7254A4}"/>
    <cellStyle name="SAPBEXheaderText 2" xfId="44384" xr:uid="{D14E6B47-460C-48BC-8F1A-F8598195E43C}"/>
    <cellStyle name="SAPBEXheaderText 3" xfId="44385" xr:uid="{35E62047-AF2B-477C-B390-6F1AC0C8EF63}"/>
    <cellStyle name="SAPBEXheaderText 4" xfId="44386" xr:uid="{46109D4F-CAB6-4C8A-94B5-11BBD7C0A3BF}"/>
    <cellStyle name="SAPBEXheaderText 5" xfId="44387" xr:uid="{4BDF2C5D-244F-490A-BC59-DA064778938F}"/>
    <cellStyle name="SAPBEXheaderText 6" xfId="44388" xr:uid="{7AE25831-1ED1-474E-BF3F-22249666F6CC}"/>
    <cellStyle name="SAPBEXheaderText 7" xfId="44389" xr:uid="{55206269-F9F2-4568-9A86-1F9A89EFDD48}"/>
    <cellStyle name="SAPBEXheaderText 8" xfId="44390" xr:uid="{489CA9EB-03C4-4123-855F-7EE5C549713A}"/>
    <cellStyle name="SAPBEXheaderText 9" xfId="44391" xr:uid="{DCD46206-2EA7-4A2A-8A7F-AD7AC2176883}"/>
    <cellStyle name="SAPBEXHLevel0" xfId="44392" xr:uid="{C84F7A42-21DA-40A9-BD30-6645CE694960}"/>
    <cellStyle name="SAPBEXHLevel0 2" xfId="44393" xr:uid="{16843296-FC14-4761-A8BF-83CE59AD5CC2}"/>
    <cellStyle name="SAPBEXHLevel0 2 2" xfId="44394" xr:uid="{C778DEB7-FDEB-44F8-9571-DD3D0BD184AD}"/>
    <cellStyle name="SAPBEXHLevel0 2 3" xfId="44395" xr:uid="{84E87440-23F9-440B-8647-64FF2550DA39}"/>
    <cellStyle name="SAPBEXHLevel0 2 4" xfId="44396" xr:uid="{1DCB8774-9AED-4A3A-8DCF-C8726C360560}"/>
    <cellStyle name="SAPBEXHLevel0 2 5" xfId="44397" xr:uid="{16BB1FB8-A6A5-4A84-890B-9DC6AAE1480E}"/>
    <cellStyle name="SAPBEXHLevel0 2 6" xfId="44398" xr:uid="{F2A29BFE-421C-440A-919A-74B0DEBBD9B1}"/>
    <cellStyle name="SAPBEXHLevel0 2 7" xfId="44399" xr:uid="{AD085121-85E6-47B9-A03D-B5648FF632E0}"/>
    <cellStyle name="SAPBEXHLevel0 3" xfId="44400" xr:uid="{12269F4A-C027-4BF5-87AA-8AAD73ECBAE0}"/>
    <cellStyle name="SAPBEXHLevel0 3 2" xfId="44401" xr:uid="{61CE5EA4-6A53-4609-94B0-27A2FB541680}"/>
    <cellStyle name="SAPBEXHLevel0 3 3" xfId="44402" xr:uid="{2120AC4A-6921-41D1-8A50-1B6065CC4B34}"/>
    <cellStyle name="SAPBEXHLevel0 3 4" xfId="44403" xr:uid="{411815E5-1747-436F-859A-7C6F1757088C}"/>
    <cellStyle name="SAPBEXHLevel0 3 5" xfId="44404" xr:uid="{58FD8096-6EF8-4247-9385-C3F21932C8EC}"/>
    <cellStyle name="SAPBEXHLevel0 3 6" xfId="44405" xr:uid="{023070F5-5C4A-4F30-9B88-E753D36D317E}"/>
    <cellStyle name="SAPBEXHLevel0 3 7" xfId="44406" xr:uid="{F3A82679-91BC-408E-9E50-B0D3E463699E}"/>
    <cellStyle name="SAPBEXHLevel0 4" xfId="44407" xr:uid="{D361A492-ADC0-4A55-B74A-00128321F42F}"/>
    <cellStyle name="SAPBEXHLevel0 4 2" xfId="44408" xr:uid="{A11A0675-446D-4CC9-9DD9-5CD28DE3D414}"/>
    <cellStyle name="SAPBEXHLevel0 4 3" xfId="44409" xr:uid="{25C01993-911A-4A83-9FFE-2E8E9E8412F6}"/>
    <cellStyle name="SAPBEXHLevel0 4 4" xfId="44410" xr:uid="{2EFE254D-2D9C-4ABF-AAEA-D1A13463993A}"/>
    <cellStyle name="SAPBEXHLevel0 4 5" xfId="44411" xr:uid="{2DF181B9-1CAA-4CCF-9E01-255E2890CA65}"/>
    <cellStyle name="SAPBEXHLevel0 4 6" xfId="44412" xr:uid="{13A3F3E1-07BF-4A4D-9CEC-37CB6226E4DC}"/>
    <cellStyle name="SAPBEXHLevel0 4 7" xfId="44413" xr:uid="{411336F3-7647-48B4-BABF-FA2FA3F20D83}"/>
    <cellStyle name="SAPBEXHLevel0 5" xfId="44414" xr:uid="{BD9119BC-2E8D-4318-A547-F407FE5C3C11}"/>
    <cellStyle name="SAPBEXHLevel0 5 2" xfId="44415" xr:uid="{266A1D42-9F16-446A-A3CF-6B7CD842F616}"/>
    <cellStyle name="SAPBEXHLevel0 5 3" xfId="44416" xr:uid="{680939A0-7D37-4CA1-A4B0-27EB9B389B43}"/>
    <cellStyle name="SAPBEXHLevel0 5 4" xfId="44417" xr:uid="{1CC4EF96-4B95-4942-9D45-F15B3174CBB2}"/>
    <cellStyle name="SAPBEXHLevel0 5 5" xfId="44418" xr:uid="{3409E773-59EA-4944-B0B4-92FC0A9968A0}"/>
    <cellStyle name="SAPBEXHLevel0 5 6" xfId="44419" xr:uid="{44E4853F-F83C-44A4-8820-14BEB31D3572}"/>
    <cellStyle name="SAPBEXHLevel0 5 7" xfId="44420" xr:uid="{7417AC9E-E568-4C67-AF61-18F8E3201AB5}"/>
    <cellStyle name="SAPBEXHLevel0 6" xfId="44421" xr:uid="{6CFB1EC5-7A17-4CA4-8CD1-AF9C40794316}"/>
    <cellStyle name="SAPBEXHLevel0 6 2" xfId="44422" xr:uid="{51C31E86-9ED7-44FC-A94C-610757CD0ED9}"/>
    <cellStyle name="SAPBEXHLevel0 6 3" xfId="44423" xr:uid="{B9DA00EE-E23F-48AA-A8F9-0D6FE728320B}"/>
    <cellStyle name="SAPBEXHLevel0 6 4" xfId="44424" xr:uid="{CD239F64-E478-443E-8A36-B3239C24EEA9}"/>
    <cellStyle name="SAPBEXHLevel0 6 5" xfId="44425" xr:uid="{A56CA33C-7A04-4C6D-9451-A1E7C1A2AD65}"/>
    <cellStyle name="SAPBEXHLevel0 6 6" xfId="44426" xr:uid="{D2A450B3-B205-4518-9366-3114BA4B25D2}"/>
    <cellStyle name="SAPBEXHLevel0 6 7" xfId="44427" xr:uid="{E3390734-4E2D-4CEF-88A4-DD5971889CC7}"/>
    <cellStyle name="SAPBEXHLevel0X" xfId="44428" xr:uid="{9BD1349A-9CB4-4E80-B804-49F19AAC3C75}"/>
    <cellStyle name="SAPBEXHLevel0X 2" xfId="44429" xr:uid="{1C93A2F7-6D79-4E6D-B9ED-B48CB60F0A4F}"/>
    <cellStyle name="SAPBEXHLevel0X 2 2" xfId="44430" xr:uid="{21EBB733-4BD1-4888-AF55-8634B48FD854}"/>
    <cellStyle name="SAPBEXHLevel0X 2 3" xfId="44431" xr:uid="{FD70EF0F-F47B-4C61-8B19-7C7ABE8E97E9}"/>
    <cellStyle name="SAPBEXHLevel0X 2 4" xfId="44432" xr:uid="{FA497E4B-B5FF-46E4-ACBB-F5C44B996253}"/>
    <cellStyle name="SAPBEXHLevel0X 2 5" xfId="44433" xr:uid="{C2AEF007-FF28-43DE-9DEA-BB66907D0B2F}"/>
    <cellStyle name="SAPBEXHLevel0X 2 6" xfId="44434" xr:uid="{D14937A7-162C-4432-AD31-C5FE817C4C58}"/>
    <cellStyle name="SAPBEXHLevel0X 2 7" xfId="44435" xr:uid="{AF5148CC-08AE-4575-A468-31D1D79657F7}"/>
    <cellStyle name="SAPBEXHLevel0X 3" xfId="44436" xr:uid="{3594C1BD-BBEC-4F2F-AF44-2A7A1D01411B}"/>
    <cellStyle name="SAPBEXHLevel0X 3 2" xfId="44437" xr:uid="{2F8EBA50-FF06-47A1-8260-F589F2C9FC76}"/>
    <cellStyle name="SAPBEXHLevel0X 3 3" xfId="44438" xr:uid="{685907E1-330A-497B-BD8C-AE207EB53318}"/>
    <cellStyle name="SAPBEXHLevel0X 3 4" xfId="44439" xr:uid="{A67D7AD3-0D25-4597-98B7-980E32B6E5A4}"/>
    <cellStyle name="SAPBEXHLevel0X 3 5" xfId="44440" xr:uid="{9E57DCE6-AA7E-45EA-B23D-2C4031D963D8}"/>
    <cellStyle name="SAPBEXHLevel0X 3 6" xfId="44441" xr:uid="{FC0868E1-670D-46BC-97F0-48B9CFDAA0F2}"/>
    <cellStyle name="SAPBEXHLevel0X 3 7" xfId="44442" xr:uid="{B61C97FC-359C-4269-A221-4CA5CAE0939A}"/>
    <cellStyle name="SAPBEXHLevel0X 4" xfId="44443" xr:uid="{46B1935C-A118-4904-842C-CD50E9782A9E}"/>
    <cellStyle name="SAPBEXHLevel0X 4 2" xfId="44444" xr:uid="{DCB54317-937E-45AE-A341-648FF9A42F24}"/>
    <cellStyle name="SAPBEXHLevel0X 4 3" xfId="44445" xr:uid="{F8874A81-185F-429E-97C6-97158A1B64C2}"/>
    <cellStyle name="SAPBEXHLevel0X 4 4" xfId="44446" xr:uid="{8438A079-EB98-47F1-B2E6-8240571DCD4A}"/>
    <cellStyle name="SAPBEXHLevel0X 4 5" xfId="44447" xr:uid="{CF329BEA-6FFB-45A7-95B9-3FC93E5AC424}"/>
    <cellStyle name="SAPBEXHLevel0X 4 6" xfId="44448" xr:uid="{42FCEB22-CDCE-46C6-AE43-84FD9D758438}"/>
    <cellStyle name="SAPBEXHLevel0X 4 7" xfId="44449" xr:uid="{C573EE26-43B8-49AC-B6B2-0C2AA01EED0D}"/>
    <cellStyle name="SAPBEXHLevel0X 5" xfId="44450" xr:uid="{44D01006-92FC-4CA4-B63A-0D961BF7FB28}"/>
    <cellStyle name="SAPBEXHLevel0X 5 2" xfId="44451" xr:uid="{B9652584-C9DE-410F-B848-4DAC11C703DB}"/>
    <cellStyle name="SAPBEXHLevel0X 5 3" xfId="44452" xr:uid="{ADFAF1B6-4138-462D-9CDC-ECDCB77015A6}"/>
    <cellStyle name="SAPBEXHLevel0X 5 4" xfId="44453" xr:uid="{0A77B3C7-2C85-45A4-876B-9956BD9642A2}"/>
    <cellStyle name="SAPBEXHLevel0X 5 5" xfId="44454" xr:uid="{42A93622-C628-4DDD-A205-5B90A4C55A8E}"/>
    <cellStyle name="SAPBEXHLevel0X 5 6" xfId="44455" xr:uid="{DFDBCE8D-6732-48EB-914F-1D4F81FBF99D}"/>
    <cellStyle name="SAPBEXHLevel0X 5 7" xfId="44456" xr:uid="{44544250-5CFB-4B6A-B654-6EF807EA0BD9}"/>
    <cellStyle name="SAPBEXHLevel0X 6" xfId="44457" xr:uid="{58D23511-ED26-424D-AF5A-0AB0C1E733B0}"/>
    <cellStyle name="SAPBEXHLevel0X 6 2" xfId="44458" xr:uid="{AE94EBC8-0FBE-49DA-A072-B14AD3A0603D}"/>
    <cellStyle name="SAPBEXHLevel0X 6 3" xfId="44459" xr:uid="{A356EC5E-9413-4C03-A26F-86AB3405CE01}"/>
    <cellStyle name="SAPBEXHLevel0X 6 4" xfId="44460" xr:uid="{B19629F4-7A4C-4EAE-81FB-0BEBA978A605}"/>
    <cellStyle name="SAPBEXHLevel0X 6 5" xfId="44461" xr:uid="{0232A6D5-6129-4EFF-B189-99161E7AC539}"/>
    <cellStyle name="SAPBEXHLevel0X 6 6" xfId="44462" xr:uid="{2A42AB79-9376-4291-BD69-E8A0D72C03C9}"/>
    <cellStyle name="SAPBEXHLevel0X 6 7" xfId="44463" xr:uid="{90CD95AF-5FD4-4DE1-9B57-278B8DF385D9}"/>
    <cellStyle name="SAPBEXHLevel1" xfId="44464" xr:uid="{6702772E-E071-4ED8-886C-4858BF7BDDF1}"/>
    <cellStyle name="SAPBEXHLevel1 2" xfId="44465" xr:uid="{60DFD80E-A747-4F19-9A01-3E874231E0EF}"/>
    <cellStyle name="SAPBEXHLevel1 2 2" xfId="44466" xr:uid="{D5F3F5D7-01C9-47AA-9396-F32E573860C0}"/>
    <cellStyle name="SAPBEXHLevel1 2 3" xfId="44467" xr:uid="{E3B965E1-F380-4B57-AAD1-613BFBFF2D0D}"/>
    <cellStyle name="SAPBEXHLevel1 2 4" xfId="44468" xr:uid="{2A384A6D-8D4E-4679-BEC5-BCD90EAE08BE}"/>
    <cellStyle name="SAPBEXHLevel1 2 5" xfId="44469" xr:uid="{36A1D16B-38DD-4293-9C26-B71DEA5687EF}"/>
    <cellStyle name="SAPBEXHLevel1 2 6" xfId="44470" xr:uid="{88533C52-90A1-497B-9690-CA6FBF721D82}"/>
    <cellStyle name="SAPBEXHLevel1 2 7" xfId="44471" xr:uid="{55CE388B-11E1-4F6F-A265-A33C42C9E651}"/>
    <cellStyle name="SAPBEXHLevel1 3" xfId="44472" xr:uid="{28D48AE0-23EB-4968-86F7-552FEE5E6E0A}"/>
    <cellStyle name="SAPBEXHLevel1 3 2" xfId="44473" xr:uid="{BC854CA5-3FA4-4523-B381-79C6DA471E71}"/>
    <cellStyle name="SAPBEXHLevel1 3 3" xfId="44474" xr:uid="{AD7982CC-5BC1-46AF-8360-B133C0015C4E}"/>
    <cellStyle name="SAPBEXHLevel1 3 4" xfId="44475" xr:uid="{D5DAC222-80ED-401B-9B5C-192B575E470D}"/>
    <cellStyle name="SAPBEXHLevel1 3 5" xfId="44476" xr:uid="{C36472D3-7A85-4018-A2F2-36A1ED89313D}"/>
    <cellStyle name="SAPBEXHLevel1 3 6" xfId="44477" xr:uid="{E816BBB8-1EC7-4204-A1AA-70D08DBE84CD}"/>
    <cellStyle name="SAPBEXHLevel1 3 7" xfId="44478" xr:uid="{E56CED39-E58F-4C18-B75D-C535383966BB}"/>
    <cellStyle name="SAPBEXHLevel1 4" xfId="44479" xr:uid="{8E4B9BB0-7E15-4844-B41C-2BC6232E2FB1}"/>
    <cellStyle name="SAPBEXHLevel1 4 2" xfId="44480" xr:uid="{291460C9-4672-4AFE-8967-5DDB6D8A2CB9}"/>
    <cellStyle name="SAPBEXHLevel1 4 3" xfId="44481" xr:uid="{9CBCA4C1-6F54-4A0F-B162-6E817FA8B3D8}"/>
    <cellStyle name="SAPBEXHLevel1 4 4" xfId="44482" xr:uid="{F6424D8A-D169-452B-9627-6F98C1563902}"/>
    <cellStyle name="SAPBEXHLevel1 4 5" xfId="44483" xr:uid="{09D18F55-797B-479E-80A7-F5DBAA8F66F2}"/>
    <cellStyle name="SAPBEXHLevel1 4 6" xfId="44484" xr:uid="{3BB542F2-35CB-4645-8C8A-5E92CCD143E3}"/>
    <cellStyle name="SAPBEXHLevel1 4 7" xfId="44485" xr:uid="{B58D384E-9FD2-4F4D-BA7F-1ED2838E289E}"/>
    <cellStyle name="SAPBEXHLevel1 5" xfId="44486" xr:uid="{E8D93922-AEB4-4567-AD13-18D85A966F89}"/>
    <cellStyle name="SAPBEXHLevel1 5 2" xfId="44487" xr:uid="{1EA7A085-1676-4652-8665-164D05DF517F}"/>
    <cellStyle name="SAPBEXHLevel1 5 3" xfId="44488" xr:uid="{83D44930-C498-4AE7-99D8-73B844350BED}"/>
    <cellStyle name="SAPBEXHLevel1 5 4" xfId="44489" xr:uid="{CE20243E-F745-4EAA-BED8-2EC6157AF268}"/>
    <cellStyle name="SAPBEXHLevel1 5 5" xfId="44490" xr:uid="{4642E972-5B35-42CF-B7A8-57DBC02FC6BE}"/>
    <cellStyle name="SAPBEXHLevel1 5 6" xfId="44491" xr:uid="{CEDB897B-E873-4CB1-B73C-18E273D95C3F}"/>
    <cellStyle name="SAPBEXHLevel1 5 7" xfId="44492" xr:uid="{98E50415-FD55-44DD-81E3-AFD8CB71FC90}"/>
    <cellStyle name="SAPBEXHLevel1 6" xfId="44493" xr:uid="{C7F7773B-AC1C-4E7B-A2A6-8FEBAD42073F}"/>
    <cellStyle name="SAPBEXHLevel1 6 2" xfId="44494" xr:uid="{D0236E4E-0C76-42F6-8276-DE3A754160B8}"/>
    <cellStyle name="SAPBEXHLevel1 6 3" xfId="44495" xr:uid="{BB5E7747-AE10-483F-A658-88CCCAD3A428}"/>
    <cellStyle name="SAPBEXHLevel1 6 4" xfId="44496" xr:uid="{0BF428C9-F518-4434-BDE3-AF5BAD183A87}"/>
    <cellStyle name="SAPBEXHLevel1 6 5" xfId="44497" xr:uid="{366DF2BD-14B9-4B27-A2C2-B6BA99F73551}"/>
    <cellStyle name="SAPBEXHLevel1 6 6" xfId="44498" xr:uid="{2FA65986-1F5A-4E85-BB34-ECDDB84BB13F}"/>
    <cellStyle name="SAPBEXHLevel1 6 7" xfId="44499" xr:uid="{C192B5DE-DDDF-42E8-8900-B452F493F0CD}"/>
    <cellStyle name="SAPBEXHLevel1X" xfId="44500" xr:uid="{E427BCE0-9C43-4E5F-9109-EA3615D72F4C}"/>
    <cellStyle name="SAPBEXHLevel1X 2" xfId="44501" xr:uid="{C095A69E-8515-425D-AEEC-C9C61FD337C5}"/>
    <cellStyle name="SAPBEXHLevel1X 2 2" xfId="44502" xr:uid="{F8978C1F-1573-4B62-A1E4-F088AF77904C}"/>
    <cellStyle name="SAPBEXHLevel1X 2 3" xfId="44503" xr:uid="{2A10B0C6-939B-4B28-B8BB-A5D6F71CBF49}"/>
    <cellStyle name="SAPBEXHLevel1X 2 4" xfId="44504" xr:uid="{18B46B4A-DD3B-4CD7-B8BF-E4CC10608D24}"/>
    <cellStyle name="SAPBEXHLevel1X 2 5" xfId="44505" xr:uid="{1FF0CF4C-3005-4271-AC95-68826A8511C6}"/>
    <cellStyle name="SAPBEXHLevel1X 2 6" xfId="44506" xr:uid="{22DC49B8-48AD-4EB1-AA56-EDAE5A61C0C5}"/>
    <cellStyle name="SAPBEXHLevel1X 2 7" xfId="44507" xr:uid="{D0724516-C0FA-4121-8B89-E5EBE1FD0ECA}"/>
    <cellStyle name="SAPBEXHLevel1X 3" xfId="44508" xr:uid="{F37C76E4-AAEF-4013-B92D-4148E27700D3}"/>
    <cellStyle name="SAPBEXHLevel1X 3 2" xfId="44509" xr:uid="{8507A7E2-2129-41EF-9BCF-3188B39EEB7A}"/>
    <cellStyle name="SAPBEXHLevel1X 3 3" xfId="44510" xr:uid="{08D71FB3-6DA6-43B8-8AA5-B767308AF80A}"/>
    <cellStyle name="SAPBEXHLevel1X 3 4" xfId="44511" xr:uid="{D2DDC3C1-0615-4B1F-934A-13D0010B18E7}"/>
    <cellStyle name="SAPBEXHLevel1X 3 5" xfId="44512" xr:uid="{0B1D0C32-DA19-4A12-A18E-FB95DE7B5D33}"/>
    <cellStyle name="SAPBEXHLevel1X 3 6" xfId="44513" xr:uid="{2C31DA58-D1A1-4EB2-B335-022BE5879417}"/>
    <cellStyle name="SAPBEXHLevel1X 3 7" xfId="44514" xr:uid="{A2AD2507-17C0-4360-815C-08FDAF7A12AD}"/>
    <cellStyle name="SAPBEXHLevel1X 4" xfId="44515" xr:uid="{CFD81E8A-ED4A-4446-891D-01EDE660AE36}"/>
    <cellStyle name="SAPBEXHLevel1X 4 2" xfId="44516" xr:uid="{FC012101-3FAC-49D2-A688-1AA6DAEB45F0}"/>
    <cellStyle name="SAPBEXHLevel1X 4 3" xfId="44517" xr:uid="{3F404FC1-FE02-43FD-BB05-610689E7161C}"/>
    <cellStyle name="SAPBEXHLevel1X 4 4" xfId="44518" xr:uid="{E08DECC0-DEFB-4A75-B421-0A38698E7E09}"/>
    <cellStyle name="SAPBEXHLevel1X 4 5" xfId="44519" xr:uid="{C8C7AFFB-D625-45DE-9868-EE1863398667}"/>
    <cellStyle name="SAPBEXHLevel1X 4 6" xfId="44520" xr:uid="{D7044103-80B9-4BA6-ACB1-532E8600F0B9}"/>
    <cellStyle name="SAPBEXHLevel1X 4 7" xfId="44521" xr:uid="{5B9DC201-99C4-4EE4-92A0-3AFA95A9B9E1}"/>
    <cellStyle name="SAPBEXHLevel1X 5" xfId="44522" xr:uid="{572DBF1B-9B3E-4B1D-9A35-FF7762AC9ED2}"/>
    <cellStyle name="SAPBEXHLevel1X 5 2" xfId="44523" xr:uid="{E8B23D7F-2ED4-47CB-9DBA-2EAE5B7AE67A}"/>
    <cellStyle name="SAPBEXHLevel1X 5 3" xfId="44524" xr:uid="{748E0CD0-D9D5-49B1-8735-CBA98E7202B7}"/>
    <cellStyle name="SAPBEXHLevel1X 5 4" xfId="44525" xr:uid="{5DBE9327-09F1-4292-9E3E-F2D419A30B75}"/>
    <cellStyle name="SAPBEXHLevel1X 5 5" xfId="44526" xr:uid="{841F5BD1-AB7B-4888-9B1B-067BAF86067A}"/>
    <cellStyle name="SAPBEXHLevel1X 5 6" xfId="44527" xr:uid="{9E18CF47-3B0D-4BA0-B0F5-02ECE2679B97}"/>
    <cellStyle name="SAPBEXHLevel1X 5 7" xfId="44528" xr:uid="{9DE3B067-0478-4E64-87AF-32E892EB388B}"/>
    <cellStyle name="SAPBEXHLevel1X 6" xfId="44529" xr:uid="{CA8A99EA-56F7-4933-807C-45275FD9229E}"/>
    <cellStyle name="SAPBEXHLevel1X 6 2" xfId="44530" xr:uid="{02E82A66-ADC9-4F05-A6DC-9B81BB479257}"/>
    <cellStyle name="SAPBEXHLevel1X 6 3" xfId="44531" xr:uid="{A5D98527-69E7-48F8-894E-4AAE6F1845C3}"/>
    <cellStyle name="SAPBEXHLevel1X 6 4" xfId="44532" xr:uid="{1418D01E-08A5-4467-B2D5-13C85D05C7DA}"/>
    <cellStyle name="SAPBEXHLevel1X 6 5" xfId="44533" xr:uid="{E52B0693-5E22-4E07-88FA-BCB4A987BAAD}"/>
    <cellStyle name="SAPBEXHLevel1X 6 6" xfId="44534" xr:uid="{C94E50B8-9B69-4FAB-8425-B7BF2A5F1664}"/>
    <cellStyle name="SAPBEXHLevel1X 6 7" xfId="44535" xr:uid="{3E8B7AAA-91CA-4A2F-A379-0680E99AC9DF}"/>
    <cellStyle name="SAPBEXHLevel2" xfId="44536" xr:uid="{E50B5D62-6EEC-4DE5-9232-7DBA6A0B7DEE}"/>
    <cellStyle name="SAPBEXHLevel2 2" xfId="44537" xr:uid="{C71DDA4E-9C8D-4A57-A7F9-7BA08A2E703C}"/>
    <cellStyle name="SAPBEXHLevel2 2 2" xfId="44538" xr:uid="{72D15D68-6C5B-47A3-8765-AECCB694E804}"/>
    <cellStyle name="SAPBEXHLevel2 2 3" xfId="44539" xr:uid="{BB8BEE18-224E-4607-9C30-DB96CE639216}"/>
    <cellStyle name="SAPBEXHLevel2 2 4" xfId="44540" xr:uid="{EC7F8943-E326-4B6D-A795-440FDD58182F}"/>
    <cellStyle name="SAPBEXHLevel2 2 5" xfId="44541" xr:uid="{7739BCD7-A89C-4EBC-AEDE-AC53AE18556E}"/>
    <cellStyle name="SAPBEXHLevel2 2 6" xfId="44542" xr:uid="{523110B2-0178-43C5-8494-987157ED53FB}"/>
    <cellStyle name="SAPBEXHLevel2 2 7" xfId="44543" xr:uid="{6DC21F52-8E94-47A8-9DAA-1D673BDD8621}"/>
    <cellStyle name="SAPBEXHLevel2 3" xfId="44544" xr:uid="{9435CC01-BBD8-437C-8921-BF9FB1A6276E}"/>
    <cellStyle name="SAPBEXHLevel2 3 2" xfId="44545" xr:uid="{62635A3B-7B5B-48A4-9EB1-B3314C9DAFDE}"/>
    <cellStyle name="SAPBEXHLevel2 3 3" xfId="44546" xr:uid="{64F579EC-DF1B-4DA9-9157-15B483386E27}"/>
    <cellStyle name="SAPBEXHLevel2 3 4" xfId="44547" xr:uid="{26506EA5-7F0D-4DAD-99D5-806F6F22CE54}"/>
    <cellStyle name="SAPBEXHLevel2 3 5" xfId="44548" xr:uid="{2C299356-B036-4895-B9A8-9083F3DB72C8}"/>
    <cellStyle name="SAPBEXHLevel2 3 6" xfId="44549" xr:uid="{D7E382B5-3C3A-4E06-8673-28ACBD864D31}"/>
    <cellStyle name="SAPBEXHLevel2 3 7" xfId="44550" xr:uid="{1075BB1F-4BE2-430F-9787-86F7F91BD3F3}"/>
    <cellStyle name="SAPBEXHLevel2 4" xfId="44551" xr:uid="{83A78C29-A591-4D14-930D-00D44D3FFC73}"/>
    <cellStyle name="SAPBEXHLevel2 4 2" xfId="44552" xr:uid="{B531C91F-1648-4BD6-88BF-E7CC9E31E4F2}"/>
    <cellStyle name="SAPBEXHLevel2 4 3" xfId="44553" xr:uid="{E7E33F76-3204-44B7-BB9C-E5756E95A068}"/>
    <cellStyle name="SAPBEXHLevel2 4 4" xfId="44554" xr:uid="{92376BB2-EE98-4B16-BD62-9B140333CDD6}"/>
    <cellStyle name="SAPBEXHLevel2 4 5" xfId="44555" xr:uid="{BEFBE0B1-79C3-40F0-9B33-65DF59E517EF}"/>
    <cellStyle name="SAPBEXHLevel2 4 6" xfId="44556" xr:uid="{DAE9B964-FCD2-468C-B00E-372C2EE78068}"/>
    <cellStyle name="SAPBEXHLevel2 4 7" xfId="44557" xr:uid="{CB01C858-6A2A-47D5-BE6C-BEFF28C96A9C}"/>
    <cellStyle name="SAPBEXHLevel2 5" xfId="44558" xr:uid="{29539D9E-9C03-44F0-82F1-5BBB1CC33729}"/>
    <cellStyle name="SAPBEXHLevel2 5 2" xfId="44559" xr:uid="{F472AF52-663F-41B8-91E6-38F5AB59F206}"/>
    <cellStyle name="SAPBEXHLevel2 5 3" xfId="44560" xr:uid="{53EA9D58-3657-41DC-9871-F5AABD1F9CE0}"/>
    <cellStyle name="SAPBEXHLevel2 5 4" xfId="44561" xr:uid="{CFDBEFB5-E4F3-40EA-9952-6595D6446DAF}"/>
    <cellStyle name="SAPBEXHLevel2 5 5" xfId="44562" xr:uid="{57440FCE-12E8-4273-A801-A375F4208E27}"/>
    <cellStyle name="SAPBEXHLevel2 5 6" xfId="44563" xr:uid="{DE297677-6031-45A7-A7EF-C82FA42900CB}"/>
    <cellStyle name="SAPBEXHLevel2 5 7" xfId="44564" xr:uid="{29E6E00A-FC8E-45C5-820A-CB8B9B55CBA3}"/>
    <cellStyle name="SAPBEXHLevel2 6" xfId="44565" xr:uid="{6F0AF5DC-86BF-45BB-A879-8AA2DA33EA05}"/>
    <cellStyle name="SAPBEXHLevel2 6 2" xfId="44566" xr:uid="{547C8D61-2E9F-457D-8312-F0DAC1E1789E}"/>
    <cellStyle name="SAPBEXHLevel2 6 3" xfId="44567" xr:uid="{166D33C1-0E29-485D-8BF3-98DF08448FD3}"/>
    <cellStyle name="SAPBEXHLevel2 6 4" xfId="44568" xr:uid="{772E7C45-5B1D-491D-B635-67938255F48D}"/>
    <cellStyle name="SAPBEXHLevel2 6 5" xfId="44569" xr:uid="{1980D422-A64A-449B-B419-9D94728F82DC}"/>
    <cellStyle name="SAPBEXHLevel2 6 6" xfId="44570" xr:uid="{ADC5B3B1-A805-407C-889D-E55BF5FAA0C1}"/>
    <cellStyle name="SAPBEXHLevel2 6 7" xfId="44571" xr:uid="{5C4DCE34-B927-49E7-B69A-947DF11D90CA}"/>
    <cellStyle name="SAPBEXHLevel2X" xfId="44572" xr:uid="{408112FF-84BD-4AF1-9420-2D44B85C74D6}"/>
    <cellStyle name="SAPBEXHLevel2X 2" xfId="44573" xr:uid="{E74473E2-36F9-4482-8AA1-21F2B80DE80B}"/>
    <cellStyle name="SAPBEXHLevel2X 2 2" xfId="44574" xr:uid="{35FA43B6-BA96-4584-B52D-940B46CFF047}"/>
    <cellStyle name="SAPBEXHLevel2X 2 3" xfId="44575" xr:uid="{F8E83A46-B6E9-424A-BE48-2A71845575E9}"/>
    <cellStyle name="SAPBEXHLevel2X 2 4" xfId="44576" xr:uid="{116D4202-B184-4E1B-9CAC-5BDAE30AAD9F}"/>
    <cellStyle name="SAPBEXHLevel2X 2 5" xfId="44577" xr:uid="{07D2FEA4-C72A-458B-96AA-787487AE9ED3}"/>
    <cellStyle name="SAPBEXHLevel2X 2 6" xfId="44578" xr:uid="{72E35A6E-A7B2-44FE-885F-5D456075D9FC}"/>
    <cellStyle name="SAPBEXHLevel2X 2 7" xfId="44579" xr:uid="{598339DA-5AA5-4C79-A8A0-68E2E151D982}"/>
    <cellStyle name="SAPBEXHLevel2X 3" xfId="44580" xr:uid="{5A917662-6CDB-4C53-BB07-6A6BBDDDABFC}"/>
    <cellStyle name="SAPBEXHLevel2X 3 2" xfId="44581" xr:uid="{9FCB0536-DAFC-45AB-8B1A-41A06B1955CC}"/>
    <cellStyle name="SAPBEXHLevel2X 3 3" xfId="44582" xr:uid="{A28199A2-CD2C-46AA-BAB8-78DF8CF1D011}"/>
    <cellStyle name="SAPBEXHLevel2X 3 4" xfId="44583" xr:uid="{3A1ACB9F-D12B-4228-B8D7-605A9EBDFCEB}"/>
    <cellStyle name="SAPBEXHLevel2X 3 5" xfId="44584" xr:uid="{299D1682-180A-4BCD-BD05-1AB052A4DB2F}"/>
    <cellStyle name="SAPBEXHLevel2X 3 6" xfId="44585" xr:uid="{C6E83D24-D022-46F6-B3D5-9177F823931A}"/>
    <cellStyle name="SAPBEXHLevel2X 3 7" xfId="44586" xr:uid="{BDB4FDE3-4DB1-4725-AB37-22F0FB9CDC1A}"/>
    <cellStyle name="SAPBEXHLevel2X 4" xfId="44587" xr:uid="{C965D1BE-B6B4-4CAE-BDBC-FFE18F3A08D7}"/>
    <cellStyle name="SAPBEXHLevel2X 4 2" xfId="44588" xr:uid="{554FC366-3E96-4EA7-A058-02D8E60E311F}"/>
    <cellStyle name="SAPBEXHLevel2X 4 3" xfId="44589" xr:uid="{DCBD2D05-2D96-4DB8-B4ED-8DA1CF794A92}"/>
    <cellStyle name="SAPBEXHLevel2X 4 4" xfId="44590" xr:uid="{21E0DF46-4598-4F69-BCF1-2F27564F9B30}"/>
    <cellStyle name="SAPBEXHLevel2X 4 5" xfId="44591" xr:uid="{3B1C9A21-A953-4736-A37B-A3FED0C70023}"/>
    <cellStyle name="SAPBEXHLevel2X 4 6" xfId="44592" xr:uid="{D4C5FAA1-4CA1-4E21-B52B-189842608D5F}"/>
    <cellStyle name="SAPBEXHLevel2X 4 7" xfId="44593" xr:uid="{69965365-E128-4BB3-836B-762A4F73C909}"/>
    <cellStyle name="SAPBEXHLevel2X 5" xfId="44594" xr:uid="{8010B274-AED6-4EEE-9F8D-F56D50F36525}"/>
    <cellStyle name="SAPBEXHLevel2X 5 2" xfId="44595" xr:uid="{43AE67DC-4AA9-4F8B-8D87-1D837BE18BFC}"/>
    <cellStyle name="SAPBEXHLevel2X 5 3" xfId="44596" xr:uid="{0B9B60D1-C79B-4D3F-9A1C-ABC99423167E}"/>
    <cellStyle name="SAPBEXHLevel2X 5 4" xfId="44597" xr:uid="{22A3CFC9-2598-432C-8467-4BAEC76AB495}"/>
    <cellStyle name="SAPBEXHLevel2X 5 5" xfId="44598" xr:uid="{9F042D2D-2BBB-485B-A77B-2DE948554A7E}"/>
    <cellStyle name="SAPBEXHLevel2X 5 6" xfId="44599" xr:uid="{13BBC746-4882-4E8E-B41E-42B8709401EE}"/>
    <cellStyle name="SAPBEXHLevel2X 5 7" xfId="44600" xr:uid="{6F0B10D5-9D60-4F77-9EDF-E1AC32F33964}"/>
    <cellStyle name="SAPBEXHLevel2X 6" xfId="44601" xr:uid="{423B32E5-BDBE-4909-95F5-1FEA977F0443}"/>
    <cellStyle name="SAPBEXHLevel2X 6 2" xfId="44602" xr:uid="{F2C1E030-F8DD-40E7-A235-CABC341A4357}"/>
    <cellStyle name="SAPBEXHLevel2X 6 3" xfId="44603" xr:uid="{5EF40AD5-A5EA-42FA-A8CF-C2217E6CB146}"/>
    <cellStyle name="SAPBEXHLevel2X 6 4" xfId="44604" xr:uid="{AB5D2D9C-1BB0-4F63-87E3-09E6793E45D7}"/>
    <cellStyle name="SAPBEXHLevel2X 6 5" xfId="44605" xr:uid="{CBBD9A8B-69F3-4DD5-AB4F-8DCEF58672FF}"/>
    <cellStyle name="SAPBEXHLevel2X 6 6" xfId="44606" xr:uid="{F2868C64-A9AA-4201-919A-6AC45A1D5906}"/>
    <cellStyle name="SAPBEXHLevel2X 6 7" xfId="44607" xr:uid="{7EBA0798-D561-44FA-AAC4-6BD1F944F287}"/>
    <cellStyle name="SAPBEXHLevel3" xfId="44608" xr:uid="{DF1DDBA3-6CBD-4C4F-8CFD-B45C1883C18B}"/>
    <cellStyle name="SAPBEXHLevel3 2" xfId="44609" xr:uid="{3E41A0DD-9D5D-43FA-9EB7-BB9DE676E2E5}"/>
    <cellStyle name="SAPBEXHLevel3 2 2" xfId="44610" xr:uid="{AEC5EF73-3705-4C05-927D-C986648ECC6D}"/>
    <cellStyle name="SAPBEXHLevel3 2 3" xfId="44611" xr:uid="{FDCF6751-046B-43C8-B268-077A261B7D1C}"/>
    <cellStyle name="SAPBEXHLevel3 2 4" xfId="44612" xr:uid="{CF656273-1862-488B-AD91-9DF3076D2EAA}"/>
    <cellStyle name="SAPBEXHLevel3 2 5" xfId="44613" xr:uid="{E494B9D4-7075-4FEF-B5EB-B9DE01FDF97B}"/>
    <cellStyle name="SAPBEXHLevel3 2 6" xfId="44614" xr:uid="{F798DCCC-C2FA-4296-9BE3-AB5644636106}"/>
    <cellStyle name="SAPBEXHLevel3 2 7" xfId="44615" xr:uid="{41425429-21D3-4002-9E83-ED5E08288022}"/>
    <cellStyle name="SAPBEXHLevel3 3" xfId="44616" xr:uid="{BD4D27C2-10E2-4579-BBD2-517B5CB7802A}"/>
    <cellStyle name="SAPBEXHLevel3 3 2" xfId="44617" xr:uid="{4D1B4C12-D94E-40CE-AF9D-EE81C540D4ED}"/>
    <cellStyle name="SAPBEXHLevel3 3 3" xfId="44618" xr:uid="{73D7B369-EE9F-4179-9897-59D5C6AF08EE}"/>
    <cellStyle name="SAPBEXHLevel3 3 4" xfId="44619" xr:uid="{47D8C362-3927-4823-947C-6C9400152434}"/>
    <cellStyle name="SAPBEXHLevel3 3 5" xfId="44620" xr:uid="{171E5998-13B5-4EE5-AE62-6B1912AAB672}"/>
    <cellStyle name="SAPBEXHLevel3 3 6" xfId="44621" xr:uid="{3C8F30C3-F60C-4A37-B8D4-E267D06F0639}"/>
    <cellStyle name="SAPBEXHLevel3 3 7" xfId="44622" xr:uid="{94EA4FEE-A958-4840-8EA5-426F0CDA867E}"/>
    <cellStyle name="SAPBEXHLevel3 4" xfId="44623" xr:uid="{F221F850-581B-42B7-B6FA-620619ED4693}"/>
    <cellStyle name="SAPBEXHLevel3 4 2" xfId="44624" xr:uid="{E42A09E9-4742-4890-80A4-86E8F09B57E9}"/>
    <cellStyle name="SAPBEXHLevel3 4 3" xfId="44625" xr:uid="{916627D4-0BB0-4D11-8C8C-C9047B417984}"/>
    <cellStyle name="SAPBEXHLevel3 4 4" xfId="44626" xr:uid="{0D3BF8F2-ED1A-493C-881E-A99AFB9F3CF0}"/>
    <cellStyle name="SAPBEXHLevel3 4 5" xfId="44627" xr:uid="{69ECA6D9-B4AC-4F84-B403-15769E42EDBB}"/>
    <cellStyle name="SAPBEXHLevel3 4 6" xfId="44628" xr:uid="{262A0664-B154-4AC4-97E6-63930D674EB9}"/>
    <cellStyle name="SAPBEXHLevel3 4 7" xfId="44629" xr:uid="{8F649DDB-B401-4995-B09E-CC5F5C91417F}"/>
    <cellStyle name="SAPBEXHLevel3 5" xfId="44630" xr:uid="{35BA41B0-38CF-40AF-BA42-01213224AB52}"/>
    <cellStyle name="SAPBEXHLevel3 5 2" xfId="44631" xr:uid="{4400B0F4-A36C-4972-8257-480FDE911CE3}"/>
    <cellStyle name="SAPBEXHLevel3 5 3" xfId="44632" xr:uid="{2CE8AAB3-6FDE-4798-9F42-E8576F426C65}"/>
    <cellStyle name="SAPBEXHLevel3 5 4" xfId="44633" xr:uid="{97FA7D96-162B-4273-A0CD-C7F62F139546}"/>
    <cellStyle name="SAPBEXHLevel3 5 5" xfId="44634" xr:uid="{974D3C96-6B1A-401C-BC55-04530FC3719D}"/>
    <cellStyle name="SAPBEXHLevel3 5 6" xfId="44635" xr:uid="{61CF255F-2DB0-49AC-8099-0EF365439541}"/>
    <cellStyle name="SAPBEXHLevel3 5 7" xfId="44636" xr:uid="{5BD676BD-0A0B-4B51-B781-2AC7CF860A7B}"/>
    <cellStyle name="SAPBEXHLevel3 6" xfId="44637" xr:uid="{FCB21ED6-C47D-4310-82D7-6877AD199C04}"/>
    <cellStyle name="SAPBEXHLevel3 6 2" xfId="44638" xr:uid="{4C4C220B-8DBF-46CC-A66B-7E4155F074A4}"/>
    <cellStyle name="SAPBEXHLevel3 6 3" xfId="44639" xr:uid="{8C0D5581-F465-4F1D-AF2D-4FDCF104B679}"/>
    <cellStyle name="SAPBEXHLevel3 6 4" xfId="44640" xr:uid="{73BA4081-CD9D-47CA-9178-3986FE967D9D}"/>
    <cellStyle name="SAPBEXHLevel3 6 5" xfId="44641" xr:uid="{A97532CE-A679-4EA2-9E1E-D2D18CD2A51B}"/>
    <cellStyle name="SAPBEXHLevel3 6 6" xfId="44642" xr:uid="{1CD6DBE0-A336-4D46-A8D2-0AB7931ED4CC}"/>
    <cellStyle name="SAPBEXHLevel3 6 7" xfId="44643" xr:uid="{DBD6B7A8-39BA-418F-ACA7-8A59D73F3867}"/>
    <cellStyle name="SAPBEXHLevel3X" xfId="44644" xr:uid="{7773312A-1433-4EC4-AB6C-7A4D61067E49}"/>
    <cellStyle name="SAPBEXHLevel3X 2" xfId="44645" xr:uid="{44B4448C-E330-4BE2-A33D-A54564E29FB7}"/>
    <cellStyle name="SAPBEXHLevel3X 2 2" xfId="44646" xr:uid="{26890009-7B9F-435D-A799-2C8EDA105202}"/>
    <cellStyle name="SAPBEXHLevel3X 2 3" xfId="44647" xr:uid="{A566FDC4-5538-4995-BFF6-E1B617B40BFF}"/>
    <cellStyle name="SAPBEXHLevel3X 2 4" xfId="44648" xr:uid="{519B5605-32DC-41FE-8ACE-78634E524384}"/>
    <cellStyle name="SAPBEXHLevel3X 2 5" xfId="44649" xr:uid="{C40A588E-B10E-45DA-8DDB-B7112F5B1098}"/>
    <cellStyle name="SAPBEXHLevel3X 2 6" xfId="44650" xr:uid="{826F1869-BE90-43E6-A34E-0BC0CB6444BB}"/>
    <cellStyle name="SAPBEXHLevel3X 2 7" xfId="44651" xr:uid="{ED688D40-45AA-4142-AFF6-03379565E095}"/>
    <cellStyle name="SAPBEXHLevel3X 3" xfId="44652" xr:uid="{45ED9591-B426-4D90-A911-77BA9522379F}"/>
    <cellStyle name="SAPBEXHLevel3X 3 2" xfId="44653" xr:uid="{1547C087-7A8F-4B2E-808D-BABCF8F2E230}"/>
    <cellStyle name="SAPBEXHLevel3X 3 3" xfId="44654" xr:uid="{4D2618F7-0C22-4805-B37E-41A1793FAFE8}"/>
    <cellStyle name="SAPBEXHLevel3X 3 4" xfId="44655" xr:uid="{6AF8D14D-18FD-4B39-BEE6-9427A107E6FF}"/>
    <cellStyle name="SAPBEXHLevel3X 3 5" xfId="44656" xr:uid="{C2072199-33B1-446E-B323-D1D84083D112}"/>
    <cellStyle name="SAPBEXHLevel3X 3 6" xfId="44657" xr:uid="{68183EB2-D6DB-474E-ACDE-075FCD81F503}"/>
    <cellStyle name="SAPBEXHLevel3X 3 7" xfId="44658" xr:uid="{664E31C0-8E09-4A79-9CB3-59C9A13AE604}"/>
    <cellStyle name="SAPBEXHLevel3X 4" xfId="44659" xr:uid="{0AC9B4A9-1EBC-4A2D-8C49-38D1FC1F1AF6}"/>
    <cellStyle name="SAPBEXHLevel3X 4 2" xfId="44660" xr:uid="{94442E1B-2331-4764-B7DA-6CDAD8E83A5A}"/>
    <cellStyle name="SAPBEXHLevel3X 4 3" xfId="44661" xr:uid="{318AB6FC-BC4C-48AC-9E53-3A5832BB2E7A}"/>
    <cellStyle name="SAPBEXHLevel3X 4 4" xfId="44662" xr:uid="{A24F8942-08DC-4BC0-A7B4-C59648B8F9BB}"/>
    <cellStyle name="SAPBEXHLevel3X 4 5" xfId="44663" xr:uid="{8715D2C5-721A-4612-B198-2F235BAE4405}"/>
    <cellStyle name="SAPBEXHLevel3X 4 6" xfId="44664" xr:uid="{C5CFE687-BE45-492D-879D-4848CFA1770D}"/>
    <cellStyle name="SAPBEXHLevel3X 4 7" xfId="44665" xr:uid="{5061301E-8A44-44DA-B0C5-794EC4A29B0E}"/>
    <cellStyle name="SAPBEXHLevel3X 5" xfId="44666" xr:uid="{5DE657F6-E209-40B1-9B34-DD61EB7DC41B}"/>
    <cellStyle name="SAPBEXHLevel3X 5 2" xfId="44667" xr:uid="{14601D87-D609-4EF4-A70F-7563E8DC1815}"/>
    <cellStyle name="SAPBEXHLevel3X 5 3" xfId="44668" xr:uid="{ACEC3E70-273C-40FA-A2AF-6BE4C5F573EC}"/>
    <cellStyle name="SAPBEXHLevel3X 5 4" xfId="44669" xr:uid="{72046D8D-1CD0-4D55-B428-D741E0F13FD6}"/>
    <cellStyle name="SAPBEXHLevel3X 5 5" xfId="44670" xr:uid="{8BFC2872-A94C-49A1-8F2E-12FFA76ABCB0}"/>
    <cellStyle name="SAPBEXHLevel3X 5 6" xfId="44671" xr:uid="{9284EAFF-EA4F-45BC-A729-07184D823842}"/>
    <cellStyle name="SAPBEXHLevel3X 5 7" xfId="44672" xr:uid="{8CFBC8AE-20FE-46BD-ADBE-4050AFCD33AF}"/>
    <cellStyle name="SAPBEXHLevel3X 6" xfId="44673" xr:uid="{CF823DA3-3507-40EE-BF4E-4EC4B4E7F30F}"/>
    <cellStyle name="SAPBEXHLevel3X 6 2" xfId="44674" xr:uid="{1DD6C652-D336-44AF-A267-56572584EC25}"/>
    <cellStyle name="SAPBEXHLevel3X 6 3" xfId="44675" xr:uid="{D0A25C90-C80A-4612-80A9-7CDB266E224D}"/>
    <cellStyle name="SAPBEXHLevel3X 6 4" xfId="44676" xr:uid="{D1D17265-C2B5-487C-B87D-7B0CACF129B0}"/>
    <cellStyle name="SAPBEXHLevel3X 6 5" xfId="44677" xr:uid="{9AD859C7-7051-4C5D-A778-75D2ADF2EC88}"/>
    <cellStyle name="SAPBEXHLevel3X 6 6" xfId="44678" xr:uid="{D0118767-6F9E-4F4A-AC0D-442710B7FA99}"/>
    <cellStyle name="SAPBEXHLevel3X 6 7" xfId="44679" xr:uid="{3F057779-C49B-4E06-9436-6759219B8DE0}"/>
    <cellStyle name="SAPBEXresData" xfId="44680" xr:uid="{52E2BCA0-746E-49A8-9710-303DE8927FB8}"/>
    <cellStyle name="SAPBEXresDataEmph" xfId="44681" xr:uid="{1BC52440-40A2-4F7E-90AB-059480E80637}"/>
    <cellStyle name="SAPBEXresItem" xfId="44682" xr:uid="{84E90C75-9B59-4AC9-BBFC-E77F1F44C90C}"/>
    <cellStyle name="SAPBEXresItemX" xfId="44683" xr:uid="{8DB70E00-CDF0-4894-88D0-30F9790286E3}"/>
    <cellStyle name="SAPBEXstdData" xfId="44684" xr:uid="{D7195FC7-C2A5-44C1-A8EC-8D5D65658DAC}"/>
    <cellStyle name="SAPBEXstdData 2" xfId="44685" xr:uid="{70C46A2F-7765-47FE-9278-C15B95C72960}"/>
    <cellStyle name="SAPBEXstdDataEmph" xfId="44686" xr:uid="{14A4B87C-AA89-4F00-A5DD-2FE675C5E929}"/>
    <cellStyle name="SAPBEXstdItem" xfId="44687" xr:uid="{2E5FB790-A379-462B-9C38-3C7DBDD78F9F}"/>
    <cellStyle name="SAPBEXstdItem 2" xfId="44688" xr:uid="{F61B6002-A792-42A2-BE4D-A6AFBF61477A}"/>
    <cellStyle name="SAPBEXstdItemX" xfId="44689" xr:uid="{8D7A3FE3-E3D0-4065-9FA5-4BE1598B4C6E}"/>
    <cellStyle name="SAPBEXtitle" xfId="44690" xr:uid="{8705683A-3011-40F9-AF7E-978E87D4C719}"/>
    <cellStyle name="SAPBEXundefined" xfId="44691" xr:uid="{6B5CB57A-98F6-4C30-BA40-816C995E142D}"/>
    <cellStyle name="Satisfaisant 2" xfId="44692" xr:uid="{9EE04D2C-957E-4B89-8A68-C5E0918A2806}"/>
    <cellStyle name="Schlecht" xfId="44693" xr:uid="{A3E3DE91-7A24-49FF-B4CC-AC0144BEBAD5}"/>
    <cellStyle name="Section" xfId="44694" xr:uid="{DCC506E5-5E5E-4B7A-A736-4BF8515011AE}"/>
    <cellStyle name="Shaded" xfId="44695" xr:uid="{549BC1EE-5C61-4543-B65F-F0BD206B8A00}"/>
    <cellStyle name="SHADEDSTORES" xfId="44696" xr:uid="{F81649D4-A0E5-4200-8BA7-E01B183D4048}"/>
    <cellStyle name="showCheck" xfId="44697" xr:uid="{2E7B6D8C-38F1-40B3-B190-301A3F58B45F}"/>
    <cellStyle name="showExposure" xfId="44698" xr:uid="{66A3DAEA-53ED-4493-9F43-9893CF201FCF}"/>
    <cellStyle name="showParameterE" xfId="44699" xr:uid="{CB6C1DA0-B6E1-4BAD-A4ED-BD1D8B12DDEC}"/>
    <cellStyle name="showParameterS" xfId="44700" xr:uid="{F273E5B2-EE23-4EFB-8DB2-FD598A7E8C0C}"/>
    <cellStyle name="showPD" xfId="44701" xr:uid="{E7917401-BFE3-4BE8-AC9D-7EE6BF94C6F4}"/>
    <cellStyle name="showPercentage" xfId="44702" xr:uid="{C3562BFE-AFC4-4BCE-A945-42F29BD9A338}"/>
    <cellStyle name="showSelection" xfId="44703" xr:uid="{A89BB692-7FD1-448B-AE82-94BA9483CD4D}"/>
    <cellStyle name="Sortie 2" xfId="44704" xr:uid="{0B9D6EB7-9713-47AD-8ED1-64FC2924526A}"/>
    <cellStyle name="Sortie 2 2" xfId="44705" xr:uid="{48A3326C-C084-4919-9A68-C4D91B6BD36B}"/>
    <cellStyle name="specstores" xfId="44706" xr:uid="{8728C017-8E46-4E30-8D9C-7A3004BBCEF0}"/>
    <cellStyle name="SS Col Hdr" xfId="44707" xr:uid="{9CB79515-AD9A-4F29-B07F-022D650A1C78}"/>
    <cellStyle name="SS Col Hdr 2" xfId="44708" xr:uid="{E6AFC9E1-2695-4EAE-ABEA-7F17C0A3559E}"/>
    <cellStyle name="SS Dim 1 Blank" xfId="44709" xr:uid="{3868325A-8510-4C11-B44A-34D5E37F2F42}"/>
    <cellStyle name="SS Dim 1 Blank 2" xfId="44710" xr:uid="{36D356FB-D90C-41E2-8C8A-22EA15139F2E}"/>
    <cellStyle name="SS Dim 1 Title" xfId="44711" xr:uid="{F0CB2179-BF96-4C31-A0D6-E8646F1F4E6D}"/>
    <cellStyle name="SS Dim 1 Title 2" xfId="44712" xr:uid="{EB793627-3366-471A-AE80-241123C58E6D}"/>
    <cellStyle name="SS Dim 1 Value" xfId="44713" xr:uid="{23D4D0C3-8282-4CAB-8088-B73F02C764E5}"/>
    <cellStyle name="SS Dim 1 Value 2" xfId="44714" xr:uid="{DB3FBF68-8DB7-47EE-8B74-90F484A53F0B}"/>
    <cellStyle name="SS Dim 2 Blank" xfId="44715" xr:uid="{4174B3EB-2F2A-4C54-8EE7-3F31E30DF5B9}"/>
    <cellStyle name="SS Dim 2 Blank 2" xfId="44716" xr:uid="{346BCAFE-4375-40B1-A66D-6D7000A822DF}"/>
    <cellStyle name="SS Dim 2 Blank 2 2" xfId="44717" xr:uid="{21ABD8F5-CA2F-4B0A-9B99-E287A2CF105E}"/>
    <cellStyle name="SS Dim 2 Blank 3" xfId="44718" xr:uid="{B6349841-1813-44A3-BCAF-A114CFEA09B1}"/>
    <cellStyle name="SS Dim 2 Title" xfId="44719" xr:uid="{8DF1B091-1E3C-4676-8A65-2F522BDA88A2}"/>
    <cellStyle name="SS Dim 2 Title 2" xfId="44720" xr:uid="{B3F4D429-2A5E-4618-AF63-A2EA5AEB9275}"/>
    <cellStyle name="SS Dim 2 Value" xfId="44721" xr:uid="{A74D3D8C-5AE4-4793-B693-C6DDD90662C4}"/>
    <cellStyle name="SS Dim 2 Value 2" xfId="44722" xr:uid="{E11FB06D-E909-4BC6-A432-000DF9A0826F}"/>
    <cellStyle name="SS Dim 3 Blank" xfId="44723" xr:uid="{DAC56701-6107-4823-8921-C009E2F6B745}"/>
    <cellStyle name="SS Dim 3 Blank 2" xfId="44724" xr:uid="{559AD345-5524-4D99-AB22-A5C51190B614}"/>
    <cellStyle name="SS Dim 3 Blank 2 2" xfId="44725" xr:uid="{F5EA5E47-BD5C-453D-8A5B-2F3A5449B168}"/>
    <cellStyle name="SS Dim 3 Blank 3" xfId="44726" xr:uid="{B9BA8D36-17F0-45FF-A7CC-32DFF02B9438}"/>
    <cellStyle name="SS Dim 3 Title" xfId="44727" xr:uid="{9C816341-85D0-4E40-8A47-C3D443045D1D}"/>
    <cellStyle name="SS Dim 3 Title 2" xfId="44728" xr:uid="{3FD5DC9D-B24A-4F92-A353-8940445DB074}"/>
    <cellStyle name="SS Dim 3 Title 2 2" xfId="44729" xr:uid="{33E1559A-0D86-4814-98D8-C95D073B009F}"/>
    <cellStyle name="SS Dim 3 Title 3" xfId="44730" xr:uid="{C83270A5-7AC4-4DF5-8D6C-EED7F66D3378}"/>
    <cellStyle name="SS Dim 3 Value" xfId="44731" xr:uid="{5AD3C393-9943-49C3-AB00-B5CE66A975B5}"/>
    <cellStyle name="SS Dim 3 Value 2" xfId="44732" xr:uid="{55403A56-B2FD-403A-9734-E4078623206A}"/>
    <cellStyle name="SS Dim 4 Blank" xfId="44733" xr:uid="{13D1EDAE-211C-4854-94F2-8EB0A61D8196}"/>
    <cellStyle name="SS Dim 4 Blank 2" xfId="44734" xr:uid="{516AF692-30EF-4859-90E0-46574505777F}"/>
    <cellStyle name="SS Dim 4 Blank 2 2" xfId="44735" xr:uid="{9E670B2C-0FC3-4BCD-8D2B-92449D7E3FCB}"/>
    <cellStyle name="SS Dim 4 Blank 3" xfId="44736" xr:uid="{0D310612-6803-4CAA-AFF2-9B8409086B27}"/>
    <cellStyle name="SS Dim 4 Title" xfId="44737" xr:uid="{CCEC5A47-FDBC-4C74-AB44-26D516B0FCA5}"/>
    <cellStyle name="SS Dim 4 Title 2" xfId="44738" xr:uid="{2D3ABE78-E5ED-42BF-A056-D91C4259ADA4}"/>
    <cellStyle name="SS Dim 4 Value" xfId="44739" xr:uid="{EE506C02-C8DB-4F8F-876E-3EA6A9556529}"/>
    <cellStyle name="SS Dim 4 Value 2" xfId="44740" xr:uid="{67FFFD93-0140-4408-B3C7-16587C58D66C}"/>
    <cellStyle name="SS Dim 5 Blank" xfId="44741" xr:uid="{762653E2-1D66-4651-9EB7-49C9AC103E00}"/>
    <cellStyle name="SS Dim 5 Blank 2" xfId="44742" xr:uid="{1673ABAF-9851-45CF-B17B-A5B77E528CDB}"/>
    <cellStyle name="SS Dim 5 Blank 2 2" xfId="44743" xr:uid="{B35D2294-C851-499A-BFEC-5F2BC6897B94}"/>
    <cellStyle name="SS Dim 5 Blank 3" xfId="44744" xr:uid="{4647C354-4892-48BE-BE2F-C236170BB798}"/>
    <cellStyle name="SS Dim 5 Title" xfId="44745" xr:uid="{2DF3E56C-2EA7-46EB-A89D-70EA0823BEDB}"/>
    <cellStyle name="SS Dim 5 Title 2" xfId="44746" xr:uid="{D8F3B2D0-0E47-43EF-A3C7-1DDE863CA125}"/>
    <cellStyle name="SS Dim 5 Value" xfId="44747" xr:uid="{B1EE8028-FD6D-4F03-8860-F1440196727C}"/>
    <cellStyle name="SS Dim 5 Value 2" xfId="44748" xr:uid="{B4DFDC62-A58D-44FA-93DA-EF3BFF28F35E}"/>
    <cellStyle name="SS Other Measure" xfId="44749" xr:uid="{F097AA1A-21B2-4DEB-AC37-C94E675CC9ED}"/>
    <cellStyle name="SS Other Measure 2" xfId="44750" xr:uid="{1244483F-FDA9-4CF4-B444-E5CFB994D956}"/>
    <cellStyle name="SS Sum Measure" xfId="44751" xr:uid="{FE65FF1D-F057-4AFE-8FA9-21059F149A6E}"/>
    <cellStyle name="SS Sum Measure 2" xfId="44752" xr:uid="{5526FF8F-FDEA-4D2D-BC27-810857EB3843}"/>
    <cellStyle name="SS Unbound Dim" xfId="44753" xr:uid="{AE1DF37C-7228-480B-9BD6-D09D867D72CA}"/>
    <cellStyle name="SS Unbound Dim 2" xfId="44754" xr:uid="{C04BB86A-BBB8-421A-B88B-1ECADA7D3583}"/>
    <cellStyle name="SS WAvg Measure" xfId="44755" xr:uid="{DA181CDF-3A70-416D-B32B-97A0E0E63CB3}"/>
    <cellStyle name="SS WAvg Measure 2" xfId="44756" xr:uid="{67C867B3-CB5E-4D80-A8C3-C59478041002}"/>
    <cellStyle name="Standaard_Fact-sheets AVD origineel.xls Grafiek 1" xfId="44757" xr:uid="{C6A21E44-87FB-48EC-9ECA-FBAFEF755A7C}"/>
    <cellStyle name="Standard 2" xfId="44758" xr:uid="{417744BD-C0F3-4E17-97D2-392AB25799D9}"/>
    <cellStyle name="Standard 2 2" xfId="44759" xr:uid="{4B6CC82A-730F-44E5-9FB4-39272DB793C6}"/>
    <cellStyle name="Standard_311299 freie Spitze" xfId="44760" xr:uid="{1C005A9B-2FFD-4E1F-A7D8-AE89C205E8D3}"/>
    <cellStyle name="Style 1" xfId="44761" xr:uid="{5649F76B-3F40-4776-89B9-B2A0434AA670}"/>
    <cellStyle name="Style 1 10" xfId="44762" xr:uid="{AD4F7103-66AD-4367-B093-C313DAB91814}"/>
    <cellStyle name="Style 1 10 2" xfId="44763" xr:uid="{DB6BE2A9-78F4-401F-9CF0-D1D526E72D64}"/>
    <cellStyle name="Style 1 11" xfId="44764" xr:uid="{BFE6DBF4-CEC2-4363-9769-9BDE6503556E}"/>
    <cellStyle name="Style 1 11 2" xfId="44765" xr:uid="{74F55598-28A0-445D-B232-E381D78BE956}"/>
    <cellStyle name="Style 1 12" xfId="44766" xr:uid="{B17A9676-1711-4A09-9224-2E4109E9D74E}"/>
    <cellStyle name="Style 1 12 2" xfId="44767" xr:uid="{5B3B32A4-3D2F-4499-A09C-65D810498AFF}"/>
    <cellStyle name="Style 1 13" xfId="44768" xr:uid="{21EA79AD-7609-4136-9328-8847918A3BED}"/>
    <cellStyle name="Style 1 13 2" xfId="44769" xr:uid="{B9F3CAC5-2C94-41ED-B9E3-1E197A63041D}"/>
    <cellStyle name="Style 1 14" xfId="44770" xr:uid="{3B6B6B39-4817-4824-B3BF-BC669B263262}"/>
    <cellStyle name="Style 1 14 2" xfId="44771" xr:uid="{49B4566F-BF0D-4BE4-AB46-FEF390C9A288}"/>
    <cellStyle name="Style 1 15" xfId="44772" xr:uid="{6DB19656-105F-427E-B518-C5C8E42D131A}"/>
    <cellStyle name="Style 1 15 2" xfId="44773" xr:uid="{9ABD7FB1-7516-47BD-9B0E-C7DE5DD64696}"/>
    <cellStyle name="Style 1 16" xfId="44774" xr:uid="{1F4D2C9E-51BC-4188-848C-476416373C11}"/>
    <cellStyle name="Style 1 16 2" xfId="44775" xr:uid="{6F402633-29CF-4A44-9836-B655FBFE483C}"/>
    <cellStyle name="Style 1 17" xfId="44776" xr:uid="{779A28D7-1488-494F-BF22-75E84C92E434}"/>
    <cellStyle name="Style 1 17 2" xfId="44777" xr:uid="{A89F997E-2867-4E6A-9A52-1F4958659279}"/>
    <cellStyle name="Style 1 18" xfId="44778" xr:uid="{17B24179-AA5F-407F-89B3-402380CD0761}"/>
    <cellStyle name="Style 1 18 2" xfId="44779" xr:uid="{CCFBF5EA-6E29-4874-A65F-2CC6FED10FB0}"/>
    <cellStyle name="Style 1 19" xfId="44780" xr:uid="{F007FD29-BAE8-4ED9-92D7-28C1D382CC84}"/>
    <cellStyle name="Style 1 2" xfId="44781" xr:uid="{DA7B3319-BC36-492C-9B36-E389C20AF682}"/>
    <cellStyle name="Style 1 2 2" xfId="44782" xr:uid="{211D7858-2947-4404-BCC4-B8BC961F8C1B}"/>
    <cellStyle name="Style 1 2 2 2" xfId="44783" xr:uid="{3503CC63-70EF-443E-BA14-94740BE60A7C}"/>
    <cellStyle name="Style 1 2 3" xfId="44784" xr:uid="{3B04DBE6-93EA-4502-9DBB-E12B5B4BAD67}"/>
    <cellStyle name="Style 1 3" xfId="44785" xr:uid="{C9795F69-A945-47CE-A4EB-4438C40E1E98}"/>
    <cellStyle name="Style 1 3 2" xfId="44786" xr:uid="{45A674DE-780E-4B06-BE89-18045F3E3426}"/>
    <cellStyle name="Style 1 3 2 2" xfId="44787" xr:uid="{F6B0FFEF-2DD7-4CC6-A33C-B3D572E5D2E8}"/>
    <cellStyle name="Style 1 3 3" xfId="44788" xr:uid="{501398DF-3EB7-4A7A-831D-010CEC2388E6}"/>
    <cellStyle name="Style 1 4" xfId="44789" xr:uid="{698B21A1-2093-4EE4-AECF-056C3128C3A9}"/>
    <cellStyle name="Style 1 4 2" xfId="44790" xr:uid="{2C9900BE-27BE-4D7F-9426-2473E5D7CE19}"/>
    <cellStyle name="Style 1 5" xfId="44791" xr:uid="{F7F453CC-5510-4E18-ADC9-B6E8B97E9431}"/>
    <cellStyle name="Style 1 5 2" xfId="44792" xr:uid="{38989076-7E09-4F95-AB59-A0F0F9521D1F}"/>
    <cellStyle name="Style 1 6" xfId="44793" xr:uid="{4AC4F2E6-32E6-4614-AA2C-E13C60428A76}"/>
    <cellStyle name="Style 1 6 2" xfId="44794" xr:uid="{AAE75B6F-27E2-41AB-AC2D-FEA2610D558F}"/>
    <cellStyle name="Style 1 7" xfId="44795" xr:uid="{D5EC0710-FF6B-4488-9313-7DC064341641}"/>
    <cellStyle name="Style 1 7 2" xfId="44796" xr:uid="{CCF26F04-ECAE-4055-B176-F0B79515A132}"/>
    <cellStyle name="Style 1 8" xfId="44797" xr:uid="{F3D4E231-CE41-4732-AFC2-4955A0D50AE4}"/>
    <cellStyle name="Style 1 8 2" xfId="44798" xr:uid="{1EBFFBF3-AB9D-48D8-82C5-E66F6FFD3FD5}"/>
    <cellStyle name="Style 1 9" xfId="44799" xr:uid="{CE701320-4AA0-40E2-A13B-1E28B3090DA6}"/>
    <cellStyle name="Style 1 9 2" xfId="44800" xr:uid="{67B9544D-7F0F-412C-A13C-ABE8842B1237}"/>
    <cellStyle name="Style 43" xfId="44801" xr:uid="{E248B1B2-3F08-4D59-8512-67612B93E56F}"/>
    <cellStyle name="Style 44" xfId="44802" xr:uid="{B16B2B52-366B-4347-9ABD-FD2792085C74}"/>
    <cellStyle name="Style 45" xfId="44803" xr:uid="{03774B4F-BDB4-4EEF-A0C1-1E7C2ABD0C60}"/>
    <cellStyle name="Style 46" xfId="44804" xr:uid="{CDB1F117-93E9-4388-85E0-86570CA4CE62}"/>
    <cellStyle name="Style 51" xfId="44805" xr:uid="{AA713B16-2D19-4361-B684-E5CD48995E33}"/>
    <cellStyle name="Style 52" xfId="44806" xr:uid="{78580A53-086C-485E-B5E9-719341E6FB23}"/>
    <cellStyle name="Style 53" xfId="44807" xr:uid="{CB8C59CE-0AD6-408C-A71E-DB2633913212}"/>
    <cellStyle name="Style 54" xfId="44808" xr:uid="{C0E8F358-60F2-4AE1-A12E-B95708682255}"/>
    <cellStyle name="Style 55" xfId="44809" xr:uid="{989678A4-F122-4D51-8A66-F1AB4F3AD9E0}"/>
    <cellStyle name="Style 56" xfId="44810" xr:uid="{433DE908-70BC-427A-9291-E7E248F15680}"/>
    <cellStyle name="Style 57" xfId="44811" xr:uid="{594ED2E5-806D-4F1C-B80E-2EC11C23A624}"/>
    <cellStyle name="Style 58" xfId="44812" xr:uid="{0E56D968-87A4-49DC-83B7-A758B608AF8E}"/>
    <cellStyle name="Subtotal" xfId="44813" xr:uid="{97235BA3-2BF6-41CB-8A4C-D6599E40D7BF}"/>
    <cellStyle name="sup2Int" xfId="44814" xr:uid="{458B0F6E-90BE-438C-95C7-4A6E9B47E860}"/>
    <cellStyle name="sup2ParameterE" xfId="44815" xr:uid="{851855EC-63B9-448D-B547-B186A0F99013}"/>
    <cellStyle name="sup2Percentage" xfId="44816" xr:uid="{44A14F4D-FCAC-4E57-A9F3-1637D6C102DD}"/>
    <cellStyle name="sup2PercentageL" xfId="44817" xr:uid="{BAAD7647-282C-44C4-84E1-7B2E4B39C7E9}"/>
    <cellStyle name="sup2PercentageM" xfId="44818" xr:uid="{5F585BEB-750A-416F-998A-4C5E5EF61C71}"/>
    <cellStyle name="sup2Selection" xfId="44819" xr:uid="{E6D799D0-67B4-4AC4-8E0B-B0CAD7DB785A}"/>
    <cellStyle name="sup2Text" xfId="44820" xr:uid="{73EB2E3C-9AB3-4973-8F6D-2223FB4D2A65}"/>
    <cellStyle name="sup3ParameterE" xfId="44821" xr:uid="{6A821526-EE29-423B-9BAF-C893113AAC8E}"/>
    <cellStyle name="sup3Percentage" xfId="44822" xr:uid="{85294165-4B70-4276-9F51-FD2F05D281F9}"/>
    <cellStyle name="supFloat" xfId="44823" xr:uid="{C2F43A7A-F8D8-4842-A5A7-AFB58E5ABFC5}"/>
    <cellStyle name="supInt" xfId="44824" xr:uid="{9F8A29DF-1856-4B48-8E11-4F805DD2C8A2}"/>
    <cellStyle name="supParameterE" xfId="44825" xr:uid="{66E1CF36-A232-4233-BCB9-3BE020E26213}"/>
    <cellStyle name="supParameterS" xfId="44826" xr:uid="{2DE958C0-6102-48E9-9BD9-DAFE055988C9}"/>
    <cellStyle name="supPD" xfId="44827" xr:uid="{ADA84E8E-EAF8-46DE-99A7-721D32FB9685}"/>
    <cellStyle name="supPercentage" xfId="44828" xr:uid="{7E7D5FD4-FE98-4F02-967C-789CA352430F}"/>
    <cellStyle name="supPercentageL" xfId="44829" xr:uid="{8BD7B044-8436-4914-8BC8-70CE82C830FD}"/>
    <cellStyle name="supPercentageM" xfId="44830" xr:uid="{886D2BD1-3B3E-4310-B166-D9A807B035B8}"/>
    <cellStyle name="supSelection" xfId="44831" xr:uid="{BBE24E61-AB4A-4A62-BE0E-B2E99ADF5875}"/>
    <cellStyle name="supText" xfId="44832" xr:uid="{64C6C830-F370-4CB7-ADA0-BCB595A3D231}"/>
    <cellStyle name="Table Col Head" xfId="44833" xr:uid="{C7A4657F-E83B-49C1-A004-676AACB1A2C8}"/>
    <cellStyle name="Table Heading" xfId="44834" xr:uid="{DBD056D6-C823-4F76-AC77-CE28B1A625EC}"/>
    <cellStyle name="Table Sub Head" xfId="44835" xr:uid="{BE102785-0239-45E9-9223-3E859CEE8AE3}"/>
    <cellStyle name="Table Title" xfId="44836" xr:uid="{C22C90CC-6A03-4E5D-A3C9-0B622DCB1CF4}"/>
    <cellStyle name="Table Title 2" xfId="44837" xr:uid="{A79AE320-A9CA-47C0-958A-D0286C9AC7A6}"/>
    <cellStyle name="Table Units" xfId="44838" xr:uid="{5C4607F2-21D4-44AA-9DC6-B1C5717806D0}"/>
    <cellStyle name="Table Units 2" xfId="44839" xr:uid="{C56F4D3C-354B-4DFF-B536-643B8166F096}"/>
    <cellStyle name="TemplateCollectionStyle" xfId="44840" xr:uid="{F7C43B99-2731-4189-A64D-23D4F278A9FB}"/>
    <cellStyle name="Testo avviso" xfId="44841" xr:uid="{33810B25-E070-4872-9141-57464BE1229E}"/>
    <cellStyle name="Testo descrittivo" xfId="44842" xr:uid="{2CDB4E40-4CA6-4D58-8E1C-461A6769976C}"/>
    <cellStyle name="Text Indent A" xfId="44843" xr:uid="{566B3E53-037C-4EB1-838C-41022ACC2879}"/>
    <cellStyle name="Text Indent B" xfId="44844" xr:uid="{8D887CA4-F43A-4AE2-8047-85E66CF990EA}"/>
    <cellStyle name="Text Indent C" xfId="44845" xr:uid="{72766F2F-4D3F-4F81-996D-1057685E01C4}"/>
    <cellStyle name="Text_Header" xfId="44846" xr:uid="{85F9A8B0-6506-4C8A-A2B5-93C4239583A4}"/>
    <cellStyle name="Texte explicatif 2" xfId="44847" xr:uid="{DC9BC557-9456-422B-9FD4-6925EAFD6A61}"/>
    <cellStyle name="Texto de advertencia" xfId="44848" xr:uid="{C91B7A78-9291-46B5-AB67-B8D72E230D1E}"/>
    <cellStyle name="Texto explicativo" xfId="44849" xr:uid="{36629768-DA70-4CC4-A27D-10363939E8A2}"/>
    <cellStyle name="TH" xfId="44850" xr:uid="{18D47D26-A7CF-4B86-B605-1DBE30FCBDE1}"/>
    <cellStyle name="TH 2" xfId="44851" xr:uid="{3114ADDC-FB09-4B71-885D-FA14C27F515B}"/>
    <cellStyle name="Title" xfId="112" builtinId="15" customBuiltin="1"/>
    <cellStyle name="Title 2" xfId="44853" xr:uid="{5B0C6196-A577-4FE5-89A7-B330BE00B6AF}"/>
    <cellStyle name="Title 3" xfId="44854" xr:uid="{CB728369-335E-489B-9AA1-24948C320AEA}"/>
    <cellStyle name="Title 3 2" xfId="44855" xr:uid="{ED6F7DA1-738B-47FE-A5B0-8A6ECC18AA01}"/>
    <cellStyle name="Title 4" xfId="44856" xr:uid="{E71C3DF1-B6ED-4E8A-986C-178C0C565537}"/>
    <cellStyle name="Title 5" xfId="44857" xr:uid="{D86C165C-87D7-4CA4-921E-791FEF6A1A46}"/>
    <cellStyle name="Title 6" xfId="44852" xr:uid="{FEFC7A7E-212B-4FAC-8F9B-7C9F0E578972}"/>
    <cellStyle name="Titolo" xfId="44858" xr:uid="{5E66315E-6698-488E-82D9-03495590BF26}"/>
    <cellStyle name="Titolo 1" xfId="44859" xr:uid="{FAE3443C-406D-48B5-8D02-6490A5C243FA}"/>
    <cellStyle name="Titolo 2" xfId="44860" xr:uid="{2587A5BC-DAA4-43BB-9EE1-FB86641E74BB}"/>
    <cellStyle name="Titolo 3" xfId="44861" xr:uid="{FD6F4082-6A04-4A32-A3A8-32E3B2D4D76C}"/>
    <cellStyle name="Titolo 4" xfId="44862" xr:uid="{1C5FDEDD-F0EE-4B87-9474-3F87F8883107}"/>
    <cellStyle name="Titre 2" xfId="44863" xr:uid="{89649E7C-FB1F-41FB-934E-E384B3AAEB7E}"/>
    <cellStyle name="Titre 1 2" xfId="44864" xr:uid="{3D159D4E-AF27-429C-85BD-9F8F4E64D24D}"/>
    <cellStyle name="Titre 2 2" xfId="44865" xr:uid="{DF81C4CF-A0E2-4D80-A153-AF3E92A2F9B5}"/>
    <cellStyle name="Titre 3 2" xfId="44866" xr:uid="{78B4E830-B2DB-4D99-BC50-BAEAA153D7C0}"/>
    <cellStyle name="Titre 4 2" xfId="44867" xr:uid="{C66321AD-5032-46D5-8760-EB84154AD014}"/>
    <cellStyle name="Título" xfId="44868" xr:uid="{F4CE61F0-B7C8-477E-8D32-14D68C647AF2}"/>
    <cellStyle name="Título 1" xfId="44869" xr:uid="{A07EEB4F-2BF9-48F7-8AB0-1F5A721AEE18}"/>
    <cellStyle name="Título 2" xfId="44870" xr:uid="{3EBBFD76-7E93-4CAC-A94B-7FEBA0EAFA5C}"/>
    <cellStyle name="Título 3" xfId="44871" xr:uid="{09DAF643-1646-4D27-836D-F1530A313C48}"/>
    <cellStyle name="Total" xfId="127" builtinId="25" customBuiltin="1"/>
    <cellStyle name="Total 2" xfId="44872" xr:uid="{2ECB2C9C-2283-4CB2-8783-DE02CCA5BD4C}"/>
    <cellStyle name="Total 2 2" xfId="44873" xr:uid="{073D9238-4E65-4BCD-96E6-2FE3F9C045E4}"/>
    <cellStyle name="Total 2 3" xfId="44874" xr:uid="{10617C5A-6C1E-42B8-8A21-3E1C98170C77}"/>
    <cellStyle name="Total 3" xfId="44875" xr:uid="{AC6488C5-214D-4E0C-A10D-E8491C7538AC}"/>
    <cellStyle name="Total 4" xfId="44876" xr:uid="{13CA8F6A-58CC-4BE6-8288-DE422DC7D11A}"/>
    <cellStyle name="Total 5" xfId="44877" xr:uid="{3FE2EF24-C1A6-43A7-B31C-5883DBAE08CE}"/>
    <cellStyle name="Totale" xfId="44878" xr:uid="{2D928ED4-1851-4D63-BBDD-C740FA4FDD58}"/>
    <cellStyle name="Totale 2" xfId="44879" xr:uid="{BC45D533-219E-4689-9E54-331867AB30B3}"/>
    <cellStyle name="Überschrift" xfId="44880" xr:uid="{CDC6960B-C0FC-4FD3-A164-AF0EC715026C}"/>
    <cellStyle name="Überschrift 1" xfId="44881" xr:uid="{8298605A-39FA-4F66-84F5-B0422D47384D}"/>
    <cellStyle name="Überschrift 2" xfId="44882" xr:uid="{69D08890-521A-4905-A8AE-E4E967BA506F}"/>
    <cellStyle name="Überschrift 3" xfId="44883" xr:uid="{1A0BD697-E005-46B8-B7BD-B3CCF2D611A7}"/>
    <cellStyle name="Überschrift 4" xfId="44884" xr:uid="{17E698AD-F62D-4162-9FC0-38A5D024873E}"/>
    <cellStyle name="Ugly" xfId="44885" xr:uid="{39CFA3F4-7B3F-424D-B045-E0FC7D7AB461}"/>
    <cellStyle name="Valore non valido" xfId="44886" xr:uid="{670A3BC3-9339-490A-B882-EFC41791BFC8}"/>
    <cellStyle name="Valore valido" xfId="44887" xr:uid="{ADB6AEDC-99CA-498B-A49B-9C541D026CB3}"/>
    <cellStyle name="Valuta (0)_A2" xfId="44888" xr:uid="{22D4624F-7B58-41DF-9D6C-AC0A8BE2AB31}"/>
    <cellStyle name="Vérification 2" xfId="44889" xr:uid="{DAFCB932-3BF6-4E58-821B-CE7CB1A3C5A0}"/>
    <cellStyle name="Vérification 2 2" xfId="44890" xr:uid="{2D70E5F6-8805-4CA8-BA49-EA414B54C27B}"/>
    <cellStyle name="Vérification 2 2 10" xfId="44891" xr:uid="{471D0D22-D72E-47ED-A60C-8AC1D36930ED}"/>
    <cellStyle name="Vérification 2 2 10 2" xfId="44892" xr:uid="{73EAF04D-465E-4E39-B731-A9263D361DFA}"/>
    <cellStyle name="Vérification 2 2 10 2 2" xfId="44893" xr:uid="{19019EE1-DEEC-44F2-ABB1-696A3AE8D1C0}"/>
    <cellStyle name="Vérification 2 2 10 3" xfId="44894" xr:uid="{33DA9CE0-4E9C-40AA-9EF4-0907C96BE28C}"/>
    <cellStyle name="Vérification 2 2 11" xfId="44895" xr:uid="{0EC4474C-698E-463E-A4AF-1F50F6CD411F}"/>
    <cellStyle name="Vérification 2 2 11 2" xfId="44896" xr:uid="{1746DA9E-4B6A-435F-9C2F-37263A267A1B}"/>
    <cellStyle name="Vérification 2 2 11 2 2" xfId="44897" xr:uid="{6ADE5A91-D52A-44B9-BEA2-9ED84B768630}"/>
    <cellStyle name="Vérification 2 2 11 3" xfId="44898" xr:uid="{85DDAA0C-7990-4F60-8349-0ED9CDFF69A3}"/>
    <cellStyle name="Vérification 2 2 12" xfId="44899" xr:uid="{DFC78DAF-20C6-41E5-99D2-B1466CE9FDBB}"/>
    <cellStyle name="Vérification 2 2 12 2" xfId="44900" xr:uid="{AE7D9513-94E7-4F41-AA8B-B84A35632204}"/>
    <cellStyle name="Vérification 2 2 12 2 2" xfId="44901" xr:uid="{EAE1B560-B1FA-43CA-B235-61F9B1FF8FF7}"/>
    <cellStyle name="Vérification 2 2 12 3" xfId="44902" xr:uid="{E384914D-F4F7-41DE-8CD5-E42E6D9BB607}"/>
    <cellStyle name="Vérification 2 2 13" xfId="44903" xr:uid="{F96A46CF-7B78-4D94-BF86-AF086F4A2586}"/>
    <cellStyle name="Vérification 2 2 13 2" xfId="44904" xr:uid="{A927C849-65A3-48DF-85C4-B0452A5E29E3}"/>
    <cellStyle name="Vérification 2 2 13 2 2" xfId="44905" xr:uid="{074960E6-0296-4504-9CAC-B6CFFF182A82}"/>
    <cellStyle name="Vérification 2 2 13 3" xfId="44906" xr:uid="{AC18965E-CDC8-4EB4-945A-DF17F51E1D5D}"/>
    <cellStyle name="Vérification 2 2 2" xfId="44907" xr:uid="{D622E726-7D0E-4FD7-A13F-1CF3DB814A58}"/>
    <cellStyle name="Vérification 2 2 2 2" xfId="44908" xr:uid="{29977CD9-F3CD-45F2-979B-9CCF62263F86}"/>
    <cellStyle name="Vérification 2 2 2 2 2" xfId="44909" xr:uid="{DDAA24D5-A45C-4840-AB02-8A843FBCD7C4}"/>
    <cellStyle name="Vérification 2 2 2 2 2 2" xfId="44910" xr:uid="{42455259-D51C-497B-925D-EA3A71B2650B}"/>
    <cellStyle name="Vérification 2 2 2 2 3" xfId="44911" xr:uid="{39796EC7-00B9-465C-A499-2BB27217763A}"/>
    <cellStyle name="Vérification 2 2 2 3" xfId="44912" xr:uid="{73DC8811-390E-4CBE-8151-DEF31323E105}"/>
    <cellStyle name="Vérification 2 2 2 3 2" xfId="44913" xr:uid="{6C55BEF7-7CC8-43EE-8CE0-7264098E36C2}"/>
    <cellStyle name="Vérification 2 2 2 3 2 2" xfId="44914" xr:uid="{49E39DCE-4125-4CD7-A101-DB9A948B20B7}"/>
    <cellStyle name="Vérification 2 2 2 3 3" xfId="44915" xr:uid="{A0E414E2-DC03-4862-ABE8-24A8B4B6244B}"/>
    <cellStyle name="Vérification 2 2 2 4" xfId="44916" xr:uid="{7ECF4D93-B18F-408B-A6A3-34F47631C455}"/>
    <cellStyle name="Vérification 2 2 2 4 2" xfId="44917" xr:uid="{E5955717-CDB9-48D1-A5F7-F74F3FC8E76C}"/>
    <cellStyle name="Vérification 2 2 2 4 2 2" xfId="44918" xr:uid="{AB9EE7AF-BF23-4755-B4B7-7FEA379AC276}"/>
    <cellStyle name="Vérification 2 2 2 4 3" xfId="44919" xr:uid="{43DDDDB3-61A5-4415-BC3C-6D05ECD301FD}"/>
    <cellStyle name="Vérification 2 2 2 5" xfId="44920" xr:uid="{D3579EF1-B4E0-444E-A2ED-13AE695E0063}"/>
    <cellStyle name="Vérification 2 2 2 5 2" xfId="44921" xr:uid="{81790436-1B21-4F71-A987-928EB5E04AF9}"/>
    <cellStyle name="Vérification 2 2 2 5 2 2" xfId="44922" xr:uid="{2C9E86EA-4A91-46E9-B975-8D88B3A8938A}"/>
    <cellStyle name="Vérification 2 2 2 5 3" xfId="44923" xr:uid="{D9B25A0F-FAAD-4649-85B0-2FE6CD123C26}"/>
    <cellStyle name="Vérification 2 2 2 6" xfId="44924" xr:uid="{73C1E308-C8BE-46FE-9494-40A0A231BBF2}"/>
    <cellStyle name="Vérification 2 2 2 6 2" xfId="44925" xr:uid="{67915694-479C-4AE4-8CD8-2BDF1AC1F585}"/>
    <cellStyle name="Vérification 2 2 2 6 2 2" xfId="44926" xr:uid="{445D8F4B-0EB4-41CE-A61B-6429E45C528C}"/>
    <cellStyle name="Vérification 2 2 2 6 3" xfId="44927" xr:uid="{07CCF6ED-8F72-4537-A061-E5CB7C704357}"/>
    <cellStyle name="Vérification 2 2 2 7" xfId="44928" xr:uid="{53DD0071-867F-4960-ACE2-82EC08BA4CA1}"/>
    <cellStyle name="Vérification 2 2 2 7 2" xfId="44929" xr:uid="{067E0A8B-48E5-44EC-9C2D-8C33FB1DCDF7}"/>
    <cellStyle name="Vérification 2 2 2 7 2 2" xfId="44930" xr:uid="{CFE36F67-BA09-4E5C-8816-7C7832145288}"/>
    <cellStyle name="Vérification 2 2 2 7 3" xfId="44931" xr:uid="{6340497F-B1AE-4839-9E93-7DCF47D86166}"/>
    <cellStyle name="Vérification 2 2 2 8" xfId="44932" xr:uid="{7968812C-C834-4EFE-AF89-2055508ED20D}"/>
    <cellStyle name="Vérification 2 2 2 8 2" xfId="44933" xr:uid="{73528100-40C6-409E-BBD6-329DD5CB150E}"/>
    <cellStyle name="Vérification 2 2 2 8 2 2" xfId="44934" xr:uid="{FDA29E77-ADCE-4DBF-BD55-BBBEAB937C41}"/>
    <cellStyle name="Vérification 2 2 2 8 3" xfId="44935" xr:uid="{47A6F980-46E3-460A-86F3-3B8EF0A5E5D8}"/>
    <cellStyle name="Vérification 2 2 2 9" xfId="44936" xr:uid="{E6FB820E-F7F2-49C9-8A4E-6C6C2F1A8616}"/>
    <cellStyle name="Vérification 2 2 2 9 2" xfId="44937" xr:uid="{A4D08206-C532-44E3-A0E1-A125D4930190}"/>
    <cellStyle name="Vérification 2 2 2 9 2 2" xfId="44938" xr:uid="{C466A593-7D2A-4640-BAD0-D1B2E0CB23DD}"/>
    <cellStyle name="Vérification 2 2 2 9 3" xfId="44939" xr:uid="{DED04E80-81B2-4DAE-89BC-E9A8B8ABBF4D}"/>
    <cellStyle name="Vérification 2 2 3" xfId="44940" xr:uid="{12BB966E-6868-4B92-82CC-40EBD96686CA}"/>
    <cellStyle name="Vérification 2 2 3 2" xfId="44941" xr:uid="{3E704CE1-E62F-46BE-9406-9C9316E777FB}"/>
    <cellStyle name="Vérification 2 2 3 2 2" xfId="44942" xr:uid="{C55FFFC4-90CB-43DF-BAF2-DDE832174E66}"/>
    <cellStyle name="Vérification 2 2 3 2 2 2" xfId="44943" xr:uid="{5CF8B66C-1346-411D-80F9-EACB1281208D}"/>
    <cellStyle name="Vérification 2 2 3 2 3" xfId="44944" xr:uid="{971440E8-93E0-4981-9F8C-5447EE0C28E4}"/>
    <cellStyle name="Vérification 2 2 3 3" xfId="44945" xr:uid="{B797663D-8F66-4E02-A195-D6F59E27CF48}"/>
    <cellStyle name="Vérification 2 2 3 3 2" xfId="44946" xr:uid="{0998E3B9-9E2E-42A3-89C5-EBC887E7DE54}"/>
    <cellStyle name="Vérification 2 2 3 3 2 2" xfId="44947" xr:uid="{005ADB30-FC61-48C3-9AD7-3B7A8038DCDD}"/>
    <cellStyle name="Vérification 2 2 3 3 3" xfId="44948" xr:uid="{3DB69862-A8CF-4EB6-B203-29537AAE935B}"/>
    <cellStyle name="Vérification 2 2 3 4" xfId="44949" xr:uid="{6E17F1D7-5829-4D9B-9867-83A104FB1ED1}"/>
    <cellStyle name="Vérification 2 2 3 4 2" xfId="44950" xr:uid="{5F941233-607D-4555-B895-F34B716AB6F1}"/>
    <cellStyle name="Vérification 2 2 3 4 2 2" xfId="44951" xr:uid="{7E5727EC-6CD4-4D92-B460-28855E739B85}"/>
    <cellStyle name="Vérification 2 2 3 4 3" xfId="44952" xr:uid="{DDE6079D-A664-430B-A624-CAD37032A036}"/>
    <cellStyle name="Vérification 2 2 3 5" xfId="44953" xr:uid="{7A91EAF0-8420-47FB-92DD-888C191319D0}"/>
    <cellStyle name="Vérification 2 2 3 5 2" xfId="44954" xr:uid="{98CADA65-87ED-4414-8A92-05CA4F93350D}"/>
    <cellStyle name="Vérification 2 2 3 5 2 2" xfId="44955" xr:uid="{4F883D39-8F2A-4DCE-9003-7CB9E86C4244}"/>
    <cellStyle name="Vérification 2 2 3 5 3" xfId="44956" xr:uid="{52BF0A5C-F66C-4EB8-AA39-EFC79CFF81A5}"/>
    <cellStyle name="Vérification 2 2 3 6" xfId="44957" xr:uid="{7597DA5D-9462-4145-A06C-B79AB1DB5CA7}"/>
    <cellStyle name="Vérification 2 2 3 6 2" xfId="44958" xr:uid="{23B7E6E9-23FB-4EA3-B310-40E2D0486C3F}"/>
    <cellStyle name="Vérification 2 2 3 6 2 2" xfId="44959" xr:uid="{11820CFD-AFE5-46F8-A295-62FF9E991B0A}"/>
    <cellStyle name="Vérification 2 2 3 6 3" xfId="44960" xr:uid="{DB45B9EB-219C-4BBE-8D2D-08F930AFAA82}"/>
    <cellStyle name="Vérification 2 2 3 7" xfId="44961" xr:uid="{592E218B-AA92-4652-9746-CCA916E7EF47}"/>
    <cellStyle name="Vérification 2 2 3 7 2" xfId="44962" xr:uid="{9393B4DC-AD3E-4432-AA0A-9E15987785FC}"/>
    <cellStyle name="Vérification 2 2 3 7 2 2" xfId="44963" xr:uid="{70984893-3D0B-4EE7-9CED-47A3B375498E}"/>
    <cellStyle name="Vérification 2 2 3 7 3" xfId="44964" xr:uid="{AFA670CB-4AE3-4F74-9CB0-52169B749935}"/>
    <cellStyle name="Vérification 2 2 3 8" xfId="44965" xr:uid="{02995AAF-FBD8-4D8C-ACE8-7D70E62E2E1C}"/>
    <cellStyle name="Vérification 2 2 3 8 2" xfId="44966" xr:uid="{E94BFA13-4623-43CE-AEBD-59285C3098BA}"/>
    <cellStyle name="Vérification 2 2 3 8 2 2" xfId="44967" xr:uid="{6E705DC1-F986-43A6-AFEC-338C6FBC1502}"/>
    <cellStyle name="Vérification 2 2 3 8 3" xfId="44968" xr:uid="{69018217-4A09-455E-83CF-C5966BA73539}"/>
    <cellStyle name="Vérification 2 2 3 9" xfId="44969" xr:uid="{4D2F4317-B3E8-4EF3-85FB-9DC884D0DF88}"/>
    <cellStyle name="Vérification 2 2 3 9 2" xfId="44970" xr:uid="{FB83EB38-2772-4575-BD84-AA3593AAB6B9}"/>
    <cellStyle name="Vérification 2 2 3 9 2 2" xfId="44971" xr:uid="{B8F35406-D456-4AAE-82D2-9152E7F2B22C}"/>
    <cellStyle name="Vérification 2 2 3 9 3" xfId="44972" xr:uid="{79F3CAFE-7AE1-42E0-9897-D041695C1826}"/>
    <cellStyle name="Vérification 2 2 4" xfId="44973" xr:uid="{A1C3234F-6A06-4FD5-A571-F29E23872E47}"/>
    <cellStyle name="Vérification 2 2 4 2" xfId="44974" xr:uid="{A5F9AA97-BFA2-49A6-805E-54E06687B26C}"/>
    <cellStyle name="Vérification 2 2 4 2 2" xfId="44975" xr:uid="{8CF0F7B5-E762-436C-A715-10FCDDD87C8D}"/>
    <cellStyle name="Vérification 2 2 4 2 2 2" xfId="44976" xr:uid="{25111917-93DD-418D-8607-405C36570DFE}"/>
    <cellStyle name="Vérification 2 2 4 2 3" xfId="44977" xr:uid="{BF42733A-8A32-45EA-98BC-C1F30619C1AB}"/>
    <cellStyle name="Vérification 2 2 4 3" xfId="44978" xr:uid="{2B8A8A1F-44CB-4C3E-BBC9-F55627D73841}"/>
    <cellStyle name="Vérification 2 2 4 3 2" xfId="44979" xr:uid="{62683543-0328-4C59-8A06-BC9395F7A625}"/>
    <cellStyle name="Vérification 2 2 4 3 2 2" xfId="44980" xr:uid="{1549C749-9E5C-45CC-9996-9326FD0729B0}"/>
    <cellStyle name="Vérification 2 2 4 3 3" xfId="44981" xr:uid="{C195B8D0-7749-4DCA-A53D-61326D7C4D59}"/>
    <cellStyle name="Vérification 2 2 4 4" xfId="44982" xr:uid="{A303796B-6B78-403E-9864-0DB6ABE9D692}"/>
    <cellStyle name="Vérification 2 2 4 4 2" xfId="44983" xr:uid="{3C72C104-F5A3-406D-9BF3-CCDCBB1BFD99}"/>
    <cellStyle name="Vérification 2 2 4 4 2 2" xfId="44984" xr:uid="{A7372F05-0984-4526-9445-F4B9E9E8ED8B}"/>
    <cellStyle name="Vérification 2 2 4 4 3" xfId="44985" xr:uid="{2241CB3B-26EB-46D8-808B-3535FF44CCB9}"/>
    <cellStyle name="Vérification 2 2 4 5" xfId="44986" xr:uid="{8F10E7F1-C7BE-42A9-9B90-C210BDCFD018}"/>
    <cellStyle name="Vérification 2 2 4 5 2" xfId="44987" xr:uid="{3BCA2852-CD3C-4EF3-8D05-F7EF2F1525EC}"/>
    <cellStyle name="Vérification 2 2 4 5 2 2" xfId="44988" xr:uid="{42F90604-992B-4593-A03A-9FBCDB3A94C9}"/>
    <cellStyle name="Vérification 2 2 4 5 3" xfId="44989" xr:uid="{8605EB1D-5EC2-4DA6-9039-1AE8CBBA9C18}"/>
    <cellStyle name="Vérification 2 2 4 6" xfId="44990" xr:uid="{BD949EF9-84F2-4CDD-B718-CB7BE63CD7AF}"/>
    <cellStyle name="Vérification 2 2 4 6 2" xfId="44991" xr:uid="{CC486541-9856-4B03-91B1-7B65805A8C2E}"/>
    <cellStyle name="Vérification 2 2 4 6 2 2" xfId="44992" xr:uid="{04895DED-E067-4330-B4DC-A1F684F25B66}"/>
    <cellStyle name="Vérification 2 2 4 6 3" xfId="44993" xr:uid="{10B44F13-425F-4BC9-978A-88AA5DF0891C}"/>
    <cellStyle name="Vérification 2 2 4 7" xfId="44994" xr:uid="{E15BB418-1A07-468C-A9F0-C4D399B1B0F9}"/>
    <cellStyle name="Vérification 2 2 4 7 2" xfId="44995" xr:uid="{01443272-52F9-4397-AF39-EF15A40961A0}"/>
    <cellStyle name="Vérification 2 2 4 7 2 2" xfId="44996" xr:uid="{2A179DF7-21EF-472B-8A93-9C3DE094C836}"/>
    <cellStyle name="Vérification 2 2 4 7 3" xfId="44997" xr:uid="{8F3A6F9F-F14B-4A6F-BB62-3EAED0A73A97}"/>
    <cellStyle name="Vérification 2 2 4 8" xfId="44998" xr:uid="{895C6096-2CF5-4A7D-8908-E9F3E1B3F86E}"/>
    <cellStyle name="Vérification 2 2 4 8 2" xfId="44999" xr:uid="{6E165EAE-8EDB-4040-A210-C373C99F2181}"/>
    <cellStyle name="Vérification 2 2 4 8 2 2" xfId="45000" xr:uid="{08A1A61E-B952-4665-8EC1-B1BCFB42F024}"/>
    <cellStyle name="Vérification 2 2 4 8 3" xfId="45001" xr:uid="{AF77E018-1A4F-44D8-9805-854CBB6448AF}"/>
    <cellStyle name="Vérification 2 2 4 9" xfId="45002" xr:uid="{A1B16D68-1E2D-4784-93BF-348C2EBADA6D}"/>
    <cellStyle name="Vérification 2 2 4 9 2" xfId="45003" xr:uid="{E4117092-0961-4DFC-9AA4-769F9E4CEBEE}"/>
    <cellStyle name="Vérification 2 2 4 9 2 2" xfId="45004" xr:uid="{D4A71030-84A2-4871-8006-1B9222EE92C5}"/>
    <cellStyle name="Vérification 2 2 4 9 3" xfId="45005" xr:uid="{8836D637-6119-49A5-8550-C381806A3FED}"/>
    <cellStyle name="Vérification 2 2 5" xfId="45006" xr:uid="{A5380E35-BFCC-461D-ADBF-D2D34163CE5C}"/>
    <cellStyle name="Vérification 2 2 5 2" xfId="45007" xr:uid="{99899D61-9169-4E9D-9CF1-579826B2710B}"/>
    <cellStyle name="Vérification 2 2 5 2 2" xfId="45008" xr:uid="{0F0EEA60-F045-490C-A8B2-4166547D3352}"/>
    <cellStyle name="Vérification 2 2 5 2 2 2" xfId="45009" xr:uid="{DF0D957D-E317-4310-A53D-7AAC7AF417C6}"/>
    <cellStyle name="Vérification 2 2 5 2 3" xfId="45010" xr:uid="{8DA665DC-506C-48C9-B765-2F9B6339661D}"/>
    <cellStyle name="Vérification 2 2 5 3" xfId="45011" xr:uid="{56997E3B-3898-4E98-9FB2-4AEBE695B8EC}"/>
    <cellStyle name="Vérification 2 2 5 3 2" xfId="45012" xr:uid="{3982DEED-AC24-4059-B7E3-8125E2C05E96}"/>
    <cellStyle name="Vérification 2 2 5 3 2 2" xfId="45013" xr:uid="{53D10B73-81EA-44F9-AC93-7E47FE10573F}"/>
    <cellStyle name="Vérification 2 2 5 3 3" xfId="45014" xr:uid="{AD25B962-11E6-4088-9439-0DD316417CAD}"/>
    <cellStyle name="Vérification 2 2 5 4" xfId="45015" xr:uid="{9023C7C4-AD56-4589-AEE3-558055D84F72}"/>
    <cellStyle name="Vérification 2 2 5 4 2" xfId="45016" xr:uid="{24FFEB25-D9BB-4A9A-8E98-089554D8C5C9}"/>
    <cellStyle name="Vérification 2 2 5 4 2 2" xfId="45017" xr:uid="{18C00AF9-93F5-4CAE-A28B-62F59253AC1D}"/>
    <cellStyle name="Vérification 2 2 5 4 3" xfId="45018" xr:uid="{8257E5E5-6B81-484C-9C52-A82220990AC7}"/>
    <cellStyle name="Vérification 2 2 5 5" xfId="45019" xr:uid="{1BE04CF0-4110-4EBD-8B60-F916D95E9295}"/>
    <cellStyle name="Vérification 2 2 5 5 2" xfId="45020" xr:uid="{AD2067BF-6241-4DE5-B279-BA3FDC199A8B}"/>
    <cellStyle name="Vérification 2 2 5 5 2 2" xfId="45021" xr:uid="{D6C518EC-7075-4A0D-ADFE-8CD458B985AD}"/>
    <cellStyle name="Vérification 2 2 5 5 3" xfId="45022" xr:uid="{BC1AB698-2A3C-417E-94B4-69B96E9046EE}"/>
    <cellStyle name="Vérification 2 2 5 6" xfId="45023" xr:uid="{4C58BCA5-3E09-4D9C-80E8-D9D143200D4A}"/>
    <cellStyle name="Vérification 2 2 5 6 2" xfId="45024" xr:uid="{13A36977-0927-4018-8652-32EEAC000158}"/>
    <cellStyle name="Vérification 2 2 5 6 2 2" xfId="45025" xr:uid="{D408B3F7-0E93-44C3-B933-A7E4696C18AA}"/>
    <cellStyle name="Vérification 2 2 5 6 3" xfId="45026" xr:uid="{D9AB25EA-A388-40AD-BE0B-9A5D0E95027C}"/>
    <cellStyle name="Vérification 2 2 5 7" xfId="45027" xr:uid="{1636A826-3F63-4487-BDB9-5B20E08E604C}"/>
    <cellStyle name="Vérification 2 2 5 7 2" xfId="45028" xr:uid="{278C4293-0BBD-4F05-8524-E9BF4BCAA962}"/>
    <cellStyle name="Vérification 2 2 5 7 2 2" xfId="45029" xr:uid="{C731FACE-250E-4FE4-A00B-3E8416B43F3C}"/>
    <cellStyle name="Vérification 2 2 5 7 3" xfId="45030" xr:uid="{4FAB6A44-4F4F-4389-A760-65B3632D8905}"/>
    <cellStyle name="Vérification 2 2 5 8" xfId="45031" xr:uid="{3D16B75B-1B9E-44E4-A7E8-5479F06DAD4E}"/>
    <cellStyle name="Vérification 2 2 5 8 2" xfId="45032" xr:uid="{FD262179-ABE0-47C0-ACDF-9A393FAC449D}"/>
    <cellStyle name="Vérification 2 2 5 8 2 2" xfId="45033" xr:uid="{74287FA9-9C6F-4D4C-B462-3CC502C97C79}"/>
    <cellStyle name="Vérification 2 2 5 8 3" xfId="45034" xr:uid="{4D1540A4-859B-4702-8A40-F98D418ECB29}"/>
    <cellStyle name="Vérification 2 2 5 9" xfId="45035" xr:uid="{381C4BAF-A583-4A1D-AF99-4F58CF0BFAD9}"/>
    <cellStyle name="Vérification 2 2 5 9 2" xfId="45036" xr:uid="{91531B79-63CA-48D0-A38B-EFA8FBE84F1F}"/>
    <cellStyle name="Vérification 2 2 5 9 2 2" xfId="45037" xr:uid="{F47AD462-61F6-4196-99C7-7650C8EEA48B}"/>
    <cellStyle name="Vérification 2 2 5 9 3" xfId="45038" xr:uid="{0675EFF4-DA06-4EBE-A4B3-7435D42174CC}"/>
    <cellStyle name="Vérification 2 2 6" xfId="45039" xr:uid="{5107FF7E-C628-4885-8E9A-57CC7B6C20CC}"/>
    <cellStyle name="Vérification 2 2 6 2" xfId="45040" xr:uid="{A76056E0-993E-40D4-AFE6-D63F8140D5C2}"/>
    <cellStyle name="Vérification 2 2 6 2 2" xfId="45041" xr:uid="{ADCC3E82-5E7D-45EE-9133-ADAB631806B3}"/>
    <cellStyle name="Vérification 2 2 6 3" xfId="45042" xr:uid="{4C26D433-40AA-42F8-9B3F-9081E4152B2E}"/>
    <cellStyle name="Vérification 2 2 7" xfId="45043" xr:uid="{8DC6F565-3110-4F0E-8172-8FC9E9A1B985}"/>
    <cellStyle name="Vérification 2 2 7 2" xfId="45044" xr:uid="{C4770DAD-F14E-46C6-BB2E-C8896842F623}"/>
    <cellStyle name="Vérification 2 2 7 2 2" xfId="45045" xr:uid="{DEB08600-4AB0-41B8-B2A9-BE6BFE24BED9}"/>
    <cellStyle name="Vérification 2 2 7 3" xfId="45046" xr:uid="{822897FA-FB95-4F28-94CC-28FF30EFDC14}"/>
    <cellStyle name="Vérification 2 2 8" xfId="45047" xr:uid="{2DC34EE8-C104-4E92-A2B0-254A80283306}"/>
    <cellStyle name="Vérification 2 2 8 2" xfId="45048" xr:uid="{06A752BD-A7E0-45D2-8480-339B6CBC8FEE}"/>
    <cellStyle name="Vérification 2 2 8 2 2" xfId="45049" xr:uid="{A03A7167-79C5-4F91-9597-22446FCA9913}"/>
    <cellStyle name="Vérification 2 2 8 3" xfId="45050" xr:uid="{95A64789-34FC-4F80-91E1-DB7BCB5F9DC8}"/>
    <cellStyle name="Vérification 2 2 9" xfId="45051" xr:uid="{BBBEA8C0-C620-46C3-B8A0-D36256938D68}"/>
    <cellStyle name="Vérification 2 2 9 2" xfId="45052" xr:uid="{F93D3661-56AB-4E4F-BC6F-2E3ED79F6A61}"/>
    <cellStyle name="Vérification 2 2 9 2 2" xfId="45053" xr:uid="{7FD73524-B99D-416B-8344-18796BC13315}"/>
    <cellStyle name="Vérification 2 2 9 3" xfId="45054" xr:uid="{2EDD0D6D-3A39-42D9-B5E3-A414C9FD6C92}"/>
    <cellStyle name="Vérification 2 3" xfId="45055" xr:uid="{4351827C-BF57-4946-8B56-EF2996F9368C}"/>
    <cellStyle name="Vérification 2 3 2" xfId="45056" xr:uid="{C030AB38-D2C8-4340-8AB6-34A3E907E7FA}"/>
    <cellStyle name="Vérification 2 3 2 2" xfId="45057" xr:uid="{E1EB31F2-AD7B-495C-9AE8-690083FCFEFB}"/>
    <cellStyle name="Vérification 2 3 3" xfId="45058" xr:uid="{0D996B1C-4E94-4451-AFCF-0FAFFA13AE86}"/>
    <cellStyle name="Vérification 2 4" xfId="45059" xr:uid="{0A188104-DBCE-47B5-8EB1-B09F9790D3B7}"/>
    <cellStyle name="Vérification 2 4 2" xfId="45060" xr:uid="{88E64DBA-813B-4C0C-82A8-71D7FA8D4A6A}"/>
    <cellStyle name="Verknüpfte Zelle" xfId="45061" xr:uid="{564D3470-3B50-49CE-960F-21AB22CF46A5}"/>
    <cellStyle name="Verknüpfte Zelle 2" xfId="45062" xr:uid="{E3CF963D-D9B6-4185-825D-7EF600387D5C}"/>
    <cellStyle name="Verknüpfte Zelle 2 10" xfId="45063" xr:uid="{95CB5180-9082-44F9-8874-7D9E66FF1CB0}"/>
    <cellStyle name="Verknüpfte Zelle 2 10 2" xfId="45064" xr:uid="{40807D17-7758-4D56-8928-084AD7AA6FEA}"/>
    <cellStyle name="Verknüpfte Zelle 2 10 2 2" xfId="45065" xr:uid="{7DA20764-41B5-4111-94FE-282AA804A08B}"/>
    <cellStyle name="Verknüpfte Zelle 2 10 3" xfId="45066" xr:uid="{EA3EFC12-40E5-4BA3-A47D-E899C0EED62C}"/>
    <cellStyle name="Verknüpfte Zelle 2 11" xfId="45067" xr:uid="{20C1E2B5-BE9B-4FBB-89BB-BF6E27A4EC41}"/>
    <cellStyle name="Verknüpfte Zelle 2 11 2" xfId="45068" xr:uid="{BFAD6716-E566-4815-BA8F-D3BC0B4B9782}"/>
    <cellStyle name="Verknüpfte Zelle 2 11 2 2" xfId="45069" xr:uid="{4B43A469-9BA8-4223-9E5E-A8ED468D8B25}"/>
    <cellStyle name="Verknüpfte Zelle 2 11 3" xfId="45070" xr:uid="{220440A3-4ED9-4A00-B327-74C33F071CAB}"/>
    <cellStyle name="Verknüpfte Zelle 2 12" xfId="45071" xr:uid="{346FC0EC-712D-48D3-BB2A-132CAAF8D38D}"/>
    <cellStyle name="Verknüpfte Zelle 2 12 2" xfId="45072" xr:uid="{E5BD3C42-A048-4730-90A7-B44D3DCE317B}"/>
    <cellStyle name="Verknüpfte Zelle 2 12 2 2" xfId="45073" xr:uid="{CD18FAC6-C0A8-4507-A1FF-7F93698DF7A1}"/>
    <cellStyle name="Verknüpfte Zelle 2 12 3" xfId="45074" xr:uid="{C95C160C-4DEE-45A5-A818-3054FEA4977C}"/>
    <cellStyle name="Verknüpfte Zelle 2 13" xfId="45075" xr:uid="{BC1228DC-1DA3-460F-8279-E032CB1DB05A}"/>
    <cellStyle name="Verknüpfte Zelle 2 13 2" xfId="45076" xr:uid="{20E5E89C-14A6-4DEE-9A09-F2CB453CD073}"/>
    <cellStyle name="Verknüpfte Zelle 2 13 2 2" xfId="45077" xr:uid="{B0C0BA73-C0D3-4775-8A88-DFB1FC1B34E1}"/>
    <cellStyle name="Verknüpfte Zelle 2 13 3" xfId="45078" xr:uid="{7ADF71DE-D6CB-443A-AAA4-C429B7AF81B8}"/>
    <cellStyle name="Verknüpfte Zelle 2 14" xfId="45079" xr:uid="{3E14BD43-2060-44DC-9340-27FB28831483}"/>
    <cellStyle name="Verknüpfte Zelle 2 14 2" xfId="45080" xr:uid="{7E38CEF9-4E2B-47D6-853D-1F8B367DC36C}"/>
    <cellStyle name="Verknüpfte Zelle 2 15" xfId="45081" xr:uid="{B2B904B4-057D-4D58-9728-318775B19635}"/>
    <cellStyle name="Verknüpfte Zelle 2 2" xfId="45082" xr:uid="{E772050D-F262-4CCB-8CE7-B4243382CCE0}"/>
    <cellStyle name="Verknüpfte Zelle 2 2 10" xfId="45083" xr:uid="{FEF656D1-5E9C-4E26-9AD4-3F706A2949BC}"/>
    <cellStyle name="Verknüpfte Zelle 2 2 10 2" xfId="45084" xr:uid="{636F0FA0-A53A-479B-99D1-9036EF58CBD0}"/>
    <cellStyle name="Verknüpfte Zelle 2 2 10 2 2" xfId="45085" xr:uid="{25E3736F-6813-4C04-AB97-62855A76176F}"/>
    <cellStyle name="Verknüpfte Zelle 2 2 10 3" xfId="45086" xr:uid="{B455F564-24F4-4628-BC7F-EB1C13C1408D}"/>
    <cellStyle name="Verknüpfte Zelle 2 2 11" xfId="45087" xr:uid="{435C05D1-636B-4E24-852E-C425C9462374}"/>
    <cellStyle name="Verknüpfte Zelle 2 2 11 2" xfId="45088" xr:uid="{C1F36E23-FE95-44F3-AB4D-9901F6503035}"/>
    <cellStyle name="Verknüpfte Zelle 2 2 11 2 2" xfId="45089" xr:uid="{16C558D9-2FE3-4C1E-B580-E60ADC546ABC}"/>
    <cellStyle name="Verknüpfte Zelle 2 2 11 3" xfId="45090" xr:uid="{883B2FE6-E5DB-43F1-8352-0DBEB5773CBD}"/>
    <cellStyle name="Verknüpfte Zelle 2 2 12" xfId="45091" xr:uid="{F95E5609-F617-4AB9-9749-C08846B7395E}"/>
    <cellStyle name="Verknüpfte Zelle 2 2 12 2" xfId="45092" xr:uid="{E58B7D73-614C-4CB1-94F4-BBE848177E71}"/>
    <cellStyle name="Verknüpfte Zelle 2 2 12 2 2" xfId="45093" xr:uid="{0CA837F2-F079-4043-89F9-C1E4ECD5F41D}"/>
    <cellStyle name="Verknüpfte Zelle 2 2 12 3" xfId="45094" xr:uid="{B7F1B8BA-BA34-4C4E-9942-38F8F97AD336}"/>
    <cellStyle name="Verknüpfte Zelle 2 2 13" xfId="45095" xr:uid="{666983B2-4B5B-49E4-935D-B54B9CF3368F}"/>
    <cellStyle name="Verknüpfte Zelle 2 2 13 2" xfId="45096" xr:uid="{59F849EA-4D36-4BBE-BA60-CCFC035D822A}"/>
    <cellStyle name="Verknüpfte Zelle 2 2 14" xfId="45097" xr:uid="{63A4C019-58B9-4C51-BF5F-6E897CDFFABA}"/>
    <cellStyle name="Verknüpfte Zelle 2 2 2" xfId="45098" xr:uid="{88AE9A55-45DC-4400-82B1-3959FA3107FA}"/>
    <cellStyle name="Verknüpfte Zelle 2 2 2 10" xfId="45099" xr:uid="{6CEBA530-C085-4F4D-B103-361AFB081EBE}"/>
    <cellStyle name="Verknüpfte Zelle 2 2 2 10 2" xfId="45100" xr:uid="{F63DC760-6C23-4A82-AD60-3B9B3B2F6BFD}"/>
    <cellStyle name="Verknüpfte Zelle 2 2 2 10 2 2" xfId="45101" xr:uid="{7F29BEE9-9F04-4D16-BB83-69EEDB0DCDA3}"/>
    <cellStyle name="Verknüpfte Zelle 2 2 2 10 3" xfId="45102" xr:uid="{782579C9-2505-441D-8020-4C2EFF013268}"/>
    <cellStyle name="Verknüpfte Zelle 2 2 2 11" xfId="45103" xr:uid="{01A656FD-BD84-4E6C-98A6-6C0DE8B56645}"/>
    <cellStyle name="Verknüpfte Zelle 2 2 2 11 2" xfId="45104" xr:uid="{427BDAED-6959-4AFE-8B93-EA002EC36B99}"/>
    <cellStyle name="Verknüpfte Zelle 2 2 2 11 2 2" xfId="45105" xr:uid="{E415F187-35C6-40B2-9DB6-755382B985FF}"/>
    <cellStyle name="Verknüpfte Zelle 2 2 2 11 3" xfId="45106" xr:uid="{76B5E798-07AF-4AC9-8CF3-F8F12D3565CF}"/>
    <cellStyle name="Verknüpfte Zelle 2 2 2 12" xfId="45107" xr:uid="{FF59A9B0-489E-4D90-97ED-9FA24B7921E5}"/>
    <cellStyle name="Verknüpfte Zelle 2 2 2 12 2" xfId="45108" xr:uid="{A48991DA-F956-413A-A73A-4907ADE68BE5}"/>
    <cellStyle name="Verknüpfte Zelle 2 2 2 13" xfId="45109" xr:uid="{AC56B2FD-5B06-4A32-8C95-6785D7C8F3EC}"/>
    <cellStyle name="Verknüpfte Zelle 2 2 2 2" xfId="45110" xr:uid="{E8829C6E-B71D-455A-B907-05275603E287}"/>
    <cellStyle name="Verknüpfte Zelle 2 2 2 2 10" xfId="45111" xr:uid="{33C3C116-7D1D-48CA-99DF-8862D2773A3D}"/>
    <cellStyle name="Verknüpfte Zelle 2 2 2 2 10 2" xfId="45112" xr:uid="{B608D82D-3B09-4D75-B265-9A9EF59671FB}"/>
    <cellStyle name="Verknüpfte Zelle 2 2 2 2 10 2 2" xfId="45113" xr:uid="{1CAE55D6-8402-4CDF-A0B9-3FA11F90D0B4}"/>
    <cellStyle name="Verknüpfte Zelle 2 2 2 2 10 3" xfId="45114" xr:uid="{EBBD96AB-A22B-4962-A4C9-429B95F35F10}"/>
    <cellStyle name="Verknüpfte Zelle 2 2 2 2 11" xfId="45115" xr:uid="{F00BB568-C3D2-4831-9F5E-6FC8CEA9ED4E}"/>
    <cellStyle name="Verknüpfte Zelle 2 2 2 2 11 2" xfId="45116" xr:uid="{6B055306-FE29-4788-8F26-169FD8AF2A1D}"/>
    <cellStyle name="Verknüpfte Zelle 2 2 2 2 12" xfId="45117" xr:uid="{0E835517-832F-4F82-83F1-BF3B48965B98}"/>
    <cellStyle name="Verknüpfte Zelle 2 2 2 2 2" xfId="45118" xr:uid="{4AFA2233-E14E-4E0E-ADB6-BD7180FF2DBF}"/>
    <cellStyle name="Verknüpfte Zelle 2 2 2 2 2 2" xfId="45119" xr:uid="{19A55521-F549-4CCC-8D12-4CA46C9AE6D9}"/>
    <cellStyle name="Verknüpfte Zelle 2 2 2 2 2 2 2" xfId="45120" xr:uid="{BBC54894-6E4F-4091-81E8-5257FAC86D3F}"/>
    <cellStyle name="Verknüpfte Zelle 2 2 2 2 2 3" xfId="45121" xr:uid="{D2B09374-C95E-4A57-834F-4FC2D4892A84}"/>
    <cellStyle name="Verknüpfte Zelle 2 2 2 2 3" xfId="45122" xr:uid="{CA5F9598-5E13-46A1-8FF4-CA6BDC74BEDE}"/>
    <cellStyle name="Verknüpfte Zelle 2 2 2 2 3 2" xfId="45123" xr:uid="{8F99B88D-0E4D-414A-B199-C53DC4AFA280}"/>
    <cellStyle name="Verknüpfte Zelle 2 2 2 2 3 2 2" xfId="45124" xr:uid="{76B77A45-B169-4FBA-AD21-A7BC817B085A}"/>
    <cellStyle name="Verknüpfte Zelle 2 2 2 2 3 3" xfId="45125" xr:uid="{75BAE988-81C2-428D-BC26-B6BB9B6E8CB7}"/>
    <cellStyle name="Verknüpfte Zelle 2 2 2 2 4" xfId="45126" xr:uid="{A3FD680E-66D9-4529-A815-4B6BF6036F3C}"/>
    <cellStyle name="Verknüpfte Zelle 2 2 2 2 4 2" xfId="45127" xr:uid="{B5A62018-93E8-4A4F-832C-841C75265859}"/>
    <cellStyle name="Verknüpfte Zelle 2 2 2 2 4 2 2" xfId="45128" xr:uid="{EB445BDF-1550-429F-B319-32873F487234}"/>
    <cellStyle name="Verknüpfte Zelle 2 2 2 2 4 3" xfId="45129" xr:uid="{2AE8F489-029D-4855-AEA7-7A57371E03B0}"/>
    <cellStyle name="Verknüpfte Zelle 2 2 2 2 5" xfId="45130" xr:uid="{7CEE6A1A-860A-4856-829F-8753E9BF4870}"/>
    <cellStyle name="Verknüpfte Zelle 2 2 2 2 5 2" xfId="45131" xr:uid="{4574D8FA-FF94-446C-A33C-67A054BD2F47}"/>
    <cellStyle name="Verknüpfte Zelle 2 2 2 2 5 2 2" xfId="45132" xr:uid="{7269D500-1877-4011-875F-25D5A5DF3E8A}"/>
    <cellStyle name="Verknüpfte Zelle 2 2 2 2 5 3" xfId="45133" xr:uid="{E9398045-DAB7-476F-A867-A27C7472CDC4}"/>
    <cellStyle name="Verknüpfte Zelle 2 2 2 2 6" xfId="45134" xr:uid="{2E1F9B15-ED59-4192-8C51-8D6C161BDA44}"/>
    <cellStyle name="Verknüpfte Zelle 2 2 2 2 6 2" xfId="45135" xr:uid="{A072977B-5FF6-41B4-BEE4-5389DD9440B6}"/>
    <cellStyle name="Verknüpfte Zelle 2 2 2 2 6 2 2" xfId="45136" xr:uid="{F99E0F00-00ED-4E6F-83AC-AD436663C10B}"/>
    <cellStyle name="Verknüpfte Zelle 2 2 2 2 6 3" xfId="45137" xr:uid="{88AFC546-6BFE-4B29-981E-CCB6E1F53F14}"/>
    <cellStyle name="Verknüpfte Zelle 2 2 2 2 7" xfId="45138" xr:uid="{8C1CE613-8081-4730-AB8A-84BA226AD468}"/>
    <cellStyle name="Verknüpfte Zelle 2 2 2 2 7 2" xfId="45139" xr:uid="{ECCE0FD8-3560-4122-93DA-C918E86CB8A2}"/>
    <cellStyle name="Verknüpfte Zelle 2 2 2 2 7 2 2" xfId="45140" xr:uid="{4D580922-77AC-4429-AA22-456E38B9D1C1}"/>
    <cellStyle name="Verknüpfte Zelle 2 2 2 2 7 3" xfId="45141" xr:uid="{7443F7CB-DA8E-4ABF-8447-C25792481E45}"/>
    <cellStyle name="Verknüpfte Zelle 2 2 2 2 8" xfId="45142" xr:uid="{0AA60FE4-75B8-45A9-BC91-3BDB3FD66BF9}"/>
    <cellStyle name="Verknüpfte Zelle 2 2 2 2 8 2" xfId="45143" xr:uid="{9E70B3AC-AC0D-41FE-BCE9-9C304500EBEE}"/>
    <cellStyle name="Verknüpfte Zelle 2 2 2 2 8 2 2" xfId="45144" xr:uid="{ECC80A1A-B971-4909-9B4B-481795D544BB}"/>
    <cellStyle name="Verknüpfte Zelle 2 2 2 2 8 3" xfId="45145" xr:uid="{45C0A943-1767-4FAA-AF95-C3FC54514BBA}"/>
    <cellStyle name="Verknüpfte Zelle 2 2 2 2 9" xfId="45146" xr:uid="{2AE8DC50-FA0C-4C41-9419-77366068326E}"/>
    <cellStyle name="Verknüpfte Zelle 2 2 2 2 9 2" xfId="45147" xr:uid="{89CE2C6F-97B1-4C7F-A979-0C17F97ABC2C}"/>
    <cellStyle name="Verknüpfte Zelle 2 2 2 2 9 2 2" xfId="45148" xr:uid="{AF78883B-7808-457A-B429-BE1793AA06B2}"/>
    <cellStyle name="Verknüpfte Zelle 2 2 2 2 9 3" xfId="45149" xr:uid="{D819A969-5B9B-427F-B215-E9ED803A0E3A}"/>
    <cellStyle name="Verknüpfte Zelle 2 2 2 3" xfId="45150" xr:uid="{A05EC127-E201-4B04-9255-06BAC54CED46}"/>
    <cellStyle name="Verknüpfte Zelle 2 2 2 3 10" xfId="45151" xr:uid="{BAAD57B6-485E-4F32-A49C-1749BFE33A8E}"/>
    <cellStyle name="Verknüpfte Zelle 2 2 2 3 10 2" xfId="45152" xr:uid="{C4C52F0A-B9CA-4448-AB68-42F9E51FC293}"/>
    <cellStyle name="Verknüpfte Zelle 2 2 2 3 11" xfId="45153" xr:uid="{2397827B-EAC5-4B20-92CA-240D79FB55B6}"/>
    <cellStyle name="Verknüpfte Zelle 2 2 2 3 2" xfId="45154" xr:uid="{460A0518-65C6-4C13-8521-A661A4A59F7D}"/>
    <cellStyle name="Verknüpfte Zelle 2 2 2 3 2 2" xfId="45155" xr:uid="{406816AF-3854-4C6E-86CF-ECA04FDF18EF}"/>
    <cellStyle name="Verknüpfte Zelle 2 2 2 3 2 2 2" xfId="45156" xr:uid="{E01CB2A4-DDF3-471A-91B7-C1575AB5954A}"/>
    <cellStyle name="Verknüpfte Zelle 2 2 2 3 2 3" xfId="45157" xr:uid="{5E86772E-6660-4828-B67E-EFF56665950A}"/>
    <cellStyle name="Verknüpfte Zelle 2 2 2 3 3" xfId="45158" xr:uid="{98C518AF-F9E3-4F7B-8020-43D0F9D44ECC}"/>
    <cellStyle name="Verknüpfte Zelle 2 2 2 3 3 2" xfId="45159" xr:uid="{9B0BFDC5-63DE-4737-A2A3-5B71100117E8}"/>
    <cellStyle name="Verknüpfte Zelle 2 2 2 3 3 2 2" xfId="45160" xr:uid="{25A447E4-D191-4EA8-B84A-FEF92971039B}"/>
    <cellStyle name="Verknüpfte Zelle 2 2 2 3 3 3" xfId="45161" xr:uid="{7C9287AD-DE0A-4B37-902C-4CC6B7630C4E}"/>
    <cellStyle name="Verknüpfte Zelle 2 2 2 3 4" xfId="45162" xr:uid="{A45BFC01-8C87-4D0A-82F7-82E789758F0C}"/>
    <cellStyle name="Verknüpfte Zelle 2 2 2 3 4 2" xfId="45163" xr:uid="{35EDD732-2766-452D-A4BD-AC0029E96F7E}"/>
    <cellStyle name="Verknüpfte Zelle 2 2 2 3 4 2 2" xfId="45164" xr:uid="{57A7F15F-BB8B-486F-94C2-C7FBBAFC8FC0}"/>
    <cellStyle name="Verknüpfte Zelle 2 2 2 3 4 3" xfId="45165" xr:uid="{2D5B61A9-1853-4F49-8A4A-52547CF1A4A8}"/>
    <cellStyle name="Verknüpfte Zelle 2 2 2 3 5" xfId="45166" xr:uid="{1D42BBD9-B61E-4BD0-80A6-9168DF9519C7}"/>
    <cellStyle name="Verknüpfte Zelle 2 2 2 3 5 2" xfId="45167" xr:uid="{2680D3F3-D1EF-41FD-B2F5-CD7F345BFCEA}"/>
    <cellStyle name="Verknüpfte Zelle 2 2 2 3 5 2 2" xfId="45168" xr:uid="{CDF7B0AC-0502-4DCB-8C2C-4FEDA22BD8F5}"/>
    <cellStyle name="Verknüpfte Zelle 2 2 2 3 5 3" xfId="45169" xr:uid="{48F5F3A6-0C2A-4AEF-AF7D-86AF30DB2283}"/>
    <cellStyle name="Verknüpfte Zelle 2 2 2 3 6" xfId="45170" xr:uid="{454CB82F-369E-48DF-9E37-DC43489425C7}"/>
    <cellStyle name="Verknüpfte Zelle 2 2 2 3 6 2" xfId="45171" xr:uid="{9F796059-6403-4BD3-AC16-447ED461E0C0}"/>
    <cellStyle name="Verknüpfte Zelle 2 2 2 3 6 2 2" xfId="45172" xr:uid="{ED26DE19-21E5-4507-B88D-8B3762FA42EC}"/>
    <cellStyle name="Verknüpfte Zelle 2 2 2 3 6 3" xfId="45173" xr:uid="{07E6FEE3-3886-4266-AD94-8839DD132892}"/>
    <cellStyle name="Verknüpfte Zelle 2 2 2 3 7" xfId="45174" xr:uid="{E214FE2B-0745-4C18-A24A-90FA2757C5B0}"/>
    <cellStyle name="Verknüpfte Zelle 2 2 2 3 7 2" xfId="45175" xr:uid="{00915402-233F-4AF3-9160-AC7F5A91380E}"/>
    <cellStyle name="Verknüpfte Zelle 2 2 2 3 7 2 2" xfId="45176" xr:uid="{15AB8340-173E-4F7B-8C61-38BEBF69507C}"/>
    <cellStyle name="Verknüpfte Zelle 2 2 2 3 7 3" xfId="45177" xr:uid="{242CBB39-B809-4FDD-8E94-FC8CAF744471}"/>
    <cellStyle name="Verknüpfte Zelle 2 2 2 3 8" xfId="45178" xr:uid="{4D75E3E7-D349-4CD3-A0F7-9A9A5F053124}"/>
    <cellStyle name="Verknüpfte Zelle 2 2 2 3 8 2" xfId="45179" xr:uid="{0A79B6D8-FA24-4E87-A7A5-EF092EA8B2B4}"/>
    <cellStyle name="Verknüpfte Zelle 2 2 2 3 8 2 2" xfId="45180" xr:uid="{65EDF37A-5BE6-4511-977A-9B16BBFEE40B}"/>
    <cellStyle name="Verknüpfte Zelle 2 2 2 3 8 3" xfId="45181" xr:uid="{78545DB3-577A-4A99-A75D-A72A764A10A0}"/>
    <cellStyle name="Verknüpfte Zelle 2 2 2 3 9" xfId="45182" xr:uid="{CFC66B53-CF2F-4FCD-9F5E-4125072BD47D}"/>
    <cellStyle name="Verknüpfte Zelle 2 2 2 3 9 2" xfId="45183" xr:uid="{17574338-E511-4DE6-B331-9B9BFE9357FB}"/>
    <cellStyle name="Verknüpfte Zelle 2 2 2 3 9 2 2" xfId="45184" xr:uid="{4B4B684E-4F7E-46F7-ABB1-26CF49BA5926}"/>
    <cellStyle name="Verknüpfte Zelle 2 2 2 3 9 3" xfId="45185" xr:uid="{9D99E435-0D95-4640-88E8-E3D49FD6CAE6}"/>
    <cellStyle name="Verknüpfte Zelle 2 2 2 4" xfId="45186" xr:uid="{E06E2860-4910-4822-8937-C8D8F3E06A9F}"/>
    <cellStyle name="Verknüpfte Zelle 2 2 2 4 2" xfId="45187" xr:uid="{D8244953-6D12-4AE4-9781-2569E73C5AE0}"/>
    <cellStyle name="Verknüpfte Zelle 2 2 2 4 2 2" xfId="45188" xr:uid="{9C6C4A82-B491-47BA-842E-874B00151C44}"/>
    <cellStyle name="Verknüpfte Zelle 2 2 2 4 3" xfId="45189" xr:uid="{D827C5F7-0002-46BB-B11F-A44240B0E7C4}"/>
    <cellStyle name="Verknüpfte Zelle 2 2 2 5" xfId="45190" xr:uid="{0C7ADA95-E463-461E-A2B2-C836EFD4C618}"/>
    <cellStyle name="Verknüpfte Zelle 2 2 2 5 2" xfId="45191" xr:uid="{37BD2F25-65E8-4B5F-8385-A21F5D8D3445}"/>
    <cellStyle name="Verknüpfte Zelle 2 2 2 5 2 2" xfId="45192" xr:uid="{28EDB2CC-B553-49BF-93A5-D19F96A4D649}"/>
    <cellStyle name="Verknüpfte Zelle 2 2 2 5 3" xfId="45193" xr:uid="{C17AC8FA-5517-4AAD-A92A-F18FC4A7105A}"/>
    <cellStyle name="Verknüpfte Zelle 2 2 2 6" xfId="45194" xr:uid="{63FB7420-8C3C-4F82-8257-AE25FFAE9057}"/>
    <cellStyle name="Verknüpfte Zelle 2 2 2 6 2" xfId="45195" xr:uid="{C1E293C8-FBE4-43AB-BFA6-91726ED33869}"/>
    <cellStyle name="Verknüpfte Zelle 2 2 2 6 2 2" xfId="45196" xr:uid="{84C51305-9490-425B-9619-A5D0DC7F7241}"/>
    <cellStyle name="Verknüpfte Zelle 2 2 2 6 3" xfId="45197" xr:uid="{121AFA29-FA35-41C2-97E5-86D057930C20}"/>
    <cellStyle name="Verknüpfte Zelle 2 2 2 7" xfId="45198" xr:uid="{ED0A96DF-1502-4178-BE0C-E40F56C76765}"/>
    <cellStyle name="Verknüpfte Zelle 2 2 2 7 2" xfId="45199" xr:uid="{7DEC7803-B3A8-41C2-8476-065EC3559111}"/>
    <cellStyle name="Verknüpfte Zelle 2 2 2 7 2 2" xfId="45200" xr:uid="{C2EAB776-DECA-4E54-B55B-773400BF44A6}"/>
    <cellStyle name="Verknüpfte Zelle 2 2 2 7 3" xfId="45201" xr:uid="{C070E620-5AA2-4E7B-A0C4-957CE327EC99}"/>
    <cellStyle name="Verknüpfte Zelle 2 2 2 8" xfId="45202" xr:uid="{1CFC5F43-3454-45F2-A138-127D22632E49}"/>
    <cellStyle name="Verknüpfte Zelle 2 2 2 8 2" xfId="45203" xr:uid="{22CB80A3-BA81-4284-8499-2BB1BB51EA4B}"/>
    <cellStyle name="Verknüpfte Zelle 2 2 2 8 2 2" xfId="45204" xr:uid="{0FE6855D-5BF0-4285-8D6B-2597C4043338}"/>
    <cellStyle name="Verknüpfte Zelle 2 2 2 8 3" xfId="45205" xr:uid="{01BBC1E3-9BF7-427B-A307-4CF3A8EB77BB}"/>
    <cellStyle name="Verknüpfte Zelle 2 2 2 9" xfId="45206" xr:uid="{4E8545CD-A788-4743-A211-8ABC0E79363A}"/>
    <cellStyle name="Verknüpfte Zelle 2 2 2 9 2" xfId="45207" xr:uid="{42C6EECD-70DA-411F-B3C4-65EF06A7A444}"/>
    <cellStyle name="Verknüpfte Zelle 2 2 2 9 2 2" xfId="45208" xr:uid="{ED57E6DF-324C-4AB4-888A-8F0C2A053FDF}"/>
    <cellStyle name="Verknüpfte Zelle 2 2 2 9 3" xfId="45209" xr:uid="{7A4251C9-3333-47B6-B6F6-1FEB946D7FC4}"/>
    <cellStyle name="Verknüpfte Zelle 2 2 3" xfId="45210" xr:uid="{35B98F6C-7E09-417F-9C27-C4692EB139B9}"/>
    <cellStyle name="Verknüpfte Zelle 2 2 3 10" xfId="45211" xr:uid="{2A5DF877-A73E-4E00-A654-F6FFDE894927}"/>
    <cellStyle name="Verknüpfte Zelle 2 2 3 10 2" xfId="45212" xr:uid="{CA6CDDB5-5B09-4EE9-B933-62CDD86573C5}"/>
    <cellStyle name="Verknüpfte Zelle 2 2 3 10 2 2" xfId="45213" xr:uid="{AFE51570-E39E-4A1D-A7B4-F99994D7B3BA}"/>
    <cellStyle name="Verknüpfte Zelle 2 2 3 10 3" xfId="45214" xr:uid="{8ED29D10-CDC6-4F6A-BD1C-A2282E566FE1}"/>
    <cellStyle name="Verknüpfte Zelle 2 2 3 11" xfId="45215" xr:uid="{CF07BE5C-23C5-4576-8EC7-85CFA2069C00}"/>
    <cellStyle name="Verknüpfte Zelle 2 2 3 11 2" xfId="45216" xr:uid="{11C1404D-93AC-424A-A48E-4AC74C5B1DA5}"/>
    <cellStyle name="Verknüpfte Zelle 2 2 3 12" xfId="45217" xr:uid="{0E6DD2F0-84F8-4DAB-8218-7BB4B34753A4}"/>
    <cellStyle name="Verknüpfte Zelle 2 2 3 2" xfId="45218" xr:uid="{C29072A4-DDC0-4A14-8816-9B9872718DFD}"/>
    <cellStyle name="Verknüpfte Zelle 2 2 3 2 10" xfId="45219" xr:uid="{92099318-9A44-45B8-914B-61CC5AB7E5FE}"/>
    <cellStyle name="Verknüpfte Zelle 2 2 3 2 10 2" xfId="45220" xr:uid="{6F4A3968-D6D4-468E-9EF1-40D0AA71A859}"/>
    <cellStyle name="Verknüpfte Zelle 2 2 3 2 11" xfId="45221" xr:uid="{1C6D8A4E-2D23-4E2F-A76A-47D87CF9B738}"/>
    <cellStyle name="Verknüpfte Zelle 2 2 3 2 2" xfId="45222" xr:uid="{508947BA-F9D3-4E14-A2F7-5821691644D6}"/>
    <cellStyle name="Verknüpfte Zelle 2 2 3 2 2 2" xfId="45223" xr:uid="{28675D72-5715-401D-A00D-72FEAF0C5713}"/>
    <cellStyle name="Verknüpfte Zelle 2 2 3 2 2 2 2" xfId="45224" xr:uid="{1CFC904F-2D35-44F1-91F8-23223F7C7370}"/>
    <cellStyle name="Verknüpfte Zelle 2 2 3 2 2 3" xfId="45225" xr:uid="{B5CE3C9F-8529-4835-9454-40A9F6BA9C49}"/>
    <cellStyle name="Verknüpfte Zelle 2 2 3 2 3" xfId="45226" xr:uid="{F85456E9-0747-491A-9A03-038F5AE3D44C}"/>
    <cellStyle name="Verknüpfte Zelle 2 2 3 2 3 2" xfId="45227" xr:uid="{DE8DBB3D-1C29-4A10-A27E-700AE49C9DAD}"/>
    <cellStyle name="Verknüpfte Zelle 2 2 3 2 3 2 2" xfId="45228" xr:uid="{3C0A73B3-8E69-4066-A6A7-B170D44F37B9}"/>
    <cellStyle name="Verknüpfte Zelle 2 2 3 2 3 3" xfId="45229" xr:uid="{7A2265C9-697D-454D-8E0F-EE9316AC91DD}"/>
    <cellStyle name="Verknüpfte Zelle 2 2 3 2 4" xfId="45230" xr:uid="{B9EA8C16-6602-4715-A2C6-A9550AD876E0}"/>
    <cellStyle name="Verknüpfte Zelle 2 2 3 2 4 2" xfId="45231" xr:uid="{C50BA428-0875-48FC-A57F-8E828719AA40}"/>
    <cellStyle name="Verknüpfte Zelle 2 2 3 2 4 2 2" xfId="45232" xr:uid="{03474FE3-4BA2-4F9C-980A-F1CB047AD089}"/>
    <cellStyle name="Verknüpfte Zelle 2 2 3 2 4 3" xfId="45233" xr:uid="{D744B2A5-52E0-406C-861E-1C3EAD99B910}"/>
    <cellStyle name="Verknüpfte Zelle 2 2 3 2 5" xfId="45234" xr:uid="{C7333082-CD64-43B4-8AFC-C4D06D3350AB}"/>
    <cellStyle name="Verknüpfte Zelle 2 2 3 2 5 2" xfId="45235" xr:uid="{7B3C62A8-1EFF-4DBB-ABB2-B0608F0DC9AD}"/>
    <cellStyle name="Verknüpfte Zelle 2 2 3 2 5 2 2" xfId="45236" xr:uid="{A03DB0A6-81F9-4EA9-AEA5-EC927033E518}"/>
    <cellStyle name="Verknüpfte Zelle 2 2 3 2 5 3" xfId="45237" xr:uid="{D3532FA5-0FF6-4B50-98A8-500CA1449E4E}"/>
    <cellStyle name="Verknüpfte Zelle 2 2 3 2 6" xfId="45238" xr:uid="{A63C0E87-7777-4D6C-B0D9-A63015B7277C}"/>
    <cellStyle name="Verknüpfte Zelle 2 2 3 2 6 2" xfId="45239" xr:uid="{483E7714-37F6-4595-87BD-FF8F822D2917}"/>
    <cellStyle name="Verknüpfte Zelle 2 2 3 2 6 2 2" xfId="45240" xr:uid="{0A8D8164-2751-494A-A91D-030DBB36C974}"/>
    <cellStyle name="Verknüpfte Zelle 2 2 3 2 6 3" xfId="45241" xr:uid="{8C1770EB-AD76-4924-9DED-9C52F0ADAC63}"/>
    <cellStyle name="Verknüpfte Zelle 2 2 3 2 7" xfId="45242" xr:uid="{9438AF94-565F-4CC8-9C28-EE6667FF78EE}"/>
    <cellStyle name="Verknüpfte Zelle 2 2 3 2 7 2" xfId="45243" xr:uid="{1D8D26FF-B49F-40A0-A8B2-3E27F3D4AE6E}"/>
    <cellStyle name="Verknüpfte Zelle 2 2 3 2 7 2 2" xfId="45244" xr:uid="{12995B7B-6854-48A5-839A-2B89ED1BC5FE}"/>
    <cellStyle name="Verknüpfte Zelle 2 2 3 2 7 3" xfId="45245" xr:uid="{04D0CDC5-3E1D-4C36-A16A-98060032D7FD}"/>
    <cellStyle name="Verknüpfte Zelle 2 2 3 2 8" xfId="45246" xr:uid="{988B3DCC-C52A-4D15-BDB5-8BAEEDC35476}"/>
    <cellStyle name="Verknüpfte Zelle 2 2 3 2 8 2" xfId="45247" xr:uid="{672A9A85-0E00-40AC-8D2A-3185B4C9ECDC}"/>
    <cellStyle name="Verknüpfte Zelle 2 2 3 2 8 2 2" xfId="45248" xr:uid="{459823E0-606D-4DB1-A73A-CAB09B067DF7}"/>
    <cellStyle name="Verknüpfte Zelle 2 2 3 2 8 3" xfId="45249" xr:uid="{4F5C0578-C913-496C-80C9-B2DC36308736}"/>
    <cellStyle name="Verknüpfte Zelle 2 2 3 2 9" xfId="45250" xr:uid="{229EE3B5-C63C-46BC-8CE0-D00C3D2F4128}"/>
    <cellStyle name="Verknüpfte Zelle 2 2 3 2 9 2" xfId="45251" xr:uid="{D6B08453-363F-47D1-880C-CE7E563D434C}"/>
    <cellStyle name="Verknüpfte Zelle 2 2 3 2 9 2 2" xfId="45252" xr:uid="{C8A33069-1118-42AF-9B83-2D5700841C68}"/>
    <cellStyle name="Verknüpfte Zelle 2 2 3 2 9 3" xfId="45253" xr:uid="{39136A37-9569-4EA9-AA90-A152A8B52540}"/>
    <cellStyle name="Verknüpfte Zelle 2 2 3 3" xfId="45254" xr:uid="{C511A929-FBF8-4A24-8291-54997959D3EE}"/>
    <cellStyle name="Verknüpfte Zelle 2 2 3 3 2" xfId="45255" xr:uid="{91182297-024B-4009-B670-0AFCEA5694BF}"/>
    <cellStyle name="Verknüpfte Zelle 2 2 3 3 2 2" xfId="45256" xr:uid="{26B34F60-B132-4636-A83A-CCB56B0E4728}"/>
    <cellStyle name="Verknüpfte Zelle 2 2 3 3 3" xfId="45257" xr:uid="{83FB1CF3-03D9-4B32-882F-E358117E7115}"/>
    <cellStyle name="Verknüpfte Zelle 2 2 3 4" xfId="45258" xr:uid="{4B391024-0A0B-4BF5-B950-1A2EB169C82D}"/>
    <cellStyle name="Verknüpfte Zelle 2 2 3 4 2" xfId="45259" xr:uid="{3FC7A389-9F66-499E-B15F-4BBA8F5BE77A}"/>
    <cellStyle name="Verknüpfte Zelle 2 2 3 4 2 2" xfId="45260" xr:uid="{4D02C4CE-8E9A-48AD-9529-90D1C11C8FA8}"/>
    <cellStyle name="Verknüpfte Zelle 2 2 3 4 3" xfId="45261" xr:uid="{5917DDE1-524D-4ED1-A2B7-8BD269B92892}"/>
    <cellStyle name="Verknüpfte Zelle 2 2 3 5" xfId="45262" xr:uid="{F21E0EE5-DAD5-405C-9EF5-0D133A693777}"/>
    <cellStyle name="Verknüpfte Zelle 2 2 3 5 2" xfId="45263" xr:uid="{42FC323F-CCA4-4BA0-B867-79FE1848B0B1}"/>
    <cellStyle name="Verknüpfte Zelle 2 2 3 5 2 2" xfId="45264" xr:uid="{A5A30779-DDD6-45DD-9CDB-CA6D1285498A}"/>
    <cellStyle name="Verknüpfte Zelle 2 2 3 5 3" xfId="45265" xr:uid="{7D84334B-A03E-4297-A24C-867B21AF57B3}"/>
    <cellStyle name="Verknüpfte Zelle 2 2 3 6" xfId="45266" xr:uid="{5D2EAAEF-565C-45E8-8292-2F14EDFCF763}"/>
    <cellStyle name="Verknüpfte Zelle 2 2 3 6 2" xfId="45267" xr:uid="{41208A2E-1678-4037-AF56-B7102029F69E}"/>
    <cellStyle name="Verknüpfte Zelle 2 2 3 6 2 2" xfId="45268" xr:uid="{0FFCF189-3439-433C-B450-A1369F7B6477}"/>
    <cellStyle name="Verknüpfte Zelle 2 2 3 6 3" xfId="45269" xr:uid="{44BB9DEB-5F01-42D6-98EE-5A2F72164141}"/>
    <cellStyle name="Verknüpfte Zelle 2 2 3 7" xfId="45270" xr:uid="{D0E3EAFB-5C1C-47FD-AFFF-C04778C6CD12}"/>
    <cellStyle name="Verknüpfte Zelle 2 2 3 7 2" xfId="45271" xr:uid="{69ABDD7D-DF58-48F1-B894-797CA6687936}"/>
    <cellStyle name="Verknüpfte Zelle 2 2 3 7 2 2" xfId="45272" xr:uid="{5FCD0B3E-A89A-482B-8FA7-5B1CC4B0C4F2}"/>
    <cellStyle name="Verknüpfte Zelle 2 2 3 7 3" xfId="45273" xr:uid="{2CC1EEE5-F662-4053-9D56-148F56C13D2F}"/>
    <cellStyle name="Verknüpfte Zelle 2 2 3 8" xfId="45274" xr:uid="{FB19329F-925F-4B52-820B-24F9922F6E1F}"/>
    <cellStyle name="Verknüpfte Zelle 2 2 3 8 2" xfId="45275" xr:uid="{70FBC07E-9DF9-47FF-B15B-F519896893BF}"/>
    <cellStyle name="Verknüpfte Zelle 2 2 3 8 2 2" xfId="45276" xr:uid="{65BC98D7-FBF9-4AC1-92BE-931B3D43EF50}"/>
    <cellStyle name="Verknüpfte Zelle 2 2 3 8 3" xfId="45277" xr:uid="{329EFC47-1AA1-4691-8775-0C6EC5436A8E}"/>
    <cellStyle name="Verknüpfte Zelle 2 2 3 9" xfId="45278" xr:uid="{8B98DD66-6E90-4057-B2BD-398A55E6FF6B}"/>
    <cellStyle name="Verknüpfte Zelle 2 2 3 9 2" xfId="45279" xr:uid="{E42709B8-7285-4593-B814-51E4D2D32127}"/>
    <cellStyle name="Verknüpfte Zelle 2 2 3 9 2 2" xfId="45280" xr:uid="{80601474-F0A0-4168-ACA5-D912B6E877BE}"/>
    <cellStyle name="Verknüpfte Zelle 2 2 3 9 3" xfId="45281" xr:uid="{A434F90B-9BC4-433B-8EA6-FA072F5A1974}"/>
    <cellStyle name="Verknüpfte Zelle 2 2 4" xfId="45282" xr:uid="{665A28CB-A4A1-466E-8B5A-B7B9D48229B8}"/>
    <cellStyle name="Verknüpfte Zelle 2 2 4 10" xfId="45283" xr:uid="{9AAD19C2-5ABC-4DFB-86A3-D419D2AA5F8C}"/>
    <cellStyle name="Verknüpfte Zelle 2 2 4 10 2" xfId="45284" xr:uid="{BC5B920E-D8C1-489B-A9F6-75317C6B57F7}"/>
    <cellStyle name="Verknüpfte Zelle 2 2 4 11" xfId="45285" xr:uid="{BCC8AEF5-B372-4DA0-8DB0-F6B309EE38B4}"/>
    <cellStyle name="Verknüpfte Zelle 2 2 4 2" xfId="45286" xr:uid="{5B12EB78-7C23-4CA5-8641-386A2E62FB3D}"/>
    <cellStyle name="Verknüpfte Zelle 2 2 4 2 2" xfId="45287" xr:uid="{116526C8-D094-46F9-A2B5-C4B23D8E024D}"/>
    <cellStyle name="Verknüpfte Zelle 2 2 4 2 2 2" xfId="45288" xr:uid="{4E57859E-CB45-4F0B-A432-C4C374769FEA}"/>
    <cellStyle name="Verknüpfte Zelle 2 2 4 2 3" xfId="45289" xr:uid="{31579B3C-87AC-4160-9FC8-FA800210C493}"/>
    <cellStyle name="Verknüpfte Zelle 2 2 4 3" xfId="45290" xr:uid="{0A7C254B-CEE2-499D-A7A7-13D3A3F5E5CB}"/>
    <cellStyle name="Verknüpfte Zelle 2 2 4 3 2" xfId="45291" xr:uid="{C6A4B144-D2CA-475A-BAFD-44D82156A19D}"/>
    <cellStyle name="Verknüpfte Zelle 2 2 4 3 2 2" xfId="45292" xr:uid="{526B02AF-8969-49A0-A26D-FEFA7FE3B42A}"/>
    <cellStyle name="Verknüpfte Zelle 2 2 4 3 3" xfId="45293" xr:uid="{009C4480-56C0-41C7-B0D4-1E84507716E7}"/>
    <cellStyle name="Verknüpfte Zelle 2 2 4 4" xfId="45294" xr:uid="{FD1A0372-DF9E-4F8A-868D-39BB96F1CBFD}"/>
    <cellStyle name="Verknüpfte Zelle 2 2 4 4 2" xfId="45295" xr:uid="{5166C7CA-6D42-4305-8310-8AD0D207EC00}"/>
    <cellStyle name="Verknüpfte Zelle 2 2 4 4 2 2" xfId="45296" xr:uid="{A5961A0E-4964-48F3-B196-D90E7941A27B}"/>
    <cellStyle name="Verknüpfte Zelle 2 2 4 4 3" xfId="45297" xr:uid="{5FF277DE-5401-4603-B911-AA46F832D29B}"/>
    <cellStyle name="Verknüpfte Zelle 2 2 4 5" xfId="45298" xr:uid="{C5884311-A2F0-4401-9542-602A5DE96865}"/>
    <cellStyle name="Verknüpfte Zelle 2 2 4 5 2" xfId="45299" xr:uid="{AAD3B0B8-3977-4FF8-B4A7-6F3FC6BFF18D}"/>
    <cellStyle name="Verknüpfte Zelle 2 2 4 5 2 2" xfId="45300" xr:uid="{CC274A4A-059F-4D06-8F02-485A1C3BF316}"/>
    <cellStyle name="Verknüpfte Zelle 2 2 4 5 3" xfId="45301" xr:uid="{98B7EFE8-FAC7-4E67-9A44-B9FC19BB1A5A}"/>
    <cellStyle name="Verknüpfte Zelle 2 2 4 6" xfId="45302" xr:uid="{FB42AB6B-3374-44AD-8846-572A18A08332}"/>
    <cellStyle name="Verknüpfte Zelle 2 2 4 6 2" xfId="45303" xr:uid="{4DF79E44-9C64-4F16-8DA3-D1BD33258CF0}"/>
    <cellStyle name="Verknüpfte Zelle 2 2 4 6 2 2" xfId="45304" xr:uid="{351E9164-5F6B-461A-A80C-0A9AA2BD9052}"/>
    <cellStyle name="Verknüpfte Zelle 2 2 4 6 3" xfId="45305" xr:uid="{9F5893AF-FE5E-40AC-BDFD-B13AB5497996}"/>
    <cellStyle name="Verknüpfte Zelle 2 2 4 7" xfId="45306" xr:uid="{D45EDD46-3648-4993-9EEE-E9CB555FA4A3}"/>
    <cellStyle name="Verknüpfte Zelle 2 2 4 7 2" xfId="45307" xr:uid="{B3A6ECF2-6B74-468C-AF6A-3E82EA461C32}"/>
    <cellStyle name="Verknüpfte Zelle 2 2 4 7 2 2" xfId="45308" xr:uid="{332101FE-8A7A-4EBA-94DF-77155A084006}"/>
    <cellStyle name="Verknüpfte Zelle 2 2 4 7 3" xfId="45309" xr:uid="{EB807E70-F2DD-4305-B846-2C3CDD2A0D6D}"/>
    <cellStyle name="Verknüpfte Zelle 2 2 4 8" xfId="45310" xr:uid="{F67E4AA2-8945-4501-B303-CF15D5EFA36F}"/>
    <cellStyle name="Verknüpfte Zelle 2 2 4 8 2" xfId="45311" xr:uid="{38D278A1-D5EB-4B42-A762-6D9C980EF44F}"/>
    <cellStyle name="Verknüpfte Zelle 2 2 4 8 2 2" xfId="45312" xr:uid="{6067CF21-0ECB-47FA-B09D-2267CFA1601D}"/>
    <cellStyle name="Verknüpfte Zelle 2 2 4 8 3" xfId="45313" xr:uid="{D6DE7325-84BF-48B0-9B3F-4EF0FA7B3BFD}"/>
    <cellStyle name="Verknüpfte Zelle 2 2 4 9" xfId="45314" xr:uid="{649E02F8-D669-45BB-922D-A1F2A97D0CC3}"/>
    <cellStyle name="Verknüpfte Zelle 2 2 4 9 2" xfId="45315" xr:uid="{009FD57D-A75D-49CC-B2F2-CA21E720C900}"/>
    <cellStyle name="Verknüpfte Zelle 2 2 4 9 2 2" xfId="45316" xr:uid="{8B76975D-DE61-41E0-8E96-4AAE26B5E47B}"/>
    <cellStyle name="Verknüpfte Zelle 2 2 4 9 3" xfId="45317" xr:uid="{A4E0BFD3-E5CE-4594-A864-9F687055D300}"/>
    <cellStyle name="Verknüpfte Zelle 2 2 5" xfId="45318" xr:uid="{FD32A633-CAEE-4734-94F0-B1D20508C176}"/>
    <cellStyle name="Verknüpfte Zelle 2 2 5 2" xfId="45319" xr:uid="{0109A06F-AFFD-43E5-ADBA-F2B599DE32F9}"/>
    <cellStyle name="Verknüpfte Zelle 2 2 5 2 2" xfId="45320" xr:uid="{D8DDE7F6-3514-40D7-AE35-D532CABBB297}"/>
    <cellStyle name="Verknüpfte Zelle 2 2 5 3" xfId="45321" xr:uid="{A510C25A-5289-4D7B-BBB8-BABB05B34387}"/>
    <cellStyle name="Verknüpfte Zelle 2 2 6" xfId="45322" xr:uid="{3328D1A4-8F2A-4628-8054-8322A312062E}"/>
    <cellStyle name="Verknüpfte Zelle 2 2 6 2" xfId="45323" xr:uid="{541613A6-F6F5-423F-8364-0D85E1C7864F}"/>
    <cellStyle name="Verknüpfte Zelle 2 2 6 2 2" xfId="45324" xr:uid="{AA7C7CDD-8D1F-4717-81F8-408D6C920CB9}"/>
    <cellStyle name="Verknüpfte Zelle 2 2 6 3" xfId="45325" xr:uid="{71591126-67E3-459C-879F-82FEF69AAA5B}"/>
    <cellStyle name="Verknüpfte Zelle 2 2 7" xfId="45326" xr:uid="{37720614-19F8-42EA-A20A-FA66BEFA3E2E}"/>
    <cellStyle name="Verknüpfte Zelle 2 2 7 2" xfId="45327" xr:uid="{E823C013-34E5-44D6-9543-E7A4CEA54DB2}"/>
    <cellStyle name="Verknüpfte Zelle 2 2 7 2 2" xfId="45328" xr:uid="{C575980F-3B53-4BF8-A0D5-9C71C20F7F9C}"/>
    <cellStyle name="Verknüpfte Zelle 2 2 7 3" xfId="45329" xr:uid="{45D4DBD5-C7F8-4506-9BB7-03699BEF63BC}"/>
    <cellStyle name="Verknüpfte Zelle 2 2 8" xfId="45330" xr:uid="{60203232-ADA1-404E-9840-613D9B3EC386}"/>
    <cellStyle name="Verknüpfte Zelle 2 2 8 2" xfId="45331" xr:uid="{3B906E91-D2A6-4AA0-AFFB-D031218B82F0}"/>
    <cellStyle name="Verknüpfte Zelle 2 2 8 2 2" xfId="45332" xr:uid="{6F8C829D-931D-4DD0-BA78-B00D0216D8D0}"/>
    <cellStyle name="Verknüpfte Zelle 2 2 8 3" xfId="45333" xr:uid="{5543348B-9D01-4782-891E-5B04799C01B8}"/>
    <cellStyle name="Verknüpfte Zelle 2 2 9" xfId="45334" xr:uid="{1251691A-27B5-4161-A842-331EF123F5E0}"/>
    <cellStyle name="Verknüpfte Zelle 2 2 9 2" xfId="45335" xr:uid="{048F76E0-68A2-4C5F-8AD7-480E0E044272}"/>
    <cellStyle name="Verknüpfte Zelle 2 2 9 2 2" xfId="45336" xr:uid="{13D11345-7953-4261-9FBE-3FEE0A53E18E}"/>
    <cellStyle name="Verknüpfte Zelle 2 2 9 3" xfId="45337" xr:uid="{D3509A1A-D6C5-4CDE-8F21-13C6519CAFD7}"/>
    <cellStyle name="Verknüpfte Zelle 2 3" xfId="45338" xr:uid="{BCB53C2A-0375-4B96-A3DA-A6CEDE47A961}"/>
    <cellStyle name="Verknüpfte Zelle 2 3 10" xfId="45339" xr:uid="{B0FAA60E-60BD-4A48-A4C7-3D216F668942}"/>
    <cellStyle name="Verknüpfte Zelle 2 3 10 2" xfId="45340" xr:uid="{6EAA5800-1E26-4FA1-9109-BFBC590C21FF}"/>
    <cellStyle name="Verknüpfte Zelle 2 3 10 2 2" xfId="45341" xr:uid="{8B542D9E-7C38-4C50-A05B-22F21351BCA5}"/>
    <cellStyle name="Verknüpfte Zelle 2 3 10 3" xfId="45342" xr:uid="{50B19BBB-42CB-41A4-8FA0-1E0BB7168805}"/>
    <cellStyle name="Verknüpfte Zelle 2 3 11" xfId="45343" xr:uid="{B9835E8D-A971-4EDD-8676-11C7FA907D64}"/>
    <cellStyle name="Verknüpfte Zelle 2 3 11 2" xfId="45344" xr:uid="{32E6D162-7D3A-42A7-A726-C741CF44634E}"/>
    <cellStyle name="Verknüpfte Zelle 2 3 11 2 2" xfId="45345" xr:uid="{E3C5573A-274E-49CD-ACC3-BEF0608E792E}"/>
    <cellStyle name="Verknüpfte Zelle 2 3 11 3" xfId="45346" xr:uid="{114E1A79-CB75-47A8-BBFA-3B48C032FCB0}"/>
    <cellStyle name="Verknüpfte Zelle 2 3 12" xfId="45347" xr:uid="{25C57C06-6836-4A1B-9CFB-770FF3F04F1E}"/>
    <cellStyle name="Verknüpfte Zelle 2 3 12 2" xfId="45348" xr:uid="{B8D30070-080F-43D7-8E79-14E446FBCF24}"/>
    <cellStyle name="Verknüpfte Zelle 2 3 13" xfId="45349" xr:uid="{C958E9F3-BCC5-4DD4-B799-00FE0E00B080}"/>
    <cellStyle name="Verknüpfte Zelle 2 3 2" xfId="45350" xr:uid="{34A84CB6-6613-4797-9106-289FB776BA67}"/>
    <cellStyle name="Verknüpfte Zelle 2 3 2 10" xfId="45351" xr:uid="{D6D7B001-D0BA-4C65-B5A9-47774B2AD355}"/>
    <cellStyle name="Verknüpfte Zelle 2 3 2 10 2" xfId="45352" xr:uid="{DB559783-3C67-4FC2-AC40-58912BC67F70}"/>
    <cellStyle name="Verknüpfte Zelle 2 3 2 10 2 2" xfId="45353" xr:uid="{842307F9-1B92-4839-BA1E-E9E1EC7721F6}"/>
    <cellStyle name="Verknüpfte Zelle 2 3 2 10 3" xfId="45354" xr:uid="{D8DFD3D5-25A2-4601-9CAD-77CD818B7A23}"/>
    <cellStyle name="Verknüpfte Zelle 2 3 2 11" xfId="45355" xr:uid="{9C813AC4-1802-4CEB-A03D-1B581F92044F}"/>
    <cellStyle name="Verknüpfte Zelle 2 3 2 11 2" xfId="45356" xr:uid="{B6DFFD26-55FF-463E-A08D-D1C09D3A1FAB}"/>
    <cellStyle name="Verknüpfte Zelle 2 3 2 12" xfId="45357" xr:uid="{E6BC7A91-18F5-44FC-9857-44C3CFFBE5DD}"/>
    <cellStyle name="Verknüpfte Zelle 2 3 2 2" xfId="45358" xr:uid="{2B2AB81F-25BD-44F8-9707-4BA4328B3513}"/>
    <cellStyle name="Verknüpfte Zelle 2 3 2 2 2" xfId="45359" xr:uid="{3F7C18EF-00C8-445D-BAAA-57DC9420C583}"/>
    <cellStyle name="Verknüpfte Zelle 2 3 2 2 2 2" xfId="45360" xr:uid="{383C5DDA-868C-4D50-BF91-50492F2F8135}"/>
    <cellStyle name="Verknüpfte Zelle 2 3 2 2 3" xfId="45361" xr:uid="{22E56AFD-15B9-4F53-A0FA-4F4B9151B3AB}"/>
    <cellStyle name="Verknüpfte Zelle 2 3 2 3" xfId="45362" xr:uid="{C70164E0-35BF-41A1-BB7D-F28C5012D61D}"/>
    <cellStyle name="Verknüpfte Zelle 2 3 2 3 2" xfId="45363" xr:uid="{13334949-6525-49C6-A746-032B95CD9553}"/>
    <cellStyle name="Verknüpfte Zelle 2 3 2 3 2 2" xfId="45364" xr:uid="{390005EB-D4C5-4379-9280-24703C7F1F44}"/>
    <cellStyle name="Verknüpfte Zelle 2 3 2 3 3" xfId="45365" xr:uid="{564073C0-2445-4996-ABB4-214C67FCE83C}"/>
    <cellStyle name="Verknüpfte Zelle 2 3 2 4" xfId="45366" xr:uid="{E4DD783A-5BC0-4367-A33B-CD68312B383D}"/>
    <cellStyle name="Verknüpfte Zelle 2 3 2 4 2" xfId="45367" xr:uid="{B8AC6D70-A427-45C5-A9C2-39D24CECB14A}"/>
    <cellStyle name="Verknüpfte Zelle 2 3 2 4 2 2" xfId="45368" xr:uid="{4CA7CE2C-3923-45C2-B5EA-CF993BFC4040}"/>
    <cellStyle name="Verknüpfte Zelle 2 3 2 4 3" xfId="45369" xr:uid="{1608C52F-67AD-409B-8F98-5AB950884679}"/>
    <cellStyle name="Verknüpfte Zelle 2 3 2 5" xfId="45370" xr:uid="{C05B8E9D-6696-4155-B474-D9DFCFD2E04A}"/>
    <cellStyle name="Verknüpfte Zelle 2 3 2 5 2" xfId="45371" xr:uid="{ED3219F7-A718-4243-B28F-882A18375C18}"/>
    <cellStyle name="Verknüpfte Zelle 2 3 2 5 2 2" xfId="45372" xr:uid="{26FAF856-7685-461B-B629-D9B3193FAF75}"/>
    <cellStyle name="Verknüpfte Zelle 2 3 2 5 3" xfId="45373" xr:uid="{45795438-E3A4-43AD-B9B9-F3C795B6D221}"/>
    <cellStyle name="Verknüpfte Zelle 2 3 2 6" xfId="45374" xr:uid="{7DA69887-2033-4885-AD0A-0285B43CE4A7}"/>
    <cellStyle name="Verknüpfte Zelle 2 3 2 6 2" xfId="45375" xr:uid="{F615A8E7-9CD1-4F1D-A10C-496E68DBAA34}"/>
    <cellStyle name="Verknüpfte Zelle 2 3 2 6 2 2" xfId="45376" xr:uid="{5E9B23B7-D1B5-4070-9364-31D6DBEFE8FC}"/>
    <cellStyle name="Verknüpfte Zelle 2 3 2 6 3" xfId="45377" xr:uid="{E4715A74-37AD-434E-8223-A50CCDBC1F96}"/>
    <cellStyle name="Verknüpfte Zelle 2 3 2 7" xfId="45378" xr:uid="{CF025F11-0BDE-440E-B3B2-D35C88968CD4}"/>
    <cellStyle name="Verknüpfte Zelle 2 3 2 7 2" xfId="45379" xr:uid="{F021CE44-E3FF-4EA7-8D46-E3A4AD1A33DD}"/>
    <cellStyle name="Verknüpfte Zelle 2 3 2 7 2 2" xfId="45380" xr:uid="{63191A4B-DCA0-4071-8DDA-0BD3FD290C98}"/>
    <cellStyle name="Verknüpfte Zelle 2 3 2 7 3" xfId="45381" xr:uid="{FA67792D-CE53-47BF-A11F-0DF8D0589F27}"/>
    <cellStyle name="Verknüpfte Zelle 2 3 2 8" xfId="45382" xr:uid="{809BC61A-84EC-4312-A349-3D97EB7961C6}"/>
    <cellStyle name="Verknüpfte Zelle 2 3 2 8 2" xfId="45383" xr:uid="{04FDF03C-1911-4375-8DDD-DBD9CAA1F74E}"/>
    <cellStyle name="Verknüpfte Zelle 2 3 2 8 2 2" xfId="45384" xr:uid="{947C09BC-45BE-48A5-A60B-2DF9ACF6D9C1}"/>
    <cellStyle name="Verknüpfte Zelle 2 3 2 8 3" xfId="45385" xr:uid="{AD1D6698-C416-4942-B6AE-F6808DF793D5}"/>
    <cellStyle name="Verknüpfte Zelle 2 3 2 9" xfId="45386" xr:uid="{38E547D3-C9FE-49D0-9D75-EB5F24D91BE5}"/>
    <cellStyle name="Verknüpfte Zelle 2 3 2 9 2" xfId="45387" xr:uid="{681859A2-6585-4675-B956-75F150CF56FB}"/>
    <cellStyle name="Verknüpfte Zelle 2 3 2 9 2 2" xfId="45388" xr:uid="{F4955115-3497-4F33-B823-603E250053CF}"/>
    <cellStyle name="Verknüpfte Zelle 2 3 2 9 3" xfId="45389" xr:uid="{285B7B1A-D821-4F70-A8F8-F18F85D4141A}"/>
    <cellStyle name="Verknüpfte Zelle 2 3 3" xfId="45390" xr:uid="{6BBF313E-A5CA-4376-B741-9687B50F0A19}"/>
    <cellStyle name="Verknüpfte Zelle 2 3 3 10" xfId="45391" xr:uid="{2FE1F241-C1C1-4BBC-9200-61B8E05A788A}"/>
    <cellStyle name="Verknüpfte Zelle 2 3 3 10 2" xfId="45392" xr:uid="{DD117297-62BF-48A1-92B6-72AABAF8CF74}"/>
    <cellStyle name="Verknüpfte Zelle 2 3 3 11" xfId="45393" xr:uid="{A03B8A04-742E-4F93-9FA2-66865477F5E8}"/>
    <cellStyle name="Verknüpfte Zelle 2 3 3 2" xfId="45394" xr:uid="{BDD5860B-7D6E-4E96-A242-1169C8A5619E}"/>
    <cellStyle name="Verknüpfte Zelle 2 3 3 2 2" xfId="45395" xr:uid="{05B8493D-E188-4A23-8E09-6D535C2B050F}"/>
    <cellStyle name="Verknüpfte Zelle 2 3 3 2 2 2" xfId="45396" xr:uid="{E39946F5-7168-4C55-BDB4-529B2D13350E}"/>
    <cellStyle name="Verknüpfte Zelle 2 3 3 2 3" xfId="45397" xr:uid="{D31D6D4F-CF01-48CF-B637-85F30AFFB9FE}"/>
    <cellStyle name="Verknüpfte Zelle 2 3 3 3" xfId="45398" xr:uid="{59586EA1-BAA5-4AF9-84F0-4EFADA4071C0}"/>
    <cellStyle name="Verknüpfte Zelle 2 3 3 3 2" xfId="45399" xr:uid="{7B8A3EDB-2CAC-4CDD-9097-1C16245B850F}"/>
    <cellStyle name="Verknüpfte Zelle 2 3 3 3 2 2" xfId="45400" xr:uid="{219CD075-830E-448F-B4D5-70A86E357F76}"/>
    <cellStyle name="Verknüpfte Zelle 2 3 3 3 3" xfId="45401" xr:uid="{D66CB186-28C8-4D09-8B5F-2AC9EF6A425A}"/>
    <cellStyle name="Verknüpfte Zelle 2 3 3 4" xfId="45402" xr:uid="{C3FFCB61-36F3-411B-9784-7DBD2589D6FC}"/>
    <cellStyle name="Verknüpfte Zelle 2 3 3 4 2" xfId="45403" xr:uid="{6BDC5D24-7914-4FD5-A76C-45B16D9B6393}"/>
    <cellStyle name="Verknüpfte Zelle 2 3 3 4 2 2" xfId="45404" xr:uid="{8C96CCBF-DC8C-4EA6-B2C9-B6E4E4A9C382}"/>
    <cellStyle name="Verknüpfte Zelle 2 3 3 4 3" xfId="45405" xr:uid="{CCEFEB4E-396F-4606-A758-5008EFA3368B}"/>
    <cellStyle name="Verknüpfte Zelle 2 3 3 5" xfId="45406" xr:uid="{6DA059BB-1A31-46FD-9B47-6659AEFC1877}"/>
    <cellStyle name="Verknüpfte Zelle 2 3 3 5 2" xfId="45407" xr:uid="{468A4E01-8ECE-4678-AD73-60A7A4EFDA72}"/>
    <cellStyle name="Verknüpfte Zelle 2 3 3 5 2 2" xfId="45408" xr:uid="{A7340303-DA55-45FA-9B7A-222C295BEFB3}"/>
    <cellStyle name="Verknüpfte Zelle 2 3 3 5 3" xfId="45409" xr:uid="{454428AE-52D3-4897-AC2D-A12A124F459C}"/>
    <cellStyle name="Verknüpfte Zelle 2 3 3 6" xfId="45410" xr:uid="{C15DAF2F-A097-40CF-91BC-A22048D0F2F4}"/>
    <cellStyle name="Verknüpfte Zelle 2 3 3 6 2" xfId="45411" xr:uid="{002F9B28-05BD-4F21-AA4E-3980F7D0116F}"/>
    <cellStyle name="Verknüpfte Zelle 2 3 3 6 2 2" xfId="45412" xr:uid="{038085E9-F55A-4B98-AED6-EAC2CC64987F}"/>
    <cellStyle name="Verknüpfte Zelle 2 3 3 6 3" xfId="45413" xr:uid="{4EBF3ABD-DB45-4782-8523-56E894A9F674}"/>
    <cellStyle name="Verknüpfte Zelle 2 3 3 7" xfId="45414" xr:uid="{F51347FB-C463-4C52-88FA-115596C847E6}"/>
    <cellStyle name="Verknüpfte Zelle 2 3 3 7 2" xfId="45415" xr:uid="{C2D095F0-AE28-4538-B724-8DFEB435B154}"/>
    <cellStyle name="Verknüpfte Zelle 2 3 3 7 2 2" xfId="45416" xr:uid="{1B1EDD05-111A-4468-A522-851364FE873F}"/>
    <cellStyle name="Verknüpfte Zelle 2 3 3 7 3" xfId="45417" xr:uid="{83102DDC-4653-424B-8E6A-6E88BF2F47D6}"/>
    <cellStyle name="Verknüpfte Zelle 2 3 3 8" xfId="45418" xr:uid="{DE8476AB-795F-41AD-AD6C-A989435A7B2F}"/>
    <cellStyle name="Verknüpfte Zelle 2 3 3 8 2" xfId="45419" xr:uid="{982211CB-C525-4A99-A700-90399AEBF722}"/>
    <cellStyle name="Verknüpfte Zelle 2 3 3 8 2 2" xfId="45420" xr:uid="{D2825C16-E718-4538-9191-C343F81E8A73}"/>
    <cellStyle name="Verknüpfte Zelle 2 3 3 8 3" xfId="45421" xr:uid="{1029B59B-60DE-4C18-BAA9-4344DB749398}"/>
    <cellStyle name="Verknüpfte Zelle 2 3 3 9" xfId="45422" xr:uid="{410473D2-25D7-4940-91E8-E054504D0BDD}"/>
    <cellStyle name="Verknüpfte Zelle 2 3 3 9 2" xfId="45423" xr:uid="{1542B9A7-5918-4341-A11F-449E9AD1C182}"/>
    <cellStyle name="Verknüpfte Zelle 2 3 3 9 2 2" xfId="45424" xr:uid="{142A1719-1765-4620-B9B9-FAD7169F1F6D}"/>
    <cellStyle name="Verknüpfte Zelle 2 3 3 9 3" xfId="45425" xr:uid="{F4C92879-566B-40CF-8509-1862FFD58B1C}"/>
    <cellStyle name="Verknüpfte Zelle 2 3 4" xfId="45426" xr:uid="{CCBFC1F0-7078-4B8B-9023-8228E191ABB7}"/>
    <cellStyle name="Verknüpfte Zelle 2 3 4 2" xfId="45427" xr:uid="{EB203E49-2063-4CAF-A04F-40D3979110A6}"/>
    <cellStyle name="Verknüpfte Zelle 2 3 4 2 2" xfId="45428" xr:uid="{049D3E1C-5DED-4801-8145-E2D2D9AD123B}"/>
    <cellStyle name="Verknüpfte Zelle 2 3 4 3" xfId="45429" xr:uid="{35320CD0-70FD-48C9-ABAC-6D088D4CB65F}"/>
    <cellStyle name="Verknüpfte Zelle 2 3 5" xfId="45430" xr:uid="{E846FAB4-72A1-4C3F-A74B-3C3422AE7DAB}"/>
    <cellStyle name="Verknüpfte Zelle 2 3 5 2" xfId="45431" xr:uid="{1F04673B-F6CE-43E3-9931-AC01F1D96AF5}"/>
    <cellStyle name="Verknüpfte Zelle 2 3 5 2 2" xfId="45432" xr:uid="{E31871F9-7D75-4471-99FD-FA385BA3A0EC}"/>
    <cellStyle name="Verknüpfte Zelle 2 3 5 3" xfId="45433" xr:uid="{3BABD13C-D03F-4BB7-8187-31E0B887F9DC}"/>
    <cellStyle name="Verknüpfte Zelle 2 3 6" xfId="45434" xr:uid="{EA9797EA-316B-48A4-B502-82B5476DAEFC}"/>
    <cellStyle name="Verknüpfte Zelle 2 3 6 2" xfId="45435" xr:uid="{5A67F2B1-1DDA-422D-88C8-C4A91B6793D2}"/>
    <cellStyle name="Verknüpfte Zelle 2 3 6 2 2" xfId="45436" xr:uid="{E85564BF-11E0-43EF-A560-B974008BDC34}"/>
    <cellStyle name="Verknüpfte Zelle 2 3 6 3" xfId="45437" xr:uid="{D463BE24-30F2-40F1-8853-4E2C43C2914A}"/>
    <cellStyle name="Verknüpfte Zelle 2 3 7" xfId="45438" xr:uid="{FCC8828E-B2F5-491B-97C0-D174805342F5}"/>
    <cellStyle name="Verknüpfte Zelle 2 3 7 2" xfId="45439" xr:uid="{A61392CD-EA3F-49F3-B230-8BCDB376A614}"/>
    <cellStyle name="Verknüpfte Zelle 2 3 7 2 2" xfId="45440" xr:uid="{A2C86863-3DC9-46A2-9D84-9A18D9E6461A}"/>
    <cellStyle name="Verknüpfte Zelle 2 3 7 3" xfId="45441" xr:uid="{6F27F4EC-0D34-43F2-ACF5-4F79F454B8A4}"/>
    <cellStyle name="Verknüpfte Zelle 2 3 8" xfId="45442" xr:uid="{A3E479A0-DF2C-4382-A58E-501C9FE98486}"/>
    <cellStyle name="Verknüpfte Zelle 2 3 8 2" xfId="45443" xr:uid="{AED05C12-86C8-43BD-8BB3-13D03CD0A736}"/>
    <cellStyle name="Verknüpfte Zelle 2 3 8 2 2" xfId="45444" xr:uid="{BCF9AAA4-38B0-4030-BC4F-36986D7195ED}"/>
    <cellStyle name="Verknüpfte Zelle 2 3 8 3" xfId="45445" xr:uid="{960DA59E-E34A-464E-9E75-AD18EBDF2335}"/>
    <cellStyle name="Verknüpfte Zelle 2 3 9" xfId="45446" xr:uid="{70E861E8-9CEA-4BBD-AF6D-321F1786299E}"/>
    <cellStyle name="Verknüpfte Zelle 2 3 9 2" xfId="45447" xr:uid="{A32CF7FE-BFB6-4956-A3F3-22684335021F}"/>
    <cellStyle name="Verknüpfte Zelle 2 3 9 2 2" xfId="45448" xr:uid="{D6915C07-780D-442D-A3DD-9AC6B0D07BC5}"/>
    <cellStyle name="Verknüpfte Zelle 2 3 9 3" xfId="45449" xr:uid="{01C4EE54-0E48-4D28-9368-9620411D4D66}"/>
    <cellStyle name="Verknüpfte Zelle 2 4" xfId="45450" xr:uid="{48E44476-9FC8-4D2A-980C-E01596377570}"/>
    <cellStyle name="Verknüpfte Zelle 2 4 10" xfId="45451" xr:uid="{77BCF200-3BEB-44EE-AE2E-F07BAE310AEF}"/>
    <cellStyle name="Verknüpfte Zelle 2 4 10 2" xfId="45452" xr:uid="{2C7AF34F-BC79-4B51-9A44-FAE6DFF5F7AF}"/>
    <cellStyle name="Verknüpfte Zelle 2 4 10 2 2" xfId="45453" xr:uid="{DC3F332B-8F1E-4714-ADEE-C8651011F5A8}"/>
    <cellStyle name="Verknüpfte Zelle 2 4 10 3" xfId="45454" xr:uid="{C1FBB2A8-7DA5-43A3-BF75-DCCABA80E56D}"/>
    <cellStyle name="Verknüpfte Zelle 2 4 11" xfId="45455" xr:uid="{62B67B3A-45C6-4C46-93EA-3DBB6ACF4F8D}"/>
    <cellStyle name="Verknüpfte Zelle 2 4 11 2" xfId="45456" xr:uid="{45727DB9-54D9-4006-BAFB-BC9DAD8DEAB8}"/>
    <cellStyle name="Verknüpfte Zelle 2 4 12" xfId="45457" xr:uid="{35D1989E-85F9-4238-ACB6-74AED9012CE1}"/>
    <cellStyle name="Verknüpfte Zelle 2 4 2" xfId="45458" xr:uid="{5E125327-8A72-402B-A1F2-369B453155B7}"/>
    <cellStyle name="Verknüpfte Zelle 2 4 2 10" xfId="45459" xr:uid="{132F858A-7CE0-4268-888A-B81C5D1E9038}"/>
    <cellStyle name="Verknüpfte Zelle 2 4 2 10 2" xfId="45460" xr:uid="{1D31E7A5-7288-4C60-AEA0-B3C1E10EE3E6}"/>
    <cellStyle name="Verknüpfte Zelle 2 4 2 11" xfId="45461" xr:uid="{5F6883CD-3FD4-43D3-9E98-A4C5FA1C9EE6}"/>
    <cellStyle name="Verknüpfte Zelle 2 4 2 2" xfId="45462" xr:uid="{72E8E71B-B648-48F9-B3DD-05A2E9EAA4E8}"/>
    <cellStyle name="Verknüpfte Zelle 2 4 2 2 2" xfId="45463" xr:uid="{41853C54-886C-4AC6-AD79-80F91BD4BA77}"/>
    <cellStyle name="Verknüpfte Zelle 2 4 2 2 2 2" xfId="45464" xr:uid="{1D489416-C818-4ED7-AC15-E72252D705AB}"/>
    <cellStyle name="Verknüpfte Zelle 2 4 2 2 3" xfId="45465" xr:uid="{0D05A829-4040-407E-AB3E-797B11C12287}"/>
    <cellStyle name="Verknüpfte Zelle 2 4 2 3" xfId="45466" xr:uid="{0B8AA12F-6C4D-40C8-AA27-5E6B8A918DA7}"/>
    <cellStyle name="Verknüpfte Zelle 2 4 2 3 2" xfId="45467" xr:uid="{3279FFB7-8E37-4F1B-B025-FF31CD338C60}"/>
    <cellStyle name="Verknüpfte Zelle 2 4 2 3 2 2" xfId="45468" xr:uid="{3A5CB1AE-9E29-49AC-9BFF-9D61CA31AF6C}"/>
    <cellStyle name="Verknüpfte Zelle 2 4 2 3 3" xfId="45469" xr:uid="{180BD1D1-CCA6-41B1-9B83-90EE354185A2}"/>
    <cellStyle name="Verknüpfte Zelle 2 4 2 4" xfId="45470" xr:uid="{1595401F-E06A-4171-B8BE-AE812C10F31D}"/>
    <cellStyle name="Verknüpfte Zelle 2 4 2 4 2" xfId="45471" xr:uid="{196F6369-CAE2-4831-8364-84CDB2795DBF}"/>
    <cellStyle name="Verknüpfte Zelle 2 4 2 4 2 2" xfId="45472" xr:uid="{93A2AD6C-BF5C-44DF-8A23-64E7FBE48C5C}"/>
    <cellStyle name="Verknüpfte Zelle 2 4 2 4 3" xfId="45473" xr:uid="{749BB204-DB11-462C-9FAF-D097917BFCC7}"/>
    <cellStyle name="Verknüpfte Zelle 2 4 2 5" xfId="45474" xr:uid="{CB055EE9-6F8B-4D28-B27C-B4013C4F4654}"/>
    <cellStyle name="Verknüpfte Zelle 2 4 2 5 2" xfId="45475" xr:uid="{B6E79DE9-360E-4BDA-9B4E-6CE093EBF02D}"/>
    <cellStyle name="Verknüpfte Zelle 2 4 2 5 2 2" xfId="45476" xr:uid="{676CD393-C5A3-4F90-A6F9-26A8BBC49952}"/>
    <cellStyle name="Verknüpfte Zelle 2 4 2 5 3" xfId="45477" xr:uid="{4F9657C8-C9B6-4671-BE21-AD465BE0F7D6}"/>
    <cellStyle name="Verknüpfte Zelle 2 4 2 6" xfId="45478" xr:uid="{E6A63DE3-BF91-490F-82F1-EC351A1CB992}"/>
    <cellStyle name="Verknüpfte Zelle 2 4 2 6 2" xfId="45479" xr:uid="{67DBE3A6-74BB-4201-B4C3-B7DD8B3D08D9}"/>
    <cellStyle name="Verknüpfte Zelle 2 4 2 6 2 2" xfId="45480" xr:uid="{95F93042-932A-445B-BED2-73ED40494F42}"/>
    <cellStyle name="Verknüpfte Zelle 2 4 2 6 3" xfId="45481" xr:uid="{547D3389-303A-4F13-8B9D-AC506092D3BE}"/>
    <cellStyle name="Verknüpfte Zelle 2 4 2 7" xfId="45482" xr:uid="{2FD00C2E-99B9-4C5B-8BA9-19252CE5BF9E}"/>
    <cellStyle name="Verknüpfte Zelle 2 4 2 7 2" xfId="45483" xr:uid="{2CF98A93-4010-4E6B-8CC2-C17D9A501AD8}"/>
    <cellStyle name="Verknüpfte Zelle 2 4 2 7 2 2" xfId="45484" xr:uid="{58A1AF54-3AD1-4BD5-B067-1024E6AF277F}"/>
    <cellStyle name="Verknüpfte Zelle 2 4 2 7 3" xfId="45485" xr:uid="{F9E6816E-9FF6-401E-AF6C-2E880EB33AD0}"/>
    <cellStyle name="Verknüpfte Zelle 2 4 2 8" xfId="45486" xr:uid="{C5AF18FB-7F42-4762-BE36-E3D62D43FB88}"/>
    <cellStyle name="Verknüpfte Zelle 2 4 2 8 2" xfId="45487" xr:uid="{3693DEE7-6956-4067-A77F-0E19A0B54113}"/>
    <cellStyle name="Verknüpfte Zelle 2 4 2 8 2 2" xfId="45488" xr:uid="{05B13614-9E0D-4BC0-8278-2AA7E4B41D4D}"/>
    <cellStyle name="Verknüpfte Zelle 2 4 2 8 3" xfId="45489" xr:uid="{8348A2B5-35D5-40D5-BB3C-B1D93D7F0FA4}"/>
    <cellStyle name="Verknüpfte Zelle 2 4 2 9" xfId="45490" xr:uid="{36AB3286-7D32-47DA-B02F-7DFCF2A9D729}"/>
    <cellStyle name="Verknüpfte Zelle 2 4 2 9 2" xfId="45491" xr:uid="{9496B836-B267-4B4B-9D4C-E0FDF203CD01}"/>
    <cellStyle name="Verknüpfte Zelle 2 4 2 9 2 2" xfId="45492" xr:uid="{9617F5D6-7CE4-42A9-A684-FE05AA199183}"/>
    <cellStyle name="Verknüpfte Zelle 2 4 2 9 3" xfId="45493" xr:uid="{E392254E-069C-4A8C-8DED-389CC771200F}"/>
    <cellStyle name="Verknüpfte Zelle 2 4 3" xfId="45494" xr:uid="{E8F71174-E66A-41D3-AB36-229872FAE95F}"/>
    <cellStyle name="Verknüpfte Zelle 2 4 3 2" xfId="45495" xr:uid="{90C0A26C-D080-44E3-B102-69E61F16F079}"/>
    <cellStyle name="Verknüpfte Zelle 2 4 3 2 2" xfId="45496" xr:uid="{4CA65885-C62C-40EF-9B07-99F6F6552D51}"/>
    <cellStyle name="Verknüpfte Zelle 2 4 3 3" xfId="45497" xr:uid="{DF1E8484-7E56-45F4-BAB3-8E0FF728B599}"/>
    <cellStyle name="Verknüpfte Zelle 2 4 4" xfId="45498" xr:uid="{EBD74782-AE53-4EAF-8E26-4C900CEB6DE6}"/>
    <cellStyle name="Verknüpfte Zelle 2 4 4 2" xfId="45499" xr:uid="{8E860C37-A309-451C-98AF-ADDD3FCE6E91}"/>
    <cellStyle name="Verknüpfte Zelle 2 4 4 2 2" xfId="45500" xr:uid="{0E63631D-460E-4F10-BAE6-292E2188D2C0}"/>
    <cellStyle name="Verknüpfte Zelle 2 4 4 3" xfId="45501" xr:uid="{77A60AE8-CBDB-4515-9B35-9E8571A03338}"/>
    <cellStyle name="Verknüpfte Zelle 2 4 5" xfId="45502" xr:uid="{250C5750-FAEF-4813-9F92-46480CBA5AC0}"/>
    <cellStyle name="Verknüpfte Zelle 2 4 5 2" xfId="45503" xr:uid="{05DC4FAD-5FD8-422D-A89E-CC18E0F66638}"/>
    <cellStyle name="Verknüpfte Zelle 2 4 5 2 2" xfId="45504" xr:uid="{EA4A3C41-FF2D-46D4-9038-0E51D3C09985}"/>
    <cellStyle name="Verknüpfte Zelle 2 4 5 3" xfId="45505" xr:uid="{D4C48138-8E6B-4BCE-8602-B278E169E0A5}"/>
    <cellStyle name="Verknüpfte Zelle 2 4 6" xfId="45506" xr:uid="{3C4CC49B-25F0-4AD5-B2D4-DC13B2AEAFA3}"/>
    <cellStyle name="Verknüpfte Zelle 2 4 6 2" xfId="45507" xr:uid="{F6E9AB7C-EB91-4BCF-9EE5-AF1528114585}"/>
    <cellStyle name="Verknüpfte Zelle 2 4 6 2 2" xfId="45508" xr:uid="{A200D7AC-B581-47A6-BB2D-6BCF216901DD}"/>
    <cellStyle name="Verknüpfte Zelle 2 4 6 3" xfId="45509" xr:uid="{FFDC2F56-6326-408B-BEFE-BF86234987FD}"/>
    <cellStyle name="Verknüpfte Zelle 2 4 7" xfId="45510" xr:uid="{AF077094-9D2B-447E-9400-C0AE3A8C87C9}"/>
    <cellStyle name="Verknüpfte Zelle 2 4 7 2" xfId="45511" xr:uid="{15A44F6A-EC2A-4477-846E-12CF8E55A04A}"/>
    <cellStyle name="Verknüpfte Zelle 2 4 7 2 2" xfId="45512" xr:uid="{0E67A31E-869B-46CE-B409-B09CA3240CE1}"/>
    <cellStyle name="Verknüpfte Zelle 2 4 7 3" xfId="45513" xr:uid="{703A4384-F22A-43BD-8743-C883C9ACFE98}"/>
    <cellStyle name="Verknüpfte Zelle 2 4 8" xfId="45514" xr:uid="{62DA04DB-BA27-48E5-B5C8-9C7117606A54}"/>
    <cellStyle name="Verknüpfte Zelle 2 4 8 2" xfId="45515" xr:uid="{8A304368-FC6D-4D5E-9552-44B05536C22D}"/>
    <cellStyle name="Verknüpfte Zelle 2 4 8 2 2" xfId="45516" xr:uid="{BAFAD04E-2AF7-489F-B983-A22671A511EB}"/>
    <cellStyle name="Verknüpfte Zelle 2 4 8 3" xfId="45517" xr:uid="{DE6D0537-2D5F-42DA-9A0E-3BA8F4620E35}"/>
    <cellStyle name="Verknüpfte Zelle 2 4 9" xfId="45518" xr:uid="{AF9B890D-C6E9-4BC3-A57C-4E61918885B6}"/>
    <cellStyle name="Verknüpfte Zelle 2 4 9 2" xfId="45519" xr:uid="{B98E8006-9B06-4A6C-AC4B-9F92BE1CCD7B}"/>
    <cellStyle name="Verknüpfte Zelle 2 4 9 2 2" xfId="45520" xr:uid="{97242AFA-5726-4F33-82FD-32BB4BA4BD5C}"/>
    <cellStyle name="Verknüpfte Zelle 2 4 9 3" xfId="45521" xr:uid="{58D14863-35EA-443F-A15E-BA17117A729E}"/>
    <cellStyle name="Verknüpfte Zelle 2 5" xfId="45522" xr:uid="{586B8550-9E4D-49C5-9E9C-35D79E2779C0}"/>
    <cellStyle name="Verknüpfte Zelle 2 5 10" xfId="45523" xr:uid="{944BF31F-D1AC-4F9A-B41E-46F31A4DA0B2}"/>
    <cellStyle name="Verknüpfte Zelle 2 5 10 2" xfId="45524" xr:uid="{98405C07-3956-42A4-8AE3-A8D4198AE771}"/>
    <cellStyle name="Verknüpfte Zelle 2 5 11" xfId="45525" xr:uid="{5CDE7CF0-E577-4B55-A2C3-134288B18DAF}"/>
    <cellStyle name="Verknüpfte Zelle 2 5 2" xfId="45526" xr:uid="{31CFE228-2FA1-444F-8598-02692F2C8347}"/>
    <cellStyle name="Verknüpfte Zelle 2 5 2 2" xfId="45527" xr:uid="{CA539DF5-6A36-4E2E-ADF6-DB2120EEF85E}"/>
    <cellStyle name="Verknüpfte Zelle 2 5 2 2 2" xfId="45528" xr:uid="{7A0D8E68-7E58-41E2-B70F-6607D37EE24C}"/>
    <cellStyle name="Verknüpfte Zelle 2 5 2 3" xfId="45529" xr:uid="{166B3EFB-2FBA-484A-AA4F-3F4B8B59FC59}"/>
    <cellStyle name="Verknüpfte Zelle 2 5 3" xfId="45530" xr:uid="{360B1DBA-0EF0-4505-98D7-28A20DF09657}"/>
    <cellStyle name="Verknüpfte Zelle 2 5 3 2" xfId="45531" xr:uid="{424B11B8-8292-46FF-8495-7AB58C5FB021}"/>
    <cellStyle name="Verknüpfte Zelle 2 5 3 2 2" xfId="45532" xr:uid="{3EA18457-FADC-4CD5-AAB4-F2573E9A792A}"/>
    <cellStyle name="Verknüpfte Zelle 2 5 3 3" xfId="45533" xr:uid="{D33C97A0-5601-4359-B1CC-AA4FBBB78753}"/>
    <cellStyle name="Verknüpfte Zelle 2 5 4" xfId="45534" xr:uid="{D8B17F4B-C6EC-455A-A5FF-173ADAB460BF}"/>
    <cellStyle name="Verknüpfte Zelle 2 5 4 2" xfId="45535" xr:uid="{0A02166C-222C-448E-B57C-532397DF79E1}"/>
    <cellStyle name="Verknüpfte Zelle 2 5 4 2 2" xfId="45536" xr:uid="{BAE2BBFC-57B7-4589-816A-5BEF1032155D}"/>
    <cellStyle name="Verknüpfte Zelle 2 5 4 3" xfId="45537" xr:uid="{8A408AE7-3FA0-4C72-937A-29B050B68884}"/>
    <cellStyle name="Verknüpfte Zelle 2 5 5" xfId="45538" xr:uid="{F512E636-B2E6-40BD-A6DB-C07EE2A8885A}"/>
    <cellStyle name="Verknüpfte Zelle 2 5 5 2" xfId="45539" xr:uid="{74547601-DF54-4825-BE9D-64C054C50ED3}"/>
    <cellStyle name="Verknüpfte Zelle 2 5 5 2 2" xfId="45540" xr:uid="{B8235994-1731-45D9-B781-E02025E261CE}"/>
    <cellStyle name="Verknüpfte Zelle 2 5 5 3" xfId="45541" xr:uid="{8758B80C-C21C-4089-8B85-707C0A721E6A}"/>
    <cellStyle name="Verknüpfte Zelle 2 5 6" xfId="45542" xr:uid="{FEB3F997-AF4D-4C06-BBCB-28D2C7A71A5F}"/>
    <cellStyle name="Verknüpfte Zelle 2 5 6 2" xfId="45543" xr:uid="{D5811E25-8233-44A3-839B-36FA33FF6120}"/>
    <cellStyle name="Verknüpfte Zelle 2 5 6 2 2" xfId="45544" xr:uid="{E6C2466E-18F9-4A4C-9B2E-F9858BCC0A99}"/>
    <cellStyle name="Verknüpfte Zelle 2 5 6 3" xfId="45545" xr:uid="{F8043301-C5BA-42F8-ADFE-0E8DA9582E9D}"/>
    <cellStyle name="Verknüpfte Zelle 2 5 7" xfId="45546" xr:uid="{3321AEDE-1DAF-4E67-81C5-1C6362651D5F}"/>
    <cellStyle name="Verknüpfte Zelle 2 5 7 2" xfId="45547" xr:uid="{CAE35A05-28BD-44F3-925B-1EC232B5824B}"/>
    <cellStyle name="Verknüpfte Zelle 2 5 7 2 2" xfId="45548" xr:uid="{AEBA5BCE-B60A-42E4-BA84-7087E1236BD9}"/>
    <cellStyle name="Verknüpfte Zelle 2 5 7 3" xfId="45549" xr:uid="{DEBA0431-4CAE-40CE-B23C-51A9DF10D567}"/>
    <cellStyle name="Verknüpfte Zelle 2 5 8" xfId="45550" xr:uid="{D713BCEB-C7AE-485F-BE15-A2964F97E666}"/>
    <cellStyle name="Verknüpfte Zelle 2 5 8 2" xfId="45551" xr:uid="{F125701B-65DE-4BBD-A86B-DA3422FBDB93}"/>
    <cellStyle name="Verknüpfte Zelle 2 5 8 2 2" xfId="45552" xr:uid="{19C3EEDC-4E4D-429F-8C2F-FCE60EC0D7D0}"/>
    <cellStyle name="Verknüpfte Zelle 2 5 8 3" xfId="45553" xr:uid="{EA789502-EA93-4AA4-A8FC-1BB72BE553A5}"/>
    <cellStyle name="Verknüpfte Zelle 2 5 9" xfId="45554" xr:uid="{BAC5293A-7074-4F8C-8E74-4779BD2E5FD8}"/>
    <cellStyle name="Verknüpfte Zelle 2 5 9 2" xfId="45555" xr:uid="{F0823475-6B07-4A5D-B1B4-9399F7C528FD}"/>
    <cellStyle name="Verknüpfte Zelle 2 5 9 2 2" xfId="45556" xr:uid="{E212A95A-5B1B-49EB-BDE0-56ED8C6C66D5}"/>
    <cellStyle name="Verknüpfte Zelle 2 5 9 3" xfId="45557" xr:uid="{874E6936-3A27-4439-9D4D-D13AC1C3F47A}"/>
    <cellStyle name="Verknüpfte Zelle 2 6" xfId="45558" xr:uid="{B80594AE-98DE-4372-A46B-57456F8BBBFB}"/>
    <cellStyle name="Verknüpfte Zelle 2 6 2" xfId="45559" xr:uid="{C3353B3A-A44B-41F9-8757-DF19B3656901}"/>
    <cellStyle name="Verknüpfte Zelle 2 6 2 2" xfId="45560" xr:uid="{DF8B2F0E-919D-4B54-BA07-D7AFB7C8FDA1}"/>
    <cellStyle name="Verknüpfte Zelle 2 6 3" xfId="45561" xr:uid="{9D9326B1-AF9D-400E-84B4-065AE6F2AEC4}"/>
    <cellStyle name="Verknüpfte Zelle 2 7" xfId="45562" xr:uid="{A23FF1C3-1D55-419F-8954-771A79135362}"/>
    <cellStyle name="Verknüpfte Zelle 2 7 2" xfId="45563" xr:uid="{37E936C9-B382-4A52-81FD-70FB356CC683}"/>
    <cellStyle name="Verknüpfte Zelle 2 7 2 2" xfId="45564" xr:uid="{AAD6603A-D7FF-4FA7-98D5-89A25E554468}"/>
    <cellStyle name="Verknüpfte Zelle 2 7 3" xfId="45565" xr:uid="{0F8A7480-AA6B-4A37-B46A-E69A76EC286F}"/>
    <cellStyle name="Verknüpfte Zelle 2 8" xfId="45566" xr:uid="{78F2F29F-CFFD-473C-A0E8-EE89E8957364}"/>
    <cellStyle name="Verknüpfte Zelle 2 8 2" xfId="45567" xr:uid="{7FAA420E-5DEA-4FF5-A82D-FB2788E1E8A3}"/>
    <cellStyle name="Verknüpfte Zelle 2 8 2 2" xfId="45568" xr:uid="{92EB9593-F704-4683-822C-53E50D82C9C6}"/>
    <cellStyle name="Verknüpfte Zelle 2 8 3" xfId="45569" xr:uid="{BBA64259-EE57-4C53-BAA6-8D2B14FC8B83}"/>
    <cellStyle name="Verknüpfte Zelle 2 9" xfId="45570" xr:uid="{63AADD21-0B1A-4626-9F72-8BDA891A9BE6}"/>
    <cellStyle name="Verknüpfte Zelle 2 9 2" xfId="45571" xr:uid="{CDFAAE8C-1740-4EE6-A039-0905AC114C6A}"/>
    <cellStyle name="Verknüpfte Zelle 2 9 2 2" xfId="45572" xr:uid="{1D794906-091D-48AF-A731-E0C7A2D32C44}"/>
    <cellStyle name="Verknüpfte Zelle 2 9 3" xfId="45573" xr:uid="{27B3B32E-4FBB-4125-B310-95BBEDA9E375}"/>
    <cellStyle name="Verknüpfte Zelle 3" xfId="45574" xr:uid="{62F2B39E-38C0-4C0A-BCBC-C71A138649A0}"/>
    <cellStyle name="Verknüpfte Zelle 3 10" xfId="45575" xr:uid="{613D2AE0-CB17-4053-8534-16E62D1D9AB0}"/>
    <cellStyle name="Verknüpfte Zelle 3 10 2" xfId="45576" xr:uid="{C3D97EEF-7F63-4811-B72E-464CE07FE08F}"/>
    <cellStyle name="Verknüpfte Zelle 3 10 2 2" xfId="45577" xr:uid="{8975E175-CF95-4B8B-B625-C613A6C6C177}"/>
    <cellStyle name="Verknüpfte Zelle 3 10 3" xfId="45578" xr:uid="{2DEB3781-67FA-4060-AEA8-BE96EF0444DE}"/>
    <cellStyle name="Verknüpfte Zelle 3 11" xfId="45579" xr:uid="{AE42ED5C-A4E4-4210-BE17-9B2234877B5E}"/>
    <cellStyle name="Verknüpfte Zelle 3 11 2" xfId="45580" xr:uid="{190D01EF-5A60-4331-9AD3-A6C4D8C89F58}"/>
    <cellStyle name="Verknüpfte Zelle 3 11 2 2" xfId="45581" xr:uid="{423B058C-97A5-44BF-9C2A-279B647F7F5D}"/>
    <cellStyle name="Verknüpfte Zelle 3 11 3" xfId="45582" xr:uid="{C46E6491-5A7B-447C-8BE3-15CB2D8FE31B}"/>
    <cellStyle name="Verknüpfte Zelle 3 12" xfId="45583" xr:uid="{5EA36A32-5A21-453F-B089-F61D327ACF60}"/>
    <cellStyle name="Verknüpfte Zelle 3 12 2" xfId="45584" xr:uid="{72A7A267-1CEA-4210-8D32-9C889FB3309F}"/>
    <cellStyle name="Verknüpfte Zelle 3 12 2 2" xfId="45585" xr:uid="{08814322-C276-432B-B23C-B1CD02569E2C}"/>
    <cellStyle name="Verknüpfte Zelle 3 12 3" xfId="45586" xr:uid="{F62251EA-013F-4577-826C-B470DD5314E2}"/>
    <cellStyle name="Verknüpfte Zelle 3 13" xfId="45587" xr:uid="{69D24BEF-3BB0-4611-BB20-023210AAF426}"/>
    <cellStyle name="Verknüpfte Zelle 3 13 2" xfId="45588" xr:uid="{954B7A84-9F0D-4A0C-901C-0D7D5A18603E}"/>
    <cellStyle name="Verknüpfte Zelle 3 14" xfId="45589" xr:uid="{87C12F3B-C0EE-4741-AB2E-0D836BAD950D}"/>
    <cellStyle name="Verknüpfte Zelle 3 2" xfId="45590" xr:uid="{094C4535-24B9-47BD-9D7C-2187CA49499F}"/>
    <cellStyle name="Verknüpfte Zelle 3 2 10" xfId="45591" xr:uid="{45DF1864-EC9E-4FE9-A735-9C8F5FF326D4}"/>
    <cellStyle name="Verknüpfte Zelle 3 2 10 2" xfId="45592" xr:uid="{0F2BB1AA-795B-4F3C-B7C8-4B51D367D286}"/>
    <cellStyle name="Verknüpfte Zelle 3 2 10 2 2" xfId="45593" xr:uid="{28395656-E4F9-42BF-8A3C-60A5B99C2342}"/>
    <cellStyle name="Verknüpfte Zelle 3 2 10 3" xfId="45594" xr:uid="{CA6D6E55-EFEA-4732-8C46-737D39C3DE81}"/>
    <cellStyle name="Verknüpfte Zelle 3 2 11" xfId="45595" xr:uid="{BEB906BC-A445-4B7B-9AC3-E4F2199FBBDB}"/>
    <cellStyle name="Verknüpfte Zelle 3 2 11 2" xfId="45596" xr:uid="{467D35A1-0DDC-406A-B351-41445813AFE4}"/>
    <cellStyle name="Verknüpfte Zelle 3 2 11 2 2" xfId="45597" xr:uid="{227944F6-287C-48ED-AF51-B168BBE05AEE}"/>
    <cellStyle name="Verknüpfte Zelle 3 2 11 3" xfId="45598" xr:uid="{6A2763D8-5AE6-48B8-B6AA-228BE730E798}"/>
    <cellStyle name="Verknüpfte Zelle 3 2 12" xfId="45599" xr:uid="{03CD2FE8-F052-437E-A194-DEC5B550B585}"/>
    <cellStyle name="Verknüpfte Zelle 3 2 12 2" xfId="45600" xr:uid="{14D577A4-19BA-460E-AA06-EC0C66BA8092}"/>
    <cellStyle name="Verknüpfte Zelle 3 2 13" xfId="45601" xr:uid="{CA19B6BE-089F-4F0B-AEEF-9AEF94A66E59}"/>
    <cellStyle name="Verknüpfte Zelle 3 2 2" xfId="45602" xr:uid="{E19DD6E7-AEF9-4285-B215-6571728BBCC7}"/>
    <cellStyle name="Verknüpfte Zelle 3 2 2 10" xfId="45603" xr:uid="{DBF22DD8-92CE-4205-A0EC-88F2AA62864F}"/>
    <cellStyle name="Verknüpfte Zelle 3 2 2 10 2" xfId="45604" xr:uid="{5A842E06-0F5E-4358-A5AB-86AE41EB00B6}"/>
    <cellStyle name="Verknüpfte Zelle 3 2 2 10 2 2" xfId="45605" xr:uid="{51DC7F14-2E65-46F9-8355-E531F2A6B1A6}"/>
    <cellStyle name="Verknüpfte Zelle 3 2 2 10 3" xfId="45606" xr:uid="{158B1A17-21A9-46CE-AD06-732F356B4C51}"/>
    <cellStyle name="Verknüpfte Zelle 3 2 2 11" xfId="45607" xr:uid="{47271960-1358-46D5-AD5B-1428BA7F6597}"/>
    <cellStyle name="Verknüpfte Zelle 3 2 2 11 2" xfId="45608" xr:uid="{E5D5EF0B-65E1-4AC8-8E3F-6EB8E3B5C1D8}"/>
    <cellStyle name="Verknüpfte Zelle 3 2 2 12" xfId="45609" xr:uid="{560F368B-1298-49D9-99BC-2AAC53745725}"/>
    <cellStyle name="Verknüpfte Zelle 3 2 2 2" xfId="45610" xr:uid="{C0FDB9A9-ADB2-4F43-A241-DE3AC6069FC7}"/>
    <cellStyle name="Verknüpfte Zelle 3 2 2 2 2" xfId="45611" xr:uid="{754CAF9A-B6F7-44AF-AF65-CC49FAEC0BC0}"/>
    <cellStyle name="Verknüpfte Zelle 3 2 2 2 2 2" xfId="45612" xr:uid="{2C232193-52F3-400D-91E9-9C8AEB55B5D0}"/>
    <cellStyle name="Verknüpfte Zelle 3 2 2 2 3" xfId="45613" xr:uid="{5A673514-8028-44CC-84C8-C06D18451299}"/>
    <cellStyle name="Verknüpfte Zelle 3 2 2 3" xfId="45614" xr:uid="{6CFBEECA-6D21-4DF4-9F82-AE31BFD12500}"/>
    <cellStyle name="Verknüpfte Zelle 3 2 2 3 2" xfId="45615" xr:uid="{347A61B9-B778-47A1-B042-D3B3EC848250}"/>
    <cellStyle name="Verknüpfte Zelle 3 2 2 3 2 2" xfId="45616" xr:uid="{09DB44DB-1AA2-456E-AA8B-31B1CD64EC62}"/>
    <cellStyle name="Verknüpfte Zelle 3 2 2 3 3" xfId="45617" xr:uid="{76C2BD41-3FD1-4298-A74B-039D7AD2776A}"/>
    <cellStyle name="Verknüpfte Zelle 3 2 2 4" xfId="45618" xr:uid="{9C3B4061-4695-412A-B4EA-1705DCF28C15}"/>
    <cellStyle name="Verknüpfte Zelle 3 2 2 4 2" xfId="45619" xr:uid="{B2AA8D18-A599-496C-9BB5-217032CD0676}"/>
    <cellStyle name="Verknüpfte Zelle 3 2 2 4 2 2" xfId="45620" xr:uid="{C7B85A1D-9C0D-49DA-9DA3-BBF158D78C6C}"/>
    <cellStyle name="Verknüpfte Zelle 3 2 2 4 3" xfId="45621" xr:uid="{DA109725-75EA-4A21-8FC6-8CC2CC102453}"/>
    <cellStyle name="Verknüpfte Zelle 3 2 2 5" xfId="45622" xr:uid="{C0F42563-C103-41B7-AB8F-414FA335FDF6}"/>
    <cellStyle name="Verknüpfte Zelle 3 2 2 5 2" xfId="45623" xr:uid="{40BBC80D-E630-4271-BFDC-EA2D7D3E9787}"/>
    <cellStyle name="Verknüpfte Zelle 3 2 2 5 2 2" xfId="45624" xr:uid="{B072464F-9FDD-4D97-9EB1-99DDDE0E5685}"/>
    <cellStyle name="Verknüpfte Zelle 3 2 2 5 3" xfId="45625" xr:uid="{FE4397A3-66E1-4AD3-89B3-A9C616E7AB0F}"/>
    <cellStyle name="Verknüpfte Zelle 3 2 2 6" xfId="45626" xr:uid="{39498B77-3896-44D1-A7C6-1629EEC622B8}"/>
    <cellStyle name="Verknüpfte Zelle 3 2 2 6 2" xfId="45627" xr:uid="{4309D189-69F9-4BB8-89B5-F8778DDA4397}"/>
    <cellStyle name="Verknüpfte Zelle 3 2 2 6 2 2" xfId="45628" xr:uid="{E2E88A3E-4E79-4EDF-BEFB-CED84B1DF198}"/>
    <cellStyle name="Verknüpfte Zelle 3 2 2 6 3" xfId="45629" xr:uid="{1CBDB539-6E1E-4DA8-AC84-B068D131DB0E}"/>
    <cellStyle name="Verknüpfte Zelle 3 2 2 7" xfId="45630" xr:uid="{A68A5D81-DE1A-40A9-B7FB-C126B4C32ED3}"/>
    <cellStyle name="Verknüpfte Zelle 3 2 2 7 2" xfId="45631" xr:uid="{DF900C1F-2981-481A-BF3A-0FCFC3BA5FB2}"/>
    <cellStyle name="Verknüpfte Zelle 3 2 2 7 2 2" xfId="45632" xr:uid="{D28653B8-C72F-4E5B-A214-6E9EC085988F}"/>
    <cellStyle name="Verknüpfte Zelle 3 2 2 7 3" xfId="45633" xr:uid="{E23613B4-8E92-4139-9166-C190828115FC}"/>
    <cellStyle name="Verknüpfte Zelle 3 2 2 8" xfId="45634" xr:uid="{520E13E7-2EE6-424E-B80D-AB65F8B83F88}"/>
    <cellStyle name="Verknüpfte Zelle 3 2 2 8 2" xfId="45635" xr:uid="{82ABF998-6F11-4534-A21C-69F6FB278EF4}"/>
    <cellStyle name="Verknüpfte Zelle 3 2 2 8 2 2" xfId="45636" xr:uid="{EDCA19C6-A5DF-4F27-A1B4-5284C1EABDD0}"/>
    <cellStyle name="Verknüpfte Zelle 3 2 2 8 3" xfId="45637" xr:uid="{2D1DA849-B031-4FAA-ABCC-F504C042B877}"/>
    <cellStyle name="Verknüpfte Zelle 3 2 2 9" xfId="45638" xr:uid="{15D6FA4B-E44C-415A-88FE-F4BBE4254850}"/>
    <cellStyle name="Verknüpfte Zelle 3 2 2 9 2" xfId="45639" xr:uid="{E71A7D08-161F-49B7-BE71-775FB6132ED1}"/>
    <cellStyle name="Verknüpfte Zelle 3 2 2 9 2 2" xfId="45640" xr:uid="{524EF5FA-458A-4857-BAE4-D033DFDE024A}"/>
    <cellStyle name="Verknüpfte Zelle 3 2 2 9 3" xfId="45641" xr:uid="{0BC8A6DC-BEC5-4DE8-97A9-186E30A13C8F}"/>
    <cellStyle name="Verknüpfte Zelle 3 2 3" xfId="45642" xr:uid="{A10011F6-A563-490A-A906-71D88969FFF0}"/>
    <cellStyle name="Verknüpfte Zelle 3 2 3 10" xfId="45643" xr:uid="{3E2C2CE3-E4D8-470D-83B0-BD42597D4367}"/>
    <cellStyle name="Verknüpfte Zelle 3 2 3 10 2" xfId="45644" xr:uid="{4973A979-E6C2-418F-809B-4D1817AE9049}"/>
    <cellStyle name="Verknüpfte Zelle 3 2 3 11" xfId="45645" xr:uid="{B8434F6B-CAB8-4A98-B2D5-F72B23BFC987}"/>
    <cellStyle name="Verknüpfte Zelle 3 2 3 2" xfId="45646" xr:uid="{822BE9A2-4634-4706-B6AB-5A625907AFCE}"/>
    <cellStyle name="Verknüpfte Zelle 3 2 3 2 2" xfId="45647" xr:uid="{08BA465F-4046-4A6E-9599-316B44F216B0}"/>
    <cellStyle name="Verknüpfte Zelle 3 2 3 2 2 2" xfId="45648" xr:uid="{F07DF20C-3E52-4242-B967-B1CB6F8F09C6}"/>
    <cellStyle name="Verknüpfte Zelle 3 2 3 2 3" xfId="45649" xr:uid="{7FB242FF-D870-42B8-B7CB-D38DE981AF76}"/>
    <cellStyle name="Verknüpfte Zelle 3 2 3 3" xfId="45650" xr:uid="{E3EADCFD-C079-4D5B-853B-B44296B80754}"/>
    <cellStyle name="Verknüpfte Zelle 3 2 3 3 2" xfId="45651" xr:uid="{1B8321ED-9821-436E-848B-9B7DC981A4A4}"/>
    <cellStyle name="Verknüpfte Zelle 3 2 3 3 2 2" xfId="45652" xr:uid="{80A5720F-7201-46F8-8099-45074E15B66D}"/>
    <cellStyle name="Verknüpfte Zelle 3 2 3 3 3" xfId="45653" xr:uid="{F8871382-1BFA-436C-86EB-B0A7EB64824F}"/>
    <cellStyle name="Verknüpfte Zelle 3 2 3 4" xfId="45654" xr:uid="{E5325F5D-7433-4FD0-826B-EA63A6A92C80}"/>
    <cellStyle name="Verknüpfte Zelle 3 2 3 4 2" xfId="45655" xr:uid="{6D8AA63D-438D-4660-8A3F-3B8EA111BD80}"/>
    <cellStyle name="Verknüpfte Zelle 3 2 3 4 2 2" xfId="45656" xr:uid="{ADC8164A-C946-4181-94E5-0C5240CE9954}"/>
    <cellStyle name="Verknüpfte Zelle 3 2 3 4 3" xfId="45657" xr:uid="{00BB7B3C-FDE0-4D6C-BF2A-17E938D46C6C}"/>
    <cellStyle name="Verknüpfte Zelle 3 2 3 5" xfId="45658" xr:uid="{14068EA0-5DA6-467D-BDE1-FF8007D1AF90}"/>
    <cellStyle name="Verknüpfte Zelle 3 2 3 5 2" xfId="45659" xr:uid="{7793EE4B-94A4-40AF-A873-860FC843DCCC}"/>
    <cellStyle name="Verknüpfte Zelle 3 2 3 5 2 2" xfId="45660" xr:uid="{7A54585C-585A-4256-8440-D244B54895A6}"/>
    <cellStyle name="Verknüpfte Zelle 3 2 3 5 3" xfId="45661" xr:uid="{0502C4A7-FE15-46E8-B5A8-FD5C001A639F}"/>
    <cellStyle name="Verknüpfte Zelle 3 2 3 6" xfId="45662" xr:uid="{74D479AF-A7B1-4CB3-AB28-B37FC6C7D357}"/>
    <cellStyle name="Verknüpfte Zelle 3 2 3 6 2" xfId="45663" xr:uid="{425E363B-10AE-4F1B-BEF5-2F08B406194D}"/>
    <cellStyle name="Verknüpfte Zelle 3 2 3 6 2 2" xfId="45664" xr:uid="{C1EB25E0-0A36-47AE-AB4E-BACD32261058}"/>
    <cellStyle name="Verknüpfte Zelle 3 2 3 6 3" xfId="45665" xr:uid="{8944A2E1-D5B3-464E-8734-C39D5207A562}"/>
    <cellStyle name="Verknüpfte Zelle 3 2 3 7" xfId="45666" xr:uid="{EEA68629-9B37-4ED0-995A-6D5830C6B68A}"/>
    <cellStyle name="Verknüpfte Zelle 3 2 3 7 2" xfId="45667" xr:uid="{A0C300F5-8E80-4C8D-A551-BCC60C679782}"/>
    <cellStyle name="Verknüpfte Zelle 3 2 3 7 2 2" xfId="45668" xr:uid="{F207996A-9F5F-43F1-B356-85B06542C00F}"/>
    <cellStyle name="Verknüpfte Zelle 3 2 3 7 3" xfId="45669" xr:uid="{E737A2B9-626C-47E6-8C77-51B95834DB8A}"/>
    <cellStyle name="Verknüpfte Zelle 3 2 3 8" xfId="45670" xr:uid="{7813E73B-2F61-448E-8590-5C686EED041C}"/>
    <cellStyle name="Verknüpfte Zelle 3 2 3 8 2" xfId="45671" xr:uid="{D2FAAA60-9AC5-44CD-B3DE-C9FB9F8F1823}"/>
    <cellStyle name="Verknüpfte Zelle 3 2 3 8 2 2" xfId="45672" xr:uid="{09E19CFB-B796-4EA7-81BC-0EC58A424250}"/>
    <cellStyle name="Verknüpfte Zelle 3 2 3 8 3" xfId="45673" xr:uid="{BF3466D5-5B1E-4603-96C3-96CD4378BEB9}"/>
    <cellStyle name="Verknüpfte Zelle 3 2 3 9" xfId="45674" xr:uid="{8E3BF7C1-5C20-4923-8002-4592374F97BC}"/>
    <cellStyle name="Verknüpfte Zelle 3 2 3 9 2" xfId="45675" xr:uid="{2C04980D-60C9-4BAF-AD11-4ED2054B8EED}"/>
    <cellStyle name="Verknüpfte Zelle 3 2 3 9 2 2" xfId="45676" xr:uid="{F719F196-C5FA-4F75-A89E-7DD593FA0632}"/>
    <cellStyle name="Verknüpfte Zelle 3 2 3 9 3" xfId="45677" xr:uid="{7B8E8A85-8413-44A8-A7B1-5FEB369CC111}"/>
    <cellStyle name="Verknüpfte Zelle 3 2 4" xfId="45678" xr:uid="{70B7D380-F87C-4C47-90ED-9764DD049172}"/>
    <cellStyle name="Verknüpfte Zelle 3 2 4 2" xfId="45679" xr:uid="{04159F80-254D-48B5-9830-B4D0DDCE345F}"/>
    <cellStyle name="Verknüpfte Zelle 3 2 4 2 2" xfId="45680" xr:uid="{601FA88C-D2B0-4A06-8974-44319C0109E0}"/>
    <cellStyle name="Verknüpfte Zelle 3 2 4 3" xfId="45681" xr:uid="{C23A3410-6359-434E-A425-5C3519673AC8}"/>
    <cellStyle name="Verknüpfte Zelle 3 2 5" xfId="45682" xr:uid="{C217A635-3263-49E9-BE21-7BB32E9424D1}"/>
    <cellStyle name="Verknüpfte Zelle 3 2 5 2" xfId="45683" xr:uid="{28B67DE2-D31A-4ED6-AB13-6E31D0F47415}"/>
    <cellStyle name="Verknüpfte Zelle 3 2 5 2 2" xfId="45684" xr:uid="{FE1E3D94-E145-4CD5-A4CB-1F1625DCC8CC}"/>
    <cellStyle name="Verknüpfte Zelle 3 2 5 3" xfId="45685" xr:uid="{C97B401C-D53C-41FC-A9B9-EC8487E370EA}"/>
    <cellStyle name="Verknüpfte Zelle 3 2 6" xfId="45686" xr:uid="{77AA1859-8FFF-4A2E-AB1F-FD45ABD0CD60}"/>
    <cellStyle name="Verknüpfte Zelle 3 2 6 2" xfId="45687" xr:uid="{AC36E381-742B-4BFA-B968-7B560E57CFAA}"/>
    <cellStyle name="Verknüpfte Zelle 3 2 6 2 2" xfId="45688" xr:uid="{0D8B3FB3-9652-49FA-9284-FDD328931A1D}"/>
    <cellStyle name="Verknüpfte Zelle 3 2 6 3" xfId="45689" xr:uid="{D74FFF5D-457B-4F96-A6A3-6E90B6249F74}"/>
    <cellStyle name="Verknüpfte Zelle 3 2 7" xfId="45690" xr:uid="{D3E568A5-2915-42EF-87A2-96CD819E0C27}"/>
    <cellStyle name="Verknüpfte Zelle 3 2 7 2" xfId="45691" xr:uid="{AD9B02A0-AAFB-4AEA-A9C8-C747A661A44D}"/>
    <cellStyle name="Verknüpfte Zelle 3 2 7 2 2" xfId="45692" xr:uid="{B96E5422-8ECD-4B13-8E46-F256BE3A2874}"/>
    <cellStyle name="Verknüpfte Zelle 3 2 7 3" xfId="45693" xr:uid="{33FD8352-744F-4A96-AB52-09C5EF603BA5}"/>
    <cellStyle name="Verknüpfte Zelle 3 2 8" xfId="45694" xr:uid="{32460E54-ACF8-4A8E-BD8C-7B278A3485FE}"/>
    <cellStyle name="Verknüpfte Zelle 3 2 8 2" xfId="45695" xr:uid="{DAB6150D-1ADE-4F7D-8BCC-A0EEC27D3784}"/>
    <cellStyle name="Verknüpfte Zelle 3 2 8 2 2" xfId="45696" xr:uid="{A64911B0-379A-494A-9AAD-BC6C078A23F8}"/>
    <cellStyle name="Verknüpfte Zelle 3 2 8 3" xfId="45697" xr:uid="{771F47E1-E4DB-4094-8D90-8E95AA66485B}"/>
    <cellStyle name="Verknüpfte Zelle 3 2 9" xfId="45698" xr:uid="{FB2E7659-FC5B-45C5-91E0-E182C5B26785}"/>
    <cellStyle name="Verknüpfte Zelle 3 2 9 2" xfId="45699" xr:uid="{E2C9C465-CB8E-4A02-84EC-6668D05A76D3}"/>
    <cellStyle name="Verknüpfte Zelle 3 2 9 2 2" xfId="45700" xr:uid="{484E0D9A-5653-44AE-8372-526E43D62C58}"/>
    <cellStyle name="Verknüpfte Zelle 3 2 9 3" xfId="45701" xr:uid="{F58DAB10-CE99-4D8A-ACE1-2021E9B9C12A}"/>
    <cellStyle name="Verknüpfte Zelle 3 3" xfId="45702" xr:uid="{67B7E153-99D6-43F2-9529-8BAE0F5DC943}"/>
    <cellStyle name="Verknüpfte Zelle 3 3 10" xfId="45703" xr:uid="{DBD733F7-E82A-4472-ADC5-5012DD6D7095}"/>
    <cellStyle name="Verknüpfte Zelle 3 3 10 2" xfId="45704" xr:uid="{7B4F36EF-F005-496E-B47B-1EF58D45A1E3}"/>
    <cellStyle name="Verknüpfte Zelle 3 3 10 2 2" xfId="45705" xr:uid="{692FF3EB-D907-42C4-92B0-8D5BFDEEE553}"/>
    <cellStyle name="Verknüpfte Zelle 3 3 10 3" xfId="45706" xr:uid="{5E1EFAC0-7E94-4BF8-A0D5-2880CDBB2F26}"/>
    <cellStyle name="Verknüpfte Zelle 3 3 11" xfId="45707" xr:uid="{B673C59D-9323-4D4F-86BA-8EA23BF38451}"/>
    <cellStyle name="Verknüpfte Zelle 3 3 11 2" xfId="45708" xr:uid="{F56EE1EB-B1C8-4994-8744-3EAF36F24ABC}"/>
    <cellStyle name="Verknüpfte Zelle 3 3 12" xfId="45709" xr:uid="{CF4FA134-16DF-4100-BDF5-08165FF5A107}"/>
    <cellStyle name="Verknüpfte Zelle 3 3 2" xfId="45710" xr:uid="{791A776D-4FDF-4A10-A31C-582DED734311}"/>
    <cellStyle name="Verknüpfte Zelle 3 3 2 10" xfId="45711" xr:uid="{EE64EC0C-1CBE-4DCE-9D5E-D3F021462361}"/>
    <cellStyle name="Verknüpfte Zelle 3 3 2 10 2" xfId="45712" xr:uid="{0E92C0DA-7D22-476E-B371-6AD3EBB87637}"/>
    <cellStyle name="Verknüpfte Zelle 3 3 2 11" xfId="45713" xr:uid="{C0B8386F-7491-4885-BE20-2244DDABC5E6}"/>
    <cellStyle name="Verknüpfte Zelle 3 3 2 2" xfId="45714" xr:uid="{209BFF12-4A52-47C8-AE2A-3F5AE4053095}"/>
    <cellStyle name="Verknüpfte Zelle 3 3 2 2 2" xfId="45715" xr:uid="{C743F8DA-D716-4720-BB52-DD780EF2755F}"/>
    <cellStyle name="Verknüpfte Zelle 3 3 2 2 2 2" xfId="45716" xr:uid="{4245656F-E9DA-4A63-BC2E-7C912675C422}"/>
    <cellStyle name="Verknüpfte Zelle 3 3 2 2 3" xfId="45717" xr:uid="{53DEC88F-9CF4-4D03-BB27-6137FA484A3A}"/>
    <cellStyle name="Verknüpfte Zelle 3 3 2 3" xfId="45718" xr:uid="{8652B87D-F721-4E56-9EA1-263A7AF5CDE9}"/>
    <cellStyle name="Verknüpfte Zelle 3 3 2 3 2" xfId="45719" xr:uid="{95657F1F-AD7F-4DD2-B15C-9BF52115919D}"/>
    <cellStyle name="Verknüpfte Zelle 3 3 2 3 2 2" xfId="45720" xr:uid="{FAC8D12A-7F6D-4550-9464-AD3C1F040673}"/>
    <cellStyle name="Verknüpfte Zelle 3 3 2 3 3" xfId="45721" xr:uid="{D59075E0-A4B8-4614-BFDA-77B70B26FEE7}"/>
    <cellStyle name="Verknüpfte Zelle 3 3 2 4" xfId="45722" xr:uid="{4400CFCC-17C2-47C2-A4D1-903C79941A5C}"/>
    <cellStyle name="Verknüpfte Zelle 3 3 2 4 2" xfId="45723" xr:uid="{45AA1F6B-92D4-4ABB-ADE1-0DC4A078884D}"/>
    <cellStyle name="Verknüpfte Zelle 3 3 2 4 2 2" xfId="45724" xr:uid="{6803F7B8-3C92-4A14-9028-6BFC150F7289}"/>
    <cellStyle name="Verknüpfte Zelle 3 3 2 4 3" xfId="45725" xr:uid="{B6856527-155B-4F86-A5F1-443065160AEB}"/>
    <cellStyle name="Verknüpfte Zelle 3 3 2 5" xfId="45726" xr:uid="{157DB848-7C19-4CE6-9FCF-5D13A9BDCD3B}"/>
    <cellStyle name="Verknüpfte Zelle 3 3 2 5 2" xfId="45727" xr:uid="{D9BF80FD-2DCE-4272-80B6-0ABC7AA2A761}"/>
    <cellStyle name="Verknüpfte Zelle 3 3 2 5 2 2" xfId="45728" xr:uid="{1CC40092-A8FC-4658-9EBF-30E987CE3495}"/>
    <cellStyle name="Verknüpfte Zelle 3 3 2 5 3" xfId="45729" xr:uid="{B99E59DB-EE62-4250-A555-B11FB472E882}"/>
    <cellStyle name="Verknüpfte Zelle 3 3 2 6" xfId="45730" xr:uid="{4953A434-7ACE-4AAD-80A7-E2509F231CF4}"/>
    <cellStyle name="Verknüpfte Zelle 3 3 2 6 2" xfId="45731" xr:uid="{419991F9-F509-4909-85EC-AEAB6E8DEBD3}"/>
    <cellStyle name="Verknüpfte Zelle 3 3 2 6 2 2" xfId="45732" xr:uid="{10FD85CF-128B-4008-B79C-2B076A34D5A6}"/>
    <cellStyle name="Verknüpfte Zelle 3 3 2 6 3" xfId="45733" xr:uid="{12F74ABA-3423-4668-8A27-D019F38810E8}"/>
    <cellStyle name="Verknüpfte Zelle 3 3 2 7" xfId="45734" xr:uid="{70900122-A093-43EB-9880-44EFF6087F03}"/>
    <cellStyle name="Verknüpfte Zelle 3 3 2 7 2" xfId="45735" xr:uid="{9601D030-8140-4ED9-97A0-DD033A7EAB8D}"/>
    <cellStyle name="Verknüpfte Zelle 3 3 2 7 2 2" xfId="45736" xr:uid="{0A14558D-8EFB-43E4-8965-B5C3EEFF24D7}"/>
    <cellStyle name="Verknüpfte Zelle 3 3 2 7 3" xfId="45737" xr:uid="{BC3F39D2-EC01-4A0B-B827-3D9D32CA0E98}"/>
    <cellStyle name="Verknüpfte Zelle 3 3 2 8" xfId="45738" xr:uid="{88DE2C37-4C29-4F00-A83A-0C3E9A632DD0}"/>
    <cellStyle name="Verknüpfte Zelle 3 3 2 8 2" xfId="45739" xr:uid="{55CA5387-F810-447D-B487-0D2137CB9F3F}"/>
    <cellStyle name="Verknüpfte Zelle 3 3 2 8 2 2" xfId="45740" xr:uid="{7EC12E69-2C5A-4046-A87C-26E161598C39}"/>
    <cellStyle name="Verknüpfte Zelle 3 3 2 8 3" xfId="45741" xr:uid="{90E9F1B3-8575-42A3-8CEF-0D20F0C6536A}"/>
    <cellStyle name="Verknüpfte Zelle 3 3 2 9" xfId="45742" xr:uid="{2337EC32-113C-4400-B115-6C44A8358E69}"/>
    <cellStyle name="Verknüpfte Zelle 3 3 2 9 2" xfId="45743" xr:uid="{16D7D26A-E0B4-4854-B3D1-D97A84AF081F}"/>
    <cellStyle name="Verknüpfte Zelle 3 3 2 9 2 2" xfId="45744" xr:uid="{A82D3227-81E5-4C7A-92BE-FB32AD8A8CB1}"/>
    <cellStyle name="Verknüpfte Zelle 3 3 2 9 3" xfId="45745" xr:uid="{B2278095-AA33-4D51-9DDE-C940C5C124F3}"/>
    <cellStyle name="Verknüpfte Zelle 3 3 3" xfId="45746" xr:uid="{50C2834B-67A4-4BA9-BC24-D61BAEE2B65B}"/>
    <cellStyle name="Verknüpfte Zelle 3 3 3 2" xfId="45747" xr:uid="{BC3841DA-9552-4F49-8640-79859FC1E2EB}"/>
    <cellStyle name="Verknüpfte Zelle 3 3 3 2 2" xfId="45748" xr:uid="{A3D97A99-0895-4E33-AF98-68D6BF3E6D6E}"/>
    <cellStyle name="Verknüpfte Zelle 3 3 3 3" xfId="45749" xr:uid="{730080D1-4117-4992-A95A-354F1005CA80}"/>
    <cellStyle name="Verknüpfte Zelle 3 3 4" xfId="45750" xr:uid="{DB0DB7AE-F003-4382-9ED6-EBA099BB8E00}"/>
    <cellStyle name="Verknüpfte Zelle 3 3 4 2" xfId="45751" xr:uid="{75738511-BBA2-4732-9E5C-92830DE7D632}"/>
    <cellStyle name="Verknüpfte Zelle 3 3 4 2 2" xfId="45752" xr:uid="{90688F92-FE7E-4485-A440-FBFCF83B0AB5}"/>
    <cellStyle name="Verknüpfte Zelle 3 3 4 3" xfId="45753" xr:uid="{093C5C87-955F-47D9-9DB8-A497B9DA35C9}"/>
    <cellStyle name="Verknüpfte Zelle 3 3 5" xfId="45754" xr:uid="{9A21BF5D-A317-403C-BEF0-D4F74DE3E270}"/>
    <cellStyle name="Verknüpfte Zelle 3 3 5 2" xfId="45755" xr:uid="{0C56F4F6-F41B-43AD-81F0-AA90653C6A98}"/>
    <cellStyle name="Verknüpfte Zelle 3 3 5 2 2" xfId="45756" xr:uid="{DD8329B3-D269-4301-AAF5-7A53A10DE1E7}"/>
    <cellStyle name="Verknüpfte Zelle 3 3 5 3" xfId="45757" xr:uid="{C054A34D-5002-4151-8496-A1677ECA9171}"/>
    <cellStyle name="Verknüpfte Zelle 3 3 6" xfId="45758" xr:uid="{BEA018A0-0A7D-4552-A4DE-8349E05C34CF}"/>
    <cellStyle name="Verknüpfte Zelle 3 3 6 2" xfId="45759" xr:uid="{966AA129-4EB0-4C80-A4DF-174693D735F4}"/>
    <cellStyle name="Verknüpfte Zelle 3 3 6 2 2" xfId="45760" xr:uid="{BC502BEA-9E34-4C33-B780-E0439573F571}"/>
    <cellStyle name="Verknüpfte Zelle 3 3 6 3" xfId="45761" xr:uid="{24EA8B48-B32D-4A94-A120-0F46F5D3A24B}"/>
    <cellStyle name="Verknüpfte Zelle 3 3 7" xfId="45762" xr:uid="{F3F16968-D4E3-49F8-941B-47938D5B872F}"/>
    <cellStyle name="Verknüpfte Zelle 3 3 7 2" xfId="45763" xr:uid="{9C7435E2-1C14-44DF-AA12-6AF0DB1B0888}"/>
    <cellStyle name="Verknüpfte Zelle 3 3 7 2 2" xfId="45764" xr:uid="{66593C3D-B986-4DCF-8C2F-19A85F268017}"/>
    <cellStyle name="Verknüpfte Zelle 3 3 7 3" xfId="45765" xr:uid="{8132AE3F-7C01-4C7F-BAFF-8D244F6173AD}"/>
    <cellStyle name="Verknüpfte Zelle 3 3 8" xfId="45766" xr:uid="{8DE49B0A-F85F-4B48-A66E-A43C617DAF85}"/>
    <cellStyle name="Verknüpfte Zelle 3 3 8 2" xfId="45767" xr:uid="{67207B78-EAAF-4821-B2E7-352BC23B4BF4}"/>
    <cellStyle name="Verknüpfte Zelle 3 3 8 2 2" xfId="45768" xr:uid="{B2E3F989-D723-454B-991A-319CF93E227A}"/>
    <cellStyle name="Verknüpfte Zelle 3 3 8 3" xfId="45769" xr:uid="{F4ADFF4E-38B4-4F47-8C34-94FDA0378C42}"/>
    <cellStyle name="Verknüpfte Zelle 3 3 9" xfId="45770" xr:uid="{2D4803E8-037F-44C6-A87C-5A24D329ECA2}"/>
    <cellStyle name="Verknüpfte Zelle 3 3 9 2" xfId="45771" xr:uid="{906221A7-4160-4E3F-82F2-70F6135B7F65}"/>
    <cellStyle name="Verknüpfte Zelle 3 3 9 2 2" xfId="45772" xr:uid="{8BD5CCD0-CAC0-48A7-A5C5-1D9D4F2E4557}"/>
    <cellStyle name="Verknüpfte Zelle 3 3 9 3" xfId="45773" xr:uid="{57042441-1D73-41D5-BA07-7D59C3E65E72}"/>
    <cellStyle name="Verknüpfte Zelle 3 4" xfId="45774" xr:uid="{6E4C95A5-F76B-4A5B-865A-0504FD920CB7}"/>
    <cellStyle name="Verknüpfte Zelle 3 4 10" xfId="45775" xr:uid="{2A5A76F9-71D8-437E-A36D-D8644FC16678}"/>
    <cellStyle name="Verknüpfte Zelle 3 4 10 2" xfId="45776" xr:uid="{359B4121-401A-4906-853E-F6D8D4D10F4A}"/>
    <cellStyle name="Verknüpfte Zelle 3 4 11" xfId="45777" xr:uid="{AA48FDA7-1F85-4D5E-9D4E-9481BB66A9B3}"/>
    <cellStyle name="Verknüpfte Zelle 3 4 2" xfId="45778" xr:uid="{CB2F8E93-351A-43D6-A79F-7021E26AD317}"/>
    <cellStyle name="Verknüpfte Zelle 3 4 2 2" xfId="45779" xr:uid="{C4A6B39E-34AB-4907-854C-B9B1F048F0F2}"/>
    <cellStyle name="Verknüpfte Zelle 3 4 2 2 2" xfId="45780" xr:uid="{530FE7B5-5BD8-4B64-B7E5-A749FF416C45}"/>
    <cellStyle name="Verknüpfte Zelle 3 4 2 3" xfId="45781" xr:uid="{1C3D24B5-7983-4833-B79F-88285538B235}"/>
    <cellStyle name="Verknüpfte Zelle 3 4 3" xfId="45782" xr:uid="{8A5C3B84-8E84-4A78-8A08-EC9CDC8ADB64}"/>
    <cellStyle name="Verknüpfte Zelle 3 4 3 2" xfId="45783" xr:uid="{B5DD7C97-F71A-488D-B29C-DA7A748729AE}"/>
    <cellStyle name="Verknüpfte Zelle 3 4 3 2 2" xfId="45784" xr:uid="{A8E9A169-9763-4EFE-A317-AA9D585A6E23}"/>
    <cellStyle name="Verknüpfte Zelle 3 4 3 3" xfId="45785" xr:uid="{0706122A-8584-4B3E-AA9B-EFB238D37A13}"/>
    <cellStyle name="Verknüpfte Zelle 3 4 4" xfId="45786" xr:uid="{3D904759-13BF-41A5-B757-A2210FAD9CD7}"/>
    <cellStyle name="Verknüpfte Zelle 3 4 4 2" xfId="45787" xr:uid="{A5BEB9DC-33DF-4324-B339-1AB0155D04DB}"/>
    <cellStyle name="Verknüpfte Zelle 3 4 4 2 2" xfId="45788" xr:uid="{35E9C757-5A89-40D3-9E07-511149B8A203}"/>
    <cellStyle name="Verknüpfte Zelle 3 4 4 3" xfId="45789" xr:uid="{D0AF5118-D300-43E9-998F-46768EDBA7EB}"/>
    <cellStyle name="Verknüpfte Zelle 3 4 5" xfId="45790" xr:uid="{912A26E9-D3AC-4FEF-828F-F613FF8BE423}"/>
    <cellStyle name="Verknüpfte Zelle 3 4 5 2" xfId="45791" xr:uid="{728167B2-76AA-4FFB-AE80-35D22AB311C0}"/>
    <cellStyle name="Verknüpfte Zelle 3 4 5 2 2" xfId="45792" xr:uid="{9EB984CD-3EFB-49A7-AEF4-DC64985809D4}"/>
    <cellStyle name="Verknüpfte Zelle 3 4 5 3" xfId="45793" xr:uid="{A6AC3448-6975-4BE2-A79E-343158191680}"/>
    <cellStyle name="Verknüpfte Zelle 3 4 6" xfId="45794" xr:uid="{1A7E6611-F519-4590-AAED-C1232A0B7A9C}"/>
    <cellStyle name="Verknüpfte Zelle 3 4 6 2" xfId="45795" xr:uid="{9B93F17D-EDED-4878-B0A1-B54698364D58}"/>
    <cellStyle name="Verknüpfte Zelle 3 4 6 2 2" xfId="45796" xr:uid="{2F7665E3-B6A9-45EB-9559-1C2367A57A17}"/>
    <cellStyle name="Verknüpfte Zelle 3 4 6 3" xfId="45797" xr:uid="{94799690-E19E-4826-BAA5-1E3656FA83E2}"/>
    <cellStyle name="Verknüpfte Zelle 3 4 7" xfId="45798" xr:uid="{9A903FA3-A76D-4830-9331-0AED71ACAB02}"/>
    <cellStyle name="Verknüpfte Zelle 3 4 7 2" xfId="45799" xr:uid="{D9D9DBF6-941E-4EAD-95AF-6BF74B9CC276}"/>
    <cellStyle name="Verknüpfte Zelle 3 4 7 2 2" xfId="45800" xr:uid="{6AD77FDF-9533-4D52-B820-8F11A9FBECD3}"/>
    <cellStyle name="Verknüpfte Zelle 3 4 7 3" xfId="45801" xr:uid="{0F6368C2-BDD7-47EC-9FC7-22165C1D1AF6}"/>
    <cellStyle name="Verknüpfte Zelle 3 4 8" xfId="45802" xr:uid="{364AE6D1-FCA1-435B-A9A0-92895FA601AD}"/>
    <cellStyle name="Verknüpfte Zelle 3 4 8 2" xfId="45803" xr:uid="{2334AB21-9751-4827-AED8-03868687F325}"/>
    <cellStyle name="Verknüpfte Zelle 3 4 8 2 2" xfId="45804" xr:uid="{6B944CB5-9471-425D-BB93-95EF4FD3106E}"/>
    <cellStyle name="Verknüpfte Zelle 3 4 8 3" xfId="45805" xr:uid="{A0429C2F-E513-4BE1-A38E-67278B87326D}"/>
    <cellStyle name="Verknüpfte Zelle 3 4 9" xfId="45806" xr:uid="{7CE86E23-CC90-4181-A122-E910B5887282}"/>
    <cellStyle name="Verknüpfte Zelle 3 4 9 2" xfId="45807" xr:uid="{77B46D93-F9C9-4E70-9207-3FC68CA80116}"/>
    <cellStyle name="Verknüpfte Zelle 3 4 9 2 2" xfId="45808" xr:uid="{8D19C81D-C1CF-4878-9B40-8031A06E1E65}"/>
    <cellStyle name="Verknüpfte Zelle 3 4 9 3" xfId="45809" xr:uid="{E57948B4-8317-46BB-9120-9482EF80D940}"/>
    <cellStyle name="Verknüpfte Zelle 3 5" xfId="45810" xr:uid="{281A1C85-84BA-4ED7-BFD2-157269793A70}"/>
    <cellStyle name="Verknüpfte Zelle 3 5 2" xfId="45811" xr:uid="{6B36B830-2570-4343-B44F-73B736902B63}"/>
    <cellStyle name="Verknüpfte Zelle 3 5 2 2" xfId="45812" xr:uid="{50C3A39C-6484-476A-A5C7-3EC25962CDDD}"/>
    <cellStyle name="Verknüpfte Zelle 3 5 3" xfId="45813" xr:uid="{58CC901E-D6C8-4066-B893-70565BE48E95}"/>
    <cellStyle name="Verknüpfte Zelle 3 6" xfId="45814" xr:uid="{31E9C6A9-4B37-4E3B-913D-B27D25D01BB9}"/>
    <cellStyle name="Verknüpfte Zelle 3 6 2" xfId="45815" xr:uid="{E2CC61F1-DEBC-480D-B597-393694C2D7F5}"/>
    <cellStyle name="Verknüpfte Zelle 3 6 2 2" xfId="45816" xr:uid="{1CB98CD8-CDE5-4F1A-A1FB-04922930B1DD}"/>
    <cellStyle name="Verknüpfte Zelle 3 6 3" xfId="45817" xr:uid="{1AA8EC21-F69A-453D-ACB2-359ACFA3AB8C}"/>
    <cellStyle name="Verknüpfte Zelle 3 7" xfId="45818" xr:uid="{1620CBF0-7244-4F41-AF33-E5D73A6864FD}"/>
    <cellStyle name="Verknüpfte Zelle 3 7 2" xfId="45819" xr:uid="{4AB97622-820F-4C8D-8E11-034A01D046C5}"/>
    <cellStyle name="Verknüpfte Zelle 3 7 2 2" xfId="45820" xr:uid="{58336CF6-D19F-4F85-8418-AC981864CDB1}"/>
    <cellStyle name="Verknüpfte Zelle 3 7 3" xfId="45821" xr:uid="{93C99D48-CAF1-4A1B-9BA0-7B756F3468AE}"/>
    <cellStyle name="Verknüpfte Zelle 3 8" xfId="45822" xr:uid="{CC7F979C-30A2-4A45-B41D-C0C5648569F3}"/>
    <cellStyle name="Verknüpfte Zelle 3 8 2" xfId="45823" xr:uid="{C3524523-5B2B-415B-93A5-B160FC5C6450}"/>
    <cellStyle name="Verknüpfte Zelle 3 8 2 2" xfId="45824" xr:uid="{818EABE4-1344-4729-8BA9-CD6067A41E80}"/>
    <cellStyle name="Verknüpfte Zelle 3 8 3" xfId="45825" xr:uid="{D1353907-9435-4E36-B5F2-9459568179FD}"/>
    <cellStyle name="Verknüpfte Zelle 3 9" xfId="45826" xr:uid="{C1CDE60F-B9B1-423C-967F-7B4EFB5F70C7}"/>
    <cellStyle name="Verknüpfte Zelle 3 9 2" xfId="45827" xr:uid="{B6A7A00E-320F-4FF6-93E4-78FBD905E81B}"/>
    <cellStyle name="Verknüpfte Zelle 3 9 2 2" xfId="45828" xr:uid="{3CB57062-5CEB-4BF0-B7FC-A74BB6EF10D2}"/>
    <cellStyle name="Verknüpfte Zelle 3 9 3" xfId="45829" xr:uid="{CBAF258D-1F1C-4BD4-9DB8-1EE78D42DFAD}"/>
    <cellStyle name="Verknüpfte Zelle 4" xfId="45830" xr:uid="{70BF2ED7-4414-49DB-AB4A-1D8A7474B7F2}"/>
    <cellStyle name="Verknüpfte Zelle 4 10" xfId="45831" xr:uid="{5ED9C33F-C930-4B09-84A3-FEB39E090D2A}"/>
    <cellStyle name="Verknüpfte Zelle 4 10 2" xfId="45832" xr:uid="{A4B03EEF-687E-49B0-A330-969738CF84DB}"/>
    <cellStyle name="Verknüpfte Zelle 4 10 2 2" xfId="45833" xr:uid="{EE12715A-4AB1-4B3E-931A-C5774B139BFB}"/>
    <cellStyle name="Verknüpfte Zelle 4 10 3" xfId="45834" xr:uid="{3EEF9AC2-A127-4B42-B1F5-1D6C2E314012}"/>
    <cellStyle name="Verknüpfte Zelle 4 11" xfId="45835" xr:uid="{7610C1E1-C9DB-432B-9B30-D0022468FCF3}"/>
    <cellStyle name="Verknüpfte Zelle 4 11 2" xfId="45836" xr:uid="{D3D432E3-35A0-4D1A-9EE8-43A3FF1555F8}"/>
    <cellStyle name="Verknüpfte Zelle 4 11 2 2" xfId="45837" xr:uid="{0F5C37BA-0B81-49C4-8B4B-296FBAB0012C}"/>
    <cellStyle name="Verknüpfte Zelle 4 11 3" xfId="45838" xr:uid="{4027A496-14FF-40AB-881E-14D482F6620E}"/>
    <cellStyle name="Verknüpfte Zelle 4 12" xfId="45839" xr:uid="{05666344-8C46-4163-A9DD-580784EA4261}"/>
    <cellStyle name="Verknüpfte Zelle 4 12 2" xfId="45840" xr:uid="{3833B974-3430-4287-897B-217CF4667DFD}"/>
    <cellStyle name="Verknüpfte Zelle 4 13" xfId="45841" xr:uid="{487D27F1-00E0-48C6-A40B-461E329FCC9E}"/>
    <cellStyle name="Verknüpfte Zelle 4 2" xfId="45842" xr:uid="{3A482F3D-F509-4F96-B00E-AEAEE711FABF}"/>
    <cellStyle name="Verknüpfte Zelle 4 2 10" xfId="45843" xr:uid="{AB5348D1-0E6B-49E4-B813-A4AEDCC38DA0}"/>
    <cellStyle name="Verknüpfte Zelle 4 2 10 2" xfId="45844" xr:uid="{20A41CCD-19F4-4EDD-B38D-CB79C0F1D0B1}"/>
    <cellStyle name="Verknüpfte Zelle 4 2 10 2 2" xfId="45845" xr:uid="{5DEC1EAE-32BB-4210-9673-BEC1D8A4D43D}"/>
    <cellStyle name="Verknüpfte Zelle 4 2 10 3" xfId="45846" xr:uid="{46D9C5EF-81DF-466B-B617-28C534FA099B}"/>
    <cellStyle name="Verknüpfte Zelle 4 2 11" xfId="45847" xr:uid="{3B69ADA2-88CB-41FE-BFC4-6684AD6AE917}"/>
    <cellStyle name="Verknüpfte Zelle 4 2 11 2" xfId="45848" xr:uid="{B6C83E16-67F2-43DA-B38E-B4F4394DC1B1}"/>
    <cellStyle name="Verknüpfte Zelle 4 2 12" xfId="45849" xr:uid="{4214F1CF-D794-40DB-8610-D464525D05EB}"/>
    <cellStyle name="Verknüpfte Zelle 4 2 2" xfId="45850" xr:uid="{95FE900C-F9CF-42AA-9689-562F38D9FF52}"/>
    <cellStyle name="Verknüpfte Zelle 4 2 2 2" xfId="45851" xr:uid="{FA48B03D-00E8-46F6-9B11-1B8EF5091937}"/>
    <cellStyle name="Verknüpfte Zelle 4 2 2 2 2" xfId="45852" xr:uid="{728B7BCA-0118-42BF-A8B8-C3A3E29D1670}"/>
    <cellStyle name="Verknüpfte Zelle 4 2 2 3" xfId="45853" xr:uid="{7AB10D09-E166-4174-92E2-02DC21B29729}"/>
    <cellStyle name="Verknüpfte Zelle 4 2 3" xfId="45854" xr:uid="{98A76FA4-DFE9-4598-8ACC-C8E36853198A}"/>
    <cellStyle name="Verknüpfte Zelle 4 2 3 2" xfId="45855" xr:uid="{741DE6ED-7681-4617-8150-6FE9BF2D4F2D}"/>
    <cellStyle name="Verknüpfte Zelle 4 2 3 2 2" xfId="45856" xr:uid="{317197DC-A86F-450D-8059-4E6417F0E3BA}"/>
    <cellStyle name="Verknüpfte Zelle 4 2 3 3" xfId="45857" xr:uid="{56B2C4DE-730F-45AA-99D3-5DC9035F9492}"/>
    <cellStyle name="Verknüpfte Zelle 4 2 4" xfId="45858" xr:uid="{2B229015-DC3E-46E8-A141-6F8D8343A339}"/>
    <cellStyle name="Verknüpfte Zelle 4 2 4 2" xfId="45859" xr:uid="{0D45CF49-57B4-46F2-8DAA-40EFF803DC03}"/>
    <cellStyle name="Verknüpfte Zelle 4 2 4 2 2" xfId="45860" xr:uid="{D72CCCE3-A150-4D0B-B657-605F6AF12AFB}"/>
    <cellStyle name="Verknüpfte Zelle 4 2 4 3" xfId="45861" xr:uid="{DBD92F4A-7003-4186-952B-AC5108FD0FE0}"/>
    <cellStyle name="Verknüpfte Zelle 4 2 5" xfId="45862" xr:uid="{B3CF7225-BD52-4F6A-9DF1-09A14E5DBC9C}"/>
    <cellStyle name="Verknüpfte Zelle 4 2 5 2" xfId="45863" xr:uid="{212A1C1D-DAAD-4525-A9D7-198EAAA5D350}"/>
    <cellStyle name="Verknüpfte Zelle 4 2 5 2 2" xfId="45864" xr:uid="{517A35A3-3DE6-4F98-A3FC-7F36A0AFD93A}"/>
    <cellStyle name="Verknüpfte Zelle 4 2 5 3" xfId="45865" xr:uid="{758C788F-A88B-4E1C-91F4-1E2DA6D73C2B}"/>
    <cellStyle name="Verknüpfte Zelle 4 2 6" xfId="45866" xr:uid="{FD9DCD3B-ACDE-4B5A-993D-2FF93AEE41C7}"/>
    <cellStyle name="Verknüpfte Zelle 4 2 6 2" xfId="45867" xr:uid="{959C0295-599F-4344-9366-3E96D6081D3F}"/>
    <cellStyle name="Verknüpfte Zelle 4 2 6 2 2" xfId="45868" xr:uid="{72C2A6F4-7D66-4FBD-8ABA-99EAFEC732C0}"/>
    <cellStyle name="Verknüpfte Zelle 4 2 6 3" xfId="45869" xr:uid="{DD626A16-F96C-4888-8236-CE60DCAE892F}"/>
    <cellStyle name="Verknüpfte Zelle 4 2 7" xfId="45870" xr:uid="{0776B788-D006-4DEE-BBE5-274D32FFA624}"/>
    <cellStyle name="Verknüpfte Zelle 4 2 7 2" xfId="45871" xr:uid="{13ACEF96-0C07-4482-B196-4EA70C334F32}"/>
    <cellStyle name="Verknüpfte Zelle 4 2 7 2 2" xfId="45872" xr:uid="{F3778695-5E73-4679-BFDC-AA09E1E223D6}"/>
    <cellStyle name="Verknüpfte Zelle 4 2 7 3" xfId="45873" xr:uid="{BE80207D-3AE6-4B67-9138-79D6F27828BD}"/>
    <cellStyle name="Verknüpfte Zelle 4 2 8" xfId="45874" xr:uid="{745AB06A-2886-42C7-96E1-816E0A9A8D93}"/>
    <cellStyle name="Verknüpfte Zelle 4 2 8 2" xfId="45875" xr:uid="{C2A08218-02EE-473E-B687-23DA3615168B}"/>
    <cellStyle name="Verknüpfte Zelle 4 2 8 2 2" xfId="45876" xr:uid="{BD286116-7590-4418-BC1B-0223A71AB924}"/>
    <cellStyle name="Verknüpfte Zelle 4 2 8 3" xfId="45877" xr:uid="{D053F33C-A1AD-4D71-AEB3-E86321BC402E}"/>
    <cellStyle name="Verknüpfte Zelle 4 2 9" xfId="45878" xr:uid="{A19B0D2F-1581-4BB0-9C4C-B55DE6658051}"/>
    <cellStyle name="Verknüpfte Zelle 4 2 9 2" xfId="45879" xr:uid="{E3196ACD-B842-4CB3-BD3A-DAB5CC2B8C74}"/>
    <cellStyle name="Verknüpfte Zelle 4 2 9 2 2" xfId="45880" xr:uid="{BE96C8D8-03C2-4F73-AD77-F0262D2D3BBD}"/>
    <cellStyle name="Verknüpfte Zelle 4 2 9 3" xfId="45881" xr:uid="{ABE71CDD-38A5-477B-B2E1-FCFDF47FE8F8}"/>
    <cellStyle name="Verknüpfte Zelle 4 3" xfId="45882" xr:uid="{22B27EF7-2635-4975-9554-92FAA8BB3FE9}"/>
    <cellStyle name="Verknüpfte Zelle 4 3 10" xfId="45883" xr:uid="{2D8327C3-F9E4-44CE-A7A8-6C87CDCF322C}"/>
    <cellStyle name="Verknüpfte Zelle 4 3 10 2" xfId="45884" xr:uid="{AFF757DE-47D9-4582-98B5-439A262AA683}"/>
    <cellStyle name="Verknüpfte Zelle 4 3 11" xfId="45885" xr:uid="{A005A3FA-9815-4EA9-A410-880138F4FE1F}"/>
    <cellStyle name="Verknüpfte Zelle 4 3 2" xfId="45886" xr:uid="{D66D2597-C76E-420E-A0AF-966190E149C0}"/>
    <cellStyle name="Verknüpfte Zelle 4 3 2 2" xfId="45887" xr:uid="{96409AE1-3ACE-499A-91C4-EDAEF5D9AB00}"/>
    <cellStyle name="Verknüpfte Zelle 4 3 2 2 2" xfId="45888" xr:uid="{7839B84E-9D15-4A8F-8EF7-AB59ACA5A721}"/>
    <cellStyle name="Verknüpfte Zelle 4 3 2 3" xfId="45889" xr:uid="{C8EBEEAC-6C5A-4CBC-AB8A-C27A444990B1}"/>
    <cellStyle name="Verknüpfte Zelle 4 3 3" xfId="45890" xr:uid="{DD8B1669-95E9-41AD-BCE7-6E5E887C41C2}"/>
    <cellStyle name="Verknüpfte Zelle 4 3 3 2" xfId="45891" xr:uid="{155D70F5-0F40-4D1B-B263-135A7F64CE3B}"/>
    <cellStyle name="Verknüpfte Zelle 4 3 3 2 2" xfId="45892" xr:uid="{7975CBA7-B5AD-4687-AC25-524A80D6BC81}"/>
    <cellStyle name="Verknüpfte Zelle 4 3 3 3" xfId="45893" xr:uid="{F3D277E5-9ED2-458F-BDA2-E1E3854B1FEB}"/>
    <cellStyle name="Verknüpfte Zelle 4 3 4" xfId="45894" xr:uid="{27B40D4C-1F66-47C8-9533-B6D926A09141}"/>
    <cellStyle name="Verknüpfte Zelle 4 3 4 2" xfId="45895" xr:uid="{8EB13BC9-4D20-426D-946C-507027288C41}"/>
    <cellStyle name="Verknüpfte Zelle 4 3 4 2 2" xfId="45896" xr:uid="{C6FC3306-1F3B-4D7E-890E-89779A5D3C9B}"/>
    <cellStyle name="Verknüpfte Zelle 4 3 4 3" xfId="45897" xr:uid="{821022A7-C6E0-4712-A25C-2F9B132F9035}"/>
    <cellStyle name="Verknüpfte Zelle 4 3 5" xfId="45898" xr:uid="{2214017C-DF3F-458D-901E-401222EBF1E3}"/>
    <cellStyle name="Verknüpfte Zelle 4 3 5 2" xfId="45899" xr:uid="{113D49FC-A622-403A-AEE0-87EB05938F5F}"/>
    <cellStyle name="Verknüpfte Zelle 4 3 5 2 2" xfId="45900" xr:uid="{2E4AD9D8-8E5E-4221-B6A5-902E6273FC3F}"/>
    <cellStyle name="Verknüpfte Zelle 4 3 5 3" xfId="45901" xr:uid="{811CCDBE-C380-43B4-8EE2-E4160B1B017A}"/>
    <cellStyle name="Verknüpfte Zelle 4 3 6" xfId="45902" xr:uid="{A00C7984-8B48-4100-AA61-BD42D14B6BC2}"/>
    <cellStyle name="Verknüpfte Zelle 4 3 6 2" xfId="45903" xr:uid="{A3E8ABF6-79E2-4718-8ECA-5C0D361E03CF}"/>
    <cellStyle name="Verknüpfte Zelle 4 3 6 2 2" xfId="45904" xr:uid="{1F13CC94-E499-45BE-AFD9-46272C970852}"/>
    <cellStyle name="Verknüpfte Zelle 4 3 6 3" xfId="45905" xr:uid="{734788CD-9943-40E4-B078-CA75117A77AA}"/>
    <cellStyle name="Verknüpfte Zelle 4 3 7" xfId="45906" xr:uid="{B0F77B89-50AB-4D9D-ADB7-8610B90E8982}"/>
    <cellStyle name="Verknüpfte Zelle 4 3 7 2" xfId="45907" xr:uid="{4337C2A9-3160-43FD-B171-F04B2B81AA14}"/>
    <cellStyle name="Verknüpfte Zelle 4 3 7 2 2" xfId="45908" xr:uid="{2E21F786-E836-443F-8870-FF8397B27473}"/>
    <cellStyle name="Verknüpfte Zelle 4 3 7 3" xfId="45909" xr:uid="{6D8A0853-3175-4EE1-B02A-E05D5EF2E1A8}"/>
    <cellStyle name="Verknüpfte Zelle 4 3 8" xfId="45910" xr:uid="{359EE1C7-94C3-40E8-95B6-66FB8C81BDF8}"/>
    <cellStyle name="Verknüpfte Zelle 4 3 8 2" xfId="45911" xr:uid="{06697B48-7CC6-4D04-8C0A-3B2A9967FB2A}"/>
    <cellStyle name="Verknüpfte Zelle 4 3 8 2 2" xfId="45912" xr:uid="{D1F34049-6F4A-43F2-9E1E-951B4D6EC9EA}"/>
    <cellStyle name="Verknüpfte Zelle 4 3 8 3" xfId="45913" xr:uid="{59163AC9-6FCD-4E38-A637-C05A5724463A}"/>
    <cellStyle name="Verknüpfte Zelle 4 3 9" xfId="45914" xr:uid="{312C8443-387D-40A6-B9B0-1EB7BC82B2F6}"/>
    <cellStyle name="Verknüpfte Zelle 4 3 9 2" xfId="45915" xr:uid="{29355333-2BB0-4D7E-878E-357298EB7E0B}"/>
    <cellStyle name="Verknüpfte Zelle 4 3 9 2 2" xfId="45916" xr:uid="{C9B9D4C0-9F19-491F-B3C4-173291A16E9A}"/>
    <cellStyle name="Verknüpfte Zelle 4 3 9 3" xfId="45917" xr:uid="{96615A38-5FE5-4AD4-8461-E87B6BDFCA17}"/>
    <cellStyle name="Verknüpfte Zelle 4 4" xfId="45918" xr:uid="{229ADEE1-6183-4CFB-A0AD-917A4D4B80C8}"/>
    <cellStyle name="Verknüpfte Zelle 4 4 2" xfId="45919" xr:uid="{265FDE80-377D-4302-A71D-ECBCBE3118A6}"/>
    <cellStyle name="Verknüpfte Zelle 4 4 2 2" xfId="45920" xr:uid="{43B3FA38-C943-43A4-95D7-5FA99EAB5F44}"/>
    <cellStyle name="Verknüpfte Zelle 4 4 3" xfId="45921" xr:uid="{EEC0013B-5A88-4139-A428-7EFCC314C073}"/>
    <cellStyle name="Verknüpfte Zelle 4 5" xfId="45922" xr:uid="{313C8607-03E0-428F-B212-F4B9FC4A18C2}"/>
    <cellStyle name="Verknüpfte Zelle 4 5 2" xfId="45923" xr:uid="{032E0EE7-D456-470C-827A-72D4A07D2388}"/>
    <cellStyle name="Verknüpfte Zelle 4 5 2 2" xfId="45924" xr:uid="{18DCC5BA-ACA4-47E2-8F90-E095CD689E0D}"/>
    <cellStyle name="Verknüpfte Zelle 4 5 3" xfId="45925" xr:uid="{FCC8246F-1CFC-4702-B9F7-CFEEE8E9DAF5}"/>
    <cellStyle name="Verknüpfte Zelle 4 6" xfId="45926" xr:uid="{C80B0615-F7AB-4B3F-94B9-6F7B2D35DE06}"/>
    <cellStyle name="Verknüpfte Zelle 4 6 2" xfId="45927" xr:uid="{32FD78F6-DF5E-4B58-A643-115C04408D1F}"/>
    <cellStyle name="Verknüpfte Zelle 4 6 2 2" xfId="45928" xr:uid="{26C804F7-E39C-4FA0-A108-2D3B09DE4C11}"/>
    <cellStyle name="Verknüpfte Zelle 4 6 3" xfId="45929" xr:uid="{239889F4-2303-48B3-B1F1-AA323BDFE59E}"/>
    <cellStyle name="Verknüpfte Zelle 4 7" xfId="45930" xr:uid="{D0B7770D-5C3F-4E44-BD46-56175B336038}"/>
    <cellStyle name="Verknüpfte Zelle 4 7 2" xfId="45931" xr:uid="{573A50DD-FA04-4A02-864E-8AF9BE101E32}"/>
    <cellStyle name="Verknüpfte Zelle 4 7 2 2" xfId="45932" xr:uid="{A3AEC04D-73B4-44F6-B537-D3AE6E656F3E}"/>
    <cellStyle name="Verknüpfte Zelle 4 7 3" xfId="45933" xr:uid="{8016D41B-6E2C-41C9-B555-EB526CCF752F}"/>
    <cellStyle name="Verknüpfte Zelle 4 8" xfId="45934" xr:uid="{36A36BF9-4676-4D62-AB6C-76D0F5DEF09E}"/>
    <cellStyle name="Verknüpfte Zelle 4 8 2" xfId="45935" xr:uid="{77C92211-E5AC-4A30-A278-719400AC2C84}"/>
    <cellStyle name="Verknüpfte Zelle 4 8 2 2" xfId="45936" xr:uid="{28AEC677-794F-4363-85D4-C209345B6B90}"/>
    <cellStyle name="Verknüpfte Zelle 4 8 3" xfId="45937" xr:uid="{2EF15F8F-8EE1-4A8C-948B-B846C60136CE}"/>
    <cellStyle name="Verknüpfte Zelle 4 9" xfId="45938" xr:uid="{4ADEA1C1-0DD9-4BE9-836C-40F7B4402632}"/>
    <cellStyle name="Verknüpfte Zelle 4 9 2" xfId="45939" xr:uid="{FFF2BB0E-B41A-4AA0-9928-5D420C3AE222}"/>
    <cellStyle name="Verknüpfte Zelle 4 9 2 2" xfId="45940" xr:uid="{18DDC3DC-94FA-41C2-B682-F8E1B92DC831}"/>
    <cellStyle name="Verknüpfte Zelle 4 9 3" xfId="45941" xr:uid="{46307D27-166B-4AB9-91EE-A527FD74995E}"/>
    <cellStyle name="Währung [0]_Aktuell - Vertragsverlängerungen etc" xfId="45942" xr:uid="{649B5CCD-EA22-4673-B08A-919B41DDBDC2}"/>
    <cellStyle name="Währung_Aktuell - Vertragsverlängerungen etc" xfId="45943" xr:uid="{09D048E1-DEA2-4BDF-B0A1-4599D747CC9C}"/>
    <cellStyle name="Warnender Text" xfId="45944" xr:uid="{8759E170-0C28-4067-B6DC-12B76C6480B6}"/>
    <cellStyle name="Warning Text" xfId="125" builtinId="11" customBuiltin="1"/>
    <cellStyle name="Warning Text 10" xfId="45946" xr:uid="{60F0BE45-9A71-47C6-B66C-AB9E9A670C16}"/>
    <cellStyle name="Warning Text 11" xfId="45947" xr:uid="{7564D61A-AC14-4AE8-8D2B-F2E36E561158}"/>
    <cellStyle name="Warning Text 12" xfId="45948" xr:uid="{B90AEEA5-9C9E-4556-A44F-392E23A71BDF}"/>
    <cellStyle name="Warning Text 13" xfId="45949" xr:uid="{A22863F6-DD89-4722-B2F8-5812BF2C51AA}"/>
    <cellStyle name="Warning Text 14" xfId="45950" xr:uid="{BBA79726-2D09-4022-8ACA-10D755348A6E}"/>
    <cellStyle name="Warning Text 15" xfId="45951" xr:uid="{07C757F9-62FB-4B73-A940-AB5BA4E86B41}"/>
    <cellStyle name="Warning Text 16" xfId="45952" xr:uid="{41DF61AD-6DAD-4369-9394-E8B0BBE4A5DC}"/>
    <cellStyle name="Warning Text 17" xfId="45953" xr:uid="{2C4F442D-32C3-4B74-92E9-95F23ECF3A9D}"/>
    <cellStyle name="Warning Text 18" xfId="45954" xr:uid="{976505B6-0366-4F9A-941D-E1DE840C6712}"/>
    <cellStyle name="Warning Text 19" xfId="45955" xr:uid="{6C79C7A9-44DC-45CC-8F63-4A4369A3C0AD}"/>
    <cellStyle name="Warning Text 2" xfId="45956" xr:uid="{020FFBDF-1554-44E5-B403-B05922946DDF}"/>
    <cellStyle name="Warning Text 20" xfId="45957" xr:uid="{51F35D67-15CC-4454-9C1F-FD2887A686BD}"/>
    <cellStyle name="Warning Text 21" xfId="45958" xr:uid="{54DB00CA-A826-43F3-902B-20E3162490A8}"/>
    <cellStyle name="Warning Text 22" xfId="45959" xr:uid="{357ADA82-1E9C-4230-BE21-4B08C5DCEBA4}"/>
    <cellStyle name="Warning Text 23" xfId="45960" xr:uid="{C68CD05F-A819-495B-B06E-73D104068853}"/>
    <cellStyle name="Warning Text 24" xfId="45961" xr:uid="{43089E82-F3AA-48AA-B2FE-AA50E7568769}"/>
    <cellStyle name="Warning Text 25" xfId="45962" xr:uid="{627C1FE1-81D7-4369-AF65-C4878CAA49CA}"/>
    <cellStyle name="Warning Text 26" xfId="45963" xr:uid="{7B0F9309-F58A-419A-A14C-4B7D67D2DE33}"/>
    <cellStyle name="Warning Text 27" xfId="45964" xr:uid="{6F340C33-DD91-44B0-8983-6E4E087A76AD}"/>
    <cellStyle name="Warning Text 28" xfId="45965" xr:uid="{B37BF978-95F9-49AE-86A3-78A106940D1C}"/>
    <cellStyle name="Warning Text 29" xfId="45966" xr:uid="{E0DE7E38-767A-4277-ABFA-4BBB5E26496C}"/>
    <cellStyle name="Warning Text 3" xfId="45967" xr:uid="{F029420F-FF1C-4947-9CF1-B82F80662C53}"/>
    <cellStyle name="Warning Text 30" xfId="45968" xr:uid="{C3EFAE77-3933-4A49-87AF-4B260891BE21}"/>
    <cellStyle name="Warning Text 31" xfId="45969" xr:uid="{1CFA00BB-BC65-4FD7-86C6-DE39CC489493}"/>
    <cellStyle name="Warning Text 32" xfId="45970" xr:uid="{E416F129-F03F-4685-8813-7D0B64E216FD}"/>
    <cellStyle name="Warning Text 33" xfId="45971" xr:uid="{10B4E0CD-DD5E-4A73-A24C-CB478A5CC42F}"/>
    <cellStyle name="Warning Text 34" xfId="45945" xr:uid="{EA1F0159-94FC-4239-B665-7B722B1C782A}"/>
    <cellStyle name="Warning Text 4" xfId="45972" xr:uid="{5458A1E0-071F-44A1-AFA6-DB56AD4E1794}"/>
    <cellStyle name="Warning Text 5" xfId="45973" xr:uid="{9EB9DCC6-35F0-480A-9059-96F8C42A22CB}"/>
    <cellStyle name="Warning Text 6" xfId="45974" xr:uid="{17C94F78-B051-449B-8FA3-EC2DB53736D3}"/>
    <cellStyle name="Warning Text 7" xfId="45975" xr:uid="{3BBE9E9E-5249-4AF1-9BC3-A47E135C0769}"/>
    <cellStyle name="Warning Text 8" xfId="45976" xr:uid="{5BE8EFB7-E6CF-4181-8BE7-F87EC7DEC3D0}"/>
    <cellStyle name="Warning Text 9" xfId="45977" xr:uid="{AA8FC7CC-FBF7-4B71-A7AE-EDA4DFA011D4}"/>
    <cellStyle name="Week" xfId="45978" xr:uid="{B658CCDD-1211-423C-AEB0-05A674D56D79}"/>
    <cellStyle name="Year" xfId="45979" xr:uid="{D6856E9C-DE2C-4CBE-A1C7-B01AD2355D0A}"/>
    <cellStyle name="Zelle überprüfen" xfId="45980" xr:uid="{3F8750D2-7BCA-4E05-B14B-0176A85DE57F}"/>
    <cellStyle name="Zelle überprüfen 2" xfId="45981" xr:uid="{39031140-0834-43B1-BF05-88C112B251A3}"/>
    <cellStyle name="Zelle überprüfen 2 10" xfId="45982" xr:uid="{D7BBC191-FCBB-4714-A453-64F2C56BCF29}"/>
    <cellStyle name="Zelle überprüfen 2 10 2" xfId="45983" xr:uid="{292A80A0-3D1C-4B56-8726-65DDBD2AFF31}"/>
    <cellStyle name="Zelle überprüfen 2 10 2 2" xfId="45984" xr:uid="{3E12E4E9-A40C-4F64-BEB3-F8D148989951}"/>
    <cellStyle name="Zelle überprüfen 2 10 3" xfId="45985" xr:uid="{AD6C1C7A-5045-4BE5-8402-7EA56E7DDCC9}"/>
    <cellStyle name="Zelle überprüfen 2 11" xfId="45986" xr:uid="{4F777A0E-DFA9-479B-A74E-42CEF782F1E6}"/>
    <cellStyle name="Zelle überprüfen 2 11 2" xfId="45987" xr:uid="{DF2AD96C-C566-4796-86AE-6899EFF0411E}"/>
    <cellStyle name="Zelle überprüfen 2 11 2 2" xfId="45988" xr:uid="{A065654C-7A16-4A05-9003-FD7CBDA583C8}"/>
    <cellStyle name="Zelle überprüfen 2 11 3" xfId="45989" xr:uid="{00EB9733-4F15-4AFE-88C2-35A2B72FA5BC}"/>
    <cellStyle name="Zelle überprüfen 2 12" xfId="45990" xr:uid="{1A234BD0-6F5B-4AC9-A150-3581E11C51AE}"/>
    <cellStyle name="Zelle überprüfen 2 12 2" xfId="45991" xr:uid="{69B0F626-FCDB-4BC3-BB56-ADBF892EB23E}"/>
    <cellStyle name="Zelle überprüfen 2 12 2 2" xfId="45992" xr:uid="{DC7BAE12-8B10-4E77-85D5-224F5AEA5A68}"/>
    <cellStyle name="Zelle überprüfen 2 12 3" xfId="45993" xr:uid="{12E09EA6-2B0C-4F20-B11C-83AA4506182C}"/>
    <cellStyle name="Zelle überprüfen 2 13" xfId="45994" xr:uid="{899C6BB4-BDA7-4E30-AF77-E3DD03637405}"/>
    <cellStyle name="Zelle überprüfen 2 13 2" xfId="45995" xr:uid="{884F22F0-885B-4EE1-84E9-40B4557D50A3}"/>
    <cellStyle name="Zelle überprüfen 2 13 2 2" xfId="45996" xr:uid="{BAF9AE54-FC01-4D8B-8BCD-955D247BDB14}"/>
    <cellStyle name="Zelle überprüfen 2 13 3" xfId="45997" xr:uid="{28BD87DD-C0F2-4BC5-B26F-5FA99012669B}"/>
    <cellStyle name="Zelle überprüfen 2 2" xfId="45998" xr:uid="{290E6E18-A89D-409A-AF8F-F489872EF03B}"/>
    <cellStyle name="Zelle überprüfen 2 2 2" xfId="45999" xr:uid="{3E9419DF-7062-4998-AC07-5423D70ED089}"/>
    <cellStyle name="Zelle überprüfen 2 2 2 2" xfId="46000" xr:uid="{2B44ADAB-CC24-46DA-B892-4CE3ED636A5C}"/>
    <cellStyle name="Zelle überprüfen 2 2 2 2 2" xfId="46001" xr:uid="{6254D07F-7BEB-4CAE-AE23-D7B6EA9894EC}"/>
    <cellStyle name="Zelle überprüfen 2 2 2 3" xfId="46002" xr:uid="{B7D284A1-39D2-40DD-8E55-FB2738D48D9B}"/>
    <cellStyle name="Zelle überprüfen 2 2 3" xfId="46003" xr:uid="{63940ED7-19F1-45C0-9E83-C77E08451804}"/>
    <cellStyle name="Zelle überprüfen 2 2 3 2" xfId="46004" xr:uid="{2044B291-D59A-43A2-BACF-05AAE203128D}"/>
    <cellStyle name="Zelle überprüfen 2 2 3 2 2" xfId="46005" xr:uid="{9BA8BD38-15FE-48DE-BA78-EE0E3384450A}"/>
    <cellStyle name="Zelle überprüfen 2 2 3 3" xfId="46006" xr:uid="{73D7A4A9-88EE-45A2-B19E-29447332F96A}"/>
    <cellStyle name="Zelle überprüfen 2 2 4" xfId="46007" xr:uid="{40899AF1-95D3-44D3-B588-DC78D6E33C9A}"/>
    <cellStyle name="Zelle überprüfen 2 2 4 2" xfId="46008" xr:uid="{5C02D1AC-642E-4E5C-8EE0-0F9CF1980488}"/>
    <cellStyle name="Zelle überprüfen 2 2 4 2 2" xfId="46009" xr:uid="{B9F79889-002C-48DC-9B10-3C754F7A49A9}"/>
    <cellStyle name="Zelle überprüfen 2 2 4 3" xfId="46010" xr:uid="{E88BDAD1-0A71-4C2B-BFA4-71312B8CB4ED}"/>
    <cellStyle name="Zelle überprüfen 2 2 5" xfId="46011" xr:uid="{B7FF4B35-9FBA-43EF-8E10-CCDF1B920789}"/>
    <cellStyle name="Zelle überprüfen 2 2 5 2" xfId="46012" xr:uid="{2FAC5F41-D49E-4871-87A0-1966FDE8768D}"/>
    <cellStyle name="Zelle überprüfen 2 2 5 2 2" xfId="46013" xr:uid="{E8B7174B-FB54-4DFC-BB6E-9029404B398C}"/>
    <cellStyle name="Zelle überprüfen 2 2 5 3" xfId="46014" xr:uid="{2A2DABDC-D49F-4B73-8409-206B1BB95DED}"/>
    <cellStyle name="Zelle überprüfen 2 2 6" xfId="46015" xr:uid="{2B5D85EA-5F94-44C8-9E40-547825F2A486}"/>
    <cellStyle name="Zelle überprüfen 2 2 6 2" xfId="46016" xr:uid="{7614AFFB-2010-4197-8851-126682A35BA2}"/>
    <cellStyle name="Zelle überprüfen 2 2 6 2 2" xfId="46017" xr:uid="{06E52230-B354-4F5B-B0F3-7788B9257D82}"/>
    <cellStyle name="Zelle überprüfen 2 2 6 3" xfId="46018" xr:uid="{AE13C8C6-E15F-4C2A-A834-5ACB3F1CDDBF}"/>
    <cellStyle name="Zelle überprüfen 2 2 7" xfId="46019" xr:uid="{81CA0C43-ED4B-49A2-811F-5019F51A1B1E}"/>
    <cellStyle name="Zelle überprüfen 2 2 7 2" xfId="46020" xr:uid="{3C56D620-0A10-44F4-B1B2-6B930646EA63}"/>
    <cellStyle name="Zelle überprüfen 2 2 7 2 2" xfId="46021" xr:uid="{3B26FE82-8253-4AC0-A9DB-5F338BAA582D}"/>
    <cellStyle name="Zelle überprüfen 2 2 7 3" xfId="46022" xr:uid="{FA4FDC22-1D01-43BA-A279-C4C6B7AEB088}"/>
    <cellStyle name="Zelle überprüfen 2 2 8" xfId="46023" xr:uid="{28369A81-D1AF-4A71-BBB4-FAE349B908AE}"/>
    <cellStyle name="Zelle überprüfen 2 2 8 2" xfId="46024" xr:uid="{286DF966-A239-4860-93D8-34ADE35CF153}"/>
    <cellStyle name="Zelle überprüfen 2 2 8 2 2" xfId="46025" xr:uid="{D01A74AB-3376-4DD4-B04F-8963F1DDF6C6}"/>
    <cellStyle name="Zelle überprüfen 2 2 8 3" xfId="46026" xr:uid="{5E226C73-B90C-4D88-A72D-635DF6FF9878}"/>
    <cellStyle name="Zelle überprüfen 2 2 9" xfId="46027" xr:uid="{97F1341E-4BC5-4DBD-9D36-7B833CF8A5BD}"/>
    <cellStyle name="Zelle überprüfen 2 2 9 2" xfId="46028" xr:uid="{7BB9F4F7-8282-46A4-939A-87D9117BE0EF}"/>
    <cellStyle name="Zelle überprüfen 2 2 9 2 2" xfId="46029" xr:uid="{703721F5-D53A-4B71-A7F1-6ECE4CC78808}"/>
    <cellStyle name="Zelle überprüfen 2 2 9 3" xfId="46030" xr:uid="{F60E68B3-D3C0-47CE-9193-098D0134A6BB}"/>
    <cellStyle name="Zelle überprüfen 2 3" xfId="46031" xr:uid="{35664456-CC79-4315-B4DB-DCD845180026}"/>
    <cellStyle name="Zelle überprüfen 2 3 2" xfId="46032" xr:uid="{684B46E9-69FA-4B53-83D4-1432FD10CEC0}"/>
    <cellStyle name="Zelle überprüfen 2 3 2 2" xfId="46033" xr:uid="{3DCF26D7-D87D-49F8-8B49-5096B487A386}"/>
    <cellStyle name="Zelle überprüfen 2 3 2 2 2" xfId="46034" xr:uid="{ED80B0BE-28B9-425F-96A2-468713CF40F8}"/>
    <cellStyle name="Zelle überprüfen 2 3 2 3" xfId="46035" xr:uid="{0929FD73-9D62-446C-9C50-B2CB9D27B2D6}"/>
    <cellStyle name="Zelle überprüfen 2 3 3" xfId="46036" xr:uid="{A00C8C70-E155-450B-8F38-E4D21CEE3725}"/>
    <cellStyle name="Zelle überprüfen 2 3 3 2" xfId="46037" xr:uid="{90FAB7EC-E509-474F-9513-A4FFAC8CC82A}"/>
    <cellStyle name="Zelle überprüfen 2 3 3 2 2" xfId="46038" xr:uid="{8FDA58E9-DBDF-488D-8139-D7165A657706}"/>
    <cellStyle name="Zelle überprüfen 2 3 3 3" xfId="46039" xr:uid="{44582895-92AE-4C20-BC5E-002E5A84B37B}"/>
    <cellStyle name="Zelle überprüfen 2 3 4" xfId="46040" xr:uid="{952E1855-2391-44EA-8F9C-0D836D50DEBD}"/>
    <cellStyle name="Zelle überprüfen 2 3 4 2" xfId="46041" xr:uid="{A8B2B642-A3C2-4307-9F60-53D233F6ABE7}"/>
    <cellStyle name="Zelle überprüfen 2 3 4 2 2" xfId="46042" xr:uid="{9FF46205-27C8-4332-BE82-4CCAC65AA212}"/>
    <cellStyle name="Zelle überprüfen 2 3 4 3" xfId="46043" xr:uid="{52565D75-9714-455E-AE45-1C857109ABD6}"/>
    <cellStyle name="Zelle überprüfen 2 3 5" xfId="46044" xr:uid="{62DA40C9-07CB-4C93-9266-36507BE34B2E}"/>
    <cellStyle name="Zelle überprüfen 2 3 5 2" xfId="46045" xr:uid="{CA736661-6966-4566-8718-A2D7D07F3387}"/>
    <cellStyle name="Zelle überprüfen 2 3 5 2 2" xfId="46046" xr:uid="{D0FC51B0-B027-40AF-BDE8-A5305F9812F6}"/>
    <cellStyle name="Zelle überprüfen 2 3 5 3" xfId="46047" xr:uid="{16FDEA47-7D38-4A3E-B874-A01D5B1760BE}"/>
    <cellStyle name="Zelle überprüfen 2 3 6" xfId="46048" xr:uid="{CBC378F1-25C9-4641-BD24-434AF4CC0AFC}"/>
    <cellStyle name="Zelle überprüfen 2 3 6 2" xfId="46049" xr:uid="{CA8422B4-B6CA-4BFF-89DB-7B743EE0AA3B}"/>
    <cellStyle name="Zelle überprüfen 2 3 6 2 2" xfId="46050" xr:uid="{1DF795A6-3107-4EF4-A161-840932F7D601}"/>
    <cellStyle name="Zelle überprüfen 2 3 6 3" xfId="46051" xr:uid="{A168D62C-62DE-4CAD-99F4-78E1E4A047E5}"/>
    <cellStyle name="Zelle überprüfen 2 3 7" xfId="46052" xr:uid="{7AB28DAE-3454-40B6-B84D-0A8B30B90066}"/>
    <cellStyle name="Zelle überprüfen 2 3 7 2" xfId="46053" xr:uid="{177DDE1B-7C72-457A-B41F-0853A791E74E}"/>
    <cellStyle name="Zelle überprüfen 2 3 7 2 2" xfId="46054" xr:uid="{EC99F432-5794-46F8-918A-7CCAB4920C50}"/>
    <cellStyle name="Zelle überprüfen 2 3 7 3" xfId="46055" xr:uid="{CEC68B50-38B5-40C5-BD6B-1854AC753684}"/>
    <cellStyle name="Zelle überprüfen 2 3 8" xfId="46056" xr:uid="{1E8BBFDA-8572-4465-9D47-364EA00B3658}"/>
    <cellStyle name="Zelle überprüfen 2 3 8 2" xfId="46057" xr:uid="{05885E21-8CB8-41C0-9D95-1A6972BB94E5}"/>
    <cellStyle name="Zelle überprüfen 2 3 8 2 2" xfId="46058" xr:uid="{D63B1932-F9BE-4AA1-A1F2-E20BC47015FE}"/>
    <cellStyle name="Zelle überprüfen 2 3 8 3" xfId="46059" xr:uid="{D55CEDFE-A7C5-4F14-8127-68D3D4B2007D}"/>
    <cellStyle name="Zelle überprüfen 2 3 9" xfId="46060" xr:uid="{8F845377-7C45-4BEB-B6D4-27E34C6977D9}"/>
    <cellStyle name="Zelle überprüfen 2 3 9 2" xfId="46061" xr:uid="{3ADC13F1-CF25-4EE6-8700-2463728AE709}"/>
    <cellStyle name="Zelle überprüfen 2 3 9 2 2" xfId="46062" xr:uid="{355E85FF-6511-4E72-BE84-7CD47029E715}"/>
    <cellStyle name="Zelle überprüfen 2 3 9 3" xfId="46063" xr:uid="{104648DF-247A-402B-BDFB-F1A5F731F7B7}"/>
    <cellStyle name="Zelle überprüfen 2 4" xfId="46064" xr:uid="{B6F87780-A612-487A-86DB-5D7926FDBD48}"/>
    <cellStyle name="Zelle überprüfen 2 4 2" xfId="46065" xr:uid="{7162ABCD-A850-48A7-AEE1-9A3A2A8466D8}"/>
    <cellStyle name="Zelle überprüfen 2 4 2 2" xfId="46066" xr:uid="{BD5075A9-71F2-4F21-9C39-7BE3C5D8F6F7}"/>
    <cellStyle name="Zelle überprüfen 2 4 2 2 2" xfId="46067" xr:uid="{9AB386B3-399E-4086-B7D5-34C5ECA7F662}"/>
    <cellStyle name="Zelle überprüfen 2 4 2 3" xfId="46068" xr:uid="{FACC5384-2792-4DE7-AF05-A5008D950922}"/>
    <cellStyle name="Zelle überprüfen 2 4 3" xfId="46069" xr:uid="{A64A434A-1A92-4CD2-97D6-06E61BC6F093}"/>
    <cellStyle name="Zelle überprüfen 2 4 3 2" xfId="46070" xr:uid="{EC33A26A-D3D3-46E2-8854-DB5C4D9C6BD0}"/>
    <cellStyle name="Zelle überprüfen 2 4 3 2 2" xfId="46071" xr:uid="{7DF78EC3-B5E0-4278-ACF7-FE4145249984}"/>
    <cellStyle name="Zelle überprüfen 2 4 3 3" xfId="46072" xr:uid="{C57ADC99-C414-4689-A5A4-8C10F65BA021}"/>
    <cellStyle name="Zelle überprüfen 2 4 4" xfId="46073" xr:uid="{1EF23A25-13C3-4446-A93A-B9DB68783B40}"/>
    <cellStyle name="Zelle überprüfen 2 4 4 2" xfId="46074" xr:uid="{6CF02A74-691D-49EE-8453-3E05043BE140}"/>
    <cellStyle name="Zelle überprüfen 2 4 4 2 2" xfId="46075" xr:uid="{41B54029-C9D6-434F-933D-9B7278D332C4}"/>
    <cellStyle name="Zelle überprüfen 2 4 4 3" xfId="46076" xr:uid="{5BF3FBAA-22E0-41CE-8F7B-A57B872560B9}"/>
    <cellStyle name="Zelle überprüfen 2 4 5" xfId="46077" xr:uid="{9196CB45-4A3F-4F07-B4C7-1AF0C12AD49D}"/>
    <cellStyle name="Zelle überprüfen 2 4 5 2" xfId="46078" xr:uid="{D5079875-7D0A-4F4A-B154-369887CCF454}"/>
    <cellStyle name="Zelle überprüfen 2 4 5 2 2" xfId="46079" xr:uid="{F63901D5-4A40-410A-A823-8C8BBBA23951}"/>
    <cellStyle name="Zelle überprüfen 2 4 5 3" xfId="46080" xr:uid="{78DFE46E-BACD-4A2B-9F78-FB48DDAFF360}"/>
    <cellStyle name="Zelle überprüfen 2 4 6" xfId="46081" xr:uid="{C79F60F8-768B-4A0B-8C46-1294C409AB9B}"/>
    <cellStyle name="Zelle überprüfen 2 4 6 2" xfId="46082" xr:uid="{25EC4C42-8055-4871-B8DC-903CE21E99A7}"/>
    <cellStyle name="Zelle überprüfen 2 4 6 2 2" xfId="46083" xr:uid="{6B9E3E3C-B95C-4D7A-A60C-698BF7EEC031}"/>
    <cellStyle name="Zelle überprüfen 2 4 6 3" xfId="46084" xr:uid="{879850A3-BAE6-4D5D-8D81-AFD3CB8E6926}"/>
    <cellStyle name="Zelle überprüfen 2 4 7" xfId="46085" xr:uid="{59148F2D-F24D-4600-B1CD-F8DD5412581C}"/>
    <cellStyle name="Zelle überprüfen 2 4 7 2" xfId="46086" xr:uid="{29C4C80C-607B-414F-B180-C4CC557C5EF5}"/>
    <cellStyle name="Zelle überprüfen 2 4 7 2 2" xfId="46087" xr:uid="{FCF8D274-41BB-4436-A7EF-DC3218374EAB}"/>
    <cellStyle name="Zelle überprüfen 2 4 7 3" xfId="46088" xr:uid="{663C9FB5-971E-4A53-B829-731FDE69977F}"/>
    <cellStyle name="Zelle überprüfen 2 4 8" xfId="46089" xr:uid="{BB875E31-1366-4295-92F8-BB8B73ED6515}"/>
    <cellStyle name="Zelle überprüfen 2 4 8 2" xfId="46090" xr:uid="{4CD4E75F-597F-48F9-A473-2B9D77AF016F}"/>
    <cellStyle name="Zelle überprüfen 2 4 8 2 2" xfId="46091" xr:uid="{955EC3BB-373C-4C59-9A78-C5121DA8E8B5}"/>
    <cellStyle name="Zelle überprüfen 2 4 8 3" xfId="46092" xr:uid="{73A1DC05-5554-4AA0-9F5D-2D1DB2895752}"/>
    <cellStyle name="Zelle überprüfen 2 4 9" xfId="46093" xr:uid="{50A853A2-E4F2-459A-A61E-FD8A2041FD60}"/>
    <cellStyle name="Zelle überprüfen 2 4 9 2" xfId="46094" xr:uid="{A02BFFA6-E9F3-4C08-B695-06D505F9DE23}"/>
    <cellStyle name="Zelle überprüfen 2 4 9 2 2" xfId="46095" xr:uid="{10859316-0F11-47A3-A840-A6EC300519F6}"/>
    <cellStyle name="Zelle überprüfen 2 4 9 3" xfId="46096" xr:uid="{019325FF-7C0B-4978-AD07-F2D5BDBBD48C}"/>
    <cellStyle name="Zelle überprüfen 2 5" xfId="46097" xr:uid="{EC7CFEB7-663F-4906-830B-3894977DB66F}"/>
    <cellStyle name="Zelle überprüfen 2 5 2" xfId="46098" xr:uid="{9FE205F6-5D91-4B11-A157-32DDED7B834B}"/>
    <cellStyle name="Zelle überprüfen 2 5 2 2" xfId="46099" xr:uid="{4DD88850-8018-4BE0-B8A1-6F23AFFECB42}"/>
    <cellStyle name="Zelle überprüfen 2 5 2 2 2" xfId="46100" xr:uid="{B8D38738-B723-43DE-B54D-375F05503367}"/>
    <cellStyle name="Zelle überprüfen 2 5 2 3" xfId="46101" xr:uid="{5AF81186-40BF-4DCB-AEAB-FD2D993A1425}"/>
    <cellStyle name="Zelle überprüfen 2 5 3" xfId="46102" xr:uid="{E1530D49-59B8-4303-8848-7FF0D2D406B3}"/>
    <cellStyle name="Zelle überprüfen 2 5 3 2" xfId="46103" xr:uid="{A4B38461-2726-40A6-9C95-ED5E6EC472BC}"/>
    <cellStyle name="Zelle überprüfen 2 5 3 2 2" xfId="46104" xr:uid="{95A6376E-3808-4286-AABA-971783562D2C}"/>
    <cellStyle name="Zelle überprüfen 2 5 3 3" xfId="46105" xr:uid="{B29C645A-BACC-4E34-9533-76AB9523F331}"/>
    <cellStyle name="Zelle überprüfen 2 5 4" xfId="46106" xr:uid="{DD77E9EE-033B-4933-87ED-90A92124EDFA}"/>
    <cellStyle name="Zelle überprüfen 2 5 4 2" xfId="46107" xr:uid="{CA68717B-7EF3-4B69-9AE6-0011F8175449}"/>
    <cellStyle name="Zelle überprüfen 2 5 4 2 2" xfId="46108" xr:uid="{1E550079-AC14-4167-91C3-A4825EF4EF83}"/>
    <cellStyle name="Zelle überprüfen 2 5 4 3" xfId="46109" xr:uid="{63A7F6D4-0486-4708-872C-22E3929827BE}"/>
    <cellStyle name="Zelle überprüfen 2 5 5" xfId="46110" xr:uid="{0B4BA03C-DF63-4B96-9F37-A70D673C87E0}"/>
    <cellStyle name="Zelle überprüfen 2 5 5 2" xfId="46111" xr:uid="{B8DC8824-56B4-44B6-9C60-4BBCFE270531}"/>
    <cellStyle name="Zelle überprüfen 2 5 5 2 2" xfId="46112" xr:uid="{96691274-C96A-44BB-B2BE-7C1AAC8E39BD}"/>
    <cellStyle name="Zelle überprüfen 2 5 5 3" xfId="46113" xr:uid="{3D87697E-6B27-4A2C-B083-9E871D79A2D8}"/>
    <cellStyle name="Zelle überprüfen 2 5 6" xfId="46114" xr:uid="{8BE95CFF-522E-46F9-8B35-7C044BE74EEC}"/>
    <cellStyle name="Zelle überprüfen 2 5 6 2" xfId="46115" xr:uid="{404D8C8D-B45E-4AF8-AFDC-B0A1A6A284D7}"/>
    <cellStyle name="Zelle überprüfen 2 5 6 2 2" xfId="46116" xr:uid="{DB936E7F-E83F-4CF3-BC17-AE9C0D98EFA8}"/>
    <cellStyle name="Zelle überprüfen 2 5 6 3" xfId="46117" xr:uid="{4B0C00EF-1A9C-411D-A0FA-08A0769FFAC3}"/>
    <cellStyle name="Zelle überprüfen 2 5 7" xfId="46118" xr:uid="{C561BD66-3100-4F18-8CB2-4CA1AACB48B6}"/>
    <cellStyle name="Zelle überprüfen 2 5 7 2" xfId="46119" xr:uid="{01C21561-B378-4BC8-9892-234A6977D24D}"/>
    <cellStyle name="Zelle überprüfen 2 5 7 2 2" xfId="46120" xr:uid="{285B7B5F-1861-4065-9A83-2A065FD4CDC9}"/>
    <cellStyle name="Zelle überprüfen 2 5 7 3" xfId="46121" xr:uid="{8C919D95-0F81-431C-8DD0-34F3252E2830}"/>
    <cellStyle name="Zelle überprüfen 2 5 8" xfId="46122" xr:uid="{AB3D3A6B-CF09-48B2-A52E-3B4D494B26B4}"/>
    <cellStyle name="Zelle überprüfen 2 5 8 2" xfId="46123" xr:uid="{22DEBF8B-4443-4ED3-B6F8-3388F1CCB863}"/>
    <cellStyle name="Zelle überprüfen 2 5 8 2 2" xfId="46124" xr:uid="{288D7CC5-354F-4CE2-A768-502C1F0E0926}"/>
    <cellStyle name="Zelle überprüfen 2 5 8 3" xfId="46125" xr:uid="{E5406F43-737C-4DB7-99F7-F03F8F335199}"/>
    <cellStyle name="Zelle überprüfen 2 5 9" xfId="46126" xr:uid="{52BCD29C-7AE8-4743-AA30-604FCD6240CB}"/>
    <cellStyle name="Zelle überprüfen 2 5 9 2" xfId="46127" xr:uid="{A212093A-642A-4207-BD78-ECA5D4D4B946}"/>
    <cellStyle name="Zelle überprüfen 2 5 9 2 2" xfId="46128" xr:uid="{B2E65AC4-6C3F-456D-BDEA-2F23399642D5}"/>
    <cellStyle name="Zelle überprüfen 2 5 9 3" xfId="46129" xr:uid="{4B5AF38F-2716-4156-99FC-333BD41BBFEE}"/>
    <cellStyle name="Zelle überprüfen 2 6" xfId="46130" xr:uid="{25F32577-AC48-4525-BA80-14C4ABD64639}"/>
    <cellStyle name="Zelle überprüfen 2 6 2" xfId="46131" xr:uid="{02DD8568-6FFF-4D26-8A53-7043740A3865}"/>
    <cellStyle name="Zelle überprüfen 2 6 2 2" xfId="46132" xr:uid="{5D7F96F2-7765-4877-8DFC-F1896CD808B7}"/>
    <cellStyle name="Zelle überprüfen 2 6 3" xfId="46133" xr:uid="{642ABCBB-296C-44FB-9E79-839DAB47C305}"/>
    <cellStyle name="Zelle überprüfen 2 7" xfId="46134" xr:uid="{6EEC3236-133B-4452-8490-EFEF20576718}"/>
    <cellStyle name="Zelle überprüfen 2 7 2" xfId="46135" xr:uid="{4FD948CC-2C88-49B4-BFF7-5D2EC417CFD4}"/>
    <cellStyle name="Zelle überprüfen 2 7 2 2" xfId="46136" xr:uid="{60B97126-EE3B-4667-9457-B673A34FC163}"/>
    <cellStyle name="Zelle überprüfen 2 7 3" xfId="46137" xr:uid="{02C3F2F4-77CF-4E4A-B049-1C369D11C52D}"/>
    <cellStyle name="Zelle überprüfen 2 8" xfId="46138" xr:uid="{03A88E5F-D139-4DB1-9DED-6461180A4D2D}"/>
    <cellStyle name="Zelle überprüfen 2 8 2" xfId="46139" xr:uid="{7C01EC0A-3C49-4C93-B55E-11926320FC05}"/>
    <cellStyle name="Zelle überprüfen 2 8 2 2" xfId="46140" xr:uid="{4E44FAF2-77A8-47CF-BC05-40FC8B46D15B}"/>
    <cellStyle name="Zelle überprüfen 2 8 3" xfId="46141" xr:uid="{F8AA7A7F-A35E-4085-8C88-DD4E8F3C6816}"/>
    <cellStyle name="Zelle überprüfen 2 9" xfId="46142" xr:uid="{01395F3D-FFE7-49D1-8E93-7271AC45A4BD}"/>
    <cellStyle name="Zelle überprüfen 2 9 2" xfId="46143" xr:uid="{F33F91BB-85F0-4075-8DF0-5727D23D2E9E}"/>
    <cellStyle name="Zelle überprüfen 2 9 2 2" xfId="46144" xr:uid="{410B32B5-5DB6-4881-B427-772A2D5A268E}"/>
    <cellStyle name="Zelle überprüfen 2 9 3" xfId="46145" xr:uid="{255BFC11-0102-48DA-BBAE-BA1727AAC7D2}"/>
    <cellStyle name="Zelle überprüfen 3" xfId="46146" xr:uid="{72AA6D60-FE15-401F-A477-9BEAEEDC9415}"/>
    <cellStyle name="Zelle überprüfen 3 2" xfId="46147" xr:uid="{ED4AE991-4568-4746-BD6F-1571428572ED}"/>
    <cellStyle name="Zelle überprüfen 3 2 2" xfId="46148" xr:uid="{1E535721-9E60-40FF-B848-CAE30CFC2361}"/>
    <cellStyle name="Zelle überprüfen 3 3" xfId="46149" xr:uid="{68BEDFC5-4CCB-494A-8216-E2173B60A97D}"/>
    <cellStyle name="Zelle überprüfen 4" xfId="46150" xr:uid="{DE76AD0C-6DAF-4A0A-A331-5F43457C22B3}"/>
    <cellStyle name="Zelle überprüfen 4 2" xfId="46151" xr:uid="{360A5289-4C5C-494D-AC11-E8FE6D51D04D}"/>
    <cellStyle name="桁区切り [0.00]_Admin Report - sample" xfId="46152" xr:uid="{8EFF2EDD-2851-4374-9F16-30B75FF1E03A}"/>
    <cellStyle name="桁区切り_Admin Report - sample" xfId="46153" xr:uid="{35384000-6010-40CC-A1AD-D7FDEF953192}"/>
    <cellStyle name="標準_2003-12_Sent_Thesee_Conduit" xfId="46154" xr:uid="{1E257C60-5046-4F8B-A00D-27B4A59DCBE2}"/>
    <cellStyle name="通貨 [0.00]_2003-12_Sent_Thesee_Conduit" xfId="46155" xr:uid="{447835AB-7CF4-4F97-89A4-FD8D9D735FA5}"/>
    <cellStyle name="通貨_2003-12_Sent_Thesee_Conduit" xfId="46156" xr:uid="{E697C28A-B002-403E-B0E3-EA35488C91F6}"/>
  </cellStyles>
  <dxfs count="320">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color theme="0"/>
      </font>
    </dxf>
    <dxf>
      <font>
        <color theme="0"/>
      </font>
    </dxf>
    <dxf>
      <font>
        <color theme="0"/>
      </font>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3CB7F"/>
      <color rgb="FF0000FF"/>
      <color rgb="FFC2D597"/>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68275</xdr:colOff>
      <xdr:row>3</xdr:row>
      <xdr:rowOff>155576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741375" y="981076"/>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2</xdr:row>
      <xdr:rowOff>305239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731253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8</xdr:col>
      <xdr:colOff>336176</xdr:colOff>
      <xdr:row>1</xdr:row>
      <xdr:rowOff>89647</xdr:rowOff>
    </xdr:from>
    <xdr:to>
      <xdr:col>12</xdr:col>
      <xdr:colOff>29035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570043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719556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8</xdr:col>
      <xdr:colOff>136088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302684</xdr:colOff>
      <xdr:row>6</xdr:row>
      <xdr:rowOff>15976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1608169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164157</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1035609</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4</xdr:col>
      <xdr:colOff>943978</xdr:colOff>
      <xdr:row>5</xdr:row>
      <xdr:rowOff>127187</xdr:rowOff>
    </xdr:to>
    <xdr:pic>
      <xdr:nvPicPr>
        <xdr:cNvPr id="2" name="Picture 1">
          <a:extLst>
            <a:ext uri="{FF2B5EF4-FFF2-40B4-BE49-F238E27FC236}">
              <a16:creationId xmlns:a16="http://schemas.microsoft.com/office/drawing/2014/main" id="{D5CB3097-AE5E-4369-A2C4-23F718128028}"/>
            </a:ext>
          </a:extLst>
        </xdr:cNvPr>
        <xdr:cNvPicPr>
          <a:picLocks noChangeAspect="1"/>
        </xdr:cNvPicPr>
      </xdr:nvPicPr>
      <xdr:blipFill>
        <a:blip xmlns:r="http://schemas.openxmlformats.org/officeDocument/2006/relationships" r:embed="rId1"/>
        <a:stretch>
          <a:fillRect/>
        </a:stretch>
      </xdr:blipFill>
      <xdr:spPr>
        <a:xfrm>
          <a:off x="638175" y="200025"/>
          <a:ext cx="1982203" cy="736787"/>
        </a:xfrm>
        <a:prstGeom prst="rect">
          <a:avLst/>
        </a:prstGeom>
      </xdr:spPr>
    </xdr:pic>
    <xdr:clientData/>
  </xdr:twoCellAnchor>
  <xdr:twoCellAnchor editAs="oneCell">
    <xdr:from>
      <xdr:col>4</xdr:col>
      <xdr:colOff>1924050</xdr:colOff>
      <xdr:row>1</xdr:row>
      <xdr:rowOff>76200</xdr:rowOff>
    </xdr:from>
    <xdr:to>
      <xdr:col>7</xdr:col>
      <xdr:colOff>47127</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D2EAC523-BF9C-42DD-9C1D-1FD256CDF82D}"/>
            </a:ext>
          </a:extLst>
        </xdr:cNvPr>
        <xdr:cNvPicPr>
          <a:picLocks noChangeAspect="1"/>
        </xdr:cNvPicPr>
      </xdr:nvPicPr>
      <xdr:blipFill>
        <a:blip xmlns:r="http://schemas.openxmlformats.org/officeDocument/2006/relationships" r:embed="rId2"/>
        <a:stretch>
          <a:fillRect/>
        </a:stretch>
      </xdr:blipFill>
      <xdr:spPr>
        <a:xfrm>
          <a:off x="5229225" y="238125"/>
          <a:ext cx="3876177" cy="679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12</xdr:col>
      <xdr:colOff>0</xdr:colOff>
      <xdr:row>1</xdr:row>
      <xdr:rowOff>0</xdr:rowOff>
    </xdr:from>
    <xdr:to>
      <xdr:col>15</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1079426</xdr:colOff>
      <xdr:row>5</xdr:row>
      <xdr:rowOff>8810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30891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1345214</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2011393</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9" dataDxfId="318">
  <tableColumns count="5">
    <tableColumn id="1" xr3:uid="{5F97FF0A-E181-455E-B99F-7E053CA0B170}" name="Bucket Principal Outstanding Balance" totalsRowLabel="Total" dataDxfId="317" totalsRowDxfId="316"/>
    <tableColumn id="2" xr3:uid="{FE81D53F-6306-4248-879D-7090DC6B6E04}" name="Principal Outstanding Balance" totalsRowFunction="sum" dataDxfId="315" totalsRowDxfId="314">
      <calculatedColumnFormula>_xlfn.XLOOKUP(A46,INPUT_DATA!$CK$4:$CK$397,INPUT_DATA!$CM$4:$CM$397)</calculatedColumnFormula>
    </tableColumn>
    <tableColumn id="3" xr3:uid="{C63709B2-AA07-4A17-BF3A-3C6320C5FEE4}" name="% of Total (Amount)" totalsRowFunction="sum" dataDxfId="313" totalsRowDxfId="312">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11" totalsRowDxfId="310">
      <calculatedColumnFormula>_xlfn.XLOOKUP(A46,INPUT_DATA!$CK$4:$CK$397,INPUT_DATA!$CN$4:$CN$397)</calculatedColumnFormula>
    </tableColumn>
    <tableColumn id="5" xr3:uid="{4BA6EA27-E263-4C61-8F9E-C440E6A9DF0D}" name="% of Total (Number)" totalsRowFunction="sum" dataDxfId="309" totalsRowDxfId="308"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56:F262" totalsRowCount="1" headerRowDxfId="209" dataDxfId="208">
  <tableColumns count="5">
    <tableColumn id="1" xr3:uid="{B369E1C6-B67A-44F1-8718-C8814428F789}" name="Property Type" totalsRowLabel="Total" dataDxfId="207" totalsRowDxfId="206"/>
    <tableColumn id="2" xr3:uid="{DA7E6C47-3475-4A4A-8D80-83CD365B1945}" name="Principal Outstanding Balance" totalsRowFunction="sum" dataDxfId="205" totalsRowDxfId="204">
      <calculatedColumnFormula>_xlfn.XLOOKUP(A257,INPUT_DATA!$CK$4:$CK$397,INPUT_DATA!$CM$4:$CM$397)</calculatedColumnFormula>
    </tableColumn>
    <tableColumn id="3" xr3:uid="{D814BC89-2385-4B32-8DF9-474B367B05F6}" name="% of Total (Amount)" totalsRowFunction="sum" dataDxfId="203" totalsRowDxfId="202">
      <calculatedColumnFormula>PropertyType[[#This Row],[Principal Outstanding Balance]]/PropertyType[[#Totals],[Principal Outstanding Balance]]</calculatedColumnFormula>
    </tableColumn>
    <tableColumn id="4" xr3:uid="{FF0C2557-7929-48F2-A4D2-1F092EA558E7}" name="Nb of Loans" totalsRowFunction="sum" dataDxfId="201" totalsRowDxfId="200">
      <calculatedColumnFormula>_xlfn.XLOOKUP(A257,INPUT_DATA!$CK$4:$CK$397,INPUT_DATA!$CN$4:$CN$397)</calculatedColumnFormula>
    </tableColumn>
    <tableColumn id="5" xr3:uid="{F98AFA8A-2D0B-4F85-AA88-7ECE40345BF2}" name="% of Total (Number)" totalsRowFunction="sum" dataDxfId="199" totalsRowDxfId="198">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91:F312" totalsRowCount="1" headerRowDxfId="197" dataDxfId="196">
  <tableColumns count="5">
    <tableColumn id="1" xr3:uid="{E3D93EED-83ED-4279-A444-368A1A6030F5}" name="Top 20 Borrowers" totalsRowLabel="Total" dataDxfId="195" totalsRowDxfId="194"/>
    <tableColumn id="2" xr3:uid="{598CFA9F-FA7E-4BF2-B840-104F356D6AFB}" name="Principal Outstanding Balance" totalsRowFunction="sum" dataDxfId="193" totalsRowDxfId="192">
      <calculatedColumnFormula>_xlfn.XLOOKUP(A292,INPUT_DATA!$CK$4:$CK$397,INPUT_DATA!$CM$4:$CM$397)</calculatedColumnFormula>
    </tableColumn>
    <tableColumn id="3" xr3:uid="{9A37EBB4-F320-448C-B3D3-E39B4A6E967E}" name="% of Total (Amount)" totalsRowFunction="sum" dataDxfId="191" totalsRowDxfId="190">
      <calculatedColumnFormula>Top20Deb[[#This Row],[Principal Outstanding Balance]]/$C$26</calculatedColumnFormula>
    </tableColumn>
    <tableColumn id="4" xr3:uid="{59D9B018-6D0D-47DA-AD1A-2A8BDD4F981E}" name="Nb of Loans" totalsRowFunction="sum" dataDxfId="189" totalsRowDxfId="188">
      <calculatedColumnFormula>_xlfn.XLOOKUP(A292,INPUT_DATA!$CK$4:$CK$397,INPUT_DATA!$CN$4:$CN$397)</calculatedColumnFormula>
    </tableColumn>
    <tableColumn id="5" xr3:uid="{4EC58449-0B5D-42FC-A94F-77D1605BFE94}" name="% of Total (Number)" totalsRowFunction="sum" dataDxfId="187" totalsRowDxfId="186">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5" dataDxfId="184">
  <tableColumns count="5">
    <tableColumn id="1" xr3:uid="{E4153511-9873-43A9-8271-B222B6934826}" name="Bucket Original Term to Maturity (in Months)" totalsRowLabel="Total" dataDxfId="183" totalsRowDxfId="182"/>
    <tableColumn id="2" xr3:uid="{36F957E4-42E3-4E0B-9E97-6C62B9A4A481}" name="Principal Outstanding Balance" totalsRowFunction="sum" dataDxfId="181" totalsRowDxfId="180">
      <calculatedColumnFormula>_xlfn.XLOOKUP(A94,INPUT_DATA!$CK$4:$CK$397,INPUT_DATA!$CM$4:$CM$397)</calculatedColumnFormula>
    </tableColumn>
    <tableColumn id="3" xr3:uid="{C1A34C79-0513-4338-A3A5-BD8FB0A00E5B}" name="% of Total (Amount)" totalsRowFunction="sum" dataDxfId="179" totalsRowDxfId="178">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7" totalsRowDxfId="176">
      <calculatedColumnFormula>_xlfn.XLOOKUP(A94,INPUT_DATA!$CK$4:$CK$397,INPUT_DATA!$CN$4:$CN$397)</calculatedColumnFormula>
    </tableColumn>
    <tableColumn id="5" xr3:uid="{EE032BB3-BC31-4EBA-9323-CC5C52908FC5}" name="% of Total (Number)" totalsRowFunction="sum" dataDxfId="175" totalsRowDxfId="174">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7:F172" totalsRowCount="1" headerRowDxfId="173" dataDxfId="172">
  <tableColumns count="5">
    <tableColumn id="1" xr3:uid="{A6793177-DB9F-4483-8995-4CF60CD4FA85}" name="Guarantee Provider" totalsRowLabel="Total" dataDxfId="171" totalsRowDxfId="170"/>
    <tableColumn id="2" xr3:uid="{559155BF-D178-4090-872E-211F39D0BD5D}" name="Principal Outstanding Balance" totalsRowFunction="sum" dataDxfId="169" totalsRowDxfId="168">
      <calculatedColumnFormula>_xlfn.XLOOKUP(A168,INPUT_DATA!$CK$4:$CK$397,INPUT_DATA!$CM$4:$CM$397)</calculatedColumnFormula>
    </tableColumn>
    <tableColumn id="3" xr3:uid="{E4B2C660-5603-4013-896E-5BA743E2CD92}" name="% of Total (Amount)" totalsRowFunction="sum" dataDxfId="167" totalsRowDxfId="166">
      <calculatedColumnFormula>GuaranteeProvider30[[#This Row],[Principal Outstanding Balance]]/GuaranteeProvider30[[#Totals],[Principal Outstanding Balance]]</calculatedColumnFormula>
    </tableColumn>
    <tableColumn id="4" xr3:uid="{A5BD6A9F-C681-4041-B00C-281A964E18C6}" name="Nb of Loans" totalsRowFunction="sum" dataDxfId="165" totalsRowDxfId="164">
      <calculatedColumnFormula>_xlfn.XLOOKUP(A168,INPUT_DATA!$CK$4:$CK$397,INPUT_DATA!$CN$4:$CN$397)</calculatedColumnFormula>
    </tableColumn>
    <tableColumn id="5" xr3:uid="{EC4F5082-D030-43AE-8343-70416DEEED51}" name="% of Total (Number)" totalsRowFunction="sum" dataDxfId="163" totalsRowDxfId="162">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76:F188" totalsRowCount="1" headerRowDxfId="161" dataDxfId="160">
  <tableColumns count="5">
    <tableColumn id="1" xr3:uid="{29EF9593-63B9-49A6-93D4-37A32227DD6F}" name="Bucket Original Loan-to-Value" totalsRowLabel="Total" dataDxfId="159" totalsRowDxfId="158"/>
    <tableColumn id="2" xr3:uid="{7DA9B21D-9C0C-4577-BDE2-775E5712F633}" name="Principal Outstanding Balance" totalsRowFunction="sum" dataDxfId="157" totalsRowDxfId="156">
      <calculatedColumnFormula>_xlfn.XLOOKUP(A177,INPUT_DATA!$CK$4:$CK$397,INPUT_DATA!$CM$4:$CM$397)</calculatedColumnFormula>
    </tableColumn>
    <tableColumn id="3" xr3:uid="{4CB22038-C5DB-4E6D-B20F-9A3447FEA1CD}" name="% of Total (Amount)" totalsRowFunction="sum" dataDxfId="155" totalsRowDxfId="154">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3" totalsRowDxfId="152">
      <calculatedColumnFormula>_xlfn.XLOOKUP(A177,INPUT_DATA!$CK$4:$CK$397,INPUT_DATA!$CN$4:$CN$397)</calculatedColumnFormula>
    </tableColumn>
    <tableColumn id="5" xr3:uid="{D4E6AA0F-39E7-40E7-9931-1FC6651793DC}" name="% of Total (Number)" totalsRowFunction="sum" dataDxfId="151" totalsRowDxfId="150">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24:F236" totalsRowCount="1" headerRowDxfId="149" dataDxfId="148">
  <tableColumns count="5">
    <tableColumn id="1" xr3:uid="{C9EBEAF1-ABF8-404C-82DB-A061EE366410}" name="Bucket Current Loan-to-Value" totalsRowLabel="Total" dataDxfId="147" totalsRowDxfId="146"/>
    <tableColumn id="2" xr3:uid="{9D74F102-F272-4737-AC4A-27AF6F0F1513}" name="Principal Outstanding Balance" totalsRowFunction="sum" dataDxfId="145" totalsRowDxfId="144">
      <calculatedColumnFormula>_xlfn.XLOOKUP(A225,INPUT_DATA!$CK$4:$CK$397,INPUT_DATA!$CM$4:$CM$397)</calculatedColumnFormula>
    </tableColumn>
    <tableColumn id="3" xr3:uid="{9C9504D5-01D8-4CE1-9A01-401EE0207A0E}" name="% of Total (Amount)" totalsRowFunction="sum" dataDxfId="143" totalsRowDxfId="142">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41" totalsRowDxfId="140">
      <calculatedColumnFormula>_xlfn.XLOOKUP(A225,INPUT_DATA!$CK$4:$CK$397,INPUT_DATA!$CN$4:$CN$397)</calculatedColumnFormula>
    </tableColumn>
    <tableColumn id="5" xr3:uid="{20B4B10F-0BF0-4713-97F7-BFF6B8DBFECC}" name="% of Total (Number)" totalsRowFunction="sum" dataDxfId="139" totalsRowDxfId="138"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40:F252" totalsRowCount="1" headerRowDxfId="137" dataDxfId="136">
  <tableColumns count="5">
    <tableColumn id="1" xr3:uid="{08BDAE93-FDA6-4EAE-AFD4-BBFE8EAF1F64}" name="Breakdown by Purpose" totalsRowLabel="Total" dataDxfId="135" totalsRowDxfId="134"/>
    <tableColumn id="2" xr3:uid="{C8BE0CF3-1C74-4AD5-A137-31423C07E280}" name="Principal Outstanding Balance" totalsRowFunction="sum" dataDxfId="133" totalsRowDxfId="132">
      <calculatedColumnFormula>_xlfn.XLOOKUP(A241,INPUT_DATA!$CK$4:$CK$397,INPUT_DATA!$CM$4:$CM$397)</calculatedColumnFormula>
    </tableColumn>
    <tableColumn id="3" xr3:uid="{56265F89-CE63-46AE-84A8-0F60129075EA}" name="% of Total (Amount)" totalsRowFunction="sum" dataDxfId="131" totalsRowDxfId="130">
      <calculatedColumnFormula>Purpose34[[#This Row],[Principal Outstanding Balance]]/Purpose34[[#Totals],[Principal Outstanding Balance]]</calculatedColumnFormula>
    </tableColumn>
    <tableColumn id="4" xr3:uid="{7046084A-7108-4CB2-9172-16DD39ADF3B2}" name="Nb of Loans" totalsRowFunction="sum" dataDxfId="129" totalsRowDxfId="128">
      <calculatedColumnFormula>_xlfn.XLOOKUP(A241,INPUT_DATA!$CK$4:$CK$397,INPUT_DATA!$CN$4:$CN$397)</calculatedColumnFormula>
    </tableColumn>
    <tableColumn id="5" xr3:uid="{15C5469E-1DCF-443E-8069-727D97CD4FB6}" name="% of Total (Number)" totalsRowFunction="sum" dataDxfId="127" totalsRowDxfId="126">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66:F272" totalsRowCount="1" headerRowDxfId="125" dataDxfId="124">
  <tableColumns count="5">
    <tableColumn id="1" xr3:uid="{D105EB9F-BA85-4FC8-B72D-39F7954D8449}" name="Payment Frequency" totalsRowLabel="Total" dataDxfId="123" totalsRowDxfId="122"/>
    <tableColumn id="2" xr3:uid="{8506E8F7-A67F-4EB3-B27C-7BDD84AEF860}" name="Principal Outstanding Balance" totalsRowFunction="sum" dataDxfId="121" totalsRowDxfId="120">
      <calculatedColumnFormula>_xlfn.XLOOKUP(A267,INPUT_DATA!$CK$4:$CK$397,INPUT_DATA!$CM$4:$CM$397)</calculatedColumnFormula>
    </tableColumn>
    <tableColumn id="3" xr3:uid="{629E373D-76FA-4808-9128-2D7F619C99BC}" name="% of Total (Amount)" totalsRowFunction="sum" dataDxfId="119" totalsRowDxfId="118">
      <calculatedColumnFormula>PaymentFrequency35[[#This Row],[Principal Outstanding Balance]]/PaymentFrequency35[[#Totals],[Principal Outstanding Balance]]</calculatedColumnFormula>
    </tableColumn>
    <tableColumn id="4" xr3:uid="{301243B7-0361-4507-8CBE-44D01578395E}" name="Nb of Loans" totalsRowFunction="sum" dataDxfId="117" totalsRowDxfId="116">
      <calculatedColumnFormula>_xlfn.XLOOKUP(A267,INPUT_DATA!$CK$4:$CK$397,INPUT_DATA!$CN$4:$CN$397)</calculatedColumnFormula>
    </tableColumn>
    <tableColumn id="5" xr3:uid="{D0B43E84-B0B2-4542-AC16-A60E11B0BA87}" name="% of Total (Number)" totalsRowFunction="sum" dataDxfId="115" totalsRowDxfId="114">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76:F287" totalsRowCount="1" headerRowDxfId="113" dataDxfId="112">
  <tableColumns count="5">
    <tableColumn id="1" xr3:uid="{40F3CDAD-9E71-488E-9DC4-8D84DD40226A}" name="Employment Type" totalsRowLabel="Total" dataDxfId="111" totalsRowDxfId="110"/>
    <tableColumn id="2" xr3:uid="{1335EFA7-0C84-4F06-BD2D-C4ACE39F91D8}" name="Principal Outstanding Balance" totalsRowFunction="sum" dataDxfId="109" totalsRowDxfId="108">
      <calculatedColumnFormula>_xlfn.XLOOKUP(A277,INPUT_DATA!$CK$4:$CK$397,INPUT_DATA!$CM$4:$CM$397)</calculatedColumnFormula>
    </tableColumn>
    <tableColumn id="3" xr3:uid="{0C5E3021-1F32-4B3A-8049-1E6E075B2322}" name="% of Total (Amount)" totalsRowFunction="sum" dataDxfId="107" totalsRowDxfId="106">
      <calculatedColumnFormula>EmploymentType36[[#This Row],[Principal Outstanding Balance]]/EmploymentType36[[#Totals],[Principal Outstanding Balance]]</calculatedColumnFormula>
    </tableColumn>
    <tableColumn id="4" xr3:uid="{362686FB-7430-44FE-8862-8AF82B5C4D23}" name="Nb of Borrowers" totalsRowFunction="sum" dataDxfId="105" totalsRowDxfId="104">
      <calculatedColumnFormula>_xlfn.XLOOKUP(A277,INPUT_DATA!$CK$4:$CK$397,INPUT_DATA!$CN$4:$CN$397)</calculatedColumnFormula>
    </tableColumn>
    <tableColumn id="5" xr3:uid="{99C36D28-5D6F-4FD4-AC48-BB41DA4B2C32}" name="% of Total (Number)" totalsRowFunction="sum" dataDxfId="103" totalsRowDxfId="102">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16:F419" totalsRowCount="1" headerRowDxfId="101" dataDxfId="100">
  <tableColumns count="5">
    <tableColumn id="1" xr3:uid="{A57C9DA8-8E28-409E-9F60-1B2EF3BCC767}" name="Top 20 Borrowers" totalsRowLabel="Total" dataDxfId="99" totalsRowDxfId="98"/>
    <tableColumn id="2" xr3:uid="{828C45F1-91E9-434F-8C5C-407417980E87}" name="Principal Outstanding Balance" totalsRowFunction="sum" dataDxfId="97" totalsRowDxfId="96">
      <calculatedColumnFormula>_xlfn.XLOOKUP(A317,INPUT_DATA!$CK$4:$CK$397,INPUT_DATA!$CM$4:$CM$397)</calculatedColumnFormula>
    </tableColumn>
    <tableColumn id="3" xr3:uid="{8FF2CFFA-22E5-4B2F-813C-E5F6889EBFEF}" name="% of Total (Amount)" totalsRowFunction="sum" dataDxfId="95" totalsRowDxfId="94">
      <calculatedColumnFormula>Top20Deb37[[#This Row],[Principal Outstanding Balance]]/Top20Deb37[[#Totals],[Principal Outstanding Balance]]</calculatedColumnFormula>
    </tableColumn>
    <tableColumn id="4" xr3:uid="{5C6D697B-2D10-4741-A6FE-D7DA92D8CEAE}" name="Nb of Loans" totalsRowFunction="sum" dataDxfId="93" totalsRowDxfId="92">
      <calculatedColumnFormula>_xlfn.XLOOKUP(A317,INPUT_DATA!$CK$4:$CK$397,INPUT_DATA!$CN$4:$CN$397)</calculatedColumnFormula>
    </tableColumn>
    <tableColumn id="5" xr3:uid="{CD502234-44DE-4142-BC57-0B6F885FD122}" name="% of Total (Number)" totalsRowFunction="sum" dataDxfId="91" totalsRowDxfId="90">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7" dataDxfId="306">
  <tableColumns count="6">
    <tableColumn id="1" xr3:uid="{2D70ACD1-0114-4279-A5B6-B0C81DBB8CED}" name="Bucket Principal Original Balance" totalsRowLabel="Total" dataDxfId="305" totalsRowDxfId="304"/>
    <tableColumn id="2" xr3:uid="{E800588E-1293-427C-8DCD-F9F6B515A083}" name="Principal Outstanding Balance" totalsRowFunction="sum" dataDxfId="303" totalsRowDxfId="302">
      <calculatedColumnFormula>_xlfn.XLOOKUP(A59,INPUT_DATA!$CK$4:$CK$397,INPUT_DATA!$CM$4:$CM$397)</calculatedColumnFormula>
    </tableColumn>
    <tableColumn id="3" xr3:uid="{5B22C866-B5B4-4B26-9801-C0AE380FCF81}" name="% of Total (Amount)" totalsRowFunction="sum" dataDxfId="301" totalsRowDxfId="300"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9" totalsRowDxfId="298">
      <calculatedColumnFormula>_xlfn.XLOOKUP(A59,INPUT_DATA!$CK$4:$CK$397,INPUT_DATA!$CN$4:$CN$397)</calculatedColumnFormula>
    </tableColumn>
    <tableColumn id="5" xr3:uid="{7C0324CC-801E-42F0-BD7F-02A8485294C0}" name="% of Total (Number)" totalsRowFunction="sum" dataDxfId="297" totalsRowDxfId="296">
      <calculatedColumnFormula>PrincipalOOriginalBalance6[[#This Row],[Nb of Loans]]/PrincipalOOriginalBalance6[[#Totals],[Nb of Loans]]</calculatedColumnFormula>
    </tableColumn>
    <tableColumn id="6" xr3:uid="{110CC5DD-D767-4D8D-B59F-19246F3A9C1C}" name="Principal Original Balance" totalsRowFunction="sum" dataDxfId="295" totalsRowDxfId="294" dataCellStyle="Normal 6">
      <calculatedColumnFormula>_xlfn.XLOOKUP(A59,INPUT_DATA!$CK$4:$CK$397,INPUT_DATA!$CO$4:$CO$397)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23:F526" totalsRowCount="1" headerRowDxfId="89" dataDxfId="88">
  <tableColumns count="5">
    <tableColumn id="1" xr3:uid="{DAEC3F2E-AB99-412E-AA21-3B6F17ECBD1C}" name="Top 20 Borrowers" totalsRowLabel="Total" dataDxfId="87" totalsRowDxfId="86"/>
    <tableColumn id="2" xr3:uid="{9EBF1F30-5E2C-41EF-B626-0CED7AC00D7E}" name="Principal Outstanding Balance" totalsRowFunction="sum" dataDxfId="85" totalsRowDxfId="84">
      <calculatedColumnFormula>_xlfn.IFNA(_xlfn.XLOOKUP(A424,INPUT_DATA!$CK$4:$CK$397,INPUT_DATA!$CM$4:$CM$397),0)</calculatedColumnFormula>
    </tableColumn>
    <tableColumn id="3" xr3:uid="{F4944FF1-58D9-4BC0-89C3-CF87095DE096}" name="% of Total (Amount)" totalsRowFunction="sum" dataDxfId="83" totalsRowDxfId="82">
      <calculatedColumnFormula>Top20Deb3738[[#This Row],[Principal Outstanding Balance]]/Top20Deb3738[[#Totals],[Principal Outstanding Balance]]</calculatedColumnFormula>
    </tableColumn>
    <tableColumn id="4" xr3:uid="{5513A8B3-8BE0-4035-8240-CD751E2449AF}" name="Nb of Loans" totalsRowFunction="sum" dataDxfId="81" totalsRowDxfId="80">
      <calculatedColumnFormula>_xlfn.IFNA(_xlfn.XLOOKUP(A424,INPUT_DATA!$CK$4:$CK$397,INPUT_DATA!$CN$4:$CN$397),0)</calculatedColumnFormula>
    </tableColumn>
    <tableColumn id="5" xr3:uid="{580B9C5A-EF07-41C6-835C-4B39A15EB237}" name="% of Total (Number)" totalsRowFunction="sum" dataDxfId="79" totalsRowDxfId="78">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3" dataDxfId="292">
  <tableColumns count="5">
    <tableColumn id="1" xr3:uid="{697458D8-F796-410F-86E3-AC2BEBA49D37}" name="Bucket Seasoning (in months)" totalsRowLabel="Total" dataDxfId="291" totalsRowDxfId="290"/>
    <tableColumn id="2" xr3:uid="{D7D2DF2A-9979-4AB4-8EA0-2FCDA499E98E}" name="Principal Outstanding Balance" totalsRowFunction="sum" dataDxfId="289" totalsRowDxfId="288">
      <calculatedColumnFormula>_xlfn.XLOOKUP(A72,INPUT_DATA!$CK$4:$CK$397,INPUT_DATA!$CM$4:$CM$397)</calculatedColumnFormula>
    </tableColumn>
    <tableColumn id="3" xr3:uid="{23CD5F0A-D158-416D-A052-81137AEAC260}" name="% of Total (Amount)" totalsRowFunction="sum" dataDxfId="287" totalsRowDxfId="286">
      <calculatedColumnFormula>Seasonning[[#This Row],[Principal Outstanding Balance]]/Seasonning[[#Totals],[Principal Outstanding Balance]]</calculatedColumnFormula>
    </tableColumn>
    <tableColumn id="4" xr3:uid="{53909829-892C-42EC-BB8E-5A5DE5171117}" name="Nb of Loans" totalsRowFunction="sum" dataDxfId="285" totalsRowDxfId="284">
      <calculatedColumnFormula>_xlfn.XLOOKUP(A72,INPUT_DATA!$CK$4:$CK$397,INPUT_DATA!$CN$4:$CN$397)</calculatedColumnFormula>
    </tableColumn>
    <tableColumn id="5" xr3:uid="{B7424B8C-211F-4B86-84D8-076436BA659B}" name="% of Total (Number)" totalsRowFunction="sum" dataDxfId="283" totalsRowDxfId="282">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81" dataDxfId="280">
  <tableColumns count="5">
    <tableColumn id="1" xr3:uid="{462AAF5D-A3C5-4213-AA4F-7BA258E9F440}" name="Bucket Remaining Term to Maturity  (in months)" totalsRowLabel="Total" dataDxfId="279" totalsRowDxfId="278"/>
    <tableColumn id="2" xr3:uid="{DBF2B9E9-494D-4A6B-A995-B6757DA60FCE}" name="Principal Outstanding Balance" totalsRowFunction="sum" dataDxfId="277" totalsRowDxfId="276" dataCellStyle="Normal 6">
      <calculatedColumnFormula>_xlfn.XLOOKUP(A83,INPUT_DATA!$CK$4:$CK$397,INPUT_DATA!$CM$4:$CM$397)</calculatedColumnFormula>
    </tableColumn>
    <tableColumn id="3" xr3:uid="{57605ECF-7CEF-442E-ADF7-E6046A8265B7}" name="% of Total (Amount)" totalsRowFunction="sum" dataDxfId="275" totalsRowDxfId="274">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3" totalsRowDxfId="272">
      <calculatedColumnFormula>_xlfn.XLOOKUP(A83,INPUT_DATA!$CK$4:$CK$397,INPUT_DATA!$CN$4:$CN$397)</calculatedColumnFormula>
    </tableColumn>
    <tableColumn id="5" xr3:uid="{1DFB4D39-F2FE-4164-B855-412BAA0F687A}" name="% of Total (Number)" totalsRowFunction="sum" dataDxfId="271" totalsRowDxfId="270">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34" totalsRowCount="1" headerRowDxfId="269" dataDxfId="268">
  <tableColumns count="5">
    <tableColumn id="1" xr3:uid="{9D96EA68-46C8-40A9-A066-84CD24576FAE}" name="Year of Origination" totalsRowLabel="Total" dataDxfId="267" totalsRowDxfId="266"/>
    <tableColumn id="2" xr3:uid="{FFFB8F08-A51A-482A-B7AE-0B05A0B76C14}" name="Principal Outstanding Balance" totalsRowFunction="sum" dataDxfId="265" totalsRowDxfId="264">
      <calculatedColumnFormula>_xlfn.XLOOKUP(A106,INPUT_DATA!$CK$4:$CK$397,INPUT_DATA!$CM$4:$CM$397)</calculatedColumnFormula>
    </tableColumn>
    <tableColumn id="3" xr3:uid="{881B5394-B19E-4096-8139-0273B6E6AD87}" name="% of Total (Amount)" totalsRowFunction="sum" dataDxfId="263" totalsRowDxfId="262">
      <calculatedColumnFormula>OriginationYear[[#This Row],[Principal Outstanding Balance]]/OriginationYear[[#Totals],[Principal Outstanding Balance]]</calculatedColumnFormula>
    </tableColumn>
    <tableColumn id="4" xr3:uid="{D013C588-C7B2-4D64-8D20-AA16F09216C8}" name="Nb of Loans" totalsRowFunction="sum" dataDxfId="261" totalsRowDxfId="260">
      <calculatedColumnFormula>_xlfn.XLOOKUP(A106,INPUT_DATA!$CK$4:$CK$397,INPUT_DATA!$CN$4:$CN$397)</calculatedColumnFormula>
    </tableColumn>
    <tableColumn id="5" xr3:uid="{41D4BDFC-D728-4B65-945A-07EC026F1E03}" name="% of Total (Number)" totalsRowFunction="sum" dataDxfId="259" totalsRowDxfId="258">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8:F145" totalsRowCount="1" headerRowDxfId="257" dataDxfId="256">
  <tableColumns count="5">
    <tableColumn id="1" xr3:uid="{506A1148-B701-465D-BB53-30A4D4F919EC}" name="Bucket Interest Rate" totalsRowLabel="Total" dataDxfId="255" totalsRowDxfId="254"/>
    <tableColumn id="2" xr3:uid="{D185CB07-DFEF-48C6-848C-554E10BD6736}" name="Principal Outstanding Balance" totalsRowFunction="sum" dataDxfId="253" totalsRowDxfId="252">
      <calculatedColumnFormula>_xlfn.XLOOKUP(A139,INPUT_DATA!$CK$4:$CK$397,INPUT_DATA!$CM$4:$CM$397)</calculatedColumnFormula>
    </tableColumn>
    <tableColumn id="3" xr3:uid="{53431B9F-F733-4FE2-9A55-27CB35E3EC88}" name="% of Total (Amount)" totalsRowFunction="sum" dataDxfId="251" totalsRowDxfId="250">
      <calculatedColumnFormula>InterestRate[[#This Row],[Principal Outstanding Balance]]/InterestRate[[#Totals],[Principal Outstanding Balance]]</calculatedColumnFormula>
    </tableColumn>
    <tableColumn id="4" xr3:uid="{0A8543C3-CDA1-4E21-9C77-ECC01D10B7C8}" name="Nb of Loans" totalsRowFunction="sum" dataDxfId="249" totalsRowDxfId="248">
      <calculatedColumnFormula>_xlfn.XLOOKUP(A139,INPUT_DATA!$CK$4:$CK$397,INPUT_DATA!$CN$4:$CN$397)</calculatedColumnFormula>
    </tableColumn>
    <tableColumn id="5" xr3:uid="{4BC7EDB8-87BA-420A-ADEB-7869DC9EC0BE}" name="% of Total (Number)" totalsRowFunction="sum" dataDxfId="247" totalsRowDxfId="246">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9:F163" totalsRowCount="1" headerRowDxfId="245" dataDxfId="244">
  <tableColumns count="5">
    <tableColumn id="1" xr3:uid="{1C723A5F-BBB5-41C7-8254-0892ED5EF25B}" name="Interest Rate Type" totalsRowLabel="Total" dataDxfId="243" totalsRowDxfId="242"/>
    <tableColumn id="2" xr3:uid="{4311D5AD-3DA5-40F7-AAF5-6DCECA539FFE}" name="Principal Outstanding Balance" totalsRowFunction="sum" dataDxfId="241" totalsRowDxfId="240">
      <calculatedColumnFormula>_xlfn.XLOOKUP(A150,INPUT_DATA!$CK$4:$CK$397,INPUT_DATA!$CM$4:$CM$397)</calculatedColumnFormula>
    </tableColumn>
    <tableColumn id="3" xr3:uid="{2A00E4F9-D3D7-4A4C-9F85-75E84956C89E}" name="% of Total (Amount)" totalsRowFunction="sum" dataDxfId="239" totalsRowDxfId="238">
      <calculatedColumnFormula>InterestRateType[[#This Row],[Principal Outstanding Balance]]/InterestRateType[[#Totals],[Principal Outstanding Balance]]</calculatedColumnFormula>
    </tableColumn>
    <tableColumn id="4" xr3:uid="{78DDCE14-E9E8-47FD-9EBD-302A71D1B8B6}" name="Nb of Loans" totalsRowFunction="sum" dataDxfId="237" totalsRowDxfId="236">
      <calculatedColumnFormula>_xlfn.XLOOKUP(A150,INPUT_DATA!$CK$4:$CK$397,INPUT_DATA!$CN$4:$CN$397)</calculatedColumnFormula>
    </tableColumn>
    <tableColumn id="5" xr3:uid="{4931395C-AEF2-4D58-B130-A02B21E7FB35}" name="% of Total (Number)" totalsRowFunction="sum" dataDxfId="235" totalsRowDxfId="234">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92:F204" totalsRowCount="1" headerRowDxfId="233" dataDxfId="232">
  <tableColumns count="5">
    <tableColumn id="1" xr3:uid="{D4D4D080-2928-4994-806F-C44571B045D3}" name="Bucket Current Loan-to-Value" totalsRowLabel="Total" dataDxfId="231" totalsRowDxfId="230"/>
    <tableColumn id="2" xr3:uid="{5C20BD2B-73EE-4159-9B16-44CFD34EBDF4}" name="Principal Outstanding Balance" totalsRowFunction="sum" dataDxfId="229" totalsRowDxfId="228">
      <calculatedColumnFormula>_xlfn.XLOOKUP(A193,INPUT_DATA!$CK$4:$CK$397,INPUT_DATA!$CM$4:$CM$397)</calculatedColumnFormula>
    </tableColumn>
    <tableColumn id="3" xr3:uid="{40EFBCEE-715E-40F5-952F-17AD798672CB}" name="% of Total (Amount)" totalsRowFunction="sum" dataDxfId="227" totalsRowDxfId="226">
      <calculatedColumnFormula>CurrentLoanToValue[[#This Row],[Principal Outstanding Balance]]/CurrentLoanToValue[[#Totals],[Principal Outstanding Balance]]</calculatedColumnFormula>
    </tableColumn>
    <tableColumn id="4" xr3:uid="{FC363D7B-F7E9-46AA-B54D-A40C6423A6B3}" name="Nb of Loans" totalsRowFunction="sum" dataDxfId="225" totalsRowDxfId="224">
      <calculatedColumnFormula>_xlfn.XLOOKUP(A193,INPUT_DATA!$CK$4:$CK$397,INPUT_DATA!$CN$4:$CN$397)</calculatedColumnFormula>
    </tableColumn>
    <tableColumn id="5" xr3:uid="{54F75B27-E58A-44D0-B1D2-DE16F703AFF6}" name="% of Total (Number)" totalsRowFunction="sum" dataDxfId="223" totalsRowDxfId="222">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8:F220" totalsRowCount="1" headerRowDxfId="221" dataDxfId="220">
  <tableColumns count="5">
    <tableColumn id="1" xr3:uid="{8EC506AD-9214-4756-87B2-D94D0DCAE89F}" name="Bucket Current Loan-to-Value" totalsRowLabel="Total" dataDxfId="219" totalsRowDxfId="218"/>
    <tableColumn id="2" xr3:uid="{6A8F3901-469B-4215-922C-9A3FB60F343A}" name="Principal Outstanding Balance" totalsRowFunction="sum" dataDxfId="217" totalsRowDxfId="216">
      <calculatedColumnFormula>_xlfn.XLOOKUP(A209,INPUT_DATA!$CK$4:$CK$397,INPUT_DATA!$CM$4:$CM$397)</calculatedColumnFormula>
    </tableColumn>
    <tableColumn id="3" xr3:uid="{EBF53F69-33DB-4CD1-9D2E-998B201EEF3D}" name="% of Total (Amount)" totalsRowFunction="sum" dataDxfId="215" totalsRowDxfId="214">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3" totalsRowDxfId="212">
      <calculatedColumnFormula>_xlfn.XLOOKUP(A209,INPUT_DATA!$CK$4:$CK$397,INPUT_DATA!$CN$4:$CN$397)</calculatedColumnFormula>
    </tableColumn>
    <tableColumn id="5" xr3:uid="{638C4A53-29B4-4097-BBC9-21A983D90C88}" name="% of Total (Number)" totalsRowFunction="sum" dataDxfId="211" totalsRowDxfId="210">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7" Type="http://schemas.openxmlformats.org/officeDocument/2006/relationships/drawing" Target="../drawings/drawing1.xm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6" Type="http://schemas.openxmlformats.org/officeDocument/2006/relationships/printerSettings" Target="../printerSettings/printerSettings1.bin"/><Relationship Id="rId5" Type="http://schemas.openxmlformats.org/officeDocument/2006/relationships/hyperlink" Target="mailto:nicolas.houot@iqeq.com" TargetMode="External"/><Relationship Id="rId4" Type="http://schemas.openxmlformats.org/officeDocument/2006/relationships/hyperlink" Target="mailto:jonathan.drouet@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zoomScale="80" zoomScaleNormal="80" workbookViewId="0">
      <selection activeCell="K36" sqref="K36"/>
    </sheetView>
  </sheetViews>
  <sheetFormatPr defaultColWidth="11.42578125" defaultRowHeight="15"/>
  <cols>
    <col min="1" max="1" width="2.140625" style="8" customWidth="1"/>
    <col min="2" max="2" width="7.42578125" style="8" customWidth="1"/>
    <col min="3" max="3" width="53.5703125" style="8" customWidth="1"/>
    <col min="4" max="4" width="1.85546875" style="8" hidden="1" customWidth="1"/>
    <col min="5" max="5" width="2.42578125" style="8" customWidth="1"/>
    <col min="6" max="6" width="39.140625" style="8" bestFit="1" customWidth="1"/>
    <col min="7" max="7" width="4.5703125" style="8" customWidth="1"/>
    <col min="8" max="8" width="6.85546875" style="8" customWidth="1"/>
    <col min="9" max="9" width="6.42578125" style="8" customWidth="1"/>
    <col min="10" max="10" width="6.140625" style="8" customWidth="1"/>
    <col min="11" max="11" width="8.42578125" style="8" customWidth="1"/>
    <col min="12" max="16384" width="11.42578125" style="8"/>
  </cols>
  <sheetData>
    <row r="2" spans="2:8">
      <c r="B2" s="11"/>
      <c r="C2" s="11"/>
      <c r="D2" s="11"/>
      <c r="E2" s="11"/>
      <c r="F2" s="11"/>
      <c r="G2" s="11"/>
      <c r="H2" s="11"/>
    </row>
    <row r="3" spans="2:8" ht="36">
      <c r="B3" s="11"/>
      <c r="C3" s="1123" t="s">
        <v>714</v>
      </c>
      <c r="D3" s="1123"/>
      <c r="E3" s="1123"/>
      <c r="F3" s="1123"/>
      <c r="G3" s="11"/>
      <c r="H3" s="11"/>
    </row>
    <row r="4" spans="2:8">
      <c r="B4" s="11"/>
      <c r="C4" s="11"/>
      <c r="D4" s="11"/>
      <c r="E4" s="11"/>
      <c r="F4"/>
      <c r="G4" s="11"/>
      <c r="H4" s="11"/>
    </row>
    <row r="5" spans="2:8">
      <c r="B5" s="11"/>
      <c r="C5" s="11"/>
      <c r="D5" s="11"/>
      <c r="E5" s="11"/>
      <c r="F5" s="11"/>
      <c r="G5" s="11"/>
      <c r="H5" s="12"/>
    </row>
    <row r="6" spans="2:8">
      <c r="B6" s="11"/>
      <c r="C6" s="11"/>
      <c r="D6" s="11"/>
      <c r="F6" s="11"/>
      <c r="G6" s="11"/>
      <c r="H6" s="12"/>
    </row>
    <row r="7" spans="2:8">
      <c r="B7" s="11"/>
      <c r="C7" s="11"/>
      <c r="D7" s="11"/>
      <c r="E7" s="11"/>
      <c r="F7" s="11"/>
      <c r="G7" s="11"/>
      <c r="H7" s="12"/>
    </row>
    <row r="8" spans="2:8" ht="31.5" customHeight="1">
      <c r="B8" s="13"/>
      <c r="G8" s="13"/>
      <c r="H8" s="12"/>
    </row>
    <row r="9" spans="2:8" ht="31.5" customHeight="1">
      <c r="B9" s="13"/>
      <c r="C9" s="13"/>
      <c r="D9" s="13"/>
      <c r="E9" s="13"/>
      <c r="F9" s="13"/>
      <c r="G9" s="13"/>
      <c r="H9" s="12"/>
    </row>
    <row r="10" spans="2:8" ht="15" customHeight="1">
      <c r="B10" s="13"/>
      <c r="C10" s="659" t="s">
        <v>1235</v>
      </c>
      <c r="D10" s="14"/>
      <c r="E10" s="14"/>
      <c r="F10" s="1118" t="s">
        <v>1236</v>
      </c>
      <c r="G10" s="13"/>
      <c r="H10" s="12"/>
    </row>
    <row r="11" spans="2:8" ht="31.5">
      <c r="B11" s="14"/>
      <c r="C11" s="14"/>
      <c r="D11" s="14"/>
      <c r="E11" s="14"/>
      <c r="F11" s="15"/>
      <c r="G11" s="14"/>
      <c r="H11" s="16"/>
    </row>
    <row r="12" spans="2:8" ht="12.75" customHeight="1">
      <c r="C12" s="659" t="s">
        <v>88</v>
      </c>
      <c r="D12" s="14"/>
      <c r="E12" s="14"/>
      <c r="F12" s="1118">
        <f>IF(F20="Monthly",_xlfn.XLOOKUP(F13,'17 - Calendar'!$G$36:$G$108,'17 - Calendar'!$F$36:$F$108,,0),_xlfn.XLOOKUP(F13,'17 - Calendar'!$E$36:$E$108,'17 - Calendar'!$D$36:$D$108,,0))</f>
        <v>46113</v>
      </c>
      <c r="G12" s="17"/>
    </row>
    <row r="13" spans="2:8" ht="12.75" customHeight="1">
      <c r="C13" s="659" t="s">
        <v>89</v>
      </c>
      <c r="D13" s="14"/>
      <c r="E13" s="14"/>
      <c r="F13" s="1118">
        <f>INPUT_DATA!A4</f>
        <v>46203</v>
      </c>
      <c r="G13" s="17"/>
    </row>
    <row r="14" spans="2:8" ht="12.75" customHeight="1">
      <c r="C14" s="659" t="s">
        <v>651</v>
      </c>
      <c r="D14" s="14"/>
      <c r="E14" s="14"/>
      <c r="F14" s="1118">
        <f>_xlfn.XLOOKUP(F13,'17 - Calendar'!$G$36:$G$108,'17 - Calendar'!$H$36:$H$108,,0)</f>
        <v>46219</v>
      </c>
      <c r="G14" s="17"/>
    </row>
    <row r="15" spans="2:8" ht="12.75" customHeight="1">
      <c r="C15" s="659" t="s">
        <v>92</v>
      </c>
      <c r="D15" s="14"/>
      <c r="E15" s="14"/>
      <c r="F15" s="1118">
        <f>IF(F20="Quartely",_xlfn.XLOOKUP(F13,'17 - Calendar'!$E$36:$E$108,'17 - Calendar'!$I$36:$I$108,,0),"NO")</f>
        <v>46224</v>
      </c>
      <c r="G15" s="17"/>
    </row>
    <row r="16" spans="2:8" ht="12.75" customHeight="1">
      <c r="C16" s="659" t="s">
        <v>85</v>
      </c>
      <c r="D16" s="14"/>
      <c r="E16" s="14"/>
      <c r="F16" s="1118">
        <f>IF(F20="Quartely",_xlfn.XLOOKUP(F13,'17 - Calendar'!$E$36:$E$108,'17 - Calendar'!$K$36:$K$108,,0),"NO")</f>
        <v>46230</v>
      </c>
      <c r="G16" s="17"/>
    </row>
    <row r="17" spans="1:8" ht="12.75" customHeight="1">
      <c r="C17" s="826" t="s">
        <v>90</v>
      </c>
      <c r="D17" s="14"/>
      <c r="E17" s="14"/>
      <c r="F17" s="1118">
        <f>_xlfn.XLOOKUP(F12-1,'17 - Calendar'!$E$36:$E$108,'17 - Calendar'!$K$36:$K$108,,0)</f>
        <v>46139</v>
      </c>
      <c r="G17" s="17"/>
    </row>
    <row r="18" spans="1:8" ht="12.75" customHeight="1">
      <c r="C18" s="826" t="s">
        <v>672</v>
      </c>
      <c r="D18" s="14"/>
      <c r="E18" s="14"/>
      <c r="F18" s="1118">
        <v>45268</v>
      </c>
      <c r="G18" s="17"/>
    </row>
    <row r="19" spans="1:8" ht="12.75" customHeight="1">
      <c r="C19" s="659" t="s">
        <v>171</v>
      </c>
      <c r="D19" s="14"/>
      <c r="E19" s="14"/>
      <c r="F19" s="1119" t="s">
        <v>1302</v>
      </c>
      <c r="G19" s="17"/>
    </row>
    <row r="20" spans="1:8" ht="15.75">
      <c r="A20" s="761"/>
      <c r="B20" s="761"/>
      <c r="C20" s="659" t="s">
        <v>2408</v>
      </c>
      <c r="D20" s="761"/>
      <c r="E20" s="761"/>
      <c r="F20" s="1118" t="str">
        <f>_xlfn.XLOOKUP(F13,'17 - Calendar'!$G$36:$G$108,'17 - Calendar'!$L$36:$L$108,,0)</f>
        <v>Quartely</v>
      </c>
      <c r="G20" s="18"/>
      <c r="H20" s="18"/>
    </row>
    <row r="21" spans="1:8" ht="31.5">
      <c r="C21" s="333"/>
      <c r="D21" s="14"/>
      <c r="E21" s="14"/>
      <c r="F21" s="761"/>
      <c r="G21" s="18"/>
      <c r="H21" s="18"/>
    </row>
    <row r="22" spans="1:8" ht="24.75" customHeight="1">
      <c r="C22" s="321" t="s">
        <v>91</v>
      </c>
      <c r="D22" s="170"/>
      <c r="E22" s="171"/>
      <c r="F22" s="19"/>
      <c r="G22" s="18"/>
      <c r="H22" s="18"/>
    </row>
    <row r="23" spans="1:8" ht="15.75">
      <c r="C23" s="1115" t="s">
        <v>1237</v>
      </c>
      <c r="D23" s="1116"/>
      <c r="E23" s="1117"/>
      <c r="F23" s="1115" t="s">
        <v>1283</v>
      </c>
      <c r="G23" s="18"/>
      <c r="H23" s="18"/>
    </row>
    <row r="24" spans="1:8" ht="15.75">
      <c r="C24" s="1115" t="s">
        <v>1238</v>
      </c>
      <c r="D24" s="1116"/>
      <c r="E24" s="1117"/>
      <c r="F24" s="1115" t="s">
        <v>1284</v>
      </c>
      <c r="G24" s="18"/>
      <c r="H24" s="18"/>
    </row>
    <row r="25" spans="1:8" ht="15.75">
      <c r="C25" s="1115" t="s">
        <v>1239</v>
      </c>
      <c r="D25" s="1116"/>
      <c r="E25" s="1117"/>
      <c r="F25" s="1115" t="s">
        <v>1285</v>
      </c>
      <c r="G25" s="18"/>
      <c r="H25" s="18"/>
    </row>
    <row r="26" spans="1:8" ht="15.75">
      <c r="C26" s="1115" t="s">
        <v>1240</v>
      </c>
      <c r="D26" s="1116"/>
      <c r="E26" s="1117"/>
      <c r="F26" s="1115" t="s">
        <v>1286</v>
      </c>
      <c r="G26" s="18"/>
      <c r="H26" s="18"/>
    </row>
    <row r="27" spans="1:8" ht="15.75">
      <c r="C27" s="1115" t="s">
        <v>1279</v>
      </c>
      <c r="D27" s="1116"/>
      <c r="E27" s="1117"/>
      <c r="F27" s="1115" t="s">
        <v>1287</v>
      </c>
      <c r="G27" s="18"/>
      <c r="H27" s="18"/>
    </row>
    <row r="28" spans="1:8" ht="15.75">
      <c r="C28" s="1115" t="s">
        <v>1241</v>
      </c>
      <c r="D28" s="1116"/>
      <c r="E28" s="1117"/>
      <c r="F28" s="1115" t="s">
        <v>1288</v>
      </c>
      <c r="G28" s="18"/>
      <c r="H28" s="18"/>
    </row>
    <row r="29" spans="1:8" ht="15.75">
      <c r="C29" s="1115" t="s">
        <v>1242</v>
      </c>
      <c r="D29" s="1116"/>
      <c r="E29" s="1117"/>
      <c r="F29" s="1115" t="s">
        <v>1243</v>
      </c>
      <c r="G29" s="18"/>
      <c r="H29" s="18"/>
    </row>
    <row r="30" spans="1:8" ht="15.75">
      <c r="C30" s="1115" t="s">
        <v>1280</v>
      </c>
      <c r="D30" s="1116"/>
      <c r="E30" s="1117"/>
      <c r="F30" s="1115" t="s">
        <v>1244</v>
      </c>
      <c r="G30" s="18"/>
      <c r="H30" s="18"/>
    </row>
    <row r="31" spans="1:8" ht="17.25" customHeight="1">
      <c r="C31" s="1115" t="s">
        <v>1281</v>
      </c>
      <c r="D31" s="1116"/>
      <c r="E31" s="1117"/>
      <c r="F31" s="1115" t="s">
        <v>1245</v>
      </c>
      <c r="G31" s="18"/>
      <c r="H31" s="18"/>
    </row>
    <row r="32" spans="1:8" ht="15.75">
      <c r="C32" s="1115" t="s">
        <v>1282</v>
      </c>
      <c r="D32" s="1116"/>
      <c r="E32" s="778"/>
      <c r="F32" s="19"/>
      <c r="G32" s="20"/>
      <c r="H32" s="18"/>
    </row>
    <row r="33" spans="3:12" ht="15.75">
      <c r="C33" s="778"/>
      <c r="D33" s="778"/>
      <c r="E33" s="778"/>
      <c r="F33" s="778"/>
      <c r="G33" s="20"/>
      <c r="H33" s="18"/>
    </row>
    <row r="34" spans="3:12" ht="24.75" customHeight="1">
      <c r="C34" s="321" t="s">
        <v>19</v>
      </c>
      <c r="D34" s="170"/>
      <c r="E34" s="171"/>
      <c r="F34" s="19"/>
      <c r="G34" s="18"/>
      <c r="H34" s="18"/>
    </row>
    <row r="35" spans="3:12" ht="15.75">
      <c r="C35" s="557" t="s">
        <v>247</v>
      </c>
      <c r="D35" s="18"/>
      <c r="E35" s="21"/>
      <c r="F35" s="22" t="s">
        <v>102</v>
      </c>
      <c r="G35" s="20"/>
      <c r="H35" s="18"/>
    </row>
    <row r="36" spans="3:12" ht="15.75">
      <c r="C36" s="558" t="s">
        <v>689</v>
      </c>
      <c r="D36" s="18"/>
      <c r="E36" s="21"/>
      <c r="F36" s="22" t="s">
        <v>688</v>
      </c>
      <c r="G36" s="20"/>
      <c r="H36" s="18"/>
    </row>
    <row r="37" spans="3:12" ht="15.75">
      <c r="C37" s="558" t="s">
        <v>248</v>
      </c>
      <c r="D37" s="18"/>
      <c r="E37" s="21"/>
      <c r="F37" s="22" t="s">
        <v>164</v>
      </c>
      <c r="G37" s="20"/>
      <c r="H37" s="18"/>
    </row>
    <row r="38" spans="3:12" ht="15.75">
      <c r="C38" s="559" t="s">
        <v>249</v>
      </c>
      <c r="D38" s="18"/>
      <c r="E38" s="173"/>
      <c r="F38" s="174" t="s">
        <v>103</v>
      </c>
      <c r="G38" s="20"/>
      <c r="H38" s="18"/>
    </row>
    <row r="39" spans="3:12" ht="15.75">
      <c r="C39" s="560" t="s">
        <v>248</v>
      </c>
      <c r="D39" s="18"/>
      <c r="E39" s="173"/>
      <c r="F39" s="174" t="s">
        <v>104</v>
      </c>
      <c r="G39" s="20"/>
      <c r="H39" s="18"/>
    </row>
    <row r="40" spans="3:12" ht="15.75" customHeight="1">
      <c r="C40" s="559" t="s">
        <v>248</v>
      </c>
      <c r="D40" s="18"/>
      <c r="E40" s="168"/>
      <c r="F40" s="169" t="s">
        <v>107</v>
      </c>
      <c r="G40" s="23"/>
      <c r="H40" s="18"/>
    </row>
    <row r="41" spans="3:12" ht="15.75">
      <c r="C41" s="23"/>
      <c r="D41" s="23"/>
      <c r="E41" s="23"/>
      <c r="F41" s="23"/>
      <c r="G41" s="23"/>
      <c r="H41" s="18"/>
    </row>
    <row r="42" spans="3:12" ht="15.75">
      <c r="C42" s="18"/>
      <c r="D42" s="18"/>
      <c r="E42" s="23"/>
      <c r="F42" s="23"/>
      <c r="G42" s="23"/>
      <c r="H42" s="18"/>
    </row>
    <row r="43" spans="3:12" ht="15.75">
      <c r="C43" s="321" t="s">
        <v>214</v>
      </c>
      <c r="E43" s="20"/>
      <c r="F43" s="20"/>
      <c r="G43" s="20"/>
      <c r="H43" s="18"/>
    </row>
    <row r="44" spans="3:12" ht="15.75">
      <c r="C44" s="322" t="s">
        <v>2611</v>
      </c>
      <c r="D44" s="24" t="s">
        <v>5</v>
      </c>
      <c r="E44" s="378" t="s">
        <v>2624</v>
      </c>
      <c r="G44" s="323"/>
      <c r="H44" s="18"/>
    </row>
    <row r="45" spans="3:12" ht="24" customHeight="1">
      <c r="C45" s="322" t="s">
        <v>2612</v>
      </c>
      <c r="D45" s="24" t="s">
        <v>5</v>
      </c>
      <c r="E45" s="1126" t="s">
        <v>2616</v>
      </c>
      <c r="F45" s="1126"/>
      <c r="G45" s="1126"/>
      <c r="H45" s="1126"/>
      <c r="I45" s="1126"/>
      <c r="J45" s="1126"/>
      <c r="K45" s="1126"/>
      <c r="L45" s="1126"/>
    </row>
    <row r="46" spans="3:12" ht="15.75">
      <c r="C46" s="1366" t="s">
        <v>2622</v>
      </c>
      <c r="D46" s="324"/>
      <c r="E46" s="1124" t="s">
        <v>250</v>
      </c>
      <c r="F46" s="1125"/>
      <c r="G46" s="1125"/>
      <c r="H46" s="18"/>
    </row>
    <row r="47" spans="3:12" ht="15.75">
      <c r="C47" s="1366" t="s">
        <v>2623</v>
      </c>
      <c r="D47" s="324"/>
      <c r="E47" s="1124" t="s">
        <v>687</v>
      </c>
      <c r="F47" s="1125"/>
      <c r="G47" s="1125"/>
      <c r="H47" s="18"/>
    </row>
    <row r="48" spans="3:12" ht="15.75">
      <c r="C48" s="1366" t="s">
        <v>2622</v>
      </c>
      <c r="D48" s="324"/>
      <c r="E48" s="454" t="s">
        <v>2614</v>
      </c>
      <c r="F48" s="454"/>
      <c r="H48" s="18"/>
    </row>
    <row r="49" spans="3:5">
      <c r="C49" s="1366" t="s">
        <v>2622</v>
      </c>
      <c r="E49" s="454" t="s">
        <v>2617</v>
      </c>
    </row>
  </sheetData>
  <mergeCells count="4">
    <mergeCell ref="C3:F3"/>
    <mergeCell ref="E46:G46"/>
    <mergeCell ref="E47:G47"/>
    <mergeCell ref="E45:L45"/>
  </mergeCells>
  <hyperlinks>
    <hyperlink ref="E46" r:id="rId1" xr:uid="{DE9DB5DA-1FD4-4370-8FAB-1B681B229AC1}"/>
    <hyperlink ref="E44" r:id="rId2" xr:uid="{C84B16EE-AF88-483F-B3BE-F94C888DE3B9}"/>
    <hyperlink ref="E47" r:id="rId3" xr:uid="{2D591AC7-023E-491D-A3DF-CBD9ABC06A2E}"/>
    <hyperlink ref="C23" location="'00 - Cover'!Print_Area" display="00 - Cover" xr:uid="{D7BE8668-892A-4C99-8837-6186372D6BDF}"/>
    <hyperlink ref="C24" location="'01 - Summary'!Print_Area" display="01 - Summary" xr:uid="{834847EB-0941-4A7E-B16F-BD5BC806688F}"/>
    <hyperlink ref="C25" location="'02 - Eligibility Criteria'!Print_Area" display="02 - Eligibility Criteria" xr:uid="{9CC21F37-944B-4A9F-94FC-9FF44ECFD8CB}"/>
    <hyperlink ref="C26" location="'03 - Monthly Asset Follow up'!A1" display="03 - Monthly Asset Follow up" xr:uid="{355AFF22-EE47-420A-BA9A-D45E5550DD5A}"/>
    <hyperlink ref="C27" location="'04 - Monthly Collection'!A1" display="04 - Monthly Collection" xr:uid="{61DC2BE3-1F47-4ED0-BB8E-D389A3E1F06D}"/>
    <hyperlink ref="C28" location="'05 - Prepayment Rate'!A1" display="05 - Prepayment Rate" xr:uid="{C68F3BF8-F59A-4756-AD16-EBD34F8CC996}"/>
    <hyperlink ref="C29" location="'06 - Asset Amortisation Profile'!A1" display="06 - Asset Amortisation Profile" xr:uid="{C768D51F-B493-4610-8025-8621B337B805}"/>
    <hyperlink ref="C30" location="'07 - Breakdown Statistics'!A1" display="07 - Breakdown Statistics" xr:uid="{B007B927-9F10-435D-A92D-53D5F40FEC9D}"/>
    <hyperlink ref="C31" location="'08 - Delinquent Home Loans Stat'!A1" display="08 - Delinquent Home Loans Stat" xr:uid="{C775F2CD-53AF-40DE-90CC-211672A8F7A5}"/>
    <hyperlink ref="C32" location="'09 - Default &amp; Recovery Stat'!A1" display="09 - Default &amp; Recovery Stat" xr:uid="{5EAA01C0-17CD-4F9D-A9B0-8E482B90731B}"/>
    <hyperlink ref="F23" location="'18 - Event'!A1" display="18 - Event" xr:uid="{0AEA12FA-5E2D-4A9F-B028-547D479AE277}"/>
    <hyperlink ref="E48" r:id="rId4" xr:uid="{2EBB7750-95CA-461E-AE4F-D2E0926B53FE}"/>
    <hyperlink ref="E49" r:id="rId5" xr:uid="{F04DF710-8835-4BAE-9065-D23EF2A68E3A}"/>
  </hyperlinks>
  <pageMargins left="0.7" right="0.7" top="0.75" bottom="0.75" header="0.3" footer="0.3"/>
  <pageSetup paperSize="9" scale="53"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D21" sqref="D21"/>
    </sheetView>
  </sheetViews>
  <sheetFormatPr defaultColWidth="10.85546875" defaultRowHeight="15"/>
  <cols>
    <col min="1" max="1" width="3.42578125" style="380" customWidth="1"/>
    <col min="2" max="4" width="20.140625" style="380" customWidth="1"/>
    <col min="5" max="10" width="23.5703125" style="380" customWidth="1"/>
    <col min="11" max="11" width="32.5703125" style="380" customWidth="1"/>
    <col min="12" max="12" width="34.140625" style="380" customWidth="1"/>
    <col min="13" max="13" width="26.85546875" style="380" customWidth="1"/>
    <col min="14" max="14" width="24.5703125" style="380" customWidth="1"/>
    <col min="15" max="15" width="23.140625" style="380" customWidth="1"/>
    <col min="16" max="16384" width="10.85546875" style="380"/>
  </cols>
  <sheetData>
    <row r="1" spans="1:15">
      <c r="A1" s="104"/>
      <c r="B1" s="104"/>
      <c r="C1" s="104"/>
      <c r="D1" s="104"/>
      <c r="E1" s="104"/>
      <c r="F1" s="104"/>
      <c r="G1" s="104"/>
      <c r="H1" s="104"/>
      <c r="I1" s="104"/>
      <c r="J1" s="104"/>
      <c r="K1" s="104"/>
      <c r="L1" s="104"/>
      <c r="M1" s="104"/>
      <c r="N1" s="104"/>
    </row>
    <row r="2" spans="1:15">
      <c r="A2" s="104"/>
      <c r="B2" s="106"/>
      <c r="C2" s="106"/>
      <c r="D2" s="106"/>
      <c r="E2" s="106"/>
      <c r="F2" s="106"/>
      <c r="G2" s="106"/>
      <c r="H2" s="106"/>
      <c r="I2" s="106"/>
      <c r="J2" s="106"/>
      <c r="M2" s="106"/>
      <c r="N2" s="106"/>
    </row>
    <row r="3" spans="1:15" ht="14.45" customHeight="1">
      <c r="A3" s="104"/>
      <c r="B3" s="106"/>
      <c r="C3" s="106"/>
      <c r="D3" s="106"/>
      <c r="E3" s="106"/>
      <c r="F3" s="106"/>
      <c r="G3" s="106"/>
      <c r="H3" s="106"/>
      <c r="I3" s="1362" t="s">
        <v>132</v>
      </c>
      <c r="J3" s="1364">
        <f>'09 - Default &amp; Recovery Stat'!H3</f>
        <v>46203</v>
      </c>
      <c r="M3" s="105"/>
      <c r="N3" s="105"/>
      <c r="O3" s="105"/>
    </row>
    <row r="4" spans="1:15" ht="14.45" customHeight="1">
      <c r="A4" s="104"/>
      <c r="B4" s="106"/>
      <c r="C4" s="106"/>
      <c r="D4" s="106"/>
      <c r="E4" s="106"/>
      <c r="F4" s="106"/>
      <c r="G4" s="106"/>
      <c r="H4" s="106"/>
      <c r="I4" s="1362" t="s">
        <v>651</v>
      </c>
      <c r="J4" s="1364">
        <f>'09 - Default &amp; Recovery Stat'!H4</f>
        <v>46219</v>
      </c>
      <c r="M4" s="105"/>
      <c r="N4" s="105"/>
      <c r="O4" s="105"/>
    </row>
    <row r="5" spans="1:15" ht="14.45" customHeight="1">
      <c r="A5" s="104"/>
      <c r="B5" s="106"/>
      <c r="C5" s="106"/>
      <c r="D5" s="106"/>
      <c r="E5" s="106"/>
      <c r="F5" s="106"/>
      <c r="G5" s="106"/>
      <c r="H5" s="106"/>
      <c r="I5" s="1362" t="s">
        <v>92</v>
      </c>
      <c r="J5" s="1364">
        <f>'09 - Default &amp; Recovery Stat'!H5</f>
        <v>46224</v>
      </c>
      <c r="M5" s="105"/>
      <c r="N5" s="105"/>
      <c r="O5" s="105"/>
    </row>
    <row r="6" spans="1:15" ht="14.45" customHeight="1">
      <c r="A6" s="104"/>
      <c r="B6" s="106"/>
      <c r="C6" s="106"/>
      <c r="D6" s="106"/>
      <c r="E6" s="106"/>
      <c r="F6" s="106"/>
      <c r="G6" s="106"/>
      <c r="H6" s="106"/>
      <c r="I6" s="1362" t="s">
        <v>85</v>
      </c>
      <c r="J6" s="1364">
        <f>'09 - Default &amp; Recovery Stat'!H6</f>
        <v>46230</v>
      </c>
      <c r="M6" s="106"/>
      <c r="N6" s="106"/>
      <c r="O6" s="106"/>
    </row>
    <row r="7" spans="1:15">
      <c r="A7" s="104"/>
      <c r="B7" s="106"/>
      <c r="C7" s="106"/>
      <c r="D7" s="106"/>
      <c r="E7" s="106"/>
      <c r="F7" s="106"/>
      <c r="G7" s="106"/>
      <c r="H7" s="106"/>
      <c r="I7" s="106"/>
      <c r="J7" s="106"/>
      <c r="M7" s="106"/>
      <c r="N7" s="106"/>
    </row>
    <row r="8" spans="1:15">
      <c r="A8" s="379"/>
    </row>
    <row r="9" spans="1:15">
      <c r="B9" s="561" t="s">
        <v>549</v>
      </c>
      <c r="C9" s="766"/>
      <c r="D9" s="766"/>
      <c r="E9" s="610"/>
      <c r="F9" s="959"/>
      <c r="G9" s="611"/>
      <c r="H9" s="960"/>
      <c r="I9" s="611"/>
      <c r="J9" s="960"/>
      <c r="K9" s="611"/>
    </row>
    <row r="10" spans="1:15">
      <c r="E10" s="394" t="s">
        <v>451</v>
      </c>
      <c r="F10" s="394"/>
      <c r="G10" s="394" t="s">
        <v>452</v>
      </c>
      <c r="H10" s="394"/>
      <c r="I10" s="394" t="s">
        <v>453</v>
      </c>
      <c r="J10" s="394"/>
      <c r="K10" s="394" t="s">
        <v>454</v>
      </c>
    </row>
    <row r="11" spans="1:15" ht="54.75" customHeight="1" thickBot="1">
      <c r="B11" s="599" t="s">
        <v>93</v>
      </c>
      <c r="C11" s="566" t="s">
        <v>882</v>
      </c>
      <c r="D11" s="566" t="s">
        <v>2341</v>
      </c>
      <c r="E11" s="599" t="s">
        <v>880</v>
      </c>
      <c r="F11" s="566" t="s">
        <v>2342</v>
      </c>
      <c r="G11" s="599" t="s">
        <v>879</v>
      </c>
      <c r="H11" s="566" t="s">
        <v>2343</v>
      </c>
      <c r="I11" s="599" t="s">
        <v>881</v>
      </c>
      <c r="J11" s="566" t="s">
        <v>2344</v>
      </c>
      <c r="K11" s="599" t="s">
        <v>1360</v>
      </c>
      <c r="L11" s="599" t="s">
        <v>1358</v>
      </c>
      <c r="M11" s="599" t="s">
        <v>1359</v>
      </c>
      <c r="N11" s="599" t="s">
        <v>1361</v>
      </c>
      <c r="O11" s="599" t="s">
        <v>1362</v>
      </c>
    </row>
    <row r="12" spans="1:15" ht="15.75" thickTop="1">
      <c r="A12" s="764"/>
      <c r="B12" s="756">
        <f>'03 - Monthly Asset Follow up'!B17</f>
        <v>46203</v>
      </c>
      <c r="C12" s="764">
        <f>IF($B12=0,"",_xlfn.XLOOKUP($B12,INPUT_DATA!$BR:$BR,INPUT_DATA!BS:BS))</f>
        <v>757867503.59000015</v>
      </c>
      <c r="D12" s="764">
        <f>IF($B12=0,"",_xlfn.XLOOKUP($B12,INPUT_DATA!$BR:$BR,INPUT_DATA!BT:BT))</f>
        <v>3493</v>
      </c>
      <c r="E12" s="764">
        <f>IF($B12=0,"",_xlfn.XLOOKUP($B12,INPUT_DATA!$BR:$BR,INPUT_DATA!BU:BU))</f>
        <v>6854877.1899999995</v>
      </c>
      <c r="F12" s="764">
        <f>IF($B12=0,"",_xlfn.XLOOKUP($B12,INPUT_DATA!$BR:$BR,INPUT_DATA!BV:BV))</f>
        <v>25</v>
      </c>
      <c r="G12" s="764">
        <f>IF($B12=0,"",_xlfn.XLOOKUP($B12,INPUT_DATA!$BR:$BR,INPUT_DATA!BW:BW))</f>
        <v>1811395.55</v>
      </c>
      <c r="H12" s="764">
        <f>IF($B12=0,"",_xlfn.XLOOKUP($B12,INPUT_DATA!$BR:$BR,INPUT_DATA!BX:BX))</f>
        <v>8</v>
      </c>
      <c r="I12" s="764">
        <f>IF($B12=0,"",_xlfn.XLOOKUP($B12,INPUT_DATA!$BR:$BR,INPUT_DATA!BY:BY))</f>
        <v>144496.66</v>
      </c>
      <c r="J12" s="764">
        <f>IF($B12=0,"",_xlfn.XLOOKUP($B12,INPUT_DATA!$BR:$BR,INPUT_DATA!BZ:BZ))</f>
        <v>1</v>
      </c>
      <c r="K12" s="764">
        <f>IF($B12=0,"",_xlfn.XLOOKUP($B12,INPUT_DATA!$BR:$BR,INPUT_DATA!CE:CE))</f>
        <v>0</v>
      </c>
      <c r="L12" s="764">
        <f>IF($B12=0,"",_xlfn.XLOOKUP($B12,INPUT_DATA!$BR:$BR,INPUT_DATA!CF:CF))</f>
        <v>347438.19</v>
      </c>
      <c r="M12" s="1086">
        <f>IF($B12=0,"",_xlfn.XLOOKUP($B12,INPUT_DATA!$BR:$BR,INPUT_DATA!CG:CG))</f>
        <v>3212979.19</v>
      </c>
      <c r="N12" s="764">
        <f>IF($B12=0,"",_xlfn.XLOOKUP($B12,INPUT_DATA!$BR:$BR,INPUT_DATA!CH:CH))</f>
        <v>0</v>
      </c>
      <c r="O12" s="764">
        <f>IF($B12=0,"",_xlfn.XLOOKUP($B12,INPUT_DATA!$BR:$BR,INPUT_DATA!CI:CI))</f>
        <v>347438.19</v>
      </c>
    </row>
    <row r="13" spans="1:15">
      <c r="B13" s="762">
        <f>'03 - Monthly Asset Follow up'!B18</f>
        <v>46173</v>
      </c>
      <c r="C13" s="397">
        <f>IF($B13=0,"",_xlfn.XLOOKUP($B13,INPUT_DATA!$BR:$BR,INPUT_DATA!BS:BS))</f>
        <v>731649694.26999998</v>
      </c>
      <c r="D13" s="397">
        <f>IF($B13=0,"",_xlfn.XLOOKUP($B13,INPUT_DATA!$BR:$BR,INPUT_DATA!BT:BT))</f>
        <v>3424</v>
      </c>
      <c r="E13" s="397">
        <f>IF($B13=0,"",_xlfn.XLOOKUP($B13,INPUT_DATA!$BR:$BR,INPUT_DATA!BU:BU))</f>
        <v>12079751.59</v>
      </c>
      <c r="F13" s="397">
        <f>IF($B13=0,"",_xlfn.XLOOKUP($B13,INPUT_DATA!$BR:$BR,INPUT_DATA!BV:BV))</f>
        <v>34</v>
      </c>
      <c r="G13" s="397">
        <f>IF($B13=0,"",_xlfn.XLOOKUP($B13,INPUT_DATA!$BR:$BR,INPUT_DATA!BW:BW))</f>
        <v>910518.64</v>
      </c>
      <c r="H13" s="397">
        <f>IF($B13=0,"",_xlfn.XLOOKUP($B13,INPUT_DATA!$BR:$BR,INPUT_DATA!BX:BX))</f>
        <v>7</v>
      </c>
      <c r="I13" s="397">
        <f>IF($B13=0,"",_xlfn.XLOOKUP($B13,INPUT_DATA!$BR:$BR,INPUT_DATA!BY:BY))</f>
        <v>1134956.53</v>
      </c>
      <c r="J13" s="397">
        <f>IF($B13=0,"",_xlfn.XLOOKUP($B13,INPUT_DATA!$BR:$BR,INPUT_DATA!BZ:BZ))</f>
        <v>1</v>
      </c>
      <c r="K13" s="765">
        <f>IF($B13=0,"",_xlfn.XLOOKUP($B13,INPUT_DATA!$BR:$BR,INPUT_DATA!CE:CE))</f>
        <v>0</v>
      </c>
      <c r="L13" s="765">
        <f>IF($B13=0,"",_xlfn.XLOOKUP($B13,INPUT_DATA!$BR:$BR,INPUT_DATA!CF:CF))</f>
        <v>196627.37</v>
      </c>
      <c r="M13" s="765">
        <f>IF($B13=0,"",_xlfn.XLOOKUP($B13,INPUT_DATA!$BR:$BR,INPUT_DATA!CG:CG))</f>
        <v>3370363.08</v>
      </c>
      <c r="N13" s="765">
        <f>IF($B13=0,"",_xlfn.XLOOKUP($B13,INPUT_DATA!$BR:$BR,INPUT_DATA!CH:CH))</f>
        <v>0</v>
      </c>
      <c r="O13" s="765">
        <f>IF($B13=0,"",_xlfn.XLOOKUP($B13,INPUT_DATA!$BR:$BR,INPUT_DATA!CI:CI))</f>
        <v>196627.37</v>
      </c>
    </row>
    <row r="14" spans="1:15">
      <c r="B14" s="762">
        <f>'03 - Monthly Asset Follow up'!B19</f>
        <v>46142</v>
      </c>
      <c r="C14" s="397">
        <f>IF($B14=0,"",_xlfn.XLOOKUP($B14,INPUT_DATA!$BR:$BR,INPUT_DATA!BS:BS))</f>
        <v>744263084.87999845</v>
      </c>
      <c r="D14" s="397">
        <f>IF($B14=0,"",_xlfn.XLOOKUP($B14,INPUT_DATA!$BR:$BR,INPUT_DATA!BT:BT))</f>
        <v>3456</v>
      </c>
      <c r="E14" s="397">
        <f>IF($B14=0,"",_xlfn.XLOOKUP($B14,INPUT_DATA!$BR:$BR,INPUT_DATA!BU:BU))</f>
        <v>5718415.4899999993</v>
      </c>
      <c r="F14" s="397">
        <f>IF($B14=0,"",_xlfn.XLOOKUP($B14,INPUT_DATA!$BR:$BR,INPUT_DATA!BV:BV))</f>
        <v>27</v>
      </c>
      <c r="G14" s="397">
        <f>IF($B14=0,"",_xlfn.XLOOKUP($B14,INPUT_DATA!$BR:$BR,INPUT_DATA!BW:BW))</f>
        <v>3203526.21</v>
      </c>
      <c r="H14" s="397">
        <f>IF($B14=0,"",_xlfn.XLOOKUP($B14,INPUT_DATA!$BR:$BR,INPUT_DATA!BX:BX))</f>
        <v>8</v>
      </c>
      <c r="I14" s="397">
        <f>IF($B14=0,"",_xlfn.XLOOKUP($B14,INPUT_DATA!$BR:$BR,INPUT_DATA!BY:BY))</f>
        <v>419987.5</v>
      </c>
      <c r="J14" s="397">
        <f>IF($B14=0,"",_xlfn.XLOOKUP($B14,INPUT_DATA!$BR:$BR,INPUT_DATA!BZ:BZ))</f>
        <v>3</v>
      </c>
      <c r="K14" s="765">
        <f>IF($B14=0,"",_xlfn.XLOOKUP($B14,INPUT_DATA!$BR:$BR,INPUT_DATA!CE:CE))</f>
        <v>0</v>
      </c>
      <c r="L14" s="765">
        <f>IF($B14=0,"",_xlfn.XLOOKUP($B14,INPUT_DATA!$BR:$BR,INPUT_DATA!CF:CF))</f>
        <v>0</v>
      </c>
      <c r="M14" s="765">
        <f>IF($B14=0,"",_xlfn.XLOOKUP($B14,INPUT_DATA!$BR:$BR,INPUT_DATA!CG:CG))</f>
        <v>3570793.71</v>
      </c>
      <c r="N14" s="765">
        <f>IF($B14=0,"",_xlfn.XLOOKUP($B14,INPUT_DATA!$BR:$BR,INPUT_DATA!CH:CH))</f>
        <v>0</v>
      </c>
      <c r="O14" s="765">
        <f>IF($B14=0,"",_xlfn.XLOOKUP($B14,INPUT_DATA!$BR:$BR,INPUT_DATA!CI:CI))</f>
        <v>0</v>
      </c>
    </row>
    <row r="15" spans="1:15">
      <c r="B15" s="762">
        <f>'03 - Monthly Asset Follow up'!B20</f>
        <v>46112</v>
      </c>
      <c r="C15" s="397">
        <f>IF($B15=0,"",_xlfn.XLOOKUP($B15,INPUT_DATA!$BR:$BR,INPUT_DATA!BS:BS))</f>
        <v>751105358.44000041</v>
      </c>
      <c r="D15" s="397">
        <f>IF($B15=0,"",_xlfn.XLOOKUP($B15,INPUT_DATA!$BR:$BR,INPUT_DATA!BT:BT))</f>
        <v>3495</v>
      </c>
      <c r="E15" s="397">
        <f>IF($B15=0,"",_xlfn.XLOOKUP($B15,INPUT_DATA!$BR:$BR,INPUT_DATA!BU:BU))</f>
        <v>4236769.75</v>
      </c>
      <c r="F15" s="397">
        <f>IF($B15=0,"",_xlfn.XLOOKUP($B15,INPUT_DATA!$BR:$BR,INPUT_DATA!BV:BV))</f>
        <v>18</v>
      </c>
      <c r="G15" s="397">
        <f>IF($B15=0,"",_xlfn.XLOOKUP($B15,INPUT_DATA!$BR:$BR,INPUT_DATA!BW:BW))</f>
        <v>3484003.7800000003</v>
      </c>
      <c r="H15" s="397">
        <f>IF($B15=0,"",_xlfn.XLOOKUP($B15,INPUT_DATA!$BR:$BR,INPUT_DATA!BX:BX))</f>
        <v>14</v>
      </c>
      <c r="I15" s="397">
        <f>IF($B15=0,"",_xlfn.XLOOKUP($B15,INPUT_DATA!$BR:$BR,INPUT_DATA!BY:BY))</f>
        <v>44728.57</v>
      </c>
      <c r="J15" s="397">
        <f>IF($B15=0,"",_xlfn.XLOOKUP($B15,INPUT_DATA!$BR:$BR,INPUT_DATA!BZ:BZ))</f>
        <v>1</v>
      </c>
      <c r="K15" s="765">
        <f>IF($B15=0,"",_xlfn.XLOOKUP($B15,INPUT_DATA!$BR:$BR,INPUT_DATA!CE:CE))</f>
        <v>0</v>
      </c>
      <c r="L15" s="765">
        <f>IF($B15=0,"",_xlfn.XLOOKUP($B15,INPUT_DATA!$BR:$BR,INPUT_DATA!CF:CF))</f>
        <v>354011.26</v>
      </c>
      <c r="M15" s="765">
        <f>IF($B15=0,"",_xlfn.XLOOKUP($B15,INPUT_DATA!$BR:$BR,INPUT_DATA!CG:CG))</f>
        <v>3261115.93</v>
      </c>
      <c r="N15" s="765">
        <f>IF($B15=0,"",_xlfn.XLOOKUP($B15,INPUT_DATA!$BR:$BR,INPUT_DATA!CH:CH))</f>
        <v>0</v>
      </c>
      <c r="O15" s="765">
        <f>IF($B15=0,"",_xlfn.XLOOKUP($B15,INPUT_DATA!$BR:$BR,INPUT_DATA!CI:CI))</f>
        <v>354011.26</v>
      </c>
    </row>
    <row r="16" spans="1:15">
      <c r="B16" s="762">
        <f>'03 - Monthly Asset Follow up'!B21</f>
        <v>46081</v>
      </c>
      <c r="C16" s="397">
        <f>IF($B16=0,"",_xlfn.XLOOKUP($B16,INPUT_DATA!$BR:$BR,INPUT_DATA!BS:BS))</f>
        <v>735583792.3999995</v>
      </c>
      <c r="D16" s="397">
        <f>IF($B16=0,"",_xlfn.XLOOKUP($B16,INPUT_DATA!$BR:$BR,INPUT_DATA!BT:BT))</f>
        <v>3455</v>
      </c>
      <c r="E16" s="397">
        <f>IF($B16=0,"",_xlfn.XLOOKUP($B16,INPUT_DATA!$BR:$BR,INPUT_DATA!BU:BU))</f>
        <v>6519076.6499999994</v>
      </c>
      <c r="F16" s="397">
        <f>IF($B16=0,"",_xlfn.XLOOKUP($B16,INPUT_DATA!$BR:$BR,INPUT_DATA!BV:BV))</f>
        <v>26</v>
      </c>
      <c r="G16" s="397">
        <f>IF($B16=0,"",_xlfn.XLOOKUP($B16,INPUT_DATA!$BR:$BR,INPUT_DATA!BW:BW))</f>
        <v>1194502.6000000001</v>
      </c>
      <c r="H16" s="397">
        <f>IF($B16=0,"",_xlfn.XLOOKUP($B16,INPUT_DATA!$BR:$BR,INPUT_DATA!BX:BX))</f>
        <v>6</v>
      </c>
      <c r="I16" s="397">
        <f>IF($B16=0,"",_xlfn.XLOOKUP($B16,INPUT_DATA!$BR:$BR,INPUT_DATA!BY:BY))</f>
        <v>347623.28</v>
      </c>
      <c r="J16" s="397">
        <f>IF($B16=0,"",_xlfn.XLOOKUP($B16,INPUT_DATA!$BR:$BR,INPUT_DATA!BZ:BZ))</f>
        <v>4</v>
      </c>
      <c r="K16" s="765">
        <f>IF($B16=0,"",_xlfn.XLOOKUP($B16,INPUT_DATA!$BR:$BR,INPUT_DATA!CE:CE))</f>
        <v>0</v>
      </c>
      <c r="L16" s="765">
        <f>IF($B16=0,"",_xlfn.XLOOKUP($B16,INPUT_DATA!$BR:$BR,INPUT_DATA!CF:CF))</f>
        <v>0</v>
      </c>
      <c r="M16" s="765">
        <f>IF($B16=0,"",_xlfn.XLOOKUP($B16,INPUT_DATA!$BR:$BR,INPUT_DATA!CG:CG))</f>
        <v>3621680.6</v>
      </c>
      <c r="N16" s="765">
        <f>IF($B16=0,"",_xlfn.XLOOKUP($B16,INPUT_DATA!$BR:$BR,INPUT_DATA!CH:CH))</f>
        <v>0</v>
      </c>
      <c r="O16" s="765">
        <f>IF($B16=0,"",_xlfn.XLOOKUP($B16,INPUT_DATA!$BR:$BR,INPUT_DATA!CI:CI))</f>
        <v>0</v>
      </c>
    </row>
    <row r="17" spans="2:15">
      <c r="B17" s="762">
        <f>'03 - Monthly Asset Follow up'!B22</f>
        <v>46053</v>
      </c>
      <c r="C17" s="397">
        <f>IF($B17=0,"",_xlfn.XLOOKUP($B17,INPUT_DATA!$BR:$BR,INPUT_DATA!BS:BS))</f>
        <v>742575007.2800014</v>
      </c>
      <c r="D17" s="397">
        <f>IF($B17=0,"",_xlfn.XLOOKUP($B17,INPUT_DATA!$BR:$BR,INPUT_DATA!BT:BT))</f>
        <v>3494</v>
      </c>
      <c r="E17" s="397">
        <f>IF($B17=0,"",_xlfn.XLOOKUP($B17,INPUT_DATA!$BR:$BR,INPUT_DATA!BU:BU))</f>
        <v>5646194.96</v>
      </c>
      <c r="F17" s="397">
        <f>IF($B17=0,"",_xlfn.XLOOKUP($B17,INPUT_DATA!$BR:$BR,INPUT_DATA!BV:BV))</f>
        <v>28</v>
      </c>
      <c r="G17" s="397">
        <f>IF($B17=0,"",_xlfn.XLOOKUP($B17,INPUT_DATA!$BR:$BR,INPUT_DATA!BW:BW))</f>
        <v>910065.83000000019</v>
      </c>
      <c r="H17" s="397">
        <f>IF($B17=0,"",_xlfn.XLOOKUP($B17,INPUT_DATA!$BR:$BR,INPUT_DATA!BX:BX))</f>
        <v>8</v>
      </c>
      <c r="I17" s="397">
        <f>IF($B17=0,"",_xlfn.XLOOKUP($B17,INPUT_DATA!$BR:$BR,INPUT_DATA!BY:BY))</f>
        <v>211377.38999999998</v>
      </c>
      <c r="J17" s="397">
        <f>IF($B17=0,"",_xlfn.XLOOKUP($B17,INPUT_DATA!$BR:$BR,INPUT_DATA!BZ:BZ))</f>
        <v>4</v>
      </c>
      <c r="K17" s="765">
        <f>IF($B17=0,"",_xlfn.XLOOKUP($B17,INPUT_DATA!$BR:$BR,INPUT_DATA!CE:CE))</f>
        <v>0</v>
      </c>
      <c r="L17" s="765">
        <f>IF($B17=0,"",_xlfn.XLOOKUP($B17,INPUT_DATA!$BR:$BR,INPUT_DATA!CF:CF))</f>
        <v>0</v>
      </c>
      <c r="M17" s="765">
        <f>IF($B17=0,"",_xlfn.XLOOKUP($B17,INPUT_DATA!$BR:$BR,INPUT_DATA!CG:CG))</f>
        <v>3625472.48</v>
      </c>
      <c r="N17" s="765">
        <f>IF($B17=0,"",_xlfn.XLOOKUP($B17,INPUT_DATA!$BR:$BR,INPUT_DATA!CH:CH))</f>
        <v>0</v>
      </c>
      <c r="O17" s="765">
        <f>IF($B17=0,"",_xlfn.XLOOKUP($B17,INPUT_DATA!$BR:$BR,INPUT_DATA!CI:CI))</f>
        <v>0</v>
      </c>
    </row>
    <row r="18" spans="2:15">
      <c r="B18" s="762">
        <f>'03 - Monthly Asset Follow up'!B23</f>
        <v>46022</v>
      </c>
      <c r="C18" s="397">
        <f>IF($B18=0,"",_xlfn.XLOOKUP($B18,INPUT_DATA!$BR:$BR,INPUT_DATA!BS:BS))</f>
        <v>745640279.83000076</v>
      </c>
      <c r="D18" s="397">
        <f>IF($B18=0,"",_xlfn.XLOOKUP($B18,INPUT_DATA!$BR:$BR,INPUT_DATA!BT:BT))</f>
        <v>3541</v>
      </c>
      <c r="E18" s="397">
        <f>IF($B18=0,"",_xlfn.XLOOKUP($B18,INPUT_DATA!$BR:$BR,INPUT_DATA!BU:BU))</f>
        <v>8481214.0300000012</v>
      </c>
      <c r="F18" s="397">
        <f>IF($B18=0,"",_xlfn.XLOOKUP($B18,INPUT_DATA!$BR:$BR,INPUT_DATA!BV:BV))</f>
        <v>34</v>
      </c>
      <c r="G18" s="397">
        <f>IF($B18=0,"",_xlfn.XLOOKUP($B18,INPUT_DATA!$BR:$BR,INPUT_DATA!BW:BW))</f>
        <v>1249949.8999999999</v>
      </c>
      <c r="H18" s="397">
        <f>IF($B18=0,"",_xlfn.XLOOKUP($B18,INPUT_DATA!$BR:$BR,INPUT_DATA!BX:BX))</f>
        <v>9</v>
      </c>
      <c r="I18" s="397">
        <f>IF($B18=0,"",_xlfn.XLOOKUP($B18,INPUT_DATA!$BR:$BR,INPUT_DATA!BY:BY))</f>
        <v>188673.13999999998</v>
      </c>
      <c r="J18" s="397">
        <f>IF($B18=0,"",_xlfn.XLOOKUP($B18,INPUT_DATA!$BR:$BR,INPUT_DATA!BZ:BZ))</f>
        <v>3</v>
      </c>
      <c r="K18" s="765">
        <f>IF($B18=0,"",_xlfn.XLOOKUP($B18,INPUT_DATA!$BR:$BR,INPUT_DATA!CE:CE))</f>
        <v>0</v>
      </c>
      <c r="L18" s="765">
        <f>IF($B18=0,"",_xlfn.XLOOKUP($B18,INPUT_DATA!$BR:$BR,INPUT_DATA!CF:CF))</f>
        <v>0</v>
      </c>
      <c r="M18" s="765">
        <f>IF($B18=0,"",_xlfn.XLOOKUP($B18,INPUT_DATA!$BR:$BR,INPUT_DATA!CG:CG))</f>
        <v>3669745.08</v>
      </c>
      <c r="N18" s="765">
        <f>IF($B18=0,"",_xlfn.XLOOKUP($B18,INPUT_DATA!$BR:$BR,INPUT_DATA!CH:CH))</f>
        <v>0</v>
      </c>
      <c r="O18" s="765">
        <f>IF($B18=0,"",_xlfn.XLOOKUP($B18,INPUT_DATA!$BR:$BR,INPUT_DATA!CI:CI))</f>
        <v>0</v>
      </c>
    </row>
    <row r="19" spans="2:15">
      <c r="B19" s="762">
        <f>'03 - Monthly Asset Follow up'!B24</f>
        <v>45991</v>
      </c>
      <c r="C19" s="397">
        <f>IF($B19=0,"",_xlfn.XLOOKUP($B19,INPUT_DATA!$BR:$BR,INPUT_DATA!BS:BS))</f>
        <v>738694113.1099999</v>
      </c>
      <c r="D19" s="397">
        <f>IF($B19=0,"",_xlfn.XLOOKUP($B19,INPUT_DATA!$BR:$BR,INPUT_DATA!BT:BT))</f>
        <v>3532</v>
      </c>
      <c r="E19" s="397">
        <f>IF($B19=0,"",_xlfn.XLOOKUP($B19,INPUT_DATA!$BR:$BR,INPUT_DATA!BU:BU))</f>
        <v>4959784.05</v>
      </c>
      <c r="F19" s="397">
        <f>IF($B19=0,"",_xlfn.XLOOKUP($B19,INPUT_DATA!$BR:$BR,INPUT_DATA!BV:BV))</f>
        <v>24</v>
      </c>
      <c r="G19" s="397">
        <f>IF($B19=0,"",_xlfn.XLOOKUP($B19,INPUT_DATA!$BR:$BR,INPUT_DATA!BW:BW))</f>
        <v>619630.82999999996</v>
      </c>
      <c r="H19" s="397">
        <f>IF($B19=0,"",_xlfn.XLOOKUP($B19,INPUT_DATA!$BR:$BR,INPUT_DATA!BX:BX))</f>
        <v>8</v>
      </c>
      <c r="I19" s="397">
        <f>IF($B19=0,"",_xlfn.XLOOKUP($B19,INPUT_DATA!$BR:$BR,INPUT_DATA!BY:BY))</f>
        <v>401431.07999999996</v>
      </c>
      <c r="J19" s="397">
        <f>IF($B19=0,"",_xlfn.XLOOKUP($B19,INPUT_DATA!$BR:$BR,INPUT_DATA!BZ:BZ))</f>
        <v>3</v>
      </c>
      <c r="K19" s="765">
        <f>IF($B19=0,"",_xlfn.XLOOKUP($B19,INPUT_DATA!$BR:$BR,INPUT_DATA!CE:CE))</f>
        <v>0</v>
      </c>
      <c r="L19" s="765">
        <f>IF($B19=0,"",_xlfn.XLOOKUP($B19,INPUT_DATA!$BR:$BR,INPUT_DATA!CF:CF))</f>
        <v>0</v>
      </c>
      <c r="M19" s="765">
        <f>IF($B19=0,"",_xlfn.XLOOKUP($B19,INPUT_DATA!$BR:$BR,INPUT_DATA!CG:CG))</f>
        <v>3680059.43</v>
      </c>
      <c r="N19" s="765">
        <f>IF($B19=0,"",_xlfn.XLOOKUP($B19,INPUT_DATA!$BR:$BR,INPUT_DATA!CH:CH))</f>
        <v>0</v>
      </c>
      <c r="O19" s="765">
        <f>IF($B19=0,"",_xlfn.XLOOKUP($B19,INPUT_DATA!$BR:$BR,INPUT_DATA!CI:CI))</f>
        <v>0</v>
      </c>
    </row>
    <row r="20" spans="2:15">
      <c r="B20" s="762">
        <f>'03 - Monthly Asset Follow up'!B25</f>
        <v>45961</v>
      </c>
      <c r="C20" s="397">
        <f>IF($B20=0,"",_xlfn.XLOOKUP($B20,INPUT_DATA!$BR:$BR,INPUT_DATA!BS:BS))</f>
        <v>744133315.72000027</v>
      </c>
      <c r="D20" s="397">
        <f>IF($B20=0,"",_xlfn.XLOOKUP($B20,INPUT_DATA!$BR:$BR,INPUT_DATA!BT:BT))</f>
        <v>3563</v>
      </c>
      <c r="E20" s="397">
        <f>IF($B20=0,"",_xlfn.XLOOKUP($B20,INPUT_DATA!$BR:$BR,INPUT_DATA!BU:BU))</f>
        <v>5216432.6400000006</v>
      </c>
      <c r="F20" s="397">
        <f>IF($B20=0,"",_xlfn.XLOOKUP($B20,INPUT_DATA!$BR:$BR,INPUT_DATA!BV:BV))</f>
        <v>26</v>
      </c>
      <c r="G20" s="397">
        <f>IF($B20=0,"",_xlfn.XLOOKUP($B20,INPUT_DATA!$BR:$BR,INPUT_DATA!BW:BW))</f>
        <v>610687.5</v>
      </c>
      <c r="H20" s="397">
        <f>IF($B20=0,"",_xlfn.XLOOKUP($B20,INPUT_DATA!$BR:$BR,INPUT_DATA!BX:BX))</f>
        <v>7</v>
      </c>
      <c r="I20" s="397">
        <f>IF($B20=0,"",_xlfn.XLOOKUP($B20,INPUT_DATA!$BR:$BR,INPUT_DATA!BY:BY))</f>
        <v>228403.85</v>
      </c>
      <c r="J20" s="397">
        <f>IF($B20=0,"",_xlfn.XLOOKUP($B20,INPUT_DATA!$BR:$BR,INPUT_DATA!BZ:BZ))</f>
        <v>3</v>
      </c>
      <c r="K20" s="765">
        <f>IF($B20=0,"",_xlfn.XLOOKUP($B20,INPUT_DATA!$BR:$BR,INPUT_DATA!CE:CE))</f>
        <v>0</v>
      </c>
      <c r="L20" s="765">
        <f>IF($B20=0,"",_xlfn.XLOOKUP($B20,INPUT_DATA!$BR:$BR,INPUT_DATA!CF:CF))</f>
        <v>0</v>
      </c>
      <c r="M20" s="765">
        <f>IF($B20=0,"",_xlfn.XLOOKUP($B20,INPUT_DATA!$BR:$BR,INPUT_DATA!CG:CG))</f>
        <v>3724271.24</v>
      </c>
      <c r="N20" s="765">
        <f>IF($B20=0,"",_xlfn.XLOOKUP($B20,INPUT_DATA!$BR:$BR,INPUT_DATA!CH:CH))</f>
        <v>0</v>
      </c>
      <c r="O20" s="765">
        <f>IF($B20=0,"",_xlfn.XLOOKUP($B20,INPUT_DATA!$BR:$BR,INPUT_DATA!CI:CI))</f>
        <v>0</v>
      </c>
    </row>
    <row r="21" spans="2:15">
      <c r="B21" s="762">
        <f>'03 - Monthly Asset Follow up'!B26</f>
        <v>45930</v>
      </c>
      <c r="C21" s="397">
        <f>IF($B21=0,"",_xlfn.XLOOKUP($B21,INPUT_DATA!$BR:$BR,INPUT_DATA!BS:BS))</f>
        <v>750681652.66000092</v>
      </c>
      <c r="D21" s="397">
        <f>IF($B21=0,"",_xlfn.XLOOKUP($B21,INPUT_DATA!$BR:$BR,INPUT_DATA!BT:BT))</f>
        <v>3627</v>
      </c>
      <c r="E21" s="397">
        <f>IF($B21=0,"",_xlfn.XLOOKUP($B21,INPUT_DATA!$BR:$BR,INPUT_DATA!BU:BU))</f>
        <v>4484138.3999999994</v>
      </c>
      <c r="F21" s="397">
        <f>IF($B21=0,"",_xlfn.XLOOKUP($B21,INPUT_DATA!$BR:$BR,INPUT_DATA!BV:BV))</f>
        <v>18</v>
      </c>
      <c r="G21" s="397">
        <f>IF($B21=0,"",_xlfn.XLOOKUP($B21,INPUT_DATA!$BR:$BR,INPUT_DATA!BW:BW))</f>
        <v>390599.77</v>
      </c>
      <c r="H21" s="397">
        <f>IF($B21=0,"",_xlfn.XLOOKUP($B21,INPUT_DATA!$BR:$BR,INPUT_DATA!BX:BX))</f>
        <v>6</v>
      </c>
      <c r="I21" s="397">
        <f>IF($B21=0,"",_xlfn.XLOOKUP($B21,INPUT_DATA!$BR:$BR,INPUT_DATA!BY:BY))</f>
        <v>0</v>
      </c>
      <c r="J21" s="397">
        <f>IF($B21=0,"",_xlfn.XLOOKUP($B21,INPUT_DATA!$BR:$BR,INPUT_DATA!BZ:BZ))</f>
        <v>0</v>
      </c>
      <c r="K21" s="765">
        <f>IF($B21=0,"",_xlfn.XLOOKUP($B21,INPUT_DATA!$BR:$BR,INPUT_DATA!CE:CE))</f>
        <v>0</v>
      </c>
      <c r="L21" s="765">
        <f>IF($B21=0,"",_xlfn.XLOOKUP($B21,INPUT_DATA!$BR:$BR,INPUT_DATA!CF:CF))</f>
        <v>0</v>
      </c>
      <c r="M21" s="765">
        <f>IF($B21=0,"",_xlfn.XLOOKUP($B21,INPUT_DATA!$BR:$BR,INPUT_DATA!CG:CG))</f>
        <v>3730785.51</v>
      </c>
      <c r="N21" s="765">
        <f>IF($B21=0,"",_xlfn.XLOOKUP($B21,INPUT_DATA!$BR:$BR,INPUT_DATA!CH:CH))</f>
        <v>0</v>
      </c>
      <c r="O21" s="765">
        <f>IF($B21=0,"",_xlfn.XLOOKUP($B21,INPUT_DATA!$BR:$BR,INPUT_DATA!CI:CI))</f>
        <v>0</v>
      </c>
    </row>
    <row r="22" spans="2:15">
      <c r="B22" s="762">
        <f>'03 - Monthly Asset Follow up'!B27</f>
        <v>45900</v>
      </c>
      <c r="C22" s="397">
        <f>IF($B22=0,"",_xlfn.XLOOKUP($B22,INPUT_DATA!$BR:$BR,INPUT_DATA!BS:BS))</f>
        <v>739032345.48000097</v>
      </c>
      <c r="D22" s="397">
        <f>IF($B22=0,"",_xlfn.XLOOKUP($B22,INPUT_DATA!$BR:$BR,INPUT_DATA!BT:BT))</f>
        <v>3644</v>
      </c>
      <c r="E22" s="397">
        <f>IF($B22=0,"",_xlfn.XLOOKUP($B22,INPUT_DATA!$BR:$BR,INPUT_DATA!BU:BU))</f>
        <v>5625020.3699999992</v>
      </c>
      <c r="F22" s="397">
        <f>IF($B22=0,"",_xlfn.XLOOKUP($B22,INPUT_DATA!$BR:$BR,INPUT_DATA!BV:BV))</f>
        <v>22</v>
      </c>
      <c r="G22" s="397">
        <f>IF($B22=0,"",_xlfn.XLOOKUP($B22,INPUT_DATA!$BR:$BR,INPUT_DATA!BW:BW))</f>
        <v>190365.25</v>
      </c>
      <c r="H22" s="397">
        <f>IF($B22=0,"",_xlfn.XLOOKUP($B22,INPUT_DATA!$BR:$BR,INPUT_DATA!BX:BX))</f>
        <v>3</v>
      </c>
      <c r="I22" s="397">
        <f>IF($B22=0,"",_xlfn.XLOOKUP($B22,INPUT_DATA!$BR:$BR,INPUT_DATA!BY:BY))</f>
        <v>227882.65000000002</v>
      </c>
      <c r="J22" s="397">
        <f>IF($B22=0,"",_xlfn.XLOOKUP($B22,INPUT_DATA!$BR:$BR,INPUT_DATA!BZ:BZ))</f>
        <v>3</v>
      </c>
      <c r="K22" s="765">
        <f>IF($B22=0,"",_xlfn.XLOOKUP($B22,INPUT_DATA!$BR:$BR,INPUT_DATA!CE:CE))</f>
        <v>0</v>
      </c>
      <c r="L22" s="765">
        <f>IF($B22=0,"",_xlfn.XLOOKUP($B22,INPUT_DATA!$BR:$BR,INPUT_DATA!CF:CF))</f>
        <v>0</v>
      </c>
      <c r="M22" s="765">
        <f>IF($B22=0,"",_xlfn.XLOOKUP($B22,INPUT_DATA!$BR:$BR,INPUT_DATA!CG:CG))</f>
        <v>3734554.75</v>
      </c>
      <c r="N22" s="765">
        <f>IF($B22=0,"",_xlfn.XLOOKUP($B22,INPUT_DATA!$BR:$BR,INPUT_DATA!CH:CH))</f>
        <v>0</v>
      </c>
      <c r="O22" s="765">
        <f>IF($B22=0,"",_xlfn.XLOOKUP($B22,INPUT_DATA!$BR:$BR,INPUT_DATA!CI:CI))</f>
        <v>0</v>
      </c>
    </row>
    <row r="23" spans="2:15">
      <c r="B23" s="762">
        <f>'03 - Monthly Asset Follow up'!B28</f>
        <v>45869</v>
      </c>
      <c r="C23" s="397">
        <f>IF($B23=0,"",_xlfn.XLOOKUP($B23,INPUT_DATA!$BR:$BR,INPUT_DATA!BS:BS))</f>
        <v>745355324.04000115</v>
      </c>
      <c r="D23" s="397">
        <f>IF($B23=0,"",_xlfn.XLOOKUP($B23,INPUT_DATA!$BR:$BR,INPUT_DATA!BT:BT))</f>
        <v>3705</v>
      </c>
      <c r="E23" s="397">
        <f>IF($B23=0,"",_xlfn.XLOOKUP($B23,INPUT_DATA!$BR:$BR,INPUT_DATA!BU:BU))</f>
        <v>4460746.67</v>
      </c>
      <c r="F23" s="397">
        <f>IF($B23=0,"",_xlfn.XLOOKUP($B23,INPUT_DATA!$BR:$BR,INPUT_DATA!BV:BV))</f>
        <v>23</v>
      </c>
      <c r="G23" s="397">
        <f>IF($B23=0,"",_xlfn.XLOOKUP($B23,INPUT_DATA!$BR:$BR,INPUT_DATA!BW:BW))</f>
        <v>967465.45000000007</v>
      </c>
      <c r="H23" s="397">
        <f>IF($B23=0,"",_xlfn.XLOOKUP($B23,INPUT_DATA!$BR:$BR,INPUT_DATA!BX:BX))</f>
        <v>5</v>
      </c>
      <c r="I23" s="397">
        <f>IF($B23=0,"",_xlfn.XLOOKUP($B23,INPUT_DATA!$BR:$BR,INPUT_DATA!BY:BY))</f>
        <v>157974.89000000001</v>
      </c>
      <c r="J23" s="397">
        <f>IF($B23=0,"",_xlfn.XLOOKUP($B23,INPUT_DATA!$BR:$BR,INPUT_DATA!BZ:BZ))</f>
        <v>3</v>
      </c>
      <c r="K23" s="765">
        <f>IF($B23=0,"",_xlfn.XLOOKUP($B23,INPUT_DATA!$BR:$BR,INPUT_DATA!CE:CE))</f>
        <v>0</v>
      </c>
      <c r="L23" s="765">
        <f>IF($B23=0,"",_xlfn.XLOOKUP($B23,INPUT_DATA!$BR:$BR,INPUT_DATA!CF:CF))</f>
        <v>373612.75</v>
      </c>
      <c r="M23" s="765">
        <f>IF($B23=0,"",_xlfn.XLOOKUP($B23,INPUT_DATA!$BR:$BR,INPUT_DATA!CG:CG))</f>
        <v>3405093.1</v>
      </c>
      <c r="N23" s="765">
        <f>IF($B23=0,"",_xlfn.XLOOKUP($B23,INPUT_DATA!$BR:$BR,INPUT_DATA!CH:CH))</f>
        <v>0</v>
      </c>
      <c r="O23" s="765">
        <f>IF($B23=0,"",_xlfn.XLOOKUP($B23,INPUT_DATA!$BR:$BR,INPUT_DATA!CI:CI))</f>
        <v>373612.75</v>
      </c>
    </row>
    <row r="24" spans="2:15">
      <c r="B24" s="762">
        <f>'03 - Monthly Asset Follow up'!B29</f>
        <v>45838</v>
      </c>
      <c r="C24" s="397">
        <f>IF($B24=0,"",_xlfn.XLOOKUP($B24,INPUT_DATA!$BR:$BR,INPUT_DATA!BS:BS))</f>
        <v>748209647.07000005</v>
      </c>
      <c r="D24" s="397">
        <f>IF($B24=0,"",_xlfn.XLOOKUP($B24,INPUT_DATA!$BR:$BR,INPUT_DATA!BT:BT))</f>
        <v>3733</v>
      </c>
      <c r="E24" s="397">
        <f>IF($B24=0,"",_xlfn.XLOOKUP($B24,INPUT_DATA!$BR:$BR,INPUT_DATA!BU:BU))</f>
        <v>7692336.9099999992</v>
      </c>
      <c r="F24" s="397">
        <f>IF($B24=0,"",_xlfn.XLOOKUP($B24,INPUT_DATA!$BR:$BR,INPUT_DATA!BV:BV))</f>
        <v>37</v>
      </c>
      <c r="G24" s="397">
        <f>IF($B24=0,"",_xlfn.XLOOKUP($B24,INPUT_DATA!$BR:$BR,INPUT_DATA!BW:BW))</f>
        <v>850813.64</v>
      </c>
      <c r="H24" s="397">
        <f>IF($B24=0,"",_xlfn.XLOOKUP($B24,INPUT_DATA!$BR:$BR,INPUT_DATA!BX:BX))</f>
        <v>7</v>
      </c>
      <c r="I24" s="397">
        <f>IF($B24=0,"",_xlfn.XLOOKUP($B24,INPUT_DATA!$BR:$BR,INPUT_DATA!BY:BY))</f>
        <v>269196.77</v>
      </c>
      <c r="J24" s="397">
        <f>IF($B24=0,"",_xlfn.XLOOKUP($B24,INPUT_DATA!$BR:$BR,INPUT_DATA!BZ:BZ))</f>
        <v>4</v>
      </c>
      <c r="K24" s="765">
        <f>IF($B24=0,"",_xlfn.XLOOKUP($B24,INPUT_DATA!$BR:$BR,INPUT_DATA!CE:CE))</f>
        <v>0</v>
      </c>
      <c r="L24" s="765">
        <f>IF($B24=0,"",_xlfn.XLOOKUP($B24,INPUT_DATA!$BR:$BR,INPUT_DATA!CF:CF))</f>
        <v>0</v>
      </c>
      <c r="M24" s="765">
        <f>IF($B24=0,"",_xlfn.XLOOKUP($B24,INPUT_DATA!$BR:$BR,INPUT_DATA!CG:CG))</f>
        <v>3573428.34</v>
      </c>
      <c r="N24" s="765">
        <f>IF($B24=0,"",_xlfn.XLOOKUP($B24,INPUT_DATA!$BR:$BR,INPUT_DATA!CH:CH))</f>
        <v>0</v>
      </c>
      <c r="O24" s="765">
        <f>IF($B24=0,"",_xlfn.XLOOKUP($B24,INPUT_DATA!$BR:$BR,INPUT_DATA!CI:CI))</f>
        <v>0</v>
      </c>
    </row>
    <row r="25" spans="2:15">
      <c r="B25" s="762">
        <f>'03 - Monthly Asset Follow up'!B30</f>
        <v>45808</v>
      </c>
      <c r="C25" s="397">
        <f>IF($B25=0,"",_xlfn.XLOOKUP($B25,INPUT_DATA!$BR:$BR,INPUT_DATA!BS:BS))</f>
        <v>627826398.62999904</v>
      </c>
      <c r="D25" s="397">
        <f>IF($B25=0,"",_xlfn.XLOOKUP($B25,INPUT_DATA!$BR:$BR,INPUT_DATA!BT:BT))</f>
        <v>3321</v>
      </c>
      <c r="E25" s="397">
        <f>IF($B25=0,"",_xlfn.XLOOKUP($B25,INPUT_DATA!$BR:$BR,INPUT_DATA!BU:BU))</f>
        <v>4932526.97</v>
      </c>
      <c r="F25" s="397">
        <f>IF($B25=0,"",_xlfn.XLOOKUP($B25,INPUT_DATA!$BR:$BR,INPUT_DATA!BV:BV))</f>
        <v>27</v>
      </c>
      <c r="G25" s="397">
        <f>IF($B25=0,"",_xlfn.XLOOKUP($B25,INPUT_DATA!$BR:$BR,INPUT_DATA!BW:BW))</f>
        <v>1756598.0199999998</v>
      </c>
      <c r="H25" s="397">
        <f>IF($B25=0,"",_xlfn.XLOOKUP($B25,INPUT_DATA!$BR:$BR,INPUT_DATA!BX:BX))</f>
        <v>19</v>
      </c>
      <c r="I25" s="397">
        <f>IF($B25=0,"",_xlfn.XLOOKUP($B25,INPUT_DATA!$BR:$BR,INPUT_DATA!BY:BY))</f>
        <v>96038.760000000009</v>
      </c>
      <c r="J25" s="397">
        <f>IF($B25=0,"",_xlfn.XLOOKUP($B25,INPUT_DATA!$BR:$BR,INPUT_DATA!BZ:BZ))</f>
        <v>4</v>
      </c>
      <c r="K25" s="765">
        <f>IF($B25=0,"",_xlfn.XLOOKUP($B25,INPUT_DATA!$BR:$BR,INPUT_DATA!CE:CE))</f>
        <v>0</v>
      </c>
      <c r="L25" s="765">
        <f>IF($B25=0,"",_xlfn.XLOOKUP($B25,INPUT_DATA!$BR:$BR,INPUT_DATA!CF:CF))</f>
        <v>0</v>
      </c>
      <c r="M25" s="765">
        <f>IF($B25=0,"",_xlfn.XLOOKUP($B25,INPUT_DATA!$BR:$BR,INPUT_DATA!CG:CG))</f>
        <v>3573428.34</v>
      </c>
      <c r="N25" s="765">
        <f>IF($B25=0,"",_xlfn.XLOOKUP($B25,INPUT_DATA!$BR:$BR,INPUT_DATA!CH:CH))</f>
        <v>0</v>
      </c>
      <c r="O25" s="765">
        <f>IF($B25=0,"",_xlfn.XLOOKUP($B25,INPUT_DATA!$BR:$BR,INPUT_DATA!CI:CI))</f>
        <v>0</v>
      </c>
    </row>
    <row r="26" spans="2:15">
      <c r="B26" s="762">
        <f>'03 - Monthly Asset Follow up'!B31</f>
        <v>45777</v>
      </c>
      <c r="C26" s="397">
        <f>IF($B26=0,"",_xlfn.XLOOKUP($B26,INPUT_DATA!$BR:$BR,INPUT_DATA!BS:BS))</f>
        <v>633048701.53000045</v>
      </c>
      <c r="D26" s="397">
        <f>IF($B26=0,"",_xlfn.XLOOKUP($B26,INPUT_DATA!$BR:$BR,INPUT_DATA!BT:BT))</f>
        <v>3362</v>
      </c>
      <c r="E26" s="397">
        <f>IF($B26=0,"",_xlfn.XLOOKUP($B26,INPUT_DATA!$BR:$BR,INPUT_DATA!BU:BU))</f>
        <v>6223007.6399999997</v>
      </c>
      <c r="F26" s="397">
        <f>IF($B26=0,"",_xlfn.XLOOKUP($B26,INPUT_DATA!$BR:$BR,INPUT_DATA!BV:BV))</f>
        <v>31</v>
      </c>
      <c r="G26" s="397">
        <f>IF($B26=0,"",_xlfn.XLOOKUP($B26,INPUT_DATA!$BR:$BR,INPUT_DATA!BW:BW))</f>
        <v>912553.32000000007</v>
      </c>
      <c r="H26" s="397">
        <f>IF($B26=0,"",_xlfn.XLOOKUP($B26,INPUT_DATA!$BR:$BR,INPUT_DATA!BX:BX))</f>
        <v>11</v>
      </c>
      <c r="I26" s="397">
        <f>IF($B26=0,"",_xlfn.XLOOKUP($B26,INPUT_DATA!$BR:$BR,INPUT_DATA!BY:BY))</f>
        <v>9071.5400000000009</v>
      </c>
      <c r="J26" s="397">
        <f>IF($B26=0,"",_xlfn.XLOOKUP($B26,INPUT_DATA!$BR:$BR,INPUT_DATA!BZ:BZ))</f>
        <v>2</v>
      </c>
      <c r="K26" s="765">
        <f>IF($B26=0,"",_xlfn.XLOOKUP($B26,INPUT_DATA!$BR:$BR,INPUT_DATA!CE:CE))</f>
        <v>0</v>
      </c>
      <c r="L26" s="765">
        <f>IF($B26=0,"",_xlfn.XLOOKUP($B26,INPUT_DATA!$BR:$BR,INPUT_DATA!CF:CF))</f>
        <v>380107.53</v>
      </c>
      <c r="M26" s="765">
        <f>IF($B26=0,"",_xlfn.XLOOKUP($B26,INPUT_DATA!$BR:$BR,INPUT_DATA!CG:CG))</f>
        <v>3237411.29</v>
      </c>
      <c r="N26" s="765">
        <f>IF($B26=0,"",_xlfn.XLOOKUP($B26,INPUT_DATA!$BR:$BR,INPUT_DATA!CH:CH))</f>
        <v>0</v>
      </c>
      <c r="O26" s="765">
        <f>IF($B26=0,"",_xlfn.XLOOKUP($B26,INPUT_DATA!$BR:$BR,INPUT_DATA!CI:CI))</f>
        <v>380107.53</v>
      </c>
    </row>
    <row r="27" spans="2:15">
      <c r="B27" s="762">
        <f>'03 - Monthly Asset Follow up'!B32</f>
        <v>45747</v>
      </c>
      <c r="C27" s="397">
        <f>IF($B27=0,"",_xlfn.XLOOKUP($B27,INPUT_DATA!$BR:$BR,INPUT_DATA!BS:BS))</f>
        <v>640449995.28999972</v>
      </c>
      <c r="D27" s="397">
        <f>IF($B27=0,"",_xlfn.XLOOKUP($B27,INPUT_DATA!$BR:$BR,INPUT_DATA!BT:BT))</f>
        <v>3433</v>
      </c>
      <c r="E27" s="397">
        <f>IF($B27=0,"",_xlfn.XLOOKUP($B27,INPUT_DATA!$BR:$BR,INPUT_DATA!BU:BU))</f>
        <v>4244523.54</v>
      </c>
      <c r="F27" s="397">
        <f>IF($B27=0,"",_xlfn.XLOOKUP($B27,INPUT_DATA!$BR:$BR,INPUT_DATA!BV:BV))</f>
        <v>28</v>
      </c>
      <c r="G27" s="397">
        <f>IF($B27=0,"",_xlfn.XLOOKUP($B27,INPUT_DATA!$BR:$BR,INPUT_DATA!BW:BW))</f>
        <v>990484.6399999999</v>
      </c>
      <c r="H27" s="397">
        <f>IF($B27=0,"",_xlfn.XLOOKUP($B27,INPUT_DATA!$BR:$BR,INPUT_DATA!BX:BX))</f>
        <v>8</v>
      </c>
      <c r="I27" s="397">
        <f>IF($B27=0,"",_xlfn.XLOOKUP($B27,INPUT_DATA!$BR:$BR,INPUT_DATA!BY:BY))</f>
        <v>168470.15</v>
      </c>
      <c r="J27" s="397">
        <f>IF($B27=0,"",_xlfn.XLOOKUP($B27,INPUT_DATA!$BR:$BR,INPUT_DATA!BZ:BZ))</f>
        <v>2</v>
      </c>
      <c r="K27" s="765">
        <f>IF($B27=0,"",_xlfn.XLOOKUP($B27,INPUT_DATA!$BR:$BR,INPUT_DATA!CE:CE))</f>
        <v>0</v>
      </c>
      <c r="L27" s="765">
        <f>IF($B27=0,"",_xlfn.XLOOKUP($B27,INPUT_DATA!$BR:$BR,INPUT_DATA!CF:CF))</f>
        <v>0</v>
      </c>
      <c r="M27" s="765">
        <f>IF($B27=0,"",_xlfn.XLOOKUP($B27,INPUT_DATA!$BR:$BR,INPUT_DATA!CG:CG))</f>
        <v>3623994.18</v>
      </c>
      <c r="N27" s="765">
        <f>IF($B27=0,"",_xlfn.XLOOKUP($B27,INPUT_DATA!$BR:$BR,INPUT_DATA!CH:CH))</f>
        <v>0</v>
      </c>
      <c r="O27" s="765">
        <f>IF($B27=0,"",_xlfn.XLOOKUP($B27,INPUT_DATA!$BR:$BR,INPUT_DATA!CI:CI))</f>
        <v>0</v>
      </c>
    </row>
    <row r="28" spans="2:15">
      <c r="B28" s="762">
        <f>'03 - Monthly Asset Follow up'!B33</f>
        <v>45716</v>
      </c>
      <c r="C28" s="397">
        <f>IF($B28=0,"",_xlfn.XLOOKUP($B28,INPUT_DATA!$BR:$BR,INPUT_DATA!BS:BS))</f>
        <v>646817799.36999881</v>
      </c>
      <c r="D28" s="397">
        <f>IF($B28=0,"",_xlfn.XLOOKUP($B28,INPUT_DATA!$BR:$BR,INPUT_DATA!BT:BT))</f>
        <v>3441</v>
      </c>
      <c r="E28" s="397">
        <f>IF($B28=0,"",_xlfn.XLOOKUP($B28,INPUT_DATA!$BR:$BR,INPUT_DATA!BU:BU))</f>
        <v>4471765.5500000007</v>
      </c>
      <c r="F28" s="397">
        <f>IF($B28=0,"",_xlfn.XLOOKUP($B28,INPUT_DATA!$BR:$BR,INPUT_DATA!BV:BV))</f>
        <v>20</v>
      </c>
      <c r="G28" s="397">
        <f>IF($B28=0,"",_xlfn.XLOOKUP($B28,INPUT_DATA!$BR:$BR,INPUT_DATA!BW:BW))</f>
        <v>841202.37</v>
      </c>
      <c r="H28" s="397">
        <f>IF($B28=0,"",_xlfn.XLOOKUP($B28,INPUT_DATA!$BR:$BR,INPUT_DATA!BX:BX))</f>
        <v>8</v>
      </c>
      <c r="I28" s="397">
        <f>IF($B28=0,"",_xlfn.XLOOKUP($B28,INPUT_DATA!$BR:$BR,INPUT_DATA!BY:BY))</f>
        <v>119287.12999999999</v>
      </c>
      <c r="J28" s="397">
        <f>IF($B28=0,"",_xlfn.XLOOKUP($B28,INPUT_DATA!$BR:$BR,INPUT_DATA!BZ:BZ))</f>
        <v>2</v>
      </c>
      <c r="K28" s="765">
        <f>IF($B28=0,"",_xlfn.XLOOKUP($B28,INPUT_DATA!$BR:$BR,INPUT_DATA!CE:CE))</f>
        <v>0</v>
      </c>
      <c r="L28" s="765">
        <f>IF($B28=0,"",_xlfn.XLOOKUP($B28,INPUT_DATA!$BR:$BR,INPUT_DATA!CF:CF))</f>
        <v>0</v>
      </c>
      <c r="M28" s="765">
        <f>IF($B28=0,"",_xlfn.XLOOKUP($B28,INPUT_DATA!$BR:$BR,INPUT_DATA!CG:CG))</f>
        <v>3623994.18</v>
      </c>
      <c r="N28" s="765">
        <f>IF($B28=0,"",_xlfn.XLOOKUP($B28,INPUT_DATA!$BR:$BR,INPUT_DATA!CH:CH))</f>
        <v>0</v>
      </c>
      <c r="O28" s="765">
        <f>IF($B28=0,"",_xlfn.XLOOKUP($B28,INPUT_DATA!$BR:$BR,INPUT_DATA!CI:CI))</f>
        <v>0</v>
      </c>
    </row>
    <row r="29" spans="2:15">
      <c r="B29" s="762">
        <f>'03 - Monthly Asset Follow up'!B34</f>
        <v>45688</v>
      </c>
      <c r="C29" s="397">
        <f>IF($B29=0,"",_xlfn.XLOOKUP($B29,INPUT_DATA!$BR:$BR,INPUT_DATA!BS:BS))</f>
        <v>648263063.34000027</v>
      </c>
      <c r="D29" s="397">
        <f>IF($B29=0,"",_xlfn.XLOOKUP($B29,INPUT_DATA!$BR:$BR,INPUT_DATA!BT:BT))</f>
        <v>3482</v>
      </c>
      <c r="E29" s="397">
        <f>IF($B29=0,"",_xlfn.XLOOKUP($B29,INPUT_DATA!$BR:$BR,INPUT_DATA!BU:BU))</f>
        <v>7712227.5899999999</v>
      </c>
      <c r="F29" s="397">
        <f>IF($B29=0,"",_xlfn.XLOOKUP($B29,INPUT_DATA!$BR:$BR,INPUT_DATA!BV:BV))</f>
        <v>33</v>
      </c>
      <c r="G29" s="397">
        <f>IF($B29=0,"",_xlfn.XLOOKUP($B29,INPUT_DATA!$BR:$BR,INPUT_DATA!BW:BW))</f>
        <v>1561979.1300000001</v>
      </c>
      <c r="H29" s="397">
        <f>IF($B29=0,"",_xlfn.XLOOKUP($B29,INPUT_DATA!$BR:$BR,INPUT_DATA!BX:BX))</f>
        <v>13</v>
      </c>
      <c r="I29" s="397">
        <f>IF($B29=0,"",_xlfn.XLOOKUP($B29,INPUT_DATA!$BR:$BR,INPUT_DATA!BY:BY))</f>
        <v>8835.06</v>
      </c>
      <c r="J29" s="397">
        <f>IF($B29=0,"",_xlfn.XLOOKUP($B29,INPUT_DATA!$BR:$BR,INPUT_DATA!BZ:BZ))</f>
        <v>1</v>
      </c>
      <c r="K29" s="765">
        <f>IF($B29=0,"",_xlfn.XLOOKUP($B29,INPUT_DATA!$BR:$BR,INPUT_DATA!CE:CE))</f>
        <v>0</v>
      </c>
      <c r="L29" s="765">
        <f>IF($B29=0,"",_xlfn.XLOOKUP($B29,INPUT_DATA!$BR:$BR,INPUT_DATA!CF:CF))</f>
        <v>0</v>
      </c>
      <c r="M29" s="765">
        <f>IF($B29=0,"",_xlfn.XLOOKUP($B29,INPUT_DATA!$BR:$BR,INPUT_DATA!CG:CG))</f>
        <v>3668024.12</v>
      </c>
      <c r="N29" s="765">
        <f>IF($B29=0,"",_xlfn.XLOOKUP($B29,INPUT_DATA!$BR:$BR,INPUT_DATA!CH:CH))</f>
        <v>0</v>
      </c>
      <c r="O29" s="765">
        <f>IF($B29=0,"",_xlfn.XLOOKUP($B29,INPUT_DATA!$BR:$BR,INPUT_DATA!CI:CI))</f>
        <v>0</v>
      </c>
    </row>
    <row r="30" spans="2:15">
      <c r="B30" s="762">
        <f>'03 - Monthly Asset Follow up'!B35</f>
        <v>45657</v>
      </c>
      <c r="C30" s="397">
        <f>IF($B30=0,"",_xlfn.XLOOKUP($B30,INPUT_DATA!$BR:$BR,INPUT_DATA!BS:BS))</f>
        <v>658903565.76999998</v>
      </c>
      <c r="D30" s="397">
        <f>IF($B30=0,"",_xlfn.XLOOKUP($B30,INPUT_DATA!$BR:$BR,INPUT_DATA!BT:BT))</f>
        <v>3490</v>
      </c>
      <c r="E30" s="397">
        <f>IF($B30=0,"",_xlfn.XLOOKUP($B30,INPUT_DATA!$BR:$BR,INPUT_DATA!BU:BU))</f>
        <v>2694727.06</v>
      </c>
      <c r="F30" s="397">
        <f>IF($B30=0,"",_xlfn.XLOOKUP($B30,INPUT_DATA!$BR:$BR,INPUT_DATA!BV:BV))</f>
        <v>23</v>
      </c>
      <c r="G30" s="397">
        <f>IF($B30=0,"",_xlfn.XLOOKUP($B30,INPUT_DATA!$BR:$BR,INPUT_DATA!BW:BW))</f>
        <v>1801960.42</v>
      </c>
      <c r="H30" s="397">
        <f>IF($B30=0,"",_xlfn.XLOOKUP($B30,INPUT_DATA!$BR:$BR,INPUT_DATA!BX:BX))</f>
        <v>14</v>
      </c>
      <c r="I30" s="397">
        <f>IF($B30=0,"",_xlfn.XLOOKUP($B30,INPUT_DATA!$BR:$BR,INPUT_DATA!BY:BY))</f>
        <v>115467.37</v>
      </c>
      <c r="J30" s="397">
        <f>IF($B30=0,"",_xlfn.XLOOKUP($B30,INPUT_DATA!$BR:$BR,INPUT_DATA!BZ:BZ))</f>
        <v>2</v>
      </c>
      <c r="K30" s="765">
        <f>IF($B30=0,"",_xlfn.XLOOKUP($B30,INPUT_DATA!$BR:$BR,INPUT_DATA!CE:CE))</f>
        <v>0</v>
      </c>
      <c r="L30" s="765">
        <f>IF($B30=0,"",_xlfn.XLOOKUP($B30,INPUT_DATA!$BR:$BR,INPUT_DATA!CF:CF))</f>
        <v>0</v>
      </c>
      <c r="M30" s="765">
        <f>IF($B30=0,"",_xlfn.XLOOKUP($B30,INPUT_DATA!$BR:$BR,INPUT_DATA!CG:CG))</f>
        <v>3674480.11</v>
      </c>
      <c r="N30" s="765">
        <f>IF($B30=0,"",_xlfn.XLOOKUP($B30,INPUT_DATA!$BR:$BR,INPUT_DATA!CH:CH))</f>
        <v>0</v>
      </c>
      <c r="O30" s="765">
        <f>IF($B30=0,"",_xlfn.XLOOKUP($B30,INPUT_DATA!$BR:$BR,INPUT_DATA!CI:CI))</f>
        <v>0</v>
      </c>
    </row>
    <row r="31" spans="2:15">
      <c r="B31" s="762">
        <f>'03 - Monthly Asset Follow up'!B36</f>
        <v>45626</v>
      </c>
      <c r="C31" s="397">
        <f>IF($B31=0,"",_xlfn.XLOOKUP($B31,INPUT_DATA!$BR:$BR,INPUT_DATA!BS:BS))</f>
        <v>665911694.68999898</v>
      </c>
      <c r="D31" s="397">
        <f>IF($B31=0,"",_xlfn.XLOOKUP($B31,INPUT_DATA!$BR:$BR,INPUT_DATA!BT:BT))</f>
        <v>3525</v>
      </c>
      <c r="E31" s="397">
        <f>IF($B31=0,"",_xlfn.XLOOKUP($B31,INPUT_DATA!$BR:$BR,INPUT_DATA!BU:BU))</f>
        <v>2785849.18</v>
      </c>
      <c r="F31" s="397">
        <f>IF($B31=0,"",_xlfn.XLOOKUP($B31,INPUT_DATA!$BR:$BR,INPUT_DATA!BV:BV))</f>
        <v>15</v>
      </c>
      <c r="G31" s="397">
        <f>IF($B31=0,"",_xlfn.XLOOKUP($B31,INPUT_DATA!$BR:$BR,INPUT_DATA!BW:BW))</f>
        <v>806722.00999999989</v>
      </c>
      <c r="H31" s="397">
        <f>IF($B31=0,"",_xlfn.XLOOKUP($B31,INPUT_DATA!$BR:$BR,INPUT_DATA!BX:BX))</f>
        <v>10</v>
      </c>
      <c r="I31" s="397">
        <f>IF($B31=0,"",_xlfn.XLOOKUP($B31,INPUT_DATA!$BR:$BR,INPUT_DATA!BY:BY))</f>
        <v>16250.33</v>
      </c>
      <c r="J31" s="397">
        <f>IF($B31=0,"",_xlfn.XLOOKUP($B31,INPUT_DATA!$BR:$BR,INPUT_DATA!BZ:BZ))</f>
        <v>2</v>
      </c>
      <c r="K31" s="765">
        <f>IF($B31=0,"",_xlfn.XLOOKUP($B31,INPUT_DATA!$BR:$BR,INPUT_DATA!CE:CE))</f>
        <v>0</v>
      </c>
      <c r="L31" s="765">
        <f>IF($B31=0,"",_xlfn.XLOOKUP($B31,INPUT_DATA!$BR:$BR,INPUT_DATA!CF:CF))</f>
        <v>0</v>
      </c>
      <c r="M31" s="765">
        <f>IF($B31=0,"",_xlfn.XLOOKUP($B31,INPUT_DATA!$BR:$BR,INPUT_DATA!CG:CG))</f>
        <v>3674480.11</v>
      </c>
      <c r="N31" s="765">
        <f>IF($B31=0,"",_xlfn.XLOOKUP($B31,INPUT_DATA!$BR:$BR,INPUT_DATA!CH:CH))</f>
        <v>0</v>
      </c>
      <c r="O31" s="765">
        <f>IF($B31=0,"",_xlfn.XLOOKUP($B31,INPUT_DATA!$BR:$BR,INPUT_DATA!CI:CI))</f>
        <v>0</v>
      </c>
    </row>
    <row r="32" spans="2:15">
      <c r="B32" s="762">
        <f>'03 - Monthly Asset Follow up'!B37</f>
        <v>45596</v>
      </c>
      <c r="C32" s="397">
        <f>IF($B32=0,"",_xlfn.XLOOKUP($B32,INPUT_DATA!$BR:$BR,INPUT_DATA!BS:BS))</f>
        <v>671200538.42999947</v>
      </c>
      <c r="D32" s="397">
        <f>IF($B32=0,"",_xlfn.XLOOKUP($B32,INPUT_DATA!$BR:$BR,INPUT_DATA!BT:BT))</f>
        <v>3581</v>
      </c>
      <c r="E32" s="397">
        <f>IF($B32=0,"",_xlfn.XLOOKUP($B32,INPUT_DATA!$BR:$BR,INPUT_DATA!BU:BU))</f>
        <v>3147570.76</v>
      </c>
      <c r="F32" s="397">
        <f>IF($B32=0,"",_xlfn.XLOOKUP($B32,INPUT_DATA!$BR:$BR,INPUT_DATA!BV:BV))</f>
        <v>15</v>
      </c>
      <c r="G32" s="397">
        <f>IF($B32=0,"",_xlfn.XLOOKUP($B32,INPUT_DATA!$BR:$BR,INPUT_DATA!BW:BW))</f>
        <v>428053.22999999992</v>
      </c>
      <c r="H32" s="397">
        <f>IF($B32=0,"",_xlfn.XLOOKUP($B32,INPUT_DATA!$BR:$BR,INPUT_DATA!BX:BX))</f>
        <v>8</v>
      </c>
      <c r="I32" s="397">
        <f>IF($B32=0,"",_xlfn.XLOOKUP($B32,INPUT_DATA!$BR:$BR,INPUT_DATA!BY:BY))</f>
        <v>512483.55000000005</v>
      </c>
      <c r="J32" s="397">
        <f>IF($B32=0,"",_xlfn.XLOOKUP($B32,INPUT_DATA!$BR:$BR,INPUT_DATA!BZ:BZ))</f>
        <v>4</v>
      </c>
      <c r="K32" s="765">
        <f>IF($B32=0,"",_xlfn.XLOOKUP($B32,INPUT_DATA!$BR:$BR,INPUT_DATA!CE:CE))</f>
        <v>0</v>
      </c>
      <c r="L32" s="765">
        <f>IF($B32=0,"",_xlfn.XLOOKUP($B32,INPUT_DATA!$BR:$BR,INPUT_DATA!CF:CF))</f>
        <v>0</v>
      </c>
      <c r="M32" s="765">
        <f>IF($B32=0,"",_xlfn.XLOOKUP($B32,INPUT_DATA!$BR:$BR,INPUT_DATA!CG:CG))</f>
        <v>3718449.59</v>
      </c>
      <c r="N32" s="765">
        <f>IF($B32=0,"",_xlfn.XLOOKUP($B32,INPUT_DATA!$BR:$BR,INPUT_DATA!CH:CH))</f>
        <v>0</v>
      </c>
      <c r="O32" s="765">
        <f>IF($B32=0,"",_xlfn.XLOOKUP($B32,INPUT_DATA!$BR:$BR,INPUT_DATA!CI:CI))</f>
        <v>0</v>
      </c>
    </row>
    <row r="33" spans="2:15">
      <c r="B33" s="762">
        <f>'03 - Monthly Asset Follow up'!B38</f>
        <v>45565</v>
      </c>
      <c r="C33" s="397">
        <f>IF($B33=0,"",_xlfn.XLOOKUP($B33,INPUT_DATA!$BR:$BR,INPUT_DATA!BS:BS))</f>
        <v>679782033.38999784</v>
      </c>
      <c r="D33" s="397">
        <f>IF($B33=0,"",_xlfn.XLOOKUP($B33,INPUT_DATA!$BR:$BR,INPUT_DATA!BT:BT))</f>
        <v>3635</v>
      </c>
      <c r="E33" s="397">
        <f>IF($B33=0,"",_xlfn.XLOOKUP($B33,INPUT_DATA!$BR:$BR,INPUT_DATA!BU:BU))</f>
        <v>2576919.5900000003</v>
      </c>
      <c r="F33" s="397">
        <f>IF($B33=0,"",_xlfn.XLOOKUP($B33,INPUT_DATA!$BR:$BR,INPUT_DATA!BV:BV))</f>
        <v>16</v>
      </c>
      <c r="G33" s="397">
        <f>IF($B33=0,"",_xlfn.XLOOKUP($B33,INPUT_DATA!$BR:$BR,INPUT_DATA!BW:BW))</f>
        <v>607623</v>
      </c>
      <c r="H33" s="397">
        <f>IF($B33=0,"",_xlfn.XLOOKUP($B33,INPUT_DATA!$BR:$BR,INPUT_DATA!BX:BX))</f>
        <v>9</v>
      </c>
      <c r="I33" s="397">
        <f>IF($B33=0,"",_xlfn.XLOOKUP($B33,INPUT_DATA!$BR:$BR,INPUT_DATA!BY:BY))</f>
        <v>0</v>
      </c>
      <c r="J33" s="397">
        <f>IF($B33=0,"",_xlfn.XLOOKUP($B33,INPUT_DATA!$BR:$BR,INPUT_DATA!BZ:BZ))</f>
        <v>0</v>
      </c>
      <c r="K33" s="765">
        <f>IF($B33=0,"",_xlfn.XLOOKUP($B33,INPUT_DATA!$BR:$BR,INPUT_DATA!CE:CE))</f>
        <v>0</v>
      </c>
      <c r="L33" s="765">
        <f>IF($B33=0,"",_xlfn.XLOOKUP($B33,INPUT_DATA!$BR:$BR,INPUT_DATA!CF:CF))</f>
        <v>0</v>
      </c>
      <c r="M33" s="765">
        <f>IF($B33=0,"",_xlfn.XLOOKUP($B33,INPUT_DATA!$BR:$BR,INPUT_DATA!CG:CG))</f>
        <v>3724886.27</v>
      </c>
      <c r="N33" s="765">
        <f>IF($B33=0,"",_xlfn.XLOOKUP($B33,INPUT_DATA!$BR:$BR,INPUT_DATA!CH:CH))</f>
        <v>0</v>
      </c>
      <c r="O33" s="765">
        <f>IF($B33=0,"",_xlfn.XLOOKUP($B33,INPUT_DATA!$BR:$BR,INPUT_DATA!CI:CI))</f>
        <v>0</v>
      </c>
    </row>
    <row r="34" spans="2:15">
      <c r="B34" s="762">
        <f>'03 - Monthly Asset Follow up'!B39</f>
        <v>45535</v>
      </c>
      <c r="C34" s="397">
        <f>IF($B34=0,"",_xlfn.XLOOKUP($B34,INPUT_DATA!$BR:$BR,INPUT_DATA!BS:BS))</f>
        <v>685948666.13999975</v>
      </c>
      <c r="D34" s="397">
        <f>IF($B34=0,"",_xlfn.XLOOKUP($B34,INPUT_DATA!$BR:$BR,INPUT_DATA!BT:BT))</f>
        <v>3641</v>
      </c>
      <c r="E34" s="397">
        <f>IF($B34=0,"",_xlfn.XLOOKUP($B34,INPUT_DATA!$BR:$BR,INPUT_DATA!BU:BU))</f>
        <v>1927543.5699999998</v>
      </c>
      <c r="F34" s="397">
        <f>IF($B34=0,"",_xlfn.XLOOKUP($B34,INPUT_DATA!$BR:$BR,INPUT_DATA!BV:BV))</f>
        <v>11</v>
      </c>
      <c r="G34" s="397">
        <f>IF($B34=0,"",_xlfn.XLOOKUP($B34,INPUT_DATA!$BR:$BR,INPUT_DATA!BW:BW))</f>
        <v>716751.69</v>
      </c>
      <c r="H34" s="397">
        <f>IF($B34=0,"",_xlfn.XLOOKUP($B34,INPUT_DATA!$BR:$BR,INPUT_DATA!BX:BX))</f>
        <v>7</v>
      </c>
      <c r="I34" s="397">
        <f>IF($B34=0,"",_xlfn.XLOOKUP($B34,INPUT_DATA!$BR:$BR,INPUT_DATA!BY:BY))</f>
        <v>1181.3</v>
      </c>
      <c r="J34" s="397">
        <f>IF($B34=0,"",_xlfn.XLOOKUP($B34,INPUT_DATA!$BR:$BR,INPUT_DATA!BZ:BZ))</f>
        <v>1</v>
      </c>
      <c r="K34" s="765">
        <f>IF($B34=0,"",_xlfn.XLOOKUP($B34,INPUT_DATA!$BR:$BR,INPUT_DATA!CE:CE))</f>
        <v>0</v>
      </c>
      <c r="L34" s="765">
        <f>IF($B34=0,"",_xlfn.XLOOKUP($B34,INPUT_DATA!$BR:$BR,INPUT_DATA!CF:CF))</f>
        <v>0</v>
      </c>
      <c r="M34" s="765">
        <f>IF($B34=0,"",_xlfn.XLOOKUP($B34,INPUT_DATA!$BR:$BR,INPUT_DATA!CG:CG))</f>
        <v>3724886.27</v>
      </c>
      <c r="N34" s="765">
        <f>IF($B34=0,"",_xlfn.XLOOKUP($B34,INPUT_DATA!$BR:$BR,INPUT_DATA!CH:CH))</f>
        <v>0</v>
      </c>
      <c r="O34" s="765">
        <f>IF($B34=0,"",_xlfn.XLOOKUP($B34,INPUT_DATA!$BR:$BR,INPUT_DATA!CI:CI))</f>
        <v>0</v>
      </c>
    </row>
    <row r="35" spans="2:15">
      <c r="B35" s="762">
        <f>'03 - Monthly Asset Follow up'!B40</f>
        <v>45504</v>
      </c>
      <c r="C35" s="397">
        <f>IF($B35=0,"",_xlfn.XLOOKUP($B35,INPUT_DATA!$BR:$BR,INPUT_DATA!BS:BS))</f>
        <v>690082232.36000025</v>
      </c>
      <c r="D35" s="397">
        <f>IF($B35=0,"",_xlfn.XLOOKUP($B35,INPUT_DATA!$BR:$BR,INPUT_DATA!BT:BT))</f>
        <v>3627</v>
      </c>
      <c r="E35" s="397">
        <f>IF($B35=0,"",_xlfn.XLOOKUP($B35,INPUT_DATA!$BR:$BR,INPUT_DATA!BU:BU))</f>
        <v>5201616.7699999986</v>
      </c>
      <c r="F35" s="397">
        <f>IF($B35=0,"",_xlfn.XLOOKUP($B35,INPUT_DATA!$BR:$BR,INPUT_DATA!BV:BV))</f>
        <v>29</v>
      </c>
      <c r="G35" s="397">
        <f>IF($B35=0,"",_xlfn.XLOOKUP($B35,INPUT_DATA!$BR:$BR,INPUT_DATA!BW:BW))</f>
        <v>150051.77000000002</v>
      </c>
      <c r="H35" s="397">
        <f>IF($B35=0,"",_xlfn.XLOOKUP($B35,INPUT_DATA!$BR:$BR,INPUT_DATA!BX:BX))</f>
        <v>4</v>
      </c>
      <c r="I35" s="397">
        <f>IF($B35=0,"",_xlfn.XLOOKUP($B35,INPUT_DATA!$BR:$BR,INPUT_DATA!BY:BY))</f>
        <v>0</v>
      </c>
      <c r="J35" s="397">
        <f>IF($B35=0,"",_xlfn.XLOOKUP($B35,INPUT_DATA!$BR:$BR,INPUT_DATA!BZ:BZ))</f>
        <v>0</v>
      </c>
      <c r="K35" s="765">
        <f>IF($B35=0,"",_xlfn.XLOOKUP($B35,INPUT_DATA!$BR:$BR,INPUT_DATA!CE:CE))</f>
        <v>0</v>
      </c>
      <c r="L35" s="765">
        <f>IF($B35=0,"",_xlfn.XLOOKUP($B35,INPUT_DATA!$BR:$BR,INPUT_DATA!CF:CF))</f>
        <v>399475.56</v>
      </c>
      <c r="M35" s="765">
        <f>IF($B35=0,"",_xlfn.XLOOKUP($B35,INPUT_DATA!$BR:$BR,INPUT_DATA!CG:CG))</f>
        <v>3369319.82</v>
      </c>
      <c r="N35" s="765">
        <f>IF($B35=0,"",_xlfn.XLOOKUP($B35,INPUT_DATA!$BR:$BR,INPUT_DATA!CH:CH))</f>
        <v>0</v>
      </c>
      <c r="O35" s="765">
        <f>IF($B35=0,"",_xlfn.XLOOKUP($B35,INPUT_DATA!$BR:$BR,INPUT_DATA!CI:CI))</f>
        <v>399475.56</v>
      </c>
    </row>
    <row r="36" spans="2:15">
      <c r="B36" s="762">
        <f>'03 - Monthly Asset Follow up'!B41</f>
        <v>45473</v>
      </c>
      <c r="C36" s="397">
        <f>IF($B36=0,"",_xlfn.XLOOKUP($B36,INPUT_DATA!$BR:$BR,INPUT_DATA!BS:BS))</f>
        <v>698965879.67999971</v>
      </c>
      <c r="D36" s="397">
        <f>IF($B36=0,"",_xlfn.XLOOKUP($B36,INPUT_DATA!$BR:$BR,INPUT_DATA!BT:BT))</f>
        <v>3669</v>
      </c>
      <c r="E36" s="397">
        <f>IF($B36=0,"",_xlfn.XLOOKUP($B36,INPUT_DATA!$BR:$BR,INPUT_DATA!BU:BU))</f>
        <v>2195802.83</v>
      </c>
      <c r="F36" s="397">
        <f>IF($B36=0,"",_xlfn.XLOOKUP($B36,INPUT_DATA!$BR:$BR,INPUT_DATA!BV:BV))</f>
        <v>15</v>
      </c>
      <c r="G36" s="397">
        <f>IF($B36=0,"",_xlfn.XLOOKUP($B36,INPUT_DATA!$BR:$BR,INPUT_DATA!BW:BW))</f>
        <v>125580.36</v>
      </c>
      <c r="H36" s="397">
        <f>IF($B36=0,"",_xlfn.XLOOKUP($B36,INPUT_DATA!$BR:$BR,INPUT_DATA!BX:BX))</f>
        <v>3</v>
      </c>
      <c r="I36" s="397">
        <f>IF($B36=0,"",_xlfn.XLOOKUP($B36,INPUT_DATA!$BR:$BR,INPUT_DATA!BY:BY))</f>
        <v>0</v>
      </c>
      <c r="J36" s="397">
        <f>IF($B36=0,"",_xlfn.XLOOKUP($B36,INPUT_DATA!$BR:$BR,INPUT_DATA!BZ:BZ))</f>
        <v>1</v>
      </c>
      <c r="K36" s="765">
        <f>IF($B36=0,"",_xlfn.XLOOKUP($B36,INPUT_DATA!$BR:$BR,INPUT_DATA!CE:CE))</f>
        <v>0</v>
      </c>
      <c r="L36" s="765">
        <f>IF($B36=0,"",_xlfn.XLOOKUP($B36,INPUT_DATA!$BR:$BR,INPUT_DATA!CF:CF))</f>
        <v>0</v>
      </c>
      <c r="M36" s="765">
        <f>IF($B36=0,"",_xlfn.XLOOKUP($B36,INPUT_DATA!$BR:$BR,INPUT_DATA!CG:CG))</f>
        <v>3775212.81</v>
      </c>
      <c r="N36" s="765">
        <f>IF($B36=0,"",_xlfn.XLOOKUP($B36,INPUT_DATA!$BR:$BR,INPUT_DATA!CH:CH))</f>
        <v>0</v>
      </c>
      <c r="O36" s="765">
        <f>IF($B36=0,"",_xlfn.XLOOKUP($B36,INPUT_DATA!$BR:$BR,INPUT_DATA!CI:CI))</f>
        <v>0</v>
      </c>
    </row>
    <row r="37" spans="2:15">
      <c r="B37" s="762">
        <f>'03 - Monthly Asset Follow up'!B42</f>
        <v>45443</v>
      </c>
      <c r="C37" s="397">
        <f>IF($B37=0,"",_xlfn.XLOOKUP($B37,INPUT_DATA!$BR:$BR,INPUT_DATA!BS:BS))</f>
        <v>702398532.93000031</v>
      </c>
      <c r="D37" s="397">
        <f>IF($B37=0,"",_xlfn.XLOOKUP($B37,INPUT_DATA!$BR:$BR,INPUT_DATA!BT:BT))</f>
        <v>3682</v>
      </c>
      <c r="E37" s="397">
        <f>IF($B37=0,"",_xlfn.XLOOKUP($B37,INPUT_DATA!$BR:$BR,INPUT_DATA!BU:BU))</f>
        <v>4355821.4400000004</v>
      </c>
      <c r="F37" s="397">
        <f>IF($B37=0,"",_xlfn.XLOOKUP($B37,INPUT_DATA!$BR:$BR,INPUT_DATA!BV:BV))</f>
        <v>22</v>
      </c>
      <c r="G37" s="397">
        <f>IF($B37=0,"",_xlfn.XLOOKUP($B37,INPUT_DATA!$BR:$BR,INPUT_DATA!BW:BW))</f>
        <v>87910.75</v>
      </c>
      <c r="H37" s="397">
        <f>IF($B37=0,"",_xlfn.XLOOKUP($B37,INPUT_DATA!$BR:$BR,INPUT_DATA!BX:BX))</f>
        <v>2</v>
      </c>
      <c r="I37" s="397">
        <f>IF($B37=0,"",_xlfn.XLOOKUP($B37,INPUT_DATA!$BR:$BR,INPUT_DATA!BY:BY))</f>
        <v>0</v>
      </c>
      <c r="J37" s="397">
        <f>IF($B37=0,"",_xlfn.XLOOKUP($B37,INPUT_DATA!$BR:$BR,INPUT_DATA!BZ:BZ))</f>
        <v>0</v>
      </c>
      <c r="K37" s="765">
        <f>IF($B37=0,"",_xlfn.XLOOKUP($B37,INPUT_DATA!$BR:$BR,INPUT_DATA!CE:CE))</f>
        <v>0</v>
      </c>
      <c r="L37" s="765">
        <f>IF($B37=0,"",_xlfn.XLOOKUP($B37,INPUT_DATA!$BR:$BR,INPUT_DATA!CF:CF))</f>
        <v>0</v>
      </c>
      <c r="M37" s="765">
        <f>IF($B37=0,"",_xlfn.XLOOKUP($B37,INPUT_DATA!$BR:$BR,INPUT_DATA!CG:CG))</f>
        <v>3780146.77</v>
      </c>
      <c r="N37" s="765">
        <f>IF($B37=0,"",_xlfn.XLOOKUP($B37,INPUT_DATA!$BR:$BR,INPUT_DATA!CH:CH))</f>
        <v>0</v>
      </c>
      <c r="O37" s="765">
        <f>IF($B37=0,"",_xlfn.XLOOKUP($B37,INPUT_DATA!$BR:$BR,INPUT_DATA!CI:CI))</f>
        <v>0</v>
      </c>
    </row>
    <row r="38" spans="2:15">
      <c r="B38" s="762">
        <f>'03 - Monthly Asset Follow up'!B43</f>
        <v>45412</v>
      </c>
      <c r="C38" s="397">
        <f>IF($B38=0,"",_xlfn.XLOOKUP($B38,INPUT_DATA!$BR:$BR,INPUT_DATA!BS:BS))</f>
        <v>706600362.5200007</v>
      </c>
      <c r="D38" s="397">
        <f>IF($B38=0,"",_xlfn.XLOOKUP($B38,INPUT_DATA!$BR:$BR,INPUT_DATA!BT:BT))</f>
        <v>3697</v>
      </c>
      <c r="E38" s="397">
        <f>IF($B38=0,"",_xlfn.XLOOKUP($B38,INPUT_DATA!$BR:$BR,INPUT_DATA!BU:BU))</f>
        <v>5711069.3900000015</v>
      </c>
      <c r="F38" s="397">
        <f>IF($B38=0,"",_xlfn.XLOOKUP($B38,INPUT_DATA!$BR:$BR,INPUT_DATA!BV:BV))</f>
        <v>31</v>
      </c>
      <c r="G38" s="397">
        <f>IF($B38=0,"",_xlfn.XLOOKUP($B38,INPUT_DATA!$BR:$BR,INPUT_DATA!BW:BW))</f>
        <v>3382.05</v>
      </c>
      <c r="H38" s="397">
        <f>IF($B38=0,"",_xlfn.XLOOKUP($B38,INPUT_DATA!$BR:$BR,INPUT_DATA!BX:BX))</f>
        <v>1</v>
      </c>
      <c r="I38" s="397">
        <f>IF($B38=0,"",_xlfn.XLOOKUP($B38,INPUT_DATA!$BR:$BR,INPUT_DATA!BY:BY))</f>
        <v>0</v>
      </c>
      <c r="J38" s="397">
        <f>IF($B38=0,"",_xlfn.XLOOKUP($B38,INPUT_DATA!$BR:$BR,INPUT_DATA!BZ:BZ))</f>
        <v>0</v>
      </c>
      <c r="K38" s="765">
        <f>IF($B38=0,"",_xlfn.XLOOKUP($B38,INPUT_DATA!$BR:$BR,INPUT_DATA!CE:CE))</f>
        <v>0</v>
      </c>
      <c r="L38" s="765">
        <f>IF($B38=0,"",_xlfn.XLOOKUP($B38,INPUT_DATA!$BR:$BR,INPUT_DATA!CF:CF))</f>
        <v>405892.99</v>
      </c>
      <c r="M38" s="765">
        <f>IF($B38=0,"",_xlfn.XLOOKUP($B38,INPUT_DATA!$BR:$BR,INPUT_DATA!CG:CG))</f>
        <v>3418102.59</v>
      </c>
      <c r="N38" s="765">
        <f>IF($B38=0,"",_xlfn.XLOOKUP($B38,INPUT_DATA!$BR:$BR,INPUT_DATA!CH:CH))</f>
        <v>0</v>
      </c>
      <c r="O38" s="765">
        <f>IF($B38=0,"",_xlfn.XLOOKUP($B38,INPUT_DATA!$BR:$BR,INPUT_DATA!CI:CI))</f>
        <v>405892.99</v>
      </c>
    </row>
    <row r="39" spans="2:15">
      <c r="B39" s="762">
        <f>'03 - Monthly Asset Follow up'!B44</f>
        <v>45382</v>
      </c>
      <c r="C39" s="397">
        <f>IF($B39=0,"",_xlfn.XLOOKUP($B39,INPUT_DATA!$BR:$BR,INPUT_DATA!BS:BS))</f>
        <v>714031765.05999994</v>
      </c>
      <c r="D39" s="397">
        <f>IF($B39=0,"",_xlfn.XLOOKUP($B39,INPUT_DATA!$BR:$BR,INPUT_DATA!BT:BT))</f>
        <v>3720</v>
      </c>
      <c r="E39" s="397">
        <f>IF($B39=0,"",_xlfn.XLOOKUP($B39,INPUT_DATA!$BR:$BR,INPUT_DATA!BU:BU))</f>
        <v>2648673.5900000003</v>
      </c>
      <c r="F39" s="397">
        <f>IF($B39=0,"",_xlfn.XLOOKUP($B39,INPUT_DATA!$BR:$BR,INPUT_DATA!BV:BV))</f>
        <v>19</v>
      </c>
      <c r="G39" s="397">
        <f>IF($B39=0,"",_xlfn.XLOOKUP($B39,INPUT_DATA!$BR:$BR,INPUT_DATA!BW:BW))</f>
        <v>998843.09</v>
      </c>
      <c r="H39" s="397">
        <f>IF($B39=0,"",_xlfn.XLOOKUP($B39,INPUT_DATA!$BR:$BR,INPUT_DATA!BX:BX))</f>
        <v>5</v>
      </c>
      <c r="I39" s="397">
        <f>IF($B39=0,"",_xlfn.XLOOKUP($B39,INPUT_DATA!$BR:$BR,INPUT_DATA!BY:BY))</f>
        <v>105122.68000000002</v>
      </c>
      <c r="J39" s="397">
        <f>IF($B39=0,"",_xlfn.XLOOKUP($B39,INPUT_DATA!$BR:$BR,INPUT_DATA!BZ:BZ))</f>
        <v>4</v>
      </c>
      <c r="K39" s="765">
        <f>IF($B39=0,"",_xlfn.XLOOKUP($B39,INPUT_DATA!$BR:$BR,INPUT_DATA!CE:CE))</f>
        <v>0</v>
      </c>
      <c r="L39" s="765">
        <f>IF($B39=0,"",_xlfn.XLOOKUP($B39,INPUT_DATA!$BR:$BR,INPUT_DATA!CF:CF))</f>
        <v>0</v>
      </c>
      <c r="M39" s="765">
        <f>IF($B39=0,"",_xlfn.XLOOKUP($B39,INPUT_DATA!$BR:$BR,INPUT_DATA!CG:CG))</f>
        <v>3832111.27</v>
      </c>
      <c r="N39" s="765">
        <f>IF($B39=0,"",_xlfn.XLOOKUP($B39,INPUT_DATA!$BR:$BR,INPUT_DATA!CH:CH))</f>
        <v>0</v>
      </c>
      <c r="O39" s="765">
        <f>IF($B39=0,"",_xlfn.XLOOKUP($B39,INPUT_DATA!$BR:$BR,INPUT_DATA!CI:CI))</f>
        <v>0</v>
      </c>
    </row>
    <row r="40" spans="2:15">
      <c r="B40" s="762">
        <f>'03 - Monthly Asset Follow up'!B45</f>
        <v>45351</v>
      </c>
      <c r="C40" s="397">
        <f>IF($B40=0,"",_xlfn.XLOOKUP($B40,INPUT_DATA!$BR:$BR,INPUT_DATA!BS:BS))</f>
        <v>719723249.09000003</v>
      </c>
      <c r="D40" s="397">
        <f>IF($B40=0,"",_xlfn.XLOOKUP($B40,INPUT_DATA!$BR:$BR,INPUT_DATA!BT:BT))</f>
        <v>3739</v>
      </c>
      <c r="E40" s="397">
        <f>IF($B40=0,"",_xlfn.XLOOKUP($B40,INPUT_DATA!$BR:$BR,INPUT_DATA!BU:BU))</f>
        <v>3474341.62</v>
      </c>
      <c r="F40" s="397">
        <f>IF($B40=0,"",_xlfn.XLOOKUP($B40,INPUT_DATA!$BR:$BR,INPUT_DATA!BV:BV))</f>
        <v>19</v>
      </c>
      <c r="G40" s="397">
        <f>IF($B40=0,"",_xlfn.XLOOKUP($B40,INPUT_DATA!$BR:$BR,INPUT_DATA!BW:BW))</f>
        <v>709984.85</v>
      </c>
      <c r="H40" s="397">
        <f>IF($B40=0,"",_xlfn.XLOOKUP($B40,INPUT_DATA!$BR:$BR,INPUT_DATA!BX:BX))</f>
        <v>8</v>
      </c>
      <c r="I40" s="397">
        <f>IF($B40=0,"",_xlfn.XLOOKUP($B40,INPUT_DATA!$BR:$BR,INPUT_DATA!BY:BY))</f>
        <v>177091.55</v>
      </c>
      <c r="J40" s="397">
        <f>IF($B40=0,"",_xlfn.XLOOKUP($B40,INPUT_DATA!$BR:$BR,INPUT_DATA!BZ:BZ))</f>
        <v>2</v>
      </c>
      <c r="K40" s="765">
        <f>IF($B40=0,"",_xlfn.XLOOKUP($B40,INPUT_DATA!$BR:$BR,INPUT_DATA!CE:CE))</f>
        <v>0</v>
      </c>
      <c r="L40" s="765">
        <f>IF($B40=0,"",_xlfn.XLOOKUP($B40,INPUT_DATA!$BR:$BR,INPUT_DATA!CF:CF))</f>
        <v>0</v>
      </c>
      <c r="M40" s="765">
        <f>IF($B40=0,"",_xlfn.XLOOKUP($B40,INPUT_DATA!$BR:$BR,INPUT_DATA!CG:CG))</f>
        <v>3837031.38</v>
      </c>
      <c r="N40" s="765">
        <f>IF($B40=0,"",_xlfn.XLOOKUP($B40,INPUT_DATA!$BR:$BR,INPUT_DATA!CH:CH))</f>
        <v>0</v>
      </c>
      <c r="O40" s="765">
        <f>IF($B40=0,"",_xlfn.XLOOKUP($B40,INPUT_DATA!$BR:$BR,INPUT_DATA!CI:CI))</f>
        <v>0</v>
      </c>
    </row>
    <row r="41" spans="2:15">
      <c r="B41" s="762">
        <f>'03 - Monthly Asset Follow up'!B46</f>
        <v>45322</v>
      </c>
      <c r="C41" s="397">
        <f>IF($B41=0,"",_xlfn.XLOOKUP($B41,INPUT_DATA!$BR:$BR,INPUT_DATA!BS:BS))</f>
        <v>726618592.59000003</v>
      </c>
      <c r="D41" s="397">
        <f>IF($B41=0,"",_xlfn.XLOOKUP($B41,INPUT_DATA!$BR:$BR,INPUT_DATA!BT:BT))</f>
        <v>3767</v>
      </c>
      <c r="E41" s="397">
        <f>IF($B41=0,"",_xlfn.XLOOKUP($B41,INPUT_DATA!$BR:$BR,INPUT_DATA!BU:BU))</f>
        <v>4811753.3499999996</v>
      </c>
      <c r="F41" s="397">
        <f>IF($B41=0,"",_xlfn.XLOOKUP($B41,INPUT_DATA!$BR:$BR,INPUT_DATA!BV:BV))</f>
        <v>19</v>
      </c>
      <c r="G41" s="397">
        <f>IF($B41=0,"",_xlfn.XLOOKUP($B41,INPUT_DATA!$BR:$BR,INPUT_DATA!BW:BW))</f>
        <v>1267152.06</v>
      </c>
      <c r="H41" s="397">
        <f>IF($B41=0,"",_xlfn.XLOOKUP($B41,INPUT_DATA!$BR:$BR,INPUT_DATA!BX:BX))</f>
        <v>7</v>
      </c>
      <c r="I41" s="397">
        <f>IF($B41=0,"",_xlfn.XLOOKUP($B41,INPUT_DATA!$BR:$BR,INPUT_DATA!BY:BY))</f>
        <v>0</v>
      </c>
      <c r="J41" s="397">
        <f>IF($B41=0,"",_xlfn.XLOOKUP($B41,INPUT_DATA!$BR:$BR,INPUT_DATA!BZ:BZ))</f>
        <v>0</v>
      </c>
      <c r="K41" s="765">
        <f>IF($B41=0,"",_xlfn.XLOOKUP($B41,INPUT_DATA!$BR:$BR,INPUT_DATA!CE:CE))</f>
        <v>0</v>
      </c>
      <c r="L41" s="765">
        <f>IF($B41=0,"",_xlfn.XLOOKUP($B41,INPUT_DATA!$BR:$BR,INPUT_DATA!CF:CF))</f>
        <v>1717.46</v>
      </c>
      <c r="M41" s="765">
        <f>IF($B41=0,"",_xlfn.XLOOKUP($B41,INPUT_DATA!$BR:$BR,INPUT_DATA!CG:CG))</f>
        <v>3879102.52</v>
      </c>
      <c r="N41" s="765">
        <f>IF($B41=0,"",_xlfn.XLOOKUP($B41,INPUT_DATA!$BR:$BR,INPUT_DATA!CH:CH))</f>
        <v>0</v>
      </c>
      <c r="O41" s="765">
        <f>IF($B41=0,"",_xlfn.XLOOKUP($B41,INPUT_DATA!$BR:$BR,INPUT_DATA!CI:CI))</f>
        <v>1717.46</v>
      </c>
    </row>
    <row r="42" spans="2:15">
      <c r="B42" s="762">
        <f>'03 - Monthly Asset Follow up'!B47</f>
        <v>45291</v>
      </c>
      <c r="C42" s="397">
        <f>IF($B42=0,"",_xlfn.XLOOKUP($B42,INPUT_DATA!$BR:$BR,INPUT_DATA!BS:BS))</f>
        <v>735712836.07000005</v>
      </c>
      <c r="D42" s="397">
        <f>IF($B42=0,"",_xlfn.XLOOKUP($B42,INPUT_DATA!$BR:$BR,INPUT_DATA!BT:BT))</f>
        <v>3800</v>
      </c>
      <c r="E42" s="397">
        <f>IF($B42=0,"",_xlfn.XLOOKUP($B42,INPUT_DATA!$BR:$BR,INPUT_DATA!BU:BU))</f>
        <v>2818782.74</v>
      </c>
      <c r="F42" s="397">
        <f>IF($B42=0,"",_xlfn.XLOOKUP($B42,INPUT_DATA!$BR:$BR,INPUT_DATA!BV:BV))</f>
        <v>16</v>
      </c>
      <c r="G42" s="397">
        <f>IF($B42=0,"",_xlfn.XLOOKUP($B42,INPUT_DATA!$BR:$BR,INPUT_DATA!BW:BW))</f>
        <v>654738.47</v>
      </c>
      <c r="H42" s="397">
        <f>IF($B42=0,"",_xlfn.XLOOKUP($B42,INPUT_DATA!$BR:$BR,INPUT_DATA!BX:BX))</f>
        <v>2</v>
      </c>
      <c r="I42" s="397">
        <f>IF($B42=0,"",_xlfn.XLOOKUP($B42,INPUT_DATA!$BR:$BR,INPUT_DATA!BY:BY))</f>
        <v>0</v>
      </c>
      <c r="J42" s="397">
        <f>IF($B42=0,"",_xlfn.XLOOKUP($B42,INPUT_DATA!$BR:$BR,INPUT_DATA!BZ:BZ))</f>
        <v>0</v>
      </c>
      <c r="K42" s="765">
        <f>IF($B42=0,"",_xlfn.XLOOKUP($B42,INPUT_DATA!$BR:$BR,INPUT_DATA!CE:CE))</f>
        <v>0</v>
      </c>
      <c r="L42" s="765">
        <f>IF($B42=0,"",_xlfn.XLOOKUP($B42,INPUT_DATA!$BR:$BR,INPUT_DATA!CF:CF))</f>
        <v>0</v>
      </c>
      <c r="M42" s="765">
        <f>IF($B42=0,"",_xlfn.XLOOKUP($B42,INPUT_DATA!$BR:$BR,INPUT_DATA!CG:CG))</f>
        <v>3888899.28</v>
      </c>
      <c r="N42" s="765">
        <f>IF($B42=0,"",_xlfn.XLOOKUP($B42,INPUT_DATA!$BR:$BR,INPUT_DATA!CH:CH))</f>
        <v>0</v>
      </c>
      <c r="O42" s="765">
        <f>IF($B42=0,"",_xlfn.XLOOKUP($B42,INPUT_DATA!$BR:$BR,INPUT_DATA!CI:CI))</f>
        <v>0</v>
      </c>
    </row>
    <row r="43" spans="2:15">
      <c r="B43" s="762">
        <f>'03 - Monthly Asset Follow up'!B48</f>
        <v>45260</v>
      </c>
      <c r="C43" s="397">
        <f>IF($B43=0,"",_xlfn.XLOOKUP($B43,INPUT_DATA!$BR:$BR,INPUT_DATA!BS:BS))</f>
        <v>742196949.74000001</v>
      </c>
      <c r="D43" s="397">
        <f>IF($B43=0,"",_xlfn.XLOOKUP($B43,INPUT_DATA!$BR:$BR,INPUT_DATA!BT:BT))</f>
        <v>3832</v>
      </c>
      <c r="E43" s="397">
        <f>IF($B43=0,"",_xlfn.XLOOKUP($B43,INPUT_DATA!$BR:$BR,INPUT_DATA!BU:BU))</f>
        <v>1801102.29</v>
      </c>
      <c r="F43" s="397">
        <f>IF($B43=0,"",_xlfn.XLOOKUP($B43,INPUT_DATA!$BR:$BR,INPUT_DATA!BV:BV))</f>
        <v>10</v>
      </c>
      <c r="G43" s="397">
        <f>IF($B43=0,"",_xlfn.XLOOKUP($B43,INPUT_DATA!$BR:$BR,INPUT_DATA!BW:BW))</f>
        <v>801737.43</v>
      </c>
      <c r="H43" s="397">
        <f>IF($B43=0,"",_xlfn.XLOOKUP($B43,INPUT_DATA!$BR:$BR,INPUT_DATA!BX:BX))</f>
        <v>5</v>
      </c>
      <c r="I43" s="397">
        <f>IF($B43=0,"",_xlfn.XLOOKUP($B43,INPUT_DATA!$BR:$BR,INPUT_DATA!BY:BY))</f>
        <v>0</v>
      </c>
      <c r="J43" s="397">
        <f>IF($B43=0,"",_xlfn.XLOOKUP($B43,INPUT_DATA!$BR:$BR,INPUT_DATA!BZ:BZ))</f>
        <v>0</v>
      </c>
      <c r="K43" s="765">
        <f>IF($B43=0,"",_xlfn.XLOOKUP($B43,INPUT_DATA!$BR:$BR,INPUT_DATA!CE:CE))</f>
        <v>0</v>
      </c>
      <c r="L43" s="765">
        <f>IF($B43=0,"",_xlfn.XLOOKUP($B43,INPUT_DATA!$BR:$BR,INPUT_DATA!CF:CF))</f>
        <v>0</v>
      </c>
      <c r="M43" s="765">
        <f>IF($B43=0,"",_xlfn.XLOOKUP($B43,INPUT_DATA!$BR:$BR,INPUT_DATA!CG:CG))</f>
        <v>3893805.59</v>
      </c>
      <c r="N43" s="765">
        <f>IF($B43=0,"",_xlfn.XLOOKUP($B43,INPUT_DATA!$BR:$BR,INPUT_DATA!CH:CH))</f>
        <v>0</v>
      </c>
      <c r="O43" s="765">
        <f>IF($B43=0,"",_xlfn.XLOOKUP($B43,INPUT_DATA!$BR:$BR,INPUT_DATA!CI:CI))</f>
        <v>0</v>
      </c>
    </row>
    <row r="44" spans="2:15">
      <c r="B44" s="762">
        <f>'03 - Monthly Asset Follow up'!B49</f>
        <v>45230</v>
      </c>
      <c r="C44" s="397">
        <f>IF($B44=0,"",_xlfn.XLOOKUP($B44,INPUT_DATA!$BR:$BR,INPUT_DATA!BS:BS))</f>
        <v>751085014.37</v>
      </c>
      <c r="D44" s="397">
        <f>IF($B44=0,"",_xlfn.XLOOKUP($B44,INPUT_DATA!$BR:$BR,INPUT_DATA!BT:BT))</f>
        <v>3847</v>
      </c>
      <c r="E44" s="397">
        <f>IF($B44=0,"",_xlfn.XLOOKUP($B44,INPUT_DATA!$BR:$BR,INPUT_DATA!BU:BU))</f>
        <v>0</v>
      </c>
      <c r="F44" s="397">
        <f>IF($B44=0,"",_xlfn.XLOOKUP($B44,INPUT_DATA!$BR:$BR,INPUT_DATA!BV:BV))</f>
        <v>0</v>
      </c>
      <c r="G44" s="397">
        <f>IF($B44=0,"",_xlfn.XLOOKUP($B44,INPUT_DATA!$BR:$BR,INPUT_DATA!BW:BW))</f>
        <v>0</v>
      </c>
      <c r="H44" s="397">
        <f>IF($B44=0,"",_xlfn.XLOOKUP($B44,INPUT_DATA!$BR:$BR,INPUT_DATA!BX:BX))</f>
        <v>0</v>
      </c>
      <c r="I44" s="397">
        <f>IF($B44=0,"",_xlfn.XLOOKUP($B44,INPUT_DATA!$BR:$BR,INPUT_DATA!BY:BY))</f>
        <v>0</v>
      </c>
      <c r="J44" s="397">
        <f>IF($B44=0,"",_xlfn.XLOOKUP($B44,INPUT_DATA!$BR:$BR,INPUT_DATA!BZ:BZ))</f>
        <v>0</v>
      </c>
      <c r="K44" s="765">
        <f>IF($B44=0,"",_xlfn.XLOOKUP($B44,INPUT_DATA!$BR:$BR,INPUT_DATA!CE:CE))</f>
        <v>0</v>
      </c>
      <c r="L44" s="765">
        <f>IF($B44=0,"",_xlfn.XLOOKUP($B44,INPUT_DATA!$BR:$BR,INPUT_DATA!CF:CF))</f>
        <v>0</v>
      </c>
      <c r="M44" s="765">
        <f>IF($B44=0,"",_xlfn.XLOOKUP($B44,INPUT_DATA!$BR:$BR,INPUT_DATA!CG:CG))</f>
        <v>0</v>
      </c>
      <c r="N44" s="765">
        <f>IF($B44=0,"",_xlfn.XLOOKUP($B44,INPUT_DATA!$BR:$BR,INPUT_DATA!CH:CH))</f>
        <v>0</v>
      </c>
      <c r="O44" s="765">
        <f>IF($B44=0,"",_xlfn.XLOOKUP($B44,INPUT_DATA!$BR:$BR,INPUT_DATA!CI:CI))</f>
        <v>0</v>
      </c>
    </row>
    <row r="45" spans="2:15">
      <c r="B45" s="762">
        <f>'03 - Monthly Asset Follow up'!B50</f>
        <v>0</v>
      </c>
      <c r="C45" s="397" t="str">
        <f>IF($B45=0,"",_xlfn.XLOOKUP($B45,INPUT_DATA!$BR:$BR,INPUT_DATA!BS:BS))</f>
        <v/>
      </c>
      <c r="D45" s="397" t="str">
        <f>IF($B45=0,"",_xlfn.XLOOKUP($B45,INPUT_DATA!$BR:$BR,INPUT_DATA!BT:BT))</f>
        <v/>
      </c>
      <c r="E45" s="397" t="str">
        <f>IF($B45=0,"",_xlfn.XLOOKUP($B45,INPUT_DATA!$BR:$BR,INPUT_DATA!BU:BU))</f>
        <v/>
      </c>
      <c r="F45" s="397" t="str">
        <f>IF($B45=0,"",_xlfn.XLOOKUP($B45,INPUT_DATA!$BR:$BR,INPUT_DATA!BV:BV))</f>
        <v/>
      </c>
      <c r="G45" s="397" t="str">
        <f>IF($B45=0,"",_xlfn.XLOOKUP($B45,INPUT_DATA!$BR:$BR,INPUT_DATA!BW:BW))</f>
        <v/>
      </c>
      <c r="H45" s="397" t="str">
        <f>IF($B45=0,"",_xlfn.XLOOKUP($B45,INPUT_DATA!$BR:$BR,INPUT_DATA!BX:BX))</f>
        <v/>
      </c>
      <c r="I45" s="397" t="str">
        <f>IF($B45=0,"",_xlfn.XLOOKUP($B45,INPUT_DATA!$BR:$BR,INPUT_DATA!BY:BY))</f>
        <v/>
      </c>
      <c r="J45" s="397" t="str">
        <f>IF($B45=0,"",_xlfn.XLOOKUP($B45,INPUT_DATA!$BR:$BR,INPUT_DATA!BZ:BZ))</f>
        <v/>
      </c>
      <c r="K45" s="765" t="str">
        <f>IF($B45=0,"",_xlfn.XLOOKUP($B45,INPUT_DATA!$BR:$BR,INPUT_DATA!CE:CE))</f>
        <v/>
      </c>
      <c r="L45" s="765" t="str">
        <f>IF($B45=0,"",_xlfn.XLOOKUP($B45,INPUT_DATA!$BR:$BR,INPUT_DATA!CF:CF))</f>
        <v/>
      </c>
      <c r="M45" s="765" t="str">
        <f>IF($B45=0,"",_xlfn.XLOOKUP($B45,INPUT_DATA!$BR:$BR,INPUT_DATA!CG:CG))</f>
        <v/>
      </c>
      <c r="N45" s="765" t="str">
        <f>IF($B45=0,"",_xlfn.XLOOKUP($B45,INPUT_DATA!$BR:$BR,INPUT_DATA!CH:CH))</f>
        <v/>
      </c>
      <c r="O45" s="765" t="str">
        <f>IF($B45=0,"",_xlfn.XLOOKUP($B45,INPUT_DATA!$BR:$BR,INPUT_DATA!CI:CI))</f>
        <v/>
      </c>
    </row>
    <row r="46" spans="2:15">
      <c r="B46" s="762">
        <f>'03 - Monthly Asset Follow up'!B51</f>
        <v>0</v>
      </c>
      <c r="C46" s="397" t="str">
        <f>IF($B46=0,"",_xlfn.XLOOKUP($B46,INPUT_DATA!$BR:$BR,INPUT_DATA!BS:BS))</f>
        <v/>
      </c>
      <c r="D46" s="397" t="str">
        <f>IF($B46=0,"",_xlfn.XLOOKUP($B46,INPUT_DATA!$BR:$BR,INPUT_DATA!BT:BT))</f>
        <v/>
      </c>
      <c r="E46" s="397" t="str">
        <f>IF($B46=0,"",_xlfn.XLOOKUP($B46,INPUT_DATA!$BR:$BR,INPUT_DATA!BU:BU))</f>
        <v/>
      </c>
      <c r="F46" s="397" t="str">
        <f>IF($B46=0,"",_xlfn.XLOOKUP($B46,INPUT_DATA!$BR:$BR,INPUT_DATA!BV:BV))</f>
        <v/>
      </c>
      <c r="G46" s="397" t="str">
        <f>IF($B46=0,"",_xlfn.XLOOKUP($B46,INPUT_DATA!$BR:$BR,INPUT_DATA!BW:BW))</f>
        <v/>
      </c>
      <c r="H46" s="397" t="str">
        <f>IF($B46=0,"",_xlfn.XLOOKUP($B46,INPUT_DATA!$BR:$BR,INPUT_DATA!BX:BX))</f>
        <v/>
      </c>
      <c r="I46" s="397" t="str">
        <f>IF($B46=0,"",_xlfn.XLOOKUP($B46,INPUT_DATA!$BR:$BR,INPUT_DATA!BY:BY))</f>
        <v/>
      </c>
      <c r="J46" s="397" t="str">
        <f>IF($B46=0,"",_xlfn.XLOOKUP($B46,INPUT_DATA!$BR:$BR,INPUT_DATA!BZ:BZ))</f>
        <v/>
      </c>
      <c r="K46" s="765" t="str">
        <f>IF($B46=0,"",_xlfn.XLOOKUP($B46,INPUT_DATA!$BR:$BR,INPUT_DATA!CE:CE))</f>
        <v/>
      </c>
      <c r="L46" s="765" t="str">
        <f>IF($B46=0,"",_xlfn.XLOOKUP($B46,INPUT_DATA!$BR:$BR,INPUT_DATA!CF:CF))</f>
        <v/>
      </c>
      <c r="M46" s="765" t="str">
        <f>IF($B46=0,"",_xlfn.XLOOKUP($B46,INPUT_DATA!$BR:$BR,INPUT_DATA!CG:CG))</f>
        <v/>
      </c>
      <c r="N46" s="765" t="str">
        <f>IF($B46=0,"",_xlfn.XLOOKUP($B46,INPUT_DATA!$BR:$BR,INPUT_DATA!CH:CH))</f>
        <v/>
      </c>
      <c r="O46" s="765" t="str">
        <f>IF($B46=0,"",_xlfn.XLOOKUP($B46,INPUT_DATA!$BR:$BR,INPUT_DATA!CI:CI))</f>
        <v/>
      </c>
    </row>
    <row r="47" spans="2:15">
      <c r="B47" s="762">
        <f>'03 - Monthly Asset Follow up'!B52</f>
        <v>0</v>
      </c>
      <c r="C47" s="397" t="str">
        <f>IF($B47=0,"",_xlfn.XLOOKUP($B47,INPUT_DATA!$BR:$BR,INPUT_DATA!BS:BS))</f>
        <v/>
      </c>
      <c r="D47" s="397" t="str">
        <f>IF($B47=0,"",_xlfn.XLOOKUP($B47,INPUT_DATA!$BR:$BR,INPUT_DATA!BT:BT))</f>
        <v/>
      </c>
      <c r="E47" s="397" t="str">
        <f>IF($B47=0,"",_xlfn.XLOOKUP($B47,INPUT_DATA!$BR:$BR,INPUT_DATA!BU:BU))</f>
        <v/>
      </c>
      <c r="F47" s="397" t="str">
        <f>IF($B47=0,"",_xlfn.XLOOKUP($B47,INPUT_DATA!$BR:$BR,INPUT_DATA!BV:BV))</f>
        <v/>
      </c>
      <c r="G47" s="397" t="str">
        <f>IF($B47=0,"",_xlfn.XLOOKUP($B47,INPUT_DATA!$BR:$BR,INPUT_DATA!BW:BW))</f>
        <v/>
      </c>
      <c r="H47" s="397" t="str">
        <f>IF($B47=0,"",_xlfn.XLOOKUP($B47,INPUT_DATA!$BR:$BR,INPUT_DATA!BX:BX))</f>
        <v/>
      </c>
      <c r="I47" s="397" t="str">
        <f>IF($B47=0,"",_xlfn.XLOOKUP($B47,INPUT_DATA!$BR:$BR,INPUT_DATA!BY:BY))</f>
        <v/>
      </c>
      <c r="J47" s="397" t="str">
        <f>IF($B47=0,"",_xlfn.XLOOKUP($B47,INPUT_DATA!$BR:$BR,INPUT_DATA!BZ:BZ))</f>
        <v/>
      </c>
      <c r="K47" s="765" t="str">
        <f>IF($B47=0,"",_xlfn.XLOOKUP($B47,INPUT_DATA!$BR:$BR,INPUT_DATA!CE:CE))</f>
        <v/>
      </c>
      <c r="L47" s="765" t="str">
        <f>IF($B47=0,"",_xlfn.XLOOKUP($B47,INPUT_DATA!$BR:$BR,INPUT_DATA!CF:CF))</f>
        <v/>
      </c>
      <c r="M47" s="765" t="str">
        <f>IF($B47=0,"",_xlfn.XLOOKUP($B47,INPUT_DATA!$BR:$BR,INPUT_DATA!CG:CG))</f>
        <v/>
      </c>
      <c r="N47" s="765" t="str">
        <f>IF($B47=0,"",_xlfn.XLOOKUP($B47,INPUT_DATA!$BR:$BR,INPUT_DATA!CH:CH))</f>
        <v/>
      </c>
      <c r="O47" s="765" t="str">
        <f>IF($B47=0,"",_xlfn.XLOOKUP($B47,INPUT_DATA!$BR:$BR,INPUT_DATA!CI:CI))</f>
        <v/>
      </c>
    </row>
    <row r="48" spans="2:15">
      <c r="B48" s="762">
        <f>'03 - Monthly Asset Follow up'!B53</f>
        <v>0</v>
      </c>
      <c r="C48" s="397" t="str">
        <f>IF($B48=0,"",_xlfn.XLOOKUP($B48,INPUT_DATA!$BR:$BR,INPUT_DATA!BS:BS))</f>
        <v/>
      </c>
      <c r="D48" s="397" t="str">
        <f>IF($B48=0,"",_xlfn.XLOOKUP($B48,INPUT_DATA!$BR:$BR,INPUT_DATA!BT:BT))</f>
        <v/>
      </c>
      <c r="E48" s="397" t="str">
        <f>IF($B48=0,"",_xlfn.XLOOKUP($B48,INPUT_DATA!$BR:$BR,INPUT_DATA!BU:BU))</f>
        <v/>
      </c>
      <c r="F48" s="397" t="str">
        <f>IF($B48=0,"",_xlfn.XLOOKUP($B48,INPUT_DATA!$BR:$BR,INPUT_DATA!BV:BV))</f>
        <v/>
      </c>
      <c r="G48" s="397" t="str">
        <f>IF($B48=0,"",_xlfn.XLOOKUP($B48,INPUT_DATA!$BR:$BR,INPUT_DATA!BW:BW))</f>
        <v/>
      </c>
      <c r="H48" s="397" t="str">
        <f>IF($B48=0,"",_xlfn.XLOOKUP($B48,INPUT_DATA!$BR:$BR,INPUT_DATA!BX:BX))</f>
        <v/>
      </c>
      <c r="I48" s="397" t="str">
        <f>IF($B48=0,"",_xlfn.XLOOKUP($B48,INPUT_DATA!$BR:$BR,INPUT_DATA!BY:BY))</f>
        <v/>
      </c>
      <c r="J48" s="397" t="str">
        <f>IF($B48=0,"",_xlfn.XLOOKUP($B48,INPUT_DATA!$BR:$BR,INPUT_DATA!BZ:BZ))</f>
        <v/>
      </c>
      <c r="K48" s="765" t="str">
        <f>IF($B48=0,"",_xlfn.XLOOKUP($B48,INPUT_DATA!$BR:$BR,INPUT_DATA!CE:CE))</f>
        <v/>
      </c>
      <c r="L48" s="765" t="str">
        <f>IF($B48=0,"",_xlfn.XLOOKUP($B48,INPUT_DATA!$BR:$BR,INPUT_DATA!CF:CF))</f>
        <v/>
      </c>
      <c r="M48" s="765" t="str">
        <f>IF($B48=0,"",_xlfn.XLOOKUP($B48,INPUT_DATA!$BR:$BR,INPUT_DATA!CG:CG))</f>
        <v/>
      </c>
      <c r="N48" s="765" t="str">
        <f>IF($B48=0,"",_xlfn.XLOOKUP($B48,INPUT_DATA!$BR:$BR,INPUT_DATA!CH:CH))</f>
        <v/>
      </c>
      <c r="O48" s="765" t="str">
        <f>IF($B48=0,"",_xlfn.XLOOKUP($B48,INPUT_DATA!$BR:$BR,INPUT_DATA!CI:CI))</f>
        <v/>
      </c>
    </row>
    <row r="49" spans="2:15">
      <c r="B49" s="762">
        <f>'03 - Monthly Asset Follow up'!B54</f>
        <v>0</v>
      </c>
      <c r="C49" s="397" t="str">
        <f>IF($B49=0,"",_xlfn.XLOOKUP($B49,INPUT_DATA!$BR:$BR,INPUT_DATA!BS:BS))</f>
        <v/>
      </c>
      <c r="D49" s="397" t="str">
        <f>IF($B49=0,"",_xlfn.XLOOKUP($B49,INPUT_DATA!$BR:$BR,INPUT_DATA!BT:BT))</f>
        <v/>
      </c>
      <c r="E49" s="397" t="str">
        <f>IF($B49=0,"",_xlfn.XLOOKUP($B49,INPUT_DATA!$BR:$BR,INPUT_DATA!BU:BU))</f>
        <v/>
      </c>
      <c r="F49" s="397" t="str">
        <f>IF($B49=0,"",_xlfn.XLOOKUP($B49,INPUT_DATA!$BR:$BR,INPUT_DATA!BV:BV))</f>
        <v/>
      </c>
      <c r="G49" s="397" t="str">
        <f>IF($B49=0,"",_xlfn.XLOOKUP($B49,INPUT_DATA!$BR:$BR,INPUT_DATA!BW:BW))</f>
        <v/>
      </c>
      <c r="H49" s="397" t="str">
        <f>IF($B49=0,"",_xlfn.XLOOKUP($B49,INPUT_DATA!$BR:$BR,INPUT_DATA!BX:BX))</f>
        <v/>
      </c>
      <c r="I49" s="397" t="str">
        <f>IF($B49=0,"",_xlfn.XLOOKUP($B49,INPUT_DATA!$BR:$BR,INPUT_DATA!BY:BY))</f>
        <v/>
      </c>
      <c r="J49" s="397" t="str">
        <f>IF($B49=0,"",_xlfn.XLOOKUP($B49,INPUT_DATA!$BR:$BR,INPUT_DATA!BZ:BZ))</f>
        <v/>
      </c>
      <c r="K49" s="765" t="str">
        <f>IF($B49=0,"",_xlfn.XLOOKUP($B49,INPUT_DATA!$BR:$BR,INPUT_DATA!CE:CE))</f>
        <v/>
      </c>
      <c r="L49" s="765" t="str">
        <f>IF($B49=0,"",_xlfn.XLOOKUP($B49,INPUT_DATA!$BR:$BR,INPUT_DATA!CF:CF))</f>
        <v/>
      </c>
      <c r="M49" s="765" t="str">
        <f>IF($B49=0,"",_xlfn.XLOOKUP($B49,INPUT_DATA!$BR:$BR,INPUT_DATA!CG:CG))</f>
        <v/>
      </c>
      <c r="N49" s="765" t="str">
        <f>IF($B49=0,"",_xlfn.XLOOKUP($B49,INPUT_DATA!$BR:$BR,INPUT_DATA!CH:CH))</f>
        <v/>
      </c>
      <c r="O49" s="765" t="str">
        <f>IF($B49=0,"",_xlfn.XLOOKUP($B49,INPUT_DATA!$BR:$BR,INPUT_DATA!CI:CI))</f>
        <v/>
      </c>
    </row>
    <row r="50" spans="2:15">
      <c r="B50" s="762">
        <f>'03 - Monthly Asset Follow up'!B55</f>
        <v>0</v>
      </c>
      <c r="C50" s="397" t="str">
        <f>IF($B50=0,"",_xlfn.XLOOKUP($B50,INPUT_DATA!$BR:$BR,INPUT_DATA!BS:BS))</f>
        <v/>
      </c>
      <c r="D50" s="397" t="str">
        <f>IF($B50=0,"",_xlfn.XLOOKUP($B50,INPUT_DATA!$BR:$BR,INPUT_DATA!BT:BT))</f>
        <v/>
      </c>
      <c r="E50" s="397" t="str">
        <f>IF($B50=0,"",_xlfn.XLOOKUP($B50,INPUT_DATA!$BR:$BR,INPUT_DATA!BU:BU))</f>
        <v/>
      </c>
      <c r="F50" s="397" t="str">
        <f>IF($B50=0,"",_xlfn.XLOOKUP($B50,INPUT_DATA!$BR:$BR,INPUT_DATA!BV:BV))</f>
        <v/>
      </c>
      <c r="G50" s="397" t="str">
        <f>IF($B50=0,"",_xlfn.XLOOKUP($B50,INPUT_DATA!$BR:$BR,INPUT_DATA!BW:BW))</f>
        <v/>
      </c>
      <c r="H50" s="397" t="str">
        <f>IF($B50=0,"",_xlfn.XLOOKUP($B50,INPUT_DATA!$BR:$BR,INPUT_DATA!BX:BX))</f>
        <v/>
      </c>
      <c r="I50" s="397" t="str">
        <f>IF($B50=0,"",_xlfn.XLOOKUP($B50,INPUT_DATA!$BR:$BR,INPUT_DATA!BY:BY))</f>
        <v/>
      </c>
      <c r="J50" s="397" t="str">
        <f>IF($B50=0,"",_xlfn.XLOOKUP($B50,INPUT_DATA!$BR:$BR,INPUT_DATA!BZ:BZ))</f>
        <v/>
      </c>
      <c r="K50" s="765" t="str">
        <f>IF($B50=0,"",_xlfn.XLOOKUP($B50,INPUT_DATA!$BR:$BR,INPUT_DATA!CE:CE))</f>
        <v/>
      </c>
      <c r="L50" s="765" t="str">
        <f>IF($B50=0,"",_xlfn.XLOOKUP($B50,INPUT_DATA!$BR:$BR,INPUT_DATA!CF:CF))</f>
        <v/>
      </c>
      <c r="M50" s="765" t="str">
        <f>IF($B50=0,"",_xlfn.XLOOKUP($B50,INPUT_DATA!$BR:$BR,INPUT_DATA!CG:CG))</f>
        <v/>
      </c>
      <c r="N50" s="765" t="str">
        <f>IF($B50=0,"",_xlfn.XLOOKUP($B50,INPUT_DATA!$BR:$BR,INPUT_DATA!CH:CH))</f>
        <v/>
      </c>
      <c r="O50" s="765" t="str">
        <f>IF($B50=0,"",_xlfn.XLOOKUP($B50,INPUT_DATA!$BR:$BR,INPUT_DATA!CI:CI))</f>
        <v/>
      </c>
    </row>
    <row r="51" spans="2:15">
      <c r="B51" s="762">
        <f>'03 - Monthly Asset Follow up'!B56</f>
        <v>0</v>
      </c>
      <c r="C51" s="397" t="str">
        <f>IF($B51=0,"",_xlfn.XLOOKUP($B51,INPUT_DATA!$BR:$BR,INPUT_DATA!BS:BS))</f>
        <v/>
      </c>
      <c r="D51" s="397" t="str">
        <f>IF($B51=0,"",_xlfn.XLOOKUP($B51,INPUT_DATA!$BR:$BR,INPUT_DATA!BT:BT))</f>
        <v/>
      </c>
      <c r="E51" s="397" t="str">
        <f>IF($B51=0,"",_xlfn.XLOOKUP($B51,INPUT_DATA!$BR:$BR,INPUT_DATA!BU:BU))</f>
        <v/>
      </c>
      <c r="F51" s="397" t="str">
        <f>IF($B51=0,"",_xlfn.XLOOKUP($B51,INPUT_DATA!$BR:$BR,INPUT_DATA!BV:BV))</f>
        <v/>
      </c>
      <c r="G51" s="397" t="str">
        <f>IF($B51=0,"",_xlfn.XLOOKUP($B51,INPUT_DATA!$BR:$BR,INPUT_DATA!BW:BW))</f>
        <v/>
      </c>
      <c r="H51" s="397" t="str">
        <f>IF($B51=0,"",_xlfn.XLOOKUP($B51,INPUT_DATA!$BR:$BR,INPUT_DATA!BX:BX))</f>
        <v/>
      </c>
      <c r="I51" s="397" t="str">
        <f>IF($B51=0,"",_xlfn.XLOOKUP($B51,INPUT_DATA!$BR:$BR,INPUT_DATA!BY:BY))</f>
        <v/>
      </c>
      <c r="J51" s="397" t="str">
        <f>IF($B51=0,"",_xlfn.XLOOKUP($B51,INPUT_DATA!$BR:$BR,INPUT_DATA!BZ:BZ))</f>
        <v/>
      </c>
      <c r="K51" s="765" t="str">
        <f>IF($B51=0,"",_xlfn.XLOOKUP($B51,INPUT_DATA!$BR:$BR,INPUT_DATA!CE:CE))</f>
        <v/>
      </c>
      <c r="L51" s="765" t="str">
        <f>IF($B51=0,"",_xlfn.XLOOKUP($B51,INPUT_DATA!$BR:$BR,INPUT_DATA!CF:CF))</f>
        <v/>
      </c>
      <c r="M51" s="765" t="str">
        <f>IF($B51=0,"",_xlfn.XLOOKUP($B51,INPUT_DATA!$BR:$BR,INPUT_DATA!CG:CG))</f>
        <v/>
      </c>
      <c r="N51" s="765" t="str">
        <f>IF($B51=0,"",_xlfn.XLOOKUP($B51,INPUT_DATA!$BR:$BR,INPUT_DATA!CH:CH))</f>
        <v/>
      </c>
      <c r="O51" s="765" t="str">
        <f>IF($B51=0,"",_xlfn.XLOOKUP($B51,INPUT_DATA!$BR:$BR,INPUT_DATA!CI:CI))</f>
        <v/>
      </c>
    </row>
    <row r="52" spans="2:15">
      <c r="B52" s="762">
        <f>'03 - Monthly Asset Follow up'!B57</f>
        <v>0</v>
      </c>
      <c r="C52" s="397" t="str">
        <f>IF($B52=0,"",_xlfn.XLOOKUP($B52,INPUT_DATA!$BR:$BR,INPUT_DATA!BS:BS))</f>
        <v/>
      </c>
      <c r="D52" s="397" t="str">
        <f>IF($B52=0,"",_xlfn.XLOOKUP($B52,INPUT_DATA!$BR:$BR,INPUT_DATA!BT:BT))</f>
        <v/>
      </c>
      <c r="E52" s="397" t="str">
        <f>IF($B52=0,"",_xlfn.XLOOKUP($B52,INPUT_DATA!$BR:$BR,INPUT_DATA!BU:BU))</f>
        <v/>
      </c>
      <c r="F52" s="397" t="str">
        <f>IF($B52=0,"",_xlfn.XLOOKUP($B52,INPUT_DATA!$BR:$BR,INPUT_DATA!BV:BV))</f>
        <v/>
      </c>
      <c r="G52" s="397" t="str">
        <f>IF($B52=0,"",_xlfn.XLOOKUP($B52,INPUT_DATA!$BR:$BR,INPUT_DATA!BW:BW))</f>
        <v/>
      </c>
      <c r="H52" s="397" t="str">
        <f>IF($B52=0,"",_xlfn.XLOOKUP($B52,INPUT_DATA!$BR:$BR,INPUT_DATA!BX:BX))</f>
        <v/>
      </c>
      <c r="I52" s="397" t="str">
        <f>IF($B52=0,"",_xlfn.XLOOKUP($B52,INPUT_DATA!$BR:$BR,INPUT_DATA!BY:BY))</f>
        <v/>
      </c>
      <c r="J52" s="397" t="str">
        <f>IF($B52=0,"",_xlfn.XLOOKUP($B52,INPUT_DATA!$BR:$BR,INPUT_DATA!BZ:BZ))</f>
        <v/>
      </c>
      <c r="K52" s="765" t="str">
        <f>IF($B52=0,"",_xlfn.XLOOKUP($B52,INPUT_DATA!$BR:$BR,INPUT_DATA!CE:CE))</f>
        <v/>
      </c>
      <c r="L52" s="765" t="str">
        <f>IF($B52=0,"",_xlfn.XLOOKUP($B52,INPUT_DATA!$BR:$BR,INPUT_DATA!CF:CF))</f>
        <v/>
      </c>
      <c r="M52" s="765" t="str">
        <f>IF($B52=0,"",_xlfn.XLOOKUP($B52,INPUT_DATA!$BR:$BR,INPUT_DATA!CG:CG))</f>
        <v/>
      </c>
      <c r="N52" s="765" t="str">
        <f>IF($B52=0,"",_xlfn.XLOOKUP($B52,INPUT_DATA!$BR:$BR,INPUT_DATA!CH:CH))</f>
        <v/>
      </c>
      <c r="O52" s="765" t="str">
        <f>IF($B52=0,"",_xlfn.XLOOKUP($B52,INPUT_DATA!$BR:$BR,INPUT_DATA!CI:CI))</f>
        <v/>
      </c>
    </row>
    <row r="53" spans="2:15">
      <c r="B53" s="762">
        <f>'03 - Monthly Asset Follow up'!B58</f>
        <v>0</v>
      </c>
      <c r="C53" s="397" t="str">
        <f>IF($B53=0,"",_xlfn.XLOOKUP($B53,INPUT_DATA!$BR:$BR,INPUT_DATA!BS:BS))</f>
        <v/>
      </c>
      <c r="D53" s="397" t="str">
        <f>IF($B53=0,"",_xlfn.XLOOKUP($B53,INPUT_DATA!$BR:$BR,INPUT_DATA!BT:BT))</f>
        <v/>
      </c>
      <c r="E53" s="397" t="str">
        <f>IF($B53=0,"",_xlfn.XLOOKUP($B53,INPUT_DATA!$BR:$BR,INPUT_DATA!BU:BU))</f>
        <v/>
      </c>
      <c r="F53" s="397" t="str">
        <f>IF($B53=0,"",_xlfn.XLOOKUP($B53,INPUT_DATA!$BR:$BR,INPUT_DATA!BV:BV))</f>
        <v/>
      </c>
      <c r="G53" s="397" t="str">
        <f>IF($B53=0,"",_xlfn.XLOOKUP($B53,INPUT_DATA!$BR:$BR,INPUT_DATA!BW:BW))</f>
        <v/>
      </c>
      <c r="H53" s="397" t="str">
        <f>IF($B53=0,"",_xlfn.XLOOKUP($B53,INPUT_DATA!$BR:$BR,INPUT_DATA!BX:BX))</f>
        <v/>
      </c>
      <c r="I53" s="397" t="str">
        <f>IF($B53=0,"",_xlfn.XLOOKUP($B53,INPUT_DATA!$BR:$BR,INPUT_DATA!BY:BY))</f>
        <v/>
      </c>
      <c r="J53" s="397" t="str">
        <f>IF($B53=0,"",_xlfn.XLOOKUP($B53,INPUT_DATA!$BR:$BR,INPUT_DATA!BZ:BZ))</f>
        <v/>
      </c>
      <c r="K53" s="765" t="str">
        <f>IF($B53=0,"",_xlfn.XLOOKUP($B53,INPUT_DATA!$BR:$BR,INPUT_DATA!CE:CE))</f>
        <v/>
      </c>
      <c r="L53" s="765" t="str">
        <f>IF($B53=0,"",_xlfn.XLOOKUP($B53,INPUT_DATA!$BR:$BR,INPUT_DATA!CF:CF))</f>
        <v/>
      </c>
      <c r="M53" s="765" t="str">
        <f>IF($B53=0,"",_xlfn.XLOOKUP($B53,INPUT_DATA!$BR:$BR,INPUT_DATA!CG:CG))</f>
        <v/>
      </c>
      <c r="N53" s="765" t="str">
        <f>IF($B53=0,"",_xlfn.XLOOKUP($B53,INPUT_DATA!$BR:$BR,INPUT_DATA!CH:CH))</f>
        <v/>
      </c>
      <c r="O53" s="765" t="str">
        <f>IF($B53=0,"",_xlfn.XLOOKUP($B53,INPUT_DATA!$BR:$BR,INPUT_DATA!CI:CI))</f>
        <v/>
      </c>
    </row>
    <row r="54" spans="2:15">
      <c r="B54" s="762">
        <f>'03 - Monthly Asset Follow up'!B59</f>
        <v>0</v>
      </c>
      <c r="C54" s="397" t="str">
        <f>IF($B54=0,"",_xlfn.XLOOKUP($B54,INPUT_DATA!$BR:$BR,INPUT_DATA!BS:BS))</f>
        <v/>
      </c>
      <c r="D54" s="397" t="str">
        <f>IF($B54=0,"",_xlfn.XLOOKUP($B54,INPUT_DATA!$BR:$BR,INPUT_DATA!BT:BT))</f>
        <v/>
      </c>
      <c r="E54" s="397" t="str">
        <f>IF($B54=0,"",_xlfn.XLOOKUP($B54,INPUT_DATA!$BR:$BR,INPUT_DATA!BU:BU))</f>
        <v/>
      </c>
      <c r="F54" s="397" t="str">
        <f>IF($B54=0,"",_xlfn.XLOOKUP($B54,INPUT_DATA!$BR:$BR,INPUT_DATA!BV:BV))</f>
        <v/>
      </c>
      <c r="G54" s="397" t="str">
        <f>IF($B54=0,"",_xlfn.XLOOKUP($B54,INPUT_DATA!$BR:$BR,INPUT_DATA!BW:BW))</f>
        <v/>
      </c>
      <c r="H54" s="397" t="str">
        <f>IF($B54=0,"",_xlfn.XLOOKUP($B54,INPUT_DATA!$BR:$BR,INPUT_DATA!BX:BX))</f>
        <v/>
      </c>
      <c r="I54" s="397" t="str">
        <f>IF($B54=0,"",_xlfn.XLOOKUP($B54,INPUT_DATA!$BR:$BR,INPUT_DATA!BY:BY))</f>
        <v/>
      </c>
      <c r="J54" s="397" t="str">
        <f>IF($B54=0,"",_xlfn.XLOOKUP($B54,INPUT_DATA!$BR:$BR,INPUT_DATA!BZ:BZ))</f>
        <v/>
      </c>
      <c r="K54" s="765" t="str">
        <f>IF($B54=0,"",_xlfn.XLOOKUP($B54,INPUT_DATA!$BR:$BR,INPUT_DATA!CE:CE))</f>
        <v/>
      </c>
      <c r="L54" s="765" t="str">
        <f>IF($B54=0,"",_xlfn.XLOOKUP($B54,INPUT_DATA!$BR:$BR,INPUT_DATA!CF:CF))</f>
        <v/>
      </c>
      <c r="M54" s="765" t="str">
        <f>IF($B54=0,"",_xlfn.XLOOKUP($B54,INPUT_DATA!$BR:$BR,INPUT_DATA!CG:CG))</f>
        <v/>
      </c>
      <c r="N54" s="765" t="str">
        <f>IF($B54=0,"",_xlfn.XLOOKUP($B54,INPUT_DATA!$BR:$BR,INPUT_DATA!CH:CH))</f>
        <v/>
      </c>
      <c r="O54" s="765" t="str">
        <f>IF($B54=0,"",_xlfn.XLOOKUP($B54,INPUT_DATA!$BR:$BR,INPUT_DATA!CI:CI))</f>
        <v/>
      </c>
    </row>
    <row r="55" spans="2:15">
      <c r="B55" s="762">
        <f>'03 - Monthly Asset Follow up'!B60</f>
        <v>0</v>
      </c>
      <c r="C55" s="397" t="str">
        <f>IF($B55=0,"",_xlfn.XLOOKUP($B55,INPUT_DATA!$BR:$BR,INPUT_DATA!BS:BS))</f>
        <v/>
      </c>
      <c r="D55" s="397" t="str">
        <f>IF($B55=0,"",_xlfn.XLOOKUP($B55,INPUT_DATA!$BR:$BR,INPUT_DATA!BT:BT))</f>
        <v/>
      </c>
      <c r="E55" s="397" t="str">
        <f>IF($B55=0,"",_xlfn.XLOOKUP($B55,INPUT_DATA!$BR:$BR,INPUT_DATA!BU:BU))</f>
        <v/>
      </c>
      <c r="F55" s="397" t="str">
        <f>IF($B55=0,"",_xlfn.XLOOKUP($B55,INPUT_DATA!$BR:$BR,INPUT_DATA!BV:BV))</f>
        <v/>
      </c>
      <c r="G55" s="397" t="str">
        <f>IF($B55=0,"",_xlfn.XLOOKUP($B55,INPUT_DATA!$BR:$BR,INPUT_DATA!BW:BW))</f>
        <v/>
      </c>
      <c r="H55" s="397" t="str">
        <f>IF($B55=0,"",_xlfn.XLOOKUP($B55,INPUT_DATA!$BR:$BR,INPUT_DATA!BX:BX))</f>
        <v/>
      </c>
      <c r="I55" s="397" t="str">
        <f>IF($B55=0,"",_xlfn.XLOOKUP($B55,INPUT_DATA!$BR:$BR,INPUT_DATA!BY:BY))</f>
        <v/>
      </c>
      <c r="J55" s="397" t="str">
        <f>IF($B55=0,"",_xlfn.XLOOKUP($B55,INPUT_DATA!$BR:$BR,INPUT_DATA!BZ:BZ))</f>
        <v/>
      </c>
      <c r="K55" s="765" t="str">
        <f>IF($B55=0,"",_xlfn.XLOOKUP($B55,INPUT_DATA!$BR:$BR,INPUT_DATA!CE:CE))</f>
        <v/>
      </c>
      <c r="L55" s="765" t="str">
        <f>IF($B55=0,"",_xlfn.XLOOKUP($B55,INPUT_DATA!$BR:$BR,INPUT_DATA!CF:CF))</f>
        <v/>
      </c>
      <c r="M55" s="765" t="str">
        <f>IF($B55=0,"",_xlfn.XLOOKUP($B55,INPUT_DATA!$BR:$BR,INPUT_DATA!CG:CG))</f>
        <v/>
      </c>
      <c r="N55" s="765" t="str">
        <f>IF($B55=0,"",_xlfn.XLOOKUP($B55,INPUT_DATA!$BR:$BR,INPUT_DATA!CH:CH))</f>
        <v/>
      </c>
      <c r="O55" s="765" t="str">
        <f>IF($B55=0,"",_xlfn.XLOOKUP($B55,INPUT_DATA!$BR:$BR,INPUT_DATA!CI:CI))</f>
        <v/>
      </c>
    </row>
    <row r="56" spans="2:15">
      <c r="B56" s="762">
        <f>'03 - Monthly Asset Follow up'!B61</f>
        <v>0</v>
      </c>
      <c r="C56" s="397" t="str">
        <f>IF($B56=0,"",_xlfn.XLOOKUP($B56,INPUT_DATA!$BR:$BR,INPUT_DATA!BS:BS))</f>
        <v/>
      </c>
      <c r="D56" s="397" t="str">
        <f>IF($B56=0,"",_xlfn.XLOOKUP($B56,INPUT_DATA!$BR:$BR,INPUT_DATA!BT:BT))</f>
        <v/>
      </c>
      <c r="E56" s="397" t="str">
        <f>IF($B56=0,"",_xlfn.XLOOKUP($B56,INPUT_DATA!$BR:$BR,INPUT_DATA!BU:BU))</f>
        <v/>
      </c>
      <c r="F56" s="397" t="str">
        <f>IF($B56=0,"",_xlfn.XLOOKUP($B56,INPUT_DATA!$BR:$BR,INPUT_DATA!BV:BV))</f>
        <v/>
      </c>
      <c r="G56" s="397" t="str">
        <f>IF($B56=0,"",_xlfn.XLOOKUP($B56,INPUT_DATA!$BR:$BR,INPUT_DATA!BW:BW))</f>
        <v/>
      </c>
      <c r="H56" s="397" t="str">
        <f>IF($B56=0,"",_xlfn.XLOOKUP($B56,INPUT_DATA!$BR:$BR,INPUT_DATA!BX:BX))</f>
        <v/>
      </c>
      <c r="I56" s="397" t="str">
        <f>IF($B56=0,"",_xlfn.XLOOKUP($B56,INPUT_DATA!$BR:$BR,INPUT_DATA!BY:BY))</f>
        <v/>
      </c>
      <c r="J56" s="397" t="str">
        <f>IF($B56=0,"",_xlfn.XLOOKUP($B56,INPUT_DATA!$BR:$BR,INPUT_DATA!BZ:BZ))</f>
        <v/>
      </c>
      <c r="K56" s="765" t="str">
        <f>IF($B56=0,"",_xlfn.XLOOKUP($B56,INPUT_DATA!$BR:$BR,INPUT_DATA!CE:CE))</f>
        <v/>
      </c>
      <c r="L56" s="765" t="str">
        <f>IF($B56=0,"",_xlfn.XLOOKUP($B56,INPUT_DATA!$BR:$BR,INPUT_DATA!CF:CF))</f>
        <v/>
      </c>
      <c r="M56" s="765" t="str">
        <f>IF($B56=0,"",_xlfn.XLOOKUP($B56,INPUT_DATA!$BR:$BR,INPUT_DATA!CG:CG))</f>
        <v/>
      </c>
      <c r="N56" s="765" t="str">
        <f>IF($B56=0,"",_xlfn.XLOOKUP($B56,INPUT_DATA!$BR:$BR,INPUT_DATA!CH:CH))</f>
        <v/>
      </c>
      <c r="O56" s="765" t="str">
        <f>IF($B56=0,"",_xlfn.XLOOKUP($B56,INPUT_DATA!$BR:$BR,INPUT_DATA!CI:CI))</f>
        <v/>
      </c>
    </row>
    <row r="57" spans="2:15">
      <c r="B57" s="762">
        <f>'03 - Monthly Asset Follow up'!B62</f>
        <v>0</v>
      </c>
      <c r="C57" s="397" t="str">
        <f>IF($B57=0,"",_xlfn.XLOOKUP($B57,INPUT_DATA!$BR:$BR,INPUT_DATA!BS:BS))</f>
        <v/>
      </c>
      <c r="D57" s="397" t="str">
        <f>IF($B57=0,"",_xlfn.XLOOKUP($B57,INPUT_DATA!$BR:$BR,INPUT_DATA!BT:BT))</f>
        <v/>
      </c>
      <c r="E57" s="397" t="str">
        <f>IF($B57=0,"",_xlfn.XLOOKUP($B57,INPUT_DATA!$BR:$BR,INPUT_DATA!BU:BU))</f>
        <v/>
      </c>
      <c r="F57" s="397" t="str">
        <f>IF($B57=0,"",_xlfn.XLOOKUP($B57,INPUT_DATA!$BR:$BR,INPUT_DATA!BV:BV))</f>
        <v/>
      </c>
      <c r="G57" s="397" t="str">
        <f>IF($B57=0,"",_xlfn.XLOOKUP($B57,INPUT_DATA!$BR:$BR,INPUT_DATA!BW:BW))</f>
        <v/>
      </c>
      <c r="H57" s="397" t="str">
        <f>IF($B57=0,"",_xlfn.XLOOKUP($B57,INPUT_DATA!$BR:$BR,INPUT_DATA!BX:BX))</f>
        <v/>
      </c>
      <c r="I57" s="397" t="str">
        <f>IF($B57=0,"",_xlfn.XLOOKUP($B57,INPUT_DATA!$BR:$BR,INPUT_DATA!BY:BY))</f>
        <v/>
      </c>
      <c r="J57" s="397" t="str">
        <f>IF($B57=0,"",_xlfn.XLOOKUP($B57,INPUT_DATA!$BR:$BR,INPUT_DATA!BZ:BZ))</f>
        <v/>
      </c>
      <c r="K57" s="765" t="str">
        <f>IF($B57=0,"",_xlfn.XLOOKUP($B57,INPUT_DATA!$BR:$BR,INPUT_DATA!CE:CE))</f>
        <v/>
      </c>
      <c r="L57" s="765" t="str">
        <f>IF($B57=0,"",_xlfn.XLOOKUP($B57,INPUT_DATA!$BR:$BR,INPUT_DATA!CF:CF))</f>
        <v/>
      </c>
      <c r="M57" s="765" t="str">
        <f>IF($B57=0,"",_xlfn.XLOOKUP($B57,INPUT_DATA!$BR:$BR,INPUT_DATA!CG:CG))</f>
        <v/>
      </c>
      <c r="N57" s="765" t="str">
        <f>IF($B57=0,"",_xlfn.XLOOKUP($B57,INPUT_DATA!$BR:$BR,INPUT_DATA!CH:CH))</f>
        <v/>
      </c>
      <c r="O57" s="765" t="str">
        <f>IF($B57=0,"",_xlfn.XLOOKUP($B57,INPUT_DATA!$BR:$BR,INPUT_DATA!CI:CI))</f>
        <v/>
      </c>
    </row>
    <row r="58" spans="2:15">
      <c r="B58" s="762">
        <f>'03 - Monthly Asset Follow up'!B63</f>
        <v>0</v>
      </c>
      <c r="C58" s="397" t="str">
        <f>IF($B58=0,"",_xlfn.XLOOKUP($B58,INPUT_DATA!$BR:$BR,INPUT_DATA!BS:BS))</f>
        <v/>
      </c>
      <c r="D58" s="397" t="str">
        <f>IF($B58=0,"",_xlfn.XLOOKUP($B58,INPUT_DATA!$BR:$BR,INPUT_DATA!BT:BT))</f>
        <v/>
      </c>
      <c r="E58" s="397" t="str">
        <f>IF($B58=0,"",_xlfn.XLOOKUP($B58,INPUT_DATA!$BR:$BR,INPUT_DATA!BU:BU))</f>
        <v/>
      </c>
      <c r="F58" s="397" t="str">
        <f>IF($B58=0,"",_xlfn.XLOOKUP($B58,INPUT_DATA!$BR:$BR,INPUT_DATA!BV:BV))</f>
        <v/>
      </c>
      <c r="G58" s="397" t="str">
        <f>IF($B58=0,"",_xlfn.XLOOKUP($B58,INPUT_DATA!$BR:$BR,INPUT_DATA!BW:BW))</f>
        <v/>
      </c>
      <c r="H58" s="397" t="str">
        <f>IF($B58=0,"",_xlfn.XLOOKUP($B58,INPUT_DATA!$BR:$BR,INPUT_DATA!BX:BX))</f>
        <v/>
      </c>
      <c r="I58" s="397" t="str">
        <f>IF($B58=0,"",_xlfn.XLOOKUP($B58,INPUT_DATA!$BR:$BR,INPUT_DATA!BY:BY))</f>
        <v/>
      </c>
      <c r="J58" s="397" t="str">
        <f>IF($B58=0,"",_xlfn.XLOOKUP($B58,INPUT_DATA!$BR:$BR,INPUT_DATA!BZ:BZ))</f>
        <v/>
      </c>
      <c r="K58" s="765" t="str">
        <f>IF($B58=0,"",_xlfn.XLOOKUP($B58,INPUT_DATA!$BR:$BR,INPUT_DATA!CE:CE))</f>
        <v/>
      </c>
      <c r="L58" s="765" t="str">
        <f>IF($B58=0,"",_xlfn.XLOOKUP($B58,INPUT_DATA!$BR:$BR,INPUT_DATA!CF:CF))</f>
        <v/>
      </c>
      <c r="M58" s="765" t="str">
        <f>IF($B58=0,"",_xlfn.XLOOKUP($B58,INPUT_DATA!$BR:$BR,INPUT_DATA!CG:CG))</f>
        <v/>
      </c>
      <c r="N58" s="765" t="str">
        <f>IF($B58=0,"",_xlfn.XLOOKUP($B58,INPUT_DATA!$BR:$BR,INPUT_DATA!CH:CH))</f>
        <v/>
      </c>
      <c r="O58" s="765" t="str">
        <f>IF($B58=0,"",_xlfn.XLOOKUP($B58,INPUT_DATA!$BR:$BR,INPUT_DATA!CI:CI))</f>
        <v/>
      </c>
    </row>
    <row r="59" spans="2:15">
      <c r="B59" s="762">
        <f>'03 - Monthly Asset Follow up'!B64</f>
        <v>0</v>
      </c>
      <c r="C59" s="397" t="str">
        <f>IF($B59=0,"",_xlfn.XLOOKUP($B59,INPUT_DATA!$BR:$BR,INPUT_DATA!BS:BS))</f>
        <v/>
      </c>
      <c r="D59" s="397" t="str">
        <f>IF($B59=0,"",_xlfn.XLOOKUP($B59,INPUT_DATA!$BR:$BR,INPUT_DATA!BT:BT))</f>
        <v/>
      </c>
      <c r="E59" s="397" t="str">
        <f>IF($B59=0,"",_xlfn.XLOOKUP($B59,INPUT_DATA!$BR:$BR,INPUT_DATA!BU:BU))</f>
        <v/>
      </c>
      <c r="F59" s="397" t="str">
        <f>IF($B59=0,"",_xlfn.XLOOKUP($B59,INPUT_DATA!$BR:$BR,INPUT_DATA!BV:BV))</f>
        <v/>
      </c>
      <c r="G59" s="397" t="str">
        <f>IF($B59=0,"",_xlfn.XLOOKUP($B59,INPUT_DATA!$BR:$BR,INPUT_DATA!BW:BW))</f>
        <v/>
      </c>
      <c r="H59" s="397" t="str">
        <f>IF($B59=0,"",_xlfn.XLOOKUP($B59,INPUT_DATA!$BR:$BR,INPUT_DATA!BX:BX))</f>
        <v/>
      </c>
      <c r="I59" s="397" t="str">
        <f>IF($B59=0,"",_xlfn.XLOOKUP($B59,INPUT_DATA!$BR:$BR,INPUT_DATA!BY:BY))</f>
        <v/>
      </c>
      <c r="J59" s="397" t="str">
        <f>IF($B59=0,"",_xlfn.XLOOKUP($B59,INPUT_DATA!$BR:$BR,INPUT_DATA!BZ:BZ))</f>
        <v/>
      </c>
      <c r="K59" s="765" t="str">
        <f>IF($B59=0,"",_xlfn.XLOOKUP($B59,INPUT_DATA!$BR:$BR,INPUT_DATA!CE:CE))</f>
        <v/>
      </c>
      <c r="L59" s="765" t="str">
        <f>IF($B59=0,"",_xlfn.XLOOKUP($B59,INPUT_DATA!$BR:$BR,INPUT_DATA!CF:CF))</f>
        <v/>
      </c>
      <c r="M59" s="765" t="str">
        <f>IF($B59=0,"",_xlfn.XLOOKUP($B59,INPUT_DATA!$BR:$BR,INPUT_DATA!CG:CG))</f>
        <v/>
      </c>
      <c r="N59" s="765" t="str">
        <f>IF($B59=0,"",_xlfn.XLOOKUP($B59,INPUT_DATA!$BR:$BR,INPUT_DATA!CH:CH))</f>
        <v/>
      </c>
      <c r="O59" s="765" t="str">
        <f>IF($B59=0,"",_xlfn.XLOOKUP($B59,INPUT_DATA!$BR:$BR,INPUT_DATA!CI:CI))</f>
        <v/>
      </c>
    </row>
    <row r="60" spans="2:15">
      <c r="B60" s="762">
        <f>'03 - Monthly Asset Follow up'!B65</f>
        <v>0</v>
      </c>
      <c r="C60" s="397" t="str">
        <f>IF($B60=0,"",_xlfn.XLOOKUP($B60,INPUT_DATA!$BR:$BR,INPUT_DATA!BS:BS))</f>
        <v/>
      </c>
      <c r="D60" s="397" t="str">
        <f>IF($B60=0,"",_xlfn.XLOOKUP($B60,INPUT_DATA!$BR:$BR,INPUT_DATA!BT:BT))</f>
        <v/>
      </c>
      <c r="E60" s="397" t="str">
        <f>IF($B60=0,"",_xlfn.XLOOKUP($B60,INPUT_DATA!$BR:$BR,INPUT_DATA!BU:BU))</f>
        <v/>
      </c>
      <c r="F60" s="397" t="str">
        <f>IF($B60=0,"",_xlfn.XLOOKUP($B60,INPUT_DATA!$BR:$BR,INPUT_DATA!BV:BV))</f>
        <v/>
      </c>
      <c r="G60" s="397" t="str">
        <f>IF($B60=0,"",_xlfn.XLOOKUP($B60,INPUT_DATA!$BR:$BR,INPUT_DATA!BW:BW))</f>
        <v/>
      </c>
      <c r="H60" s="397" t="str">
        <f>IF($B60=0,"",_xlfn.XLOOKUP($B60,INPUT_DATA!$BR:$BR,INPUT_DATA!BX:BX))</f>
        <v/>
      </c>
      <c r="I60" s="397" t="str">
        <f>IF($B60=0,"",_xlfn.XLOOKUP($B60,INPUT_DATA!$BR:$BR,INPUT_DATA!BY:BY))</f>
        <v/>
      </c>
      <c r="J60" s="397" t="str">
        <f>IF($B60=0,"",_xlfn.XLOOKUP($B60,INPUT_DATA!$BR:$BR,INPUT_DATA!BZ:BZ))</f>
        <v/>
      </c>
      <c r="K60" s="765" t="str">
        <f>IF($B60=0,"",_xlfn.XLOOKUP($B60,INPUT_DATA!$BR:$BR,INPUT_DATA!CE:CE))</f>
        <v/>
      </c>
      <c r="L60" s="765" t="str">
        <f>IF($B60=0,"",_xlfn.XLOOKUP($B60,INPUT_DATA!$BR:$BR,INPUT_DATA!CF:CF))</f>
        <v/>
      </c>
      <c r="M60" s="765" t="str">
        <f>IF($B60=0,"",_xlfn.XLOOKUP($B60,INPUT_DATA!$BR:$BR,INPUT_DATA!CG:CG))</f>
        <v/>
      </c>
      <c r="N60" s="765" t="str">
        <f>IF($B60=0,"",_xlfn.XLOOKUP($B60,INPUT_DATA!$BR:$BR,INPUT_DATA!CH:CH))</f>
        <v/>
      </c>
      <c r="O60" s="765" t="str">
        <f>IF($B60=0,"",_xlfn.XLOOKUP($B60,INPUT_DATA!$BR:$BR,INPUT_DATA!CI:CI))</f>
        <v/>
      </c>
    </row>
    <row r="61" spans="2:15">
      <c r="B61" s="762">
        <f>'03 - Monthly Asset Follow up'!B66</f>
        <v>0</v>
      </c>
      <c r="C61" s="397" t="str">
        <f>IF($B61=0,"",_xlfn.XLOOKUP($B61,INPUT_DATA!$BR:$BR,INPUT_DATA!BS:BS))</f>
        <v/>
      </c>
      <c r="D61" s="397" t="str">
        <f>IF($B61=0,"",_xlfn.XLOOKUP($B61,INPUT_DATA!$BR:$BR,INPUT_DATA!BT:BT))</f>
        <v/>
      </c>
      <c r="E61" s="397" t="str">
        <f>IF($B61=0,"",_xlfn.XLOOKUP($B61,INPUT_DATA!$BR:$BR,INPUT_DATA!BU:BU))</f>
        <v/>
      </c>
      <c r="F61" s="397" t="str">
        <f>IF($B61=0,"",_xlfn.XLOOKUP($B61,INPUT_DATA!$BR:$BR,INPUT_DATA!BV:BV))</f>
        <v/>
      </c>
      <c r="G61" s="397" t="str">
        <f>IF($B61=0,"",_xlfn.XLOOKUP($B61,INPUT_DATA!$BR:$BR,INPUT_DATA!BW:BW))</f>
        <v/>
      </c>
      <c r="H61" s="397" t="str">
        <f>IF($B61=0,"",_xlfn.XLOOKUP($B61,INPUT_DATA!$BR:$BR,INPUT_DATA!BX:BX))</f>
        <v/>
      </c>
      <c r="I61" s="397" t="str">
        <f>IF($B61=0,"",_xlfn.XLOOKUP($B61,INPUT_DATA!$BR:$BR,INPUT_DATA!BY:BY))</f>
        <v/>
      </c>
      <c r="J61" s="397" t="str">
        <f>IF($B61=0,"",_xlfn.XLOOKUP($B61,INPUT_DATA!$BR:$BR,INPUT_DATA!BZ:BZ))</f>
        <v/>
      </c>
      <c r="K61" s="765" t="str">
        <f>IF($B61=0,"",_xlfn.XLOOKUP($B61,INPUT_DATA!$BR:$BR,INPUT_DATA!CE:CE))</f>
        <v/>
      </c>
      <c r="L61" s="765" t="str">
        <f>IF($B61=0,"",_xlfn.XLOOKUP($B61,INPUT_DATA!$BR:$BR,INPUT_DATA!CF:CF))</f>
        <v/>
      </c>
      <c r="M61" s="765" t="str">
        <f>IF($B61=0,"",_xlfn.XLOOKUP($B61,INPUT_DATA!$BR:$BR,INPUT_DATA!CG:CG))</f>
        <v/>
      </c>
      <c r="N61" s="765" t="str">
        <f>IF($B61=0,"",_xlfn.XLOOKUP($B61,INPUT_DATA!$BR:$BR,INPUT_DATA!CH:CH))</f>
        <v/>
      </c>
      <c r="O61" s="765" t="str">
        <f>IF($B61=0,"",_xlfn.XLOOKUP($B61,INPUT_DATA!$BR:$BR,INPUT_DATA!CI:CI))</f>
        <v/>
      </c>
    </row>
    <row r="62" spans="2:15">
      <c r="B62" s="762">
        <f>'03 - Monthly Asset Follow up'!B67</f>
        <v>0</v>
      </c>
      <c r="C62" s="397" t="str">
        <f>IF($B62=0,"",_xlfn.XLOOKUP($B62,INPUT_DATA!$BR:$BR,INPUT_DATA!BS:BS))</f>
        <v/>
      </c>
      <c r="D62" s="397" t="str">
        <f>IF($B62=0,"",_xlfn.XLOOKUP($B62,INPUT_DATA!$BR:$BR,INPUT_DATA!BT:BT))</f>
        <v/>
      </c>
      <c r="E62" s="397" t="str">
        <f>IF($B62=0,"",_xlfn.XLOOKUP($B62,INPUT_DATA!$BR:$BR,INPUT_DATA!BU:BU))</f>
        <v/>
      </c>
      <c r="F62" s="397" t="str">
        <f>IF($B62=0,"",_xlfn.XLOOKUP($B62,INPUT_DATA!$BR:$BR,INPUT_DATA!BV:BV))</f>
        <v/>
      </c>
      <c r="G62" s="397" t="str">
        <f>IF($B62=0,"",_xlfn.XLOOKUP($B62,INPUT_DATA!$BR:$BR,INPUT_DATA!BW:BW))</f>
        <v/>
      </c>
      <c r="H62" s="397" t="str">
        <f>IF($B62=0,"",_xlfn.XLOOKUP($B62,INPUT_DATA!$BR:$BR,INPUT_DATA!BX:BX))</f>
        <v/>
      </c>
      <c r="I62" s="397" t="str">
        <f>IF($B62=0,"",_xlfn.XLOOKUP($B62,INPUT_DATA!$BR:$BR,INPUT_DATA!BY:BY))</f>
        <v/>
      </c>
      <c r="J62" s="397" t="str">
        <f>IF($B62=0,"",_xlfn.XLOOKUP($B62,INPUT_DATA!$BR:$BR,INPUT_DATA!BZ:BZ))</f>
        <v/>
      </c>
      <c r="K62" s="765" t="str">
        <f>IF($B62=0,"",_xlfn.XLOOKUP($B62,INPUT_DATA!$BR:$BR,INPUT_DATA!CE:CE))</f>
        <v/>
      </c>
      <c r="L62" s="765" t="str">
        <f>IF($B62=0,"",_xlfn.XLOOKUP($B62,INPUT_DATA!$BR:$BR,INPUT_DATA!CF:CF))</f>
        <v/>
      </c>
      <c r="M62" s="765" t="str">
        <f>IF($B62=0,"",_xlfn.XLOOKUP($B62,INPUT_DATA!$BR:$BR,INPUT_DATA!CG:CG))</f>
        <v/>
      </c>
      <c r="N62" s="765" t="str">
        <f>IF($B62=0,"",_xlfn.XLOOKUP($B62,INPUT_DATA!$BR:$BR,INPUT_DATA!CH:CH))</f>
        <v/>
      </c>
      <c r="O62" s="765" t="str">
        <f>IF($B62=0,"",_xlfn.XLOOKUP($B62,INPUT_DATA!$BR:$BR,INPUT_DATA!CI:CI))</f>
        <v/>
      </c>
    </row>
    <row r="63" spans="2:15">
      <c r="B63" s="762">
        <f>'03 - Monthly Asset Follow up'!B68</f>
        <v>0</v>
      </c>
      <c r="C63" s="397" t="str">
        <f>IF($B63=0,"",_xlfn.XLOOKUP($B63,INPUT_DATA!$BR:$BR,INPUT_DATA!BS:BS))</f>
        <v/>
      </c>
      <c r="D63" s="397" t="str">
        <f>IF($B63=0,"",_xlfn.XLOOKUP($B63,INPUT_DATA!$BR:$BR,INPUT_DATA!BT:BT))</f>
        <v/>
      </c>
      <c r="E63" s="397" t="str">
        <f>IF($B63=0,"",_xlfn.XLOOKUP($B63,INPUT_DATA!$BR:$BR,INPUT_DATA!BU:BU))</f>
        <v/>
      </c>
      <c r="F63" s="397" t="str">
        <f>IF($B63=0,"",_xlfn.XLOOKUP($B63,INPUT_DATA!$BR:$BR,INPUT_DATA!BV:BV))</f>
        <v/>
      </c>
      <c r="G63" s="397" t="str">
        <f>IF($B63=0,"",_xlfn.XLOOKUP($B63,INPUT_DATA!$BR:$BR,INPUT_DATA!BW:BW))</f>
        <v/>
      </c>
      <c r="H63" s="397" t="str">
        <f>IF($B63=0,"",_xlfn.XLOOKUP($B63,INPUT_DATA!$BR:$BR,INPUT_DATA!BX:BX))</f>
        <v/>
      </c>
      <c r="I63" s="397" t="str">
        <f>IF($B63=0,"",_xlfn.XLOOKUP($B63,INPUT_DATA!$BR:$BR,INPUT_DATA!BY:BY))</f>
        <v/>
      </c>
      <c r="J63" s="397" t="str">
        <f>IF($B63=0,"",_xlfn.XLOOKUP($B63,INPUT_DATA!$BR:$BR,INPUT_DATA!BZ:BZ))</f>
        <v/>
      </c>
      <c r="K63" s="765" t="str">
        <f>IF($B63=0,"",_xlfn.XLOOKUP($B63,INPUT_DATA!$BR:$BR,INPUT_DATA!CE:CE))</f>
        <v/>
      </c>
      <c r="L63" s="765" t="str">
        <f>IF($B63=0,"",_xlfn.XLOOKUP($B63,INPUT_DATA!$BR:$BR,INPUT_DATA!CF:CF))</f>
        <v/>
      </c>
      <c r="M63" s="765" t="str">
        <f>IF($B63=0,"",_xlfn.XLOOKUP($B63,INPUT_DATA!$BR:$BR,INPUT_DATA!CG:CG))</f>
        <v/>
      </c>
      <c r="N63" s="765" t="str">
        <f>IF($B63=0,"",_xlfn.XLOOKUP($B63,INPUT_DATA!$BR:$BR,INPUT_DATA!CH:CH))</f>
        <v/>
      </c>
      <c r="O63" s="765" t="str">
        <f>IF($B63=0,"",_xlfn.XLOOKUP($B63,INPUT_DATA!$BR:$BR,INPUT_DATA!CI:CI))</f>
        <v/>
      </c>
    </row>
    <row r="64" spans="2:15">
      <c r="B64" s="762">
        <f>'03 - Monthly Asset Follow up'!B69</f>
        <v>0</v>
      </c>
      <c r="C64" s="397" t="str">
        <f>IF($B64=0,"",_xlfn.XLOOKUP($B64,INPUT_DATA!$BR:$BR,INPUT_DATA!BS:BS))</f>
        <v/>
      </c>
      <c r="D64" s="397" t="str">
        <f>IF($B64=0,"",_xlfn.XLOOKUP($B64,INPUT_DATA!$BR:$BR,INPUT_DATA!BT:BT))</f>
        <v/>
      </c>
      <c r="E64" s="397" t="str">
        <f>IF($B64=0,"",_xlfn.XLOOKUP($B64,INPUT_DATA!$BR:$BR,INPUT_DATA!BU:BU))</f>
        <v/>
      </c>
      <c r="F64" s="397" t="str">
        <f>IF($B64=0,"",_xlfn.XLOOKUP($B64,INPUT_DATA!$BR:$BR,INPUT_DATA!BV:BV))</f>
        <v/>
      </c>
      <c r="G64" s="397" t="str">
        <f>IF($B64=0,"",_xlfn.XLOOKUP($B64,INPUT_DATA!$BR:$BR,INPUT_DATA!BW:BW))</f>
        <v/>
      </c>
      <c r="H64" s="397" t="str">
        <f>IF($B64=0,"",_xlfn.XLOOKUP($B64,INPUT_DATA!$BR:$BR,INPUT_DATA!BX:BX))</f>
        <v/>
      </c>
      <c r="I64" s="397" t="str">
        <f>IF($B64=0,"",_xlfn.XLOOKUP($B64,INPUT_DATA!$BR:$BR,INPUT_DATA!BY:BY))</f>
        <v/>
      </c>
      <c r="J64" s="397" t="str">
        <f>IF($B64=0,"",_xlfn.XLOOKUP($B64,INPUT_DATA!$BR:$BR,INPUT_DATA!BZ:BZ))</f>
        <v/>
      </c>
      <c r="K64" s="765" t="str">
        <f>IF($B64=0,"",_xlfn.XLOOKUP($B64,INPUT_DATA!$BR:$BR,INPUT_DATA!CE:CE))</f>
        <v/>
      </c>
      <c r="L64" s="765" t="str">
        <f>IF($B64=0,"",_xlfn.XLOOKUP($B64,INPUT_DATA!$BR:$BR,INPUT_DATA!CF:CF))</f>
        <v/>
      </c>
      <c r="M64" s="765" t="str">
        <f>IF($B64=0,"",_xlfn.XLOOKUP($B64,INPUT_DATA!$BR:$BR,INPUT_DATA!CG:CG))</f>
        <v/>
      </c>
      <c r="N64" s="765" t="str">
        <f>IF($B64=0,"",_xlfn.XLOOKUP($B64,INPUT_DATA!$BR:$BR,INPUT_DATA!CH:CH))</f>
        <v/>
      </c>
      <c r="O64" s="765" t="str">
        <f>IF($B64=0,"",_xlfn.XLOOKUP($B64,INPUT_DATA!$BR:$BR,INPUT_DATA!CI:CI))</f>
        <v/>
      </c>
    </row>
    <row r="65" spans="2:15">
      <c r="B65" s="762">
        <f>'03 - Monthly Asset Follow up'!B70</f>
        <v>0</v>
      </c>
      <c r="C65" s="397" t="str">
        <f>IF($B65=0,"",_xlfn.XLOOKUP($B65,INPUT_DATA!$BR:$BR,INPUT_DATA!BS:BS))</f>
        <v/>
      </c>
      <c r="D65" s="397" t="str">
        <f>IF($B65=0,"",_xlfn.XLOOKUP($B65,INPUT_DATA!$BR:$BR,INPUT_DATA!BT:BT))</f>
        <v/>
      </c>
      <c r="E65" s="397" t="str">
        <f>IF($B65=0,"",_xlfn.XLOOKUP($B65,INPUT_DATA!$BR:$BR,INPUT_DATA!BU:BU))</f>
        <v/>
      </c>
      <c r="F65" s="397" t="str">
        <f>IF($B65=0,"",_xlfn.XLOOKUP($B65,INPUT_DATA!$BR:$BR,INPUT_DATA!BV:BV))</f>
        <v/>
      </c>
      <c r="G65" s="397" t="str">
        <f>IF($B65=0,"",_xlfn.XLOOKUP($B65,INPUT_DATA!$BR:$BR,INPUT_DATA!BW:BW))</f>
        <v/>
      </c>
      <c r="H65" s="397" t="str">
        <f>IF($B65=0,"",_xlfn.XLOOKUP($B65,INPUT_DATA!$BR:$BR,INPUT_DATA!BX:BX))</f>
        <v/>
      </c>
      <c r="I65" s="397" t="str">
        <f>IF($B65=0,"",_xlfn.XLOOKUP($B65,INPUT_DATA!$BR:$BR,INPUT_DATA!BY:BY))</f>
        <v/>
      </c>
      <c r="J65" s="397" t="str">
        <f>IF($B65=0,"",_xlfn.XLOOKUP($B65,INPUT_DATA!$BR:$BR,INPUT_DATA!BZ:BZ))</f>
        <v/>
      </c>
      <c r="K65" s="765" t="str">
        <f>IF($B65=0,"",_xlfn.XLOOKUP($B65,INPUT_DATA!$BR:$BR,INPUT_DATA!CE:CE))</f>
        <v/>
      </c>
      <c r="L65" s="765" t="str">
        <f>IF($B65=0,"",_xlfn.XLOOKUP($B65,INPUT_DATA!$BR:$BR,INPUT_DATA!CF:CF))</f>
        <v/>
      </c>
      <c r="M65" s="765" t="str">
        <f>IF($B65=0,"",_xlfn.XLOOKUP($B65,INPUT_DATA!$BR:$BR,INPUT_DATA!CG:CG))</f>
        <v/>
      </c>
      <c r="N65" s="765" t="str">
        <f>IF($B65=0,"",_xlfn.XLOOKUP($B65,INPUT_DATA!$BR:$BR,INPUT_DATA!CH:CH))</f>
        <v/>
      </c>
      <c r="O65" s="765" t="str">
        <f>IF($B65=0,"",_xlfn.XLOOKUP($B65,INPUT_DATA!$BR:$BR,INPUT_DATA!CI:CI))</f>
        <v/>
      </c>
    </row>
    <row r="66" spans="2:15">
      <c r="B66" s="762">
        <f>'03 - Monthly Asset Follow up'!B71</f>
        <v>0</v>
      </c>
      <c r="C66" s="397" t="str">
        <f>IF($B66=0,"",_xlfn.XLOOKUP($B66,INPUT_DATA!$BR:$BR,INPUT_DATA!BS:BS))</f>
        <v/>
      </c>
      <c r="D66" s="397" t="str">
        <f>IF($B66=0,"",_xlfn.XLOOKUP($B66,INPUT_DATA!$BR:$BR,INPUT_DATA!BT:BT))</f>
        <v/>
      </c>
      <c r="E66" s="397" t="str">
        <f>IF($B66=0,"",_xlfn.XLOOKUP($B66,INPUT_DATA!$BR:$BR,INPUT_DATA!BU:BU))</f>
        <v/>
      </c>
      <c r="F66" s="397" t="str">
        <f>IF($B66=0,"",_xlfn.XLOOKUP($B66,INPUT_DATA!$BR:$BR,INPUT_DATA!BV:BV))</f>
        <v/>
      </c>
      <c r="G66" s="397" t="str">
        <f>IF($B66=0,"",_xlfn.XLOOKUP($B66,INPUT_DATA!$BR:$BR,INPUT_DATA!BW:BW))</f>
        <v/>
      </c>
      <c r="H66" s="397" t="str">
        <f>IF($B66=0,"",_xlfn.XLOOKUP($B66,INPUT_DATA!$BR:$BR,INPUT_DATA!BX:BX))</f>
        <v/>
      </c>
      <c r="I66" s="397" t="str">
        <f>IF($B66=0,"",_xlfn.XLOOKUP($B66,INPUT_DATA!$BR:$BR,INPUT_DATA!BY:BY))</f>
        <v/>
      </c>
      <c r="J66" s="397" t="str">
        <f>IF($B66=0,"",_xlfn.XLOOKUP($B66,INPUT_DATA!$BR:$BR,INPUT_DATA!BZ:BZ))</f>
        <v/>
      </c>
      <c r="K66" s="765" t="str">
        <f>IF($B66=0,"",_xlfn.XLOOKUP($B66,INPUT_DATA!$BR:$BR,INPUT_DATA!CE:CE))</f>
        <v/>
      </c>
      <c r="L66" s="765" t="str">
        <f>IF($B66=0,"",_xlfn.XLOOKUP($B66,INPUT_DATA!$BR:$BR,INPUT_DATA!CF:CF))</f>
        <v/>
      </c>
      <c r="M66" s="765" t="str">
        <f>IF($B66=0,"",_xlfn.XLOOKUP($B66,INPUT_DATA!$BR:$BR,INPUT_DATA!CG:CG))</f>
        <v/>
      </c>
      <c r="N66" s="765" t="str">
        <f>IF($B66=0,"",_xlfn.XLOOKUP($B66,INPUT_DATA!$BR:$BR,INPUT_DATA!CH:CH))</f>
        <v/>
      </c>
      <c r="O66" s="765" t="str">
        <f>IF($B66=0,"",_xlfn.XLOOKUP($B66,INPUT_DATA!$BR:$BR,INPUT_DATA!CI:CI))</f>
        <v/>
      </c>
    </row>
    <row r="67" spans="2:15">
      <c r="B67" s="762">
        <f>'03 - Monthly Asset Follow up'!B72</f>
        <v>0</v>
      </c>
      <c r="C67" s="397" t="str">
        <f>IF($B67=0,"",_xlfn.XLOOKUP($B67,INPUT_DATA!$BR:$BR,INPUT_DATA!BS:BS))</f>
        <v/>
      </c>
      <c r="D67" s="397" t="str">
        <f>IF($B67=0,"",_xlfn.XLOOKUP($B67,INPUT_DATA!$BR:$BR,INPUT_DATA!BT:BT))</f>
        <v/>
      </c>
      <c r="E67" s="397" t="str">
        <f>IF($B67=0,"",_xlfn.XLOOKUP($B67,INPUT_DATA!$BR:$BR,INPUT_DATA!BU:BU))</f>
        <v/>
      </c>
      <c r="F67" s="397" t="str">
        <f>IF($B67=0,"",_xlfn.XLOOKUP($B67,INPUT_DATA!$BR:$BR,INPUT_DATA!BV:BV))</f>
        <v/>
      </c>
      <c r="G67" s="397" t="str">
        <f>IF($B67=0,"",_xlfn.XLOOKUP($B67,INPUT_DATA!$BR:$BR,INPUT_DATA!BW:BW))</f>
        <v/>
      </c>
      <c r="H67" s="397" t="str">
        <f>IF($B67=0,"",_xlfn.XLOOKUP($B67,INPUT_DATA!$BR:$BR,INPUT_DATA!BX:BX))</f>
        <v/>
      </c>
      <c r="I67" s="397" t="str">
        <f>IF($B67=0,"",_xlfn.XLOOKUP($B67,INPUT_DATA!$BR:$BR,INPUT_DATA!BY:BY))</f>
        <v/>
      </c>
      <c r="J67" s="397" t="str">
        <f>IF($B67=0,"",_xlfn.XLOOKUP($B67,INPUT_DATA!$BR:$BR,INPUT_DATA!BZ:BZ))</f>
        <v/>
      </c>
      <c r="K67" s="765" t="str">
        <f>IF($B67=0,"",_xlfn.XLOOKUP($B67,INPUT_DATA!$BR:$BR,INPUT_DATA!CE:CE))</f>
        <v/>
      </c>
      <c r="L67" s="765" t="str">
        <f>IF($B67=0,"",_xlfn.XLOOKUP($B67,INPUT_DATA!$BR:$BR,INPUT_DATA!CF:CF))</f>
        <v/>
      </c>
      <c r="M67" s="765" t="str">
        <f>IF($B67=0,"",_xlfn.XLOOKUP($B67,INPUT_DATA!$BR:$BR,INPUT_DATA!CG:CG))</f>
        <v/>
      </c>
      <c r="N67" s="765" t="str">
        <f>IF($B67=0,"",_xlfn.XLOOKUP($B67,INPUT_DATA!$BR:$BR,INPUT_DATA!CH:CH))</f>
        <v/>
      </c>
      <c r="O67" s="765" t="str">
        <f>IF($B67=0,"",_xlfn.XLOOKUP($B67,INPUT_DATA!$BR:$BR,INPUT_DATA!CI:CI))</f>
        <v/>
      </c>
    </row>
    <row r="68" spans="2:15">
      <c r="B68" s="762">
        <f>'03 - Monthly Asset Follow up'!B73</f>
        <v>0</v>
      </c>
      <c r="C68" s="397" t="str">
        <f>IF($B68=0,"",_xlfn.XLOOKUP($B68,INPUT_DATA!$BR:$BR,INPUT_DATA!BS:BS))</f>
        <v/>
      </c>
      <c r="D68" s="397" t="str">
        <f>IF($B68=0,"",_xlfn.XLOOKUP($B68,INPUT_DATA!$BR:$BR,INPUT_DATA!BT:BT))</f>
        <v/>
      </c>
      <c r="E68" s="397" t="str">
        <f>IF($B68=0,"",_xlfn.XLOOKUP($B68,INPUT_DATA!$BR:$BR,INPUT_DATA!BU:BU))</f>
        <v/>
      </c>
      <c r="F68" s="397" t="str">
        <f>IF($B68=0,"",_xlfn.XLOOKUP($B68,INPUT_DATA!$BR:$BR,INPUT_DATA!BV:BV))</f>
        <v/>
      </c>
      <c r="G68" s="397" t="str">
        <f>IF($B68=0,"",_xlfn.XLOOKUP($B68,INPUT_DATA!$BR:$BR,INPUT_DATA!BW:BW))</f>
        <v/>
      </c>
      <c r="H68" s="397" t="str">
        <f>IF($B68=0,"",_xlfn.XLOOKUP($B68,INPUT_DATA!$BR:$BR,INPUT_DATA!BX:BX))</f>
        <v/>
      </c>
      <c r="I68" s="397" t="str">
        <f>IF($B68=0,"",_xlfn.XLOOKUP($B68,INPUT_DATA!$BR:$BR,INPUT_DATA!BY:BY))</f>
        <v/>
      </c>
      <c r="J68" s="397" t="str">
        <f>IF($B68=0,"",_xlfn.XLOOKUP($B68,INPUT_DATA!$BR:$BR,INPUT_DATA!BZ:BZ))</f>
        <v/>
      </c>
      <c r="K68" s="765" t="str">
        <f>IF($B68=0,"",_xlfn.XLOOKUP($B68,INPUT_DATA!$BR:$BR,INPUT_DATA!CE:CE))</f>
        <v/>
      </c>
      <c r="L68" s="765" t="str">
        <f>IF($B68=0,"",_xlfn.XLOOKUP($B68,INPUT_DATA!$BR:$BR,INPUT_DATA!CF:CF))</f>
        <v/>
      </c>
      <c r="M68" s="765" t="str">
        <f>IF($B68=0,"",_xlfn.XLOOKUP($B68,INPUT_DATA!$BR:$BR,INPUT_DATA!CG:CG))</f>
        <v/>
      </c>
      <c r="N68" s="765" t="str">
        <f>IF($B68=0,"",_xlfn.XLOOKUP($B68,INPUT_DATA!$BR:$BR,INPUT_DATA!CH:CH))</f>
        <v/>
      </c>
      <c r="O68" s="765" t="str">
        <f>IF($B68=0,"",_xlfn.XLOOKUP($B68,INPUT_DATA!$BR:$BR,INPUT_DATA!CI:CI))</f>
        <v/>
      </c>
    </row>
    <row r="69" spans="2:15">
      <c r="B69" s="762">
        <f>'03 - Monthly Asset Follow up'!B74</f>
        <v>0</v>
      </c>
      <c r="C69" s="397" t="str">
        <f>IF($B69=0,"",_xlfn.XLOOKUP($B69,INPUT_DATA!$BR:$BR,INPUT_DATA!BS:BS))</f>
        <v/>
      </c>
      <c r="D69" s="397" t="str">
        <f>IF($B69=0,"",_xlfn.XLOOKUP($B69,INPUT_DATA!$BR:$BR,INPUT_DATA!BT:BT))</f>
        <v/>
      </c>
      <c r="E69" s="397" t="str">
        <f>IF($B69=0,"",_xlfn.XLOOKUP($B69,INPUT_DATA!$BR:$BR,INPUT_DATA!BU:BU))</f>
        <v/>
      </c>
      <c r="F69" s="397" t="str">
        <f>IF($B69=0,"",_xlfn.XLOOKUP($B69,INPUT_DATA!$BR:$BR,INPUT_DATA!BV:BV))</f>
        <v/>
      </c>
      <c r="G69" s="397" t="str">
        <f>IF($B69=0,"",_xlfn.XLOOKUP($B69,INPUT_DATA!$BR:$BR,INPUT_DATA!BW:BW))</f>
        <v/>
      </c>
      <c r="H69" s="397" t="str">
        <f>IF($B69=0,"",_xlfn.XLOOKUP($B69,INPUT_DATA!$BR:$BR,INPUT_DATA!BX:BX))</f>
        <v/>
      </c>
      <c r="I69" s="397" t="str">
        <f>IF($B69=0,"",_xlfn.XLOOKUP($B69,INPUT_DATA!$BR:$BR,INPUT_DATA!BY:BY))</f>
        <v/>
      </c>
      <c r="J69" s="397" t="str">
        <f>IF($B69=0,"",_xlfn.XLOOKUP($B69,INPUT_DATA!$BR:$BR,INPUT_DATA!BZ:BZ))</f>
        <v/>
      </c>
      <c r="K69" s="765" t="str">
        <f>IF($B69=0,"",_xlfn.XLOOKUP($B69,INPUT_DATA!$BR:$BR,INPUT_DATA!CE:CE))</f>
        <v/>
      </c>
      <c r="L69" s="765" t="str">
        <f>IF($B69=0,"",_xlfn.XLOOKUP($B69,INPUT_DATA!$BR:$BR,INPUT_DATA!CF:CF))</f>
        <v/>
      </c>
      <c r="M69" s="765" t="str">
        <f>IF($B69=0,"",_xlfn.XLOOKUP($B69,INPUT_DATA!$BR:$BR,INPUT_DATA!CG:CG))</f>
        <v/>
      </c>
      <c r="N69" s="765" t="str">
        <f>IF($B69=0,"",_xlfn.XLOOKUP($B69,INPUT_DATA!$BR:$BR,INPUT_DATA!CH:CH))</f>
        <v/>
      </c>
      <c r="O69" s="765" t="str">
        <f>IF($B69=0,"",_xlfn.XLOOKUP($B69,INPUT_DATA!$BR:$BR,INPUT_DATA!CI:CI))</f>
        <v/>
      </c>
    </row>
    <row r="70" spans="2:15">
      <c r="B70" s="762">
        <f>'03 - Monthly Asset Follow up'!B75</f>
        <v>0</v>
      </c>
      <c r="C70" s="397" t="str">
        <f>IF($B70=0,"",_xlfn.XLOOKUP($B70,INPUT_DATA!$BR:$BR,INPUT_DATA!BS:BS))</f>
        <v/>
      </c>
      <c r="D70" s="397" t="str">
        <f>IF($B70=0,"",_xlfn.XLOOKUP($B70,INPUT_DATA!$BR:$BR,INPUT_DATA!BT:BT))</f>
        <v/>
      </c>
      <c r="E70" s="397" t="str">
        <f>IF($B70=0,"",_xlfn.XLOOKUP($B70,INPUT_DATA!$BR:$BR,INPUT_DATA!BU:BU))</f>
        <v/>
      </c>
      <c r="F70" s="397" t="str">
        <f>IF($B70=0,"",_xlfn.XLOOKUP($B70,INPUT_DATA!$BR:$BR,INPUT_DATA!BV:BV))</f>
        <v/>
      </c>
      <c r="G70" s="397" t="str">
        <f>IF($B70=0,"",_xlfn.XLOOKUP($B70,INPUT_DATA!$BR:$BR,INPUT_DATA!BW:BW))</f>
        <v/>
      </c>
      <c r="H70" s="397" t="str">
        <f>IF($B70=0,"",_xlfn.XLOOKUP($B70,INPUT_DATA!$BR:$BR,INPUT_DATA!BX:BX))</f>
        <v/>
      </c>
      <c r="I70" s="397" t="str">
        <f>IF($B70=0,"",_xlfn.XLOOKUP($B70,INPUT_DATA!$BR:$BR,INPUT_DATA!BY:BY))</f>
        <v/>
      </c>
      <c r="J70" s="397" t="str">
        <f>IF($B70=0,"",_xlfn.XLOOKUP($B70,INPUT_DATA!$BR:$BR,INPUT_DATA!BZ:BZ))</f>
        <v/>
      </c>
      <c r="K70" s="765" t="str">
        <f>IF($B70=0,"",_xlfn.XLOOKUP($B70,INPUT_DATA!$BR:$BR,INPUT_DATA!CE:CE))</f>
        <v/>
      </c>
      <c r="L70" s="765" t="str">
        <f>IF($B70=0,"",_xlfn.XLOOKUP($B70,INPUT_DATA!$BR:$BR,INPUT_DATA!CF:CF))</f>
        <v/>
      </c>
      <c r="M70" s="765" t="str">
        <f>IF($B70=0,"",_xlfn.XLOOKUP($B70,INPUT_DATA!$BR:$BR,INPUT_DATA!CG:CG))</f>
        <v/>
      </c>
      <c r="N70" s="765" t="str">
        <f>IF($B70=0,"",_xlfn.XLOOKUP($B70,INPUT_DATA!$BR:$BR,INPUT_DATA!CH:CH))</f>
        <v/>
      </c>
      <c r="O70" s="765" t="str">
        <f>IF($B70=0,"",_xlfn.XLOOKUP($B70,INPUT_DATA!$BR:$BR,INPUT_DATA!CI:CI))</f>
        <v/>
      </c>
    </row>
    <row r="71" spans="2:15">
      <c r="B71" s="762">
        <f>'03 - Monthly Asset Follow up'!B76</f>
        <v>0</v>
      </c>
      <c r="C71" s="397" t="str">
        <f>IF($B71=0,"",_xlfn.XLOOKUP($B71,INPUT_DATA!$BR:$BR,INPUT_DATA!BS:BS))</f>
        <v/>
      </c>
      <c r="D71" s="397" t="str">
        <f>IF($B71=0,"",_xlfn.XLOOKUP($B71,INPUT_DATA!$BR:$BR,INPUT_DATA!BT:BT))</f>
        <v/>
      </c>
      <c r="E71" s="397" t="str">
        <f>IF($B71=0,"",_xlfn.XLOOKUP($B71,INPUT_DATA!$BR:$BR,INPUT_DATA!BU:BU))</f>
        <v/>
      </c>
      <c r="F71" s="397" t="str">
        <f>IF($B71=0,"",_xlfn.XLOOKUP($B71,INPUT_DATA!$BR:$BR,INPUT_DATA!BV:BV))</f>
        <v/>
      </c>
      <c r="G71" s="397" t="str">
        <f>IF($B71=0,"",_xlfn.XLOOKUP($B71,INPUT_DATA!$BR:$BR,INPUT_DATA!BW:BW))</f>
        <v/>
      </c>
      <c r="H71" s="397" t="str">
        <f>IF($B71=0,"",_xlfn.XLOOKUP($B71,INPUT_DATA!$BR:$BR,INPUT_DATA!BX:BX))</f>
        <v/>
      </c>
      <c r="I71" s="397" t="str">
        <f>IF($B71=0,"",_xlfn.XLOOKUP($B71,INPUT_DATA!$BR:$BR,INPUT_DATA!BY:BY))</f>
        <v/>
      </c>
      <c r="J71" s="397" t="str">
        <f>IF($B71=0,"",_xlfn.XLOOKUP($B71,INPUT_DATA!$BR:$BR,INPUT_DATA!BZ:BZ))</f>
        <v/>
      </c>
      <c r="K71" s="765" t="str">
        <f>IF($B71=0,"",_xlfn.XLOOKUP($B71,INPUT_DATA!$BR:$BR,INPUT_DATA!CE:CE))</f>
        <v/>
      </c>
      <c r="L71" s="765" t="str">
        <f>IF($B71=0,"",_xlfn.XLOOKUP($B71,INPUT_DATA!$BR:$BR,INPUT_DATA!CF:CF))</f>
        <v/>
      </c>
      <c r="M71" s="765" t="str">
        <f>IF($B71=0,"",_xlfn.XLOOKUP($B71,INPUT_DATA!$BR:$BR,INPUT_DATA!CG:CG))</f>
        <v/>
      </c>
      <c r="N71" s="765" t="str">
        <f>IF($B71=0,"",_xlfn.XLOOKUP($B71,INPUT_DATA!$BR:$BR,INPUT_DATA!CH:CH))</f>
        <v/>
      </c>
      <c r="O71" s="765" t="str">
        <f>IF($B71=0,"",_xlfn.XLOOKUP($B71,INPUT_DATA!$BR:$BR,INPUT_DATA!CI:CI))</f>
        <v/>
      </c>
    </row>
    <row r="72" spans="2:15">
      <c r="B72" s="762">
        <f>'03 - Monthly Asset Follow up'!B77</f>
        <v>0</v>
      </c>
      <c r="C72" s="397" t="str">
        <f>IF($B72=0,"",_xlfn.XLOOKUP($B72,INPUT_DATA!$BR:$BR,INPUT_DATA!BS:BS))</f>
        <v/>
      </c>
      <c r="D72" s="397" t="str">
        <f>IF($B72=0,"",_xlfn.XLOOKUP($B72,INPUT_DATA!$BR:$BR,INPUT_DATA!BT:BT))</f>
        <v/>
      </c>
      <c r="E72" s="397" t="str">
        <f>IF($B72=0,"",_xlfn.XLOOKUP($B72,INPUT_DATA!$BR:$BR,INPUT_DATA!BU:BU))</f>
        <v/>
      </c>
      <c r="F72" s="397" t="str">
        <f>IF($B72=0,"",_xlfn.XLOOKUP($B72,INPUT_DATA!$BR:$BR,INPUT_DATA!BV:BV))</f>
        <v/>
      </c>
      <c r="G72" s="397" t="str">
        <f>IF($B72=0,"",_xlfn.XLOOKUP($B72,INPUT_DATA!$BR:$BR,INPUT_DATA!BW:BW))</f>
        <v/>
      </c>
      <c r="H72" s="397" t="str">
        <f>IF($B72=0,"",_xlfn.XLOOKUP($B72,INPUT_DATA!$BR:$BR,INPUT_DATA!BX:BX))</f>
        <v/>
      </c>
      <c r="I72" s="397" t="str">
        <f>IF($B72=0,"",_xlfn.XLOOKUP($B72,INPUT_DATA!$BR:$BR,INPUT_DATA!BY:BY))</f>
        <v/>
      </c>
      <c r="J72" s="397" t="str">
        <f>IF($B72=0,"",_xlfn.XLOOKUP($B72,INPUT_DATA!$BR:$BR,INPUT_DATA!BZ:BZ))</f>
        <v/>
      </c>
      <c r="K72" s="765" t="str">
        <f>IF($B72=0,"",_xlfn.XLOOKUP($B72,INPUT_DATA!$BR:$BR,INPUT_DATA!CE:CE))</f>
        <v/>
      </c>
      <c r="L72" s="765" t="str">
        <f>IF($B72=0,"",_xlfn.XLOOKUP($B72,INPUT_DATA!$BR:$BR,INPUT_DATA!CF:CF))</f>
        <v/>
      </c>
      <c r="M72" s="765" t="str">
        <f>IF($B72=0,"",_xlfn.XLOOKUP($B72,INPUT_DATA!$BR:$BR,INPUT_DATA!CG:CG))</f>
        <v/>
      </c>
      <c r="N72" s="765" t="str">
        <f>IF($B72=0,"",_xlfn.XLOOKUP($B72,INPUT_DATA!$BR:$BR,INPUT_DATA!CH:CH))</f>
        <v/>
      </c>
      <c r="O72" s="765" t="str">
        <f>IF($B72=0,"",_xlfn.XLOOKUP($B72,INPUT_DATA!$BR:$BR,INPUT_DATA!CI:CI))</f>
        <v/>
      </c>
    </row>
  </sheetData>
  <phoneticPr fontId="117" type="noConversion"/>
  <conditionalFormatting sqref="B12:B72">
    <cfRule type="cellIs" dxfId="50"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H4" sqref="H4"/>
    </sheetView>
  </sheetViews>
  <sheetFormatPr defaultColWidth="10.85546875" defaultRowHeight="15"/>
  <cols>
    <col min="1" max="1" width="4.42578125" style="380" customWidth="1"/>
    <col min="2" max="2" width="23" style="380" customWidth="1"/>
    <col min="3" max="8" width="29.5703125" style="380" customWidth="1"/>
    <col min="9" max="9" width="3.5703125" style="380" customWidth="1"/>
    <col min="10" max="16384" width="10.85546875" style="380"/>
  </cols>
  <sheetData>
    <row r="1" spans="1:12">
      <c r="A1" s="104"/>
      <c r="B1" s="104"/>
      <c r="C1" s="104"/>
      <c r="D1" s="104"/>
      <c r="E1" s="104"/>
      <c r="F1" s="104"/>
      <c r="G1" s="104"/>
      <c r="H1" s="104"/>
      <c r="I1" s="104"/>
      <c r="J1" s="104"/>
      <c r="K1" s="104"/>
    </row>
    <row r="2" spans="1:12">
      <c r="A2" s="104"/>
      <c r="B2" s="106"/>
      <c r="C2" s="106"/>
      <c r="D2" s="106"/>
      <c r="E2" s="106"/>
      <c r="F2" s="293"/>
      <c r="G2" s="293"/>
      <c r="H2" s="293"/>
      <c r="I2" s="106"/>
      <c r="J2" s="106"/>
      <c r="K2" s="106"/>
    </row>
    <row r="3" spans="1:12" ht="14.45" customHeight="1">
      <c r="A3" s="104"/>
      <c r="B3" s="106"/>
      <c r="C3" s="106"/>
      <c r="D3" s="106"/>
      <c r="E3" s="658"/>
      <c r="F3" s="661"/>
      <c r="G3" s="1362" t="s">
        <v>132</v>
      </c>
      <c r="H3" s="1363">
        <f>'00 - Cover'!F13</f>
        <v>46203</v>
      </c>
      <c r="I3" s="105"/>
      <c r="J3" s="105"/>
      <c r="K3" s="105"/>
    </row>
    <row r="4" spans="1:12" ht="14.45" customHeight="1">
      <c r="A4" s="104"/>
      <c r="B4" s="106"/>
      <c r="C4" s="106"/>
      <c r="D4" s="106"/>
      <c r="E4" s="658"/>
      <c r="F4" s="661"/>
      <c r="G4" s="1362" t="s">
        <v>651</v>
      </c>
      <c r="H4" s="1363">
        <f>'00 - Cover'!$F$14</f>
        <v>46219</v>
      </c>
      <c r="I4" s="105"/>
      <c r="J4" s="105"/>
      <c r="K4" s="105"/>
    </row>
    <row r="5" spans="1:12" ht="14.45" customHeight="1">
      <c r="A5" s="104"/>
      <c r="B5" s="106"/>
      <c r="C5" s="106"/>
      <c r="D5" s="106"/>
      <c r="E5" s="658"/>
      <c r="F5" s="661"/>
      <c r="G5" s="1362" t="s">
        <v>92</v>
      </c>
      <c r="H5" s="1363">
        <f>'00 - Cover'!$F$15</f>
        <v>46224</v>
      </c>
      <c r="I5" s="105"/>
      <c r="J5" s="105"/>
      <c r="K5" s="105"/>
    </row>
    <row r="6" spans="1:12" ht="14.45" customHeight="1">
      <c r="A6" s="104"/>
      <c r="B6" s="106"/>
      <c r="C6" s="106"/>
      <c r="D6" s="106"/>
      <c r="E6" s="658"/>
      <c r="F6" s="661"/>
      <c r="G6" s="1362" t="s">
        <v>85</v>
      </c>
      <c r="H6" s="1363">
        <f>'00 - Cover'!$F$16</f>
        <v>46230</v>
      </c>
      <c r="I6" s="106"/>
      <c r="J6" s="106"/>
      <c r="K6" s="106"/>
    </row>
    <row r="7" spans="1:12">
      <c r="A7" s="104"/>
      <c r="B7" s="106"/>
      <c r="C7" s="106"/>
      <c r="D7" s="106"/>
      <c r="E7" s="106"/>
      <c r="F7" s="106"/>
      <c r="G7" s="106"/>
      <c r="H7" s="106"/>
      <c r="I7" s="106"/>
      <c r="J7" s="106"/>
      <c r="K7" s="106"/>
      <c r="L7" s="106"/>
    </row>
    <row r="8" spans="1:12">
      <c r="A8" s="379"/>
      <c r="J8" s="106"/>
      <c r="K8" s="106"/>
      <c r="L8" s="106"/>
    </row>
    <row r="9" spans="1:12" ht="15.75">
      <c r="B9" s="561" t="s">
        <v>548</v>
      </c>
      <c r="C9" s="562"/>
      <c r="D9" s="563"/>
      <c r="E9" s="563"/>
      <c r="F9" s="563"/>
      <c r="G9" s="563"/>
      <c r="H9" s="563"/>
      <c r="I9" s="563"/>
      <c r="J9" s="106"/>
      <c r="K9" s="106"/>
      <c r="L9" s="106"/>
    </row>
    <row r="10" spans="1:12" ht="15.75" thickBot="1">
      <c r="J10" s="106"/>
      <c r="K10" s="106"/>
      <c r="L10" s="106"/>
    </row>
    <row r="11" spans="1:12" ht="93" customHeight="1" thickBot="1">
      <c r="A11" s="396"/>
      <c r="B11" s="581" t="s">
        <v>704</v>
      </c>
      <c r="C11" s="582" t="s">
        <v>550</v>
      </c>
      <c r="D11" s="582" t="s">
        <v>551</v>
      </c>
      <c r="E11" s="582" t="s">
        <v>552</v>
      </c>
      <c r="F11" s="582" t="s">
        <v>553</v>
      </c>
      <c r="G11" s="582" t="s">
        <v>554</v>
      </c>
      <c r="H11" s="583" t="s">
        <v>555</v>
      </c>
    </row>
    <row r="12" spans="1:12" ht="15.75" thickTop="1">
      <c r="A12" s="396"/>
      <c r="B12" s="763">
        <f>'03 - Monthly Asset Follow up'!B17</f>
        <v>46203</v>
      </c>
      <c r="C12" s="578">
        <f>IF($B12=0,"",'03 - Monthly Asset Follow up'!D17)</f>
        <v>28170056.849999994</v>
      </c>
      <c r="D12" s="579">
        <f t="shared" ref="D12:D17" si="0">IF($B12=0,"",IF(D13="",C12,C12+D13))</f>
        <v>956668059.83000004</v>
      </c>
      <c r="E12" s="578">
        <f>IF($B12=0,"",_xlfn.XLOOKUP($B12,INPUT_DATA!$BR:$BR,INPUT_DATA!CA:CA))</f>
        <v>1159130.08</v>
      </c>
      <c r="F12" s="579">
        <f t="shared" ref="F12:F27" si="1">IF($B12=0,"",IF(F13="",E12,E12+F13))</f>
        <v>3968755.4300000006</v>
      </c>
      <c r="G12" s="578">
        <f>IF($B12=0,"",'04 - Monthly Collection'!AA13)</f>
        <v>24773.09</v>
      </c>
      <c r="H12" s="580">
        <f t="shared" ref="H12:H27" si="2">IF($B12=0,"",IF(H13="",G12,G12+H13))</f>
        <v>336488.38000000006</v>
      </c>
    </row>
    <row r="13" spans="1:12">
      <c r="A13" s="396"/>
      <c r="B13" s="762">
        <f>'03 - Monthly Asset Follow up'!B18</f>
        <v>46173</v>
      </c>
      <c r="C13" s="397">
        <f>IF($B13=0,"",'03 - Monthly Asset Follow up'!D18)</f>
        <v>0</v>
      </c>
      <c r="D13" s="398">
        <f t="shared" si="0"/>
        <v>928498002.98000002</v>
      </c>
      <c r="E13" s="767">
        <f>IF($B13=0,"",_xlfn.XLOOKUP($B13,INPUT_DATA!$BR:$BR,INPUT_DATA!CA:CA))</f>
        <v>385300.29</v>
      </c>
      <c r="F13" s="398">
        <f t="shared" si="1"/>
        <v>2809625.3500000006</v>
      </c>
      <c r="G13" s="397">
        <f>IF($B13=0,"",'04 - Monthly Collection'!AA14)</f>
        <v>16392.629999999997</v>
      </c>
      <c r="H13" s="399">
        <f t="shared" si="2"/>
        <v>311715.29000000004</v>
      </c>
    </row>
    <row r="14" spans="1:12">
      <c r="A14" s="396"/>
      <c r="B14" s="762">
        <f>'03 - Monthly Asset Follow up'!B19</f>
        <v>46142</v>
      </c>
      <c r="C14" s="397">
        <f>IF($B14=0,"",'03 - Monthly Asset Follow up'!D19)</f>
        <v>0</v>
      </c>
      <c r="D14" s="398">
        <f t="shared" si="0"/>
        <v>928498002.98000002</v>
      </c>
      <c r="E14" s="767">
        <f>IF($B14=0,"",_xlfn.XLOOKUP($B14,INPUT_DATA!$BR:$BR,INPUT_DATA!CA:CA))</f>
        <v>0</v>
      </c>
      <c r="F14" s="398">
        <f t="shared" si="1"/>
        <v>2424325.0600000005</v>
      </c>
      <c r="G14" s="397">
        <f>IF($B14=0,"",'04 - Monthly Collection'!AA15)</f>
        <v>68815.06</v>
      </c>
      <c r="H14" s="399">
        <f t="shared" si="2"/>
        <v>295322.66000000003</v>
      </c>
    </row>
    <row r="15" spans="1:12">
      <c r="B15" s="762">
        <f>'03 - Monthly Asset Follow up'!B20</f>
        <v>46112</v>
      </c>
      <c r="C15" s="397">
        <f>IF($B15=0,"",'03 - Monthly Asset Follow up'!D20)</f>
        <v>22403305.440000005</v>
      </c>
      <c r="D15" s="398">
        <f t="shared" si="0"/>
        <v>928498002.98000002</v>
      </c>
      <c r="E15" s="767">
        <f>IF($B15=0,"",_xlfn.XLOOKUP($B15,INPUT_DATA!$BR:$BR,INPUT_DATA!CA:CA))</f>
        <v>360917.77</v>
      </c>
      <c r="F15" s="398">
        <f t="shared" si="1"/>
        <v>2424325.0600000005</v>
      </c>
      <c r="G15" s="397">
        <f>IF($B15=0,"",'04 - Monthly Collection'!AA16)</f>
        <v>6870.2699999999995</v>
      </c>
      <c r="H15" s="399">
        <f t="shared" si="2"/>
        <v>226507.6</v>
      </c>
    </row>
    <row r="16" spans="1:12">
      <c r="B16" s="762">
        <f>'03 - Monthly Asset Follow up'!B21</f>
        <v>46081</v>
      </c>
      <c r="C16" s="397">
        <f>IF($B16=0,"",'03 - Monthly Asset Follow up'!D21)</f>
        <v>0</v>
      </c>
      <c r="D16" s="398">
        <f t="shared" si="0"/>
        <v>906094697.53999996</v>
      </c>
      <c r="E16" s="767">
        <f>IF($B16=0,"",_xlfn.XLOOKUP($B16,INPUT_DATA!$BR:$BR,INPUT_DATA!CA:CA))</f>
        <v>544989.54</v>
      </c>
      <c r="F16" s="398">
        <f t="shared" si="1"/>
        <v>2063407.2900000003</v>
      </c>
      <c r="G16" s="397">
        <f>IF($B16=0,"",'04 - Monthly Collection'!AA17)</f>
        <v>5704.76</v>
      </c>
      <c r="H16" s="399">
        <f t="shared" si="2"/>
        <v>219637.33000000002</v>
      </c>
    </row>
    <row r="17" spans="2:8">
      <c r="B17" s="762">
        <f>'03 - Monthly Asset Follow up'!B22</f>
        <v>46053</v>
      </c>
      <c r="C17" s="397">
        <f>IF($B17=0,"",'03 - Monthly Asset Follow up'!D22)</f>
        <v>0</v>
      </c>
      <c r="D17" s="398">
        <f t="shared" si="0"/>
        <v>906094697.53999996</v>
      </c>
      <c r="E17" s="767">
        <f>IF($B17=0,"",_xlfn.XLOOKUP($B17,INPUT_DATA!$BR:$BR,INPUT_DATA!CA:CA))</f>
        <v>17304.810000000001</v>
      </c>
      <c r="F17" s="398">
        <f t="shared" si="1"/>
        <v>1518417.7500000002</v>
      </c>
      <c r="G17" s="397">
        <f>IF($B17=0,"",'04 - Monthly Collection'!AA18)</f>
        <v>9187.35</v>
      </c>
      <c r="H17" s="399">
        <f t="shared" si="2"/>
        <v>213932.57</v>
      </c>
    </row>
    <row r="18" spans="2:8">
      <c r="B18" s="762">
        <f>'03 - Monthly Asset Follow up'!B23</f>
        <v>46022</v>
      </c>
      <c r="C18" s="397">
        <f>IF($B18=0,"",'03 - Monthly Asset Follow up'!D23)</f>
        <v>18201437.559999999</v>
      </c>
      <c r="D18" s="398">
        <f t="shared" ref="D18:D72" si="3">IF($B18=0,"",IF(D19="",C18,C18+D19))</f>
        <v>906094697.53999996</v>
      </c>
      <c r="E18" s="767">
        <f>IF($B18=0,"",_xlfn.XLOOKUP($B18,INPUT_DATA!$BR:$BR,INPUT_DATA!CA:CA))</f>
        <v>97326.360000000015</v>
      </c>
      <c r="F18" s="398">
        <f t="shared" si="1"/>
        <v>1501112.9400000002</v>
      </c>
      <c r="G18" s="397">
        <f>IF($B18=0,"",'04 - Monthly Collection'!AA19)</f>
        <v>3336.5299999999997</v>
      </c>
      <c r="H18" s="399">
        <f t="shared" si="2"/>
        <v>204745.22</v>
      </c>
    </row>
    <row r="19" spans="2:8">
      <c r="B19" s="762">
        <f>'03 - Monthly Asset Follow up'!B24</f>
        <v>45991</v>
      </c>
      <c r="C19" s="397">
        <f>IF($B19=0,"",'03 - Monthly Asset Follow up'!D24)</f>
        <v>0</v>
      </c>
      <c r="D19" s="398">
        <f t="shared" si="3"/>
        <v>887893259.98000002</v>
      </c>
      <c r="E19" s="767">
        <f>IF($B19=0,"",_xlfn.XLOOKUP($B19,INPUT_DATA!$BR:$BR,INPUT_DATA!CA:CA))</f>
        <v>60775.130000000005</v>
      </c>
      <c r="F19" s="398">
        <f t="shared" si="1"/>
        <v>1403786.58</v>
      </c>
      <c r="G19" s="397">
        <f>IF($B19=0,"",'04 - Monthly Collection'!AA20)</f>
        <v>11301.869999999999</v>
      </c>
      <c r="H19" s="399">
        <f t="shared" si="2"/>
        <v>201408.69</v>
      </c>
    </row>
    <row r="20" spans="2:8">
      <c r="B20" s="762">
        <f>'03 - Monthly Asset Follow up'!B25</f>
        <v>45961</v>
      </c>
      <c r="C20" s="397">
        <f>IF($B20=0,"",'03 - Monthly Asset Follow up'!D25)</f>
        <v>0</v>
      </c>
      <c r="D20" s="398">
        <f t="shared" si="3"/>
        <v>887893259.98000002</v>
      </c>
      <c r="E20" s="767">
        <f>IF($B20=0,"",_xlfn.XLOOKUP($B20,INPUT_DATA!$BR:$BR,INPUT_DATA!CA:CA))</f>
        <v>0</v>
      </c>
      <c r="F20" s="398">
        <f t="shared" si="1"/>
        <v>1343011.45</v>
      </c>
      <c r="G20" s="397">
        <f>IF($B20=0,"",'04 - Monthly Collection'!AA21)</f>
        <v>5776.17</v>
      </c>
      <c r="H20" s="399">
        <f t="shared" si="2"/>
        <v>190106.82</v>
      </c>
    </row>
    <row r="21" spans="2:8">
      <c r="B21" s="762">
        <f>'03 - Monthly Asset Follow up'!B26</f>
        <v>45930</v>
      </c>
      <c r="C21" s="397">
        <f>IF($B21=0,"",'03 - Monthly Asset Follow up'!D26)</f>
        <v>16307666.240000002</v>
      </c>
      <c r="D21" s="398">
        <f t="shared" si="3"/>
        <v>887893259.98000002</v>
      </c>
      <c r="E21" s="767">
        <f>IF($B21=0,"",_xlfn.XLOOKUP($B21,INPUT_DATA!$BR:$BR,INPUT_DATA!CA:CA))</f>
        <v>0</v>
      </c>
      <c r="F21" s="398">
        <f t="shared" si="1"/>
        <v>1343011.45</v>
      </c>
      <c r="G21" s="397">
        <f>IF($B21=0,"",'04 - Monthly Collection'!AA22)</f>
        <v>36081.619999999995</v>
      </c>
      <c r="H21" s="399">
        <f t="shared" si="2"/>
        <v>184330.65</v>
      </c>
    </row>
    <row r="22" spans="2:8">
      <c r="B22" s="762">
        <f>'03 - Monthly Asset Follow up'!B27</f>
        <v>45900</v>
      </c>
      <c r="C22" s="397">
        <f>IF($B22=0,"",'03 - Monthly Asset Follow up'!D27)</f>
        <v>0</v>
      </c>
      <c r="D22" s="398">
        <f t="shared" si="3"/>
        <v>871585593.74000001</v>
      </c>
      <c r="E22" s="767">
        <f>IF($B22=0,"",_xlfn.XLOOKUP($B22,INPUT_DATA!$BR:$BR,INPUT_DATA!CA:CA))</f>
        <v>22272.36</v>
      </c>
      <c r="F22" s="398">
        <f t="shared" si="1"/>
        <v>1343011.45</v>
      </c>
      <c r="G22" s="397">
        <f>IF($B22=0,"",'04 - Monthly Collection'!AA23)</f>
        <v>103937.48</v>
      </c>
      <c r="H22" s="399">
        <f t="shared" si="2"/>
        <v>148249.03</v>
      </c>
    </row>
    <row r="23" spans="2:8">
      <c r="B23" s="762">
        <f>'03 - Monthly Asset Follow up'!B28</f>
        <v>45869</v>
      </c>
      <c r="C23" s="397">
        <f>IF($B23=0,"",'03 - Monthly Asset Follow up'!D28)</f>
        <v>0</v>
      </c>
      <c r="D23" s="398">
        <f t="shared" si="3"/>
        <v>871585593.74000001</v>
      </c>
      <c r="E23" s="767">
        <f>IF($B23=0,"",_xlfn.XLOOKUP($B23,INPUT_DATA!$BR:$BR,INPUT_DATA!CA:CA))</f>
        <v>153579.82999999999</v>
      </c>
      <c r="F23" s="398">
        <f t="shared" si="1"/>
        <v>1320739.0899999999</v>
      </c>
      <c r="G23" s="397">
        <f>IF($B23=0,"",'04 - Monthly Collection'!AA24)</f>
        <v>5849.17</v>
      </c>
      <c r="H23" s="399">
        <f t="shared" si="2"/>
        <v>44311.55</v>
      </c>
    </row>
    <row r="24" spans="2:8">
      <c r="B24" s="762">
        <f>'03 - Monthly Asset Follow up'!B29</f>
        <v>45838</v>
      </c>
      <c r="C24" s="397">
        <f>IF($B24=0,"",'03 - Monthly Asset Follow up'!D29)</f>
        <v>120500579.37000002</v>
      </c>
      <c r="D24" s="398">
        <f t="shared" si="3"/>
        <v>871585593.74000001</v>
      </c>
      <c r="E24" s="767">
        <f>IF($B24=0,"",_xlfn.XLOOKUP($B24,INPUT_DATA!$BR:$BR,INPUT_DATA!CA:CA))</f>
        <v>15379.39</v>
      </c>
      <c r="F24" s="398">
        <f t="shared" si="1"/>
        <v>1167159.2599999998</v>
      </c>
      <c r="G24" s="397">
        <f>IF($B24=0,"",'04 - Monthly Collection'!AA25)</f>
        <v>4689.83</v>
      </c>
      <c r="H24" s="399">
        <f t="shared" si="2"/>
        <v>38462.380000000005</v>
      </c>
    </row>
    <row r="25" spans="2:8">
      <c r="B25" s="762">
        <f>'03 - Monthly Asset Follow up'!B30</f>
        <v>45808</v>
      </c>
      <c r="C25" s="397">
        <f>IF($B25=0,"",'03 - Monthly Asset Follow up'!D30)</f>
        <v>0</v>
      </c>
      <c r="D25" s="398">
        <f t="shared" si="3"/>
        <v>751085014.37</v>
      </c>
      <c r="E25" s="767">
        <f>IF($B25=0,"",_xlfn.XLOOKUP($B25,INPUT_DATA!$BR:$BR,INPUT_DATA!CA:CA))</f>
        <v>498918.17</v>
      </c>
      <c r="F25" s="398">
        <f t="shared" si="1"/>
        <v>1151779.8699999999</v>
      </c>
      <c r="G25" s="397">
        <f>IF($B25=0,"",'04 - Monthly Collection'!AA26)</f>
        <v>7406.03</v>
      </c>
      <c r="H25" s="399">
        <f t="shared" si="2"/>
        <v>33772.550000000003</v>
      </c>
    </row>
    <row r="26" spans="2:8">
      <c r="B26" s="762">
        <f>'03 - Monthly Asset Follow up'!B31</f>
        <v>45777</v>
      </c>
      <c r="C26" s="397">
        <f>IF($B26=0,"",'03 - Monthly Asset Follow up'!D31)</f>
        <v>0</v>
      </c>
      <c r="D26" s="398">
        <f t="shared" si="3"/>
        <v>751085014.37</v>
      </c>
      <c r="E26" s="767">
        <f>IF($B26=0,"",_xlfn.XLOOKUP($B26,INPUT_DATA!$BR:$BR,INPUT_DATA!CA:CA))</f>
        <v>0</v>
      </c>
      <c r="F26" s="398">
        <f t="shared" si="1"/>
        <v>652861.69999999995</v>
      </c>
      <c r="G26" s="397">
        <f>IF($B26=0,"",'04 - Monthly Collection'!AA27)</f>
        <v>0</v>
      </c>
      <c r="H26" s="399">
        <f t="shared" si="2"/>
        <v>26366.520000000004</v>
      </c>
    </row>
    <row r="27" spans="2:8">
      <c r="B27" s="762">
        <f>'03 - Monthly Asset Follow up'!B32</f>
        <v>45747</v>
      </c>
      <c r="C27" s="397">
        <f>IF($B27=0,"",'03 - Monthly Asset Follow up'!D32)</f>
        <v>0</v>
      </c>
      <c r="D27" s="398">
        <f t="shared" si="3"/>
        <v>751085014.37</v>
      </c>
      <c r="E27" s="767">
        <f>IF($B27=0,"",_xlfn.XLOOKUP($B27,INPUT_DATA!$BR:$BR,INPUT_DATA!CA:CA))</f>
        <v>123882.82</v>
      </c>
      <c r="F27" s="398">
        <f t="shared" si="1"/>
        <v>652861.69999999995</v>
      </c>
      <c r="G27" s="397">
        <f>IF($B27=0,"",'04 - Monthly Collection'!AA28)</f>
        <v>1040.58</v>
      </c>
      <c r="H27" s="399">
        <f t="shared" si="2"/>
        <v>26366.520000000004</v>
      </c>
    </row>
    <row r="28" spans="2:8">
      <c r="B28" s="762">
        <f>'03 - Monthly Asset Follow up'!B33</f>
        <v>45716</v>
      </c>
      <c r="C28" s="397">
        <f>IF($B28=0,"",'03 - Monthly Asset Follow up'!D33)</f>
        <v>0</v>
      </c>
      <c r="D28" s="398">
        <f t="shared" si="3"/>
        <v>751085014.37</v>
      </c>
      <c r="E28" s="767">
        <f>IF($B28=0,"",_xlfn.XLOOKUP($B28,INPUT_DATA!$BR:$BR,INPUT_DATA!CA:CA))</f>
        <v>0</v>
      </c>
      <c r="F28" s="398">
        <f t="shared" ref="F28:F72" si="4">IF($B28=0,"",IF(F29="",E28,E28+F29))</f>
        <v>528978.88</v>
      </c>
      <c r="G28" s="397">
        <f>IF($B28=0,"",'04 - Monthly Collection'!AA29)</f>
        <v>11333.300000000001</v>
      </c>
      <c r="H28" s="399">
        <f t="shared" ref="H28:H72" si="5">IF($B28=0,"",IF(H29="",G28,G28+H29))</f>
        <v>25325.940000000002</v>
      </c>
    </row>
    <row r="29" spans="2:8">
      <c r="B29" s="762">
        <f>'03 - Monthly Asset Follow up'!B34</f>
        <v>45688</v>
      </c>
      <c r="C29" s="397">
        <f>IF($B29=0,"",'03 - Monthly Asset Follow up'!D34)</f>
        <v>0</v>
      </c>
      <c r="D29" s="398">
        <f t="shared" si="3"/>
        <v>751085014.37</v>
      </c>
      <c r="E29" s="767">
        <f>IF($B29=0,"",_xlfn.XLOOKUP($B29,INPUT_DATA!$BR:$BR,INPUT_DATA!CA:CA))</f>
        <v>0</v>
      </c>
      <c r="F29" s="398">
        <f t="shared" si="4"/>
        <v>528978.88</v>
      </c>
      <c r="G29" s="397">
        <f>IF($B29=0,"",'04 - Monthly Collection'!AA30)</f>
        <v>3413.13</v>
      </c>
      <c r="H29" s="399">
        <f t="shared" si="5"/>
        <v>13992.64</v>
      </c>
    </row>
    <row r="30" spans="2:8">
      <c r="B30" s="762">
        <f>'03 - Monthly Asset Follow up'!B35</f>
        <v>45657</v>
      </c>
      <c r="C30" s="397">
        <f>IF($B30=0,"",'03 - Monthly Asset Follow up'!D35)</f>
        <v>0</v>
      </c>
      <c r="D30" s="398">
        <f t="shared" si="3"/>
        <v>751085014.37</v>
      </c>
      <c r="E30" s="767">
        <f>IF($B30=0,"",_xlfn.XLOOKUP($B30,INPUT_DATA!$BR:$BR,INPUT_DATA!CA:CA))</f>
        <v>0</v>
      </c>
      <c r="F30" s="398">
        <f t="shared" si="4"/>
        <v>528978.88</v>
      </c>
      <c r="G30" s="397">
        <f>IF($B30=0,"",'04 - Monthly Collection'!AA31)</f>
        <v>5387.83</v>
      </c>
      <c r="H30" s="399">
        <f t="shared" si="5"/>
        <v>10579.51</v>
      </c>
    </row>
    <row r="31" spans="2:8">
      <c r="B31" s="762">
        <f>'03 - Monthly Asset Follow up'!B36</f>
        <v>45626</v>
      </c>
      <c r="C31" s="397">
        <f>IF($B31=0,"",'03 - Monthly Asset Follow up'!D36)</f>
        <v>0</v>
      </c>
      <c r="D31" s="398">
        <f t="shared" si="3"/>
        <v>751085014.37</v>
      </c>
      <c r="E31" s="767">
        <f>IF($B31=0,"",_xlfn.XLOOKUP($B31,INPUT_DATA!$BR:$BR,INPUT_DATA!CA:CA))</f>
        <v>522190.58999999997</v>
      </c>
      <c r="F31" s="398">
        <f t="shared" si="4"/>
        <v>528978.88</v>
      </c>
      <c r="G31" s="397">
        <f>IF($B31=0,"",'04 - Monthly Collection'!AA32)</f>
        <v>0</v>
      </c>
      <c r="H31" s="399">
        <f t="shared" si="5"/>
        <v>5191.68</v>
      </c>
    </row>
    <row r="32" spans="2:8">
      <c r="B32" s="762">
        <f>'03 - Monthly Asset Follow up'!B37</f>
        <v>45596</v>
      </c>
      <c r="C32" s="397">
        <f>IF($B32=0,"",'03 - Monthly Asset Follow up'!D37)</f>
        <v>0</v>
      </c>
      <c r="D32" s="398">
        <f t="shared" si="3"/>
        <v>751085014.37</v>
      </c>
      <c r="E32" s="767">
        <f>IF($B32=0,"",_xlfn.XLOOKUP($B32,INPUT_DATA!$BR:$BR,INPUT_DATA!CA:CA))</f>
        <v>0</v>
      </c>
      <c r="F32" s="398">
        <f t="shared" si="4"/>
        <v>6788.29</v>
      </c>
      <c r="G32" s="397">
        <f>IF($B32=0,"",'04 - Monthly Collection'!AA33)</f>
        <v>1918.85</v>
      </c>
      <c r="H32" s="399">
        <f t="shared" si="5"/>
        <v>5191.68</v>
      </c>
    </row>
    <row r="33" spans="2:8">
      <c r="B33" s="762">
        <f>'03 - Monthly Asset Follow up'!B38</f>
        <v>45565</v>
      </c>
      <c r="C33" s="397">
        <f>IF($B33=0,"",'03 - Monthly Asset Follow up'!D38)</f>
        <v>0</v>
      </c>
      <c r="D33" s="398">
        <f t="shared" si="3"/>
        <v>751085014.37</v>
      </c>
      <c r="E33" s="767">
        <f>IF($B33=0,"",_xlfn.XLOOKUP($B33,INPUT_DATA!$BR:$BR,INPUT_DATA!CA:CA))</f>
        <v>3515.46</v>
      </c>
      <c r="F33" s="398">
        <f t="shared" si="4"/>
        <v>6788.29</v>
      </c>
      <c r="G33" s="397">
        <f>IF($B33=0,"",'04 - Monthly Collection'!AA34)</f>
        <v>3272.83</v>
      </c>
      <c r="H33" s="399">
        <f t="shared" si="5"/>
        <v>3272.83</v>
      </c>
    </row>
    <row r="34" spans="2:8">
      <c r="B34" s="762">
        <f>'03 - Monthly Asset Follow up'!B39</f>
        <v>45535</v>
      </c>
      <c r="C34" s="397">
        <f>IF($B34=0,"",'03 - Monthly Asset Follow up'!D39)</f>
        <v>0</v>
      </c>
      <c r="D34" s="398">
        <f t="shared" si="3"/>
        <v>751085014.37</v>
      </c>
      <c r="E34" s="767">
        <f>IF($B34=0,"",_xlfn.XLOOKUP($B34,INPUT_DATA!$BR:$BR,INPUT_DATA!CA:CA))</f>
        <v>0</v>
      </c>
      <c r="F34" s="398">
        <f t="shared" si="4"/>
        <v>3272.83</v>
      </c>
      <c r="G34" s="397">
        <f>IF($B34=0,"",'04 - Monthly Collection'!AA35)</f>
        <v>0</v>
      </c>
      <c r="H34" s="399">
        <f t="shared" si="5"/>
        <v>0</v>
      </c>
    </row>
    <row r="35" spans="2:8">
      <c r="B35" s="762">
        <f>'03 - Monthly Asset Follow up'!B40</f>
        <v>45504</v>
      </c>
      <c r="C35" s="397">
        <f>IF($B35=0,"",'03 - Monthly Asset Follow up'!D40)</f>
        <v>0</v>
      </c>
      <c r="D35" s="398">
        <f t="shared" si="3"/>
        <v>751085014.37</v>
      </c>
      <c r="E35" s="767">
        <f>IF($B35=0,"",_xlfn.XLOOKUP($B35,INPUT_DATA!$BR:$BR,INPUT_DATA!CA:CA))</f>
        <v>3272.83</v>
      </c>
      <c r="F35" s="398">
        <f t="shared" si="4"/>
        <v>3272.83</v>
      </c>
      <c r="G35" s="397">
        <f>IF($B35=0,"",'04 - Monthly Collection'!AA36)</f>
        <v>0</v>
      </c>
      <c r="H35" s="399">
        <f t="shared" si="5"/>
        <v>0</v>
      </c>
    </row>
    <row r="36" spans="2:8">
      <c r="B36" s="762">
        <f>'03 - Monthly Asset Follow up'!B41</f>
        <v>45473</v>
      </c>
      <c r="C36" s="397">
        <f>IF($B36=0,"",'03 - Monthly Asset Follow up'!D41)</f>
        <v>0</v>
      </c>
      <c r="D36" s="398">
        <f t="shared" si="3"/>
        <v>751085014.37</v>
      </c>
      <c r="E36" s="767">
        <f>IF($B36=0,"",_xlfn.XLOOKUP($B36,INPUT_DATA!$BR:$BR,INPUT_DATA!CA:CA))</f>
        <v>0</v>
      </c>
      <c r="F36" s="398">
        <f t="shared" si="4"/>
        <v>0</v>
      </c>
      <c r="G36" s="397">
        <f>IF($B36=0,"",'04 - Monthly Collection'!AA37)</f>
        <v>0</v>
      </c>
      <c r="H36" s="399">
        <f t="shared" si="5"/>
        <v>0</v>
      </c>
    </row>
    <row r="37" spans="2:8">
      <c r="B37" s="762">
        <f>'03 - Monthly Asset Follow up'!B42</f>
        <v>45443</v>
      </c>
      <c r="C37" s="397">
        <f>IF($B37=0,"",'03 - Monthly Asset Follow up'!D42)</f>
        <v>0</v>
      </c>
      <c r="D37" s="398">
        <f t="shared" si="3"/>
        <v>751085014.37</v>
      </c>
      <c r="E37" s="767">
        <f>IF($B37=0,"",_xlfn.XLOOKUP($B37,INPUT_DATA!$BR:$BR,INPUT_DATA!CA:CA))</f>
        <v>0</v>
      </c>
      <c r="F37" s="398">
        <f t="shared" si="4"/>
        <v>0</v>
      </c>
      <c r="G37" s="397">
        <f>IF($B37=0,"",'04 - Monthly Collection'!AA38)</f>
        <v>0</v>
      </c>
      <c r="H37" s="399">
        <f t="shared" si="5"/>
        <v>0</v>
      </c>
    </row>
    <row r="38" spans="2:8">
      <c r="B38" s="762">
        <f>'03 - Monthly Asset Follow up'!B43</f>
        <v>45412</v>
      </c>
      <c r="C38" s="397">
        <f>IF($B38=0,"",'03 - Monthly Asset Follow up'!D43)</f>
        <v>0</v>
      </c>
      <c r="D38" s="398">
        <f t="shared" si="3"/>
        <v>751085014.37</v>
      </c>
      <c r="E38" s="767">
        <f>IF($B38=0,"",_xlfn.XLOOKUP($B38,INPUT_DATA!$BR:$BR,INPUT_DATA!CA:CA))</f>
        <v>0</v>
      </c>
      <c r="F38" s="398">
        <f t="shared" si="4"/>
        <v>0</v>
      </c>
      <c r="G38" s="397">
        <f>IF($B38=0,"",'04 - Monthly Collection'!AA39)</f>
        <v>0</v>
      </c>
      <c r="H38" s="399">
        <f t="shared" si="5"/>
        <v>0</v>
      </c>
    </row>
    <row r="39" spans="2:8">
      <c r="B39" s="762">
        <f>'03 - Monthly Asset Follow up'!B44</f>
        <v>45382</v>
      </c>
      <c r="C39" s="397">
        <f>IF($B39=0,"",'03 - Monthly Asset Follow up'!D44)</f>
        <v>0</v>
      </c>
      <c r="D39" s="398">
        <f t="shared" si="3"/>
        <v>751085014.37</v>
      </c>
      <c r="E39" s="767">
        <f>IF($B39=0,"",_xlfn.XLOOKUP($B39,INPUT_DATA!$BR:$BR,INPUT_DATA!CA:CA))</f>
        <v>0</v>
      </c>
      <c r="F39" s="398">
        <f t="shared" si="4"/>
        <v>0</v>
      </c>
      <c r="G39" s="397">
        <f>IF($B39=0,"",'04 - Monthly Collection'!AA40)</f>
        <v>0</v>
      </c>
      <c r="H39" s="399">
        <f t="shared" si="5"/>
        <v>0</v>
      </c>
    </row>
    <row r="40" spans="2:8">
      <c r="B40" s="762">
        <f>'03 - Monthly Asset Follow up'!B45</f>
        <v>45351</v>
      </c>
      <c r="C40" s="397">
        <f>IF($B40=0,"",'03 - Monthly Asset Follow up'!D45)</f>
        <v>0</v>
      </c>
      <c r="D40" s="398">
        <f t="shared" si="3"/>
        <v>751085014.37</v>
      </c>
      <c r="E40" s="767">
        <f>IF($B40=0,"",_xlfn.XLOOKUP($B40,INPUT_DATA!$BR:$BR,INPUT_DATA!CA:CA))</f>
        <v>0</v>
      </c>
      <c r="F40" s="398">
        <f t="shared" si="4"/>
        <v>0</v>
      </c>
      <c r="G40" s="397">
        <f>IF($B40=0,"",'04 - Monthly Collection'!AA41)</f>
        <v>0</v>
      </c>
      <c r="H40" s="399">
        <f t="shared" si="5"/>
        <v>0</v>
      </c>
    </row>
    <row r="41" spans="2:8">
      <c r="B41" s="762">
        <f>'03 - Monthly Asset Follow up'!B46</f>
        <v>45322</v>
      </c>
      <c r="C41" s="397">
        <f>IF($B41=0,"",'03 - Monthly Asset Follow up'!D46)</f>
        <v>0</v>
      </c>
      <c r="D41" s="398">
        <f t="shared" si="3"/>
        <v>751085014.37</v>
      </c>
      <c r="E41" s="767">
        <f>IF($B41=0,"",_xlfn.XLOOKUP($B41,INPUT_DATA!$BR:$BR,INPUT_DATA!CA:CA))</f>
        <v>0</v>
      </c>
      <c r="F41" s="398">
        <f t="shared" si="4"/>
        <v>0</v>
      </c>
      <c r="G41" s="397">
        <f>IF($B41=0,"",'04 - Monthly Collection'!AA42)</f>
        <v>0</v>
      </c>
      <c r="H41" s="399">
        <f t="shared" si="5"/>
        <v>0</v>
      </c>
    </row>
    <row r="42" spans="2:8">
      <c r="B42" s="762">
        <f>'03 - Monthly Asset Follow up'!B47</f>
        <v>45291</v>
      </c>
      <c r="C42" s="397">
        <f>IF($B42=0,"",'03 - Monthly Asset Follow up'!D47)</f>
        <v>0</v>
      </c>
      <c r="D42" s="398">
        <f t="shared" si="3"/>
        <v>751085014.37</v>
      </c>
      <c r="E42" s="767">
        <f>IF($B42=0,"",_xlfn.XLOOKUP($B42,INPUT_DATA!$BR:$BR,INPUT_DATA!CA:CA))</f>
        <v>0</v>
      </c>
      <c r="F42" s="398">
        <f t="shared" si="4"/>
        <v>0</v>
      </c>
      <c r="G42" s="397">
        <f>IF($B42=0,"",'04 - Monthly Collection'!AA43)</f>
        <v>0</v>
      </c>
      <c r="H42" s="399">
        <f t="shared" si="5"/>
        <v>0</v>
      </c>
    </row>
    <row r="43" spans="2:8">
      <c r="B43" s="762">
        <f>'03 - Monthly Asset Follow up'!B48</f>
        <v>45260</v>
      </c>
      <c r="C43" s="397">
        <f>IF($B43=0,"",'03 - Monthly Asset Follow up'!D48)</f>
        <v>0</v>
      </c>
      <c r="D43" s="398">
        <f t="shared" si="3"/>
        <v>751085014.37</v>
      </c>
      <c r="E43" s="767">
        <f>IF($B43=0,"",_xlfn.XLOOKUP($B43,INPUT_DATA!$BR:$BR,INPUT_DATA!CA:CA))</f>
        <v>0</v>
      </c>
      <c r="F43" s="398">
        <f t="shared" si="4"/>
        <v>0</v>
      </c>
      <c r="G43" s="397">
        <f>IF($B43=0,"",'04 - Monthly Collection'!AA44)</f>
        <v>0</v>
      </c>
      <c r="H43" s="399">
        <f t="shared" si="5"/>
        <v>0</v>
      </c>
    </row>
    <row r="44" spans="2:8">
      <c r="B44" s="762">
        <f>'03 - Monthly Asset Follow up'!B49</f>
        <v>45230</v>
      </c>
      <c r="C44" s="397">
        <f>IF($B44=0,"",'03 - Monthly Asset Follow up'!D49)</f>
        <v>751085014.37</v>
      </c>
      <c r="D44" s="398">
        <f t="shared" si="3"/>
        <v>751085014.37</v>
      </c>
      <c r="E44" s="767">
        <f>IF($B44=0,"",_xlfn.XLOOKUP($B44,INPUT_DATA!$BR:$BR,INPUT_DATA!CA:CA))</f>
        <v>0</v>
      </c>
      <c r="F44" s="398">
        <f t="shared" si="4"/>
        <v>0</v>
      </c>
      <c r="G44" s="397">
        <f>IF($B44=0,"",'04 - Monthly Collection'!AA45)</f>
        <v>0</v>
      </c>
      <c r="H44" s="399">
        <f t="shared" si="5"/>
        <v>0</v>
      </c>
    </row>
    <row r="45" spans="2:8">
      <c r="B45" s="762">
        <f>'03 - Monthly Asset Follow up'!B50</f>
        <v>0</v>
      </c>
      <c r="C45" s="397" t="str">
        <f>IF($B45=0,"",'03 - Monthly Asset Follow up'!D50)</f>
        <v/>
      </c>
      <c r="D45" s="398" t="str">
        <f t="shared" si="3"/>
        <v/>
      </c>
      <c r="E45" s="767" t="str">
        <f>IF($B45=0,"",_xlfn.XLOOKUP($B45,INPUT_DATA!$BR:$BR,INPUT_DATA!CA:CA))</f>
        <v/>
      </c>
      <c r="F45" s="398" t="str">
        <f t="shared" si="4"/>
        <v/>
      </c>
      <c r="G45" s="397" t="str">
        <f>IF($B45=0,"",'04 - Monthly Collection'!AA46)</f>
        <v/>
      </c>
      <c r="H45" s="399" t="str">
        <f t="shared" si="5"/>
        <v/>
      </c>
    </row>
    <row r="46" spans="2:8">
      <c r="B46" s="762">
        <f>'03 - Monthly Asset Follow up'!B51</f>
        <v>0</v>
      </c>
      <c r="C46" s="397" t="str">
        <f>IF($B46=0,"",'03 - Monthly Asset Follow up'!D51)</f>
        <v/>
      </c>
      <c r="D46" s="398" t="str">
        <f t="shared" si="3"/>
        <v/>
      </c>
      <c r="E46" s="767" t="str">
        <f>IF($B46=0,"",_xlfn.XLOOKUP($B46,INPUT_DATA!$BR:$BR,INPUT_DATA!CA:CA))</f>
        <v/>
      </c>
      <c r="F46" s="398" t="str">
        <f t="shared" si="4"/>
        <v/>
      </c>
      <c r="G46" s="397" t="str">
        <f>IF($B46=0,"",'04 - Monthly Collection'!AA47)</f>
        <v/>
      </c>
      <c r="H46" s="399" t="str">
        <f t="shared" si="5"/>
        <v/>
      </c>
    </row>
    <row r="47" spans="2:8">
      <c r="B47" s="762">
        <f>'03 - Monthly Asset Follow up'!B52</f>
        <v>0</v>
      </c>
      <c r="C47" s="397" t="str">
        <f>IF($B47=0,"",'03 - Monthly Asset Follow up'!D52)</f>
        <v/>
      </c>
      <c r="D47" s="398" t="str">
        <f t="shared" si="3"/>
        <v/>
      </c>
      <c r="E47" s="767" t="str">
        <f>IF($B47=0,"",_xlfn.XLOOKUP($B47,INPUT_DATA!$BR:$BR,INPUT_DATA!CA:CA))</f>
        <v/>
      </c>
      <c r="F47" s="398" t="str">
        <f t="shared" si="4"/>
        <v/>
      </c>
      <c r="G47" s="397" t="str">
        <f>IF($B47=0,"",'04 - Monthly Collection'!AA48)</f>
        <v/>
      </c>
      <c r="H47" s="399" t="str">
        <f t="shared" si="5"/>
        <v/>
      </c>
    </row>
    <row r="48" spans="2:8">
      <c r="B48" s="762">
        <f>'03 - Monthly Asset Follow up'!B53</f>
        <v>0</v>
      </c>
      <c r="C48" s="397" t="str">
        <f>IF($B48=0,"",'03 - Monthly Asset Follow up'!D53)</f>
        <v/>
      </c>
      <c r="D48" s="398" t="str">
        <f t="shared" si="3"/>
        <v/>
      </c>
      <c r="E48" s="767" t="str">
        <f>IF($B48=0,"",_xlfn.XLOOKUP($B48,INPUT_DATA!$BR:$BR,INPUT_DATA!CA:CA))</f>
        <v/>
      </c>
      <c r="F48" s="398" t="str">
        <f t="shared" si="4"/>
        <v/>
      </c>
      <c r="G48" s="397" t="str">
        <f>IF($B48=0,"",'04 - Monthly Collection'!AA49)</f>
        <v/>
      </c>
      <c r="H48" s="399" t="str">
        <f t="shared" si="5"/>
        <v/>
      </c>
    </row>
    <row r="49" spans="2:8">
      <c r="B49" s="762">
        <f>'03 - Monthly Asset Follow up'!B54</f>
        <v>0</v>
      </c>
      <c r="C49" s="397" t="str">
        <f>IF($B49=0,"",'03 - Monthly Asset Follow up'!D54)</f>
        <v/>
      </c>
      <c r="D49" s="398" t="str">
        <f t="shared" si="3"/>
        <v/>
      </c>
      <c r="E49" s="767" t="str">
        <f>IF($B49=0,"",_xlfn.XLOOKUP($B49,INPUT_DATA!$BR:$BR,INPUT_DATA!CA:CA))</f>
        <v/>
      </c>
      <c r="F49" s="398" t="str">
        <f t="shared" si="4"/>
        <v/>
      </c>
      <c r="G49" s="397" t="str">
        <f>IF($B49=0,"",'04 - Monthly Collection'!AA50)</f>
        <v/>
      </c>
      <c r="H49" s="399" t="str">
        <f t="shared" si="5"/>
        <v/>
      </c>
    </row>
    <row r="50" spans="2:8">
      <c r="B50" s="762">
        <f>'03 - Monthly Asset Follow up'!B55</f>
        <v>0</v>
      </c>
      <c r="C50" s="397" t="str">
        <f>IF($B50=0,"",'03 - Monthly Asset Follow up'!D55)</f>
        <v/>
      </c>
      <c r="D50" s="398" t="str">
        <f t="shared" si="3"/>
        <v/>
      </c>
      <c r="E50" s="767" t="str">
        <f>IF($B50=0,"",_xlfn.XLOOKUP($B50,INPUT_DATA!$BR:$BR,INPUT_DATA!CA:CA))</f>
        <v/>
      </c>
      <c r="F50" s="398" t="str">
        <f t="shared" si="4"/>
        <v/>
      </c>
      <c r="G50" s="397" t="str">
        <f>IF($B50=0,"",'04 - Monthly Collection'!AA51)</f>
        <v/>
      </c>
      <c r="H50" s="399" t="str">
        <f t="shared" si="5"/>
        <v/>
      </c>
    </row>
    <row r="51" spans="2:8">
      <c r="B51" s="762">
        <f>'03 - Monthly Asset Follow up'!B56</f>
        <v>0</v>
      </c>
      <c r="C51" s="397" t="str">
        <f>IF($B51=0,"",'03 - Monthly Asset Follow up'!D56)</f>
        <v/>
      </c>
      <c r="D51" s="398" t="str">
        <f t="shared" si="3"/>
        <v/>
      </c>
      <c r="E51" s="767" t="str">
        <f>IF($B51=0,"",_xlfn.XLOOKUP($B51,INPUT_DATA!$BR:$BR,INPUT_DATA!CA:CA))</f>
        <v/>
      </c>
      <c r="F51" s="398" t="str">
        <f t="shared" si="4"/>
        <v/>
      </c>
      <c r="G51" s="397" t="str">
        <f>IF($B51=0,"",'04 - Monthly Collection'!AA52)</f>
        <v/>
      </c>
      <c r="H51" s="399" t="str">
        <f t="shared" si="5"/>
        <v/>
      </c>
    </row>
    <row r="52" spans="2:8">
      <c r="B52" s="762">
        <f>'03 - Monthly Asset Follow up'!B57</f>
        <v>0</v>
      </c>
      <c r="C52" s="397" t="str">
        <f>IF($B52=0,"",'03 - Monthly Asset Follow up'!D57)</f>
        <v/>
      </c>
      <c r="D52" s="398" t="str">
        <f t="shared" si="3"/>
        <v/>
      </c>
      <c r="E52" s="767" t="str">
        <f>IF($B52=0,"",_xlfn.XLOOKUP($B52,INPUT_DATA!$BR:$BR,INPUT_DATA!CA:CA))</f>
        <v/>
      </c>
      <c r="F52" s="398" t="str">
        <f t="shared" si="4"/>
        <v/>
      </c>
      <c r="G52" s="397" t="str">
        <f>IF($B52=0,"",'04 - Monthly Collection'!AA53)</f>
        <v/>
      </c>
      <c r="H52" s="399" t="str">
        <f t="shared" si="5"/>
        <v/>
      </c>
    </row>
    <row r="53" spans="2:8">
      <c r="B53" s="762">
        <f>'03 - Monthly Asset Follow up'!B58</f>
        <v>0</v>
      </c>
      <c r="C53" s="397" t="str">
        <f>IF($B53=0,"",'03 - Monthly Asset Follow up'!D58)</f>
        <v/>
      </c>
      <c r="D53" s="398" t="str">
        <f t="shared" si="3"/>
        <v/>
      </c>
      <c r="E53" s="767" t="str">
        <f>IF($B53=0,"",_xlfn.XLOOKUP($B53,INPUT_DATA!$BR:$BR,INPUT_DATA!CA:CA))</f>
        <v/>
      </c>
      <c r="F53" s="398" t="str">
        <f t="shared" si="4"/>
        <v/>
      </c>
      <c r="G53" s="397" t="str">
        <f>IF($B53=0,"",'04 - Monthly Collection'!AA54)</f>
        <v/>
      </c>
      <c r="H53" s="399" t="str">
        <f t="shared" si="5"/>
        <v/>
      </c>
    </row>
    <row r="54" spans="2:8">
      <c r="B54" s="762">
        <f>'03 - Monthly Asset Follow up'!B59</f>
        <v>0</v>
      </c>
      <c r="C54" s="397" t="str">
        <f>IF($B54=0,"",'03 - Monthly Asset Follow up'!D59)</f>
        <v/>
      </c>
      <c r="D54" s="398" t="str">
        <f t="shared" si="3"/>
        <v/>
      </c>
      <c r="E54" s="767" t="str">
        <f>IF($B54=0,"",_xlfn.XLOOKUP($B54,INPUT_DATA!$BR:$BR,INPUT_DATA!CA:CA))</f>
        <v/>
      </c>
      <c r="F54" s="398" t="str">
        <f t="shared" si="4"/>
        <v/>
      </c>
      <c r="G54" s="397" t="str">
        <f>IF($B54=0,"",'04 - Monthly Collection'!AA55)</f>
        <v/>
      </c>
      <c r="H54" s="399" t="str">
        <f t="shared" si="5"/>
        <v/>
      </c>
    </row>
    <row r="55" spans="2:8">
      <c r="B55" s="762">
        <f>'03 - Monthly Asset Follow up'!B60</f>
        <v>0</v>
      </c>
      <c r="C55" s="397" t="str">
        <f>IF($B55=0,"",'03 - Monthly Asset Follow up'!D60)</f>
        <v/>
      </c>
      <c r="D55" s="398" t="str">
        <f t="shared" si="3"/>
        <v/>
      </c>
      <c r="E55" s="767" t="str">
        <f>IF($B55=0,"",_xlfn.XLOOKUP($B55,INPUT_DATA!$BR:$BR,INPUT_DATA!CA:CA))</f>
        <v/>
      </c>
      <c r="F55" s="398" t="str">
        <f t="shared" si="4"/>
        <v/>
      </c>
      <c r="G55" s="397" t="str">
        <f>IF($B55=0,"",'04 - Monthly Collection'!AA56)</f>
        <v/>
      </c>
      <c r="H55" s="399" t="str">
        <f t="shared" si="5"/>
        <v/>
      </c>
    </row>
    <row r="56" spans="2:8">
      <c r="B56" s="762">
        <f>'03 - Monthly Asset Follow up'!B61</f>
        <v>0</v>
      </c>
      <c r="C56" s="397" t="str">
        <f>IF($B56=0,"",'03 - Monthly Asset Follow up'!D61)</f>
        <v/>
      </c>
      <c r="D56" s="398" t="str">
        <f t="shared" si="3"/>
        <v/>
      </c>
      <c r="E56" s="767" t="str">
        <f>IF($B56=0,"",_xlfn.XLOOKUP($B56,INPUT_DATA!$BR:$BR,INPUT_DATA!CA:CA))</f>
        <v/>
      </c>
      <c r="F56" s="398" t="str">
        <f t="shared" si="4"/>
        <v/>
      </c>
      <c r="G56" s="397" t="str">
        <f>IF($B56=0,"",'04 - Monthly Collection'!AA57)</f>
        <v/>
      </c>
      <c r="H56" s="399" t="str">
        <f t="shared" si="5"/>
        <v/>
      </c>
    </row>
    <row r="57" spans="2:8">
      <c r="B57" s="762">
        <f>'03 - Monthly Asset Follow up'!B62</f>
        <v>0</v>
      </c>
      <c r="C57" s="397" t="str">
        <f>IF($B57=0,"",'03 - Monthly Asset Follow up'!D62)</f>
        <v/>
      </c>
      <c r="D57" s="398" t="str">
        <f t="shared" si="3"/>
        <v/>
      </c>
      <c r="E57" s="767" t="str">
        <f>IF($B57=0,"",_xlfn.XLOOKUP($B57,INPUT_DATA!$BR:$BR,INPUT_DATA!CA:CA))</f>
        <v/>
      </c>
      <c r="F57" s="398" t="str">
        <f t="shared" si="4"/>
        <v/>
      </c>
      <c r="G57" s="397" t="str">
        <f>IF($B57=0,"",'04 - Monthly Collection'!AA58)</f>
        <v/>
      </c>
      <c r="H57" s="399" t="str">
        <f t="shared" si="5"/>
        <v/>
      </c>
    </row>
    <row r="58" spans="2:8">
      <c r="B58" s="762">
        <f>'03 - Monthly Asset Follow up'!B63</f>
        <v>0</v>
      </c>
      <c r="C58" s="397" t="str">
        <f>IF($B58=0,"",'03 - Monthly Asset Follow up'!D63)</f>
        <v/>
      </c>
      <c r="D58" s="398" t="str">
        <f t="shared" si="3"/>
        <v/>
      </c>
      <c r="E58" s="767" t="str">
        <f>IF($B58=0,"",_xlfn.XLOOKUP($B58,INPUT_DATA!$BR:$BR,INPUT_DATA!CA:CA))</f>
        <v/>
      </c>
      <c r="F58" s="398" t="str">
        <f t="shared" si="4"/>
        <v/>
      </c>
      <c r="G58" s="397" t="str">
        <f>IF($B58=0,"",'04 - Monthly Collection'!AA59)</f>
        <v/>
      </c>
      <c r="H58" s="399" t="str">
        <f t="shared" si="5"/>
        <v/>
      </c>
    </row>
    <row r="59" spans="2:8">
      <c r="B59" s="762">
        <f>'03 - Monthly Asset Follow up'!B64</f>
        <v>0</v>
      </c>
      <c r="C59" s="397" t="str">
        <f>IF($B59=0,"",'03 - Monthly Asset Follow up'!D64)</f>
        <v/>
      </c>
      <c r="D59" s="398" t="str">
        <f t="shared" si="3"/>
        <v/>
      </c>
      <c r="E59" s="767" t="str">
        <f>IF($B59=0,"",_xlfn.XLOOKUP($B59,INPUT_DATA!$BR:$BR,INPUT_DATA!CA:CA))</f>
        <v/>
      </c>
      <c r="F59" s="398" t="str">
        <f t="shared" si="4"/>
        <v/>
      </c>
      <c r="G59" s="397" t="str">
        <f>IF($B59=0,"",'04 - Monthly Collection'!AA60)</f>
        <v/>
      </c>
      <c r="H59" s="399" t="str">
        <f t="shared" si="5"/>
        <v/>
      </c>
    </row>
    <row r="60" spans="2:8">
      <c r="B60" s="762">
        <f>'03 - Monthly Asset Follow up'!B65</f>
        <v>0</v>
      </c>
      <c r="C60" s="397" t="str">
        <f>IF($B60=0,"",'03 - Monthly Asset Follow up'!D65)</f>
        <v/>
      </c>
      <c r="D60" s="398" t="str">
        <f t="shared" si="3"/>
        <v/>
      </c>
      <c r="E60" s="767" t="str">
        <f>IF($B60=0,"",_xlfn.XLOOKUP($B60,INPUT_DATA!$BR:$BR,INPUT_DATA!CA:CA))</f>
        <v/>
      </c>
      <c r="F60" s="398" t="str">
        <f t="shared" si="4"/>
        <v/>
      </c>
      <c r="G60" s="397" t="str">
        <f>IF($B60=0,"",'04 - Monthly Collection'!AA61)</f>
        <v/>
      </c>
      <c r="H60" s="399" t="str">
        <f t="shared" si="5"/>
        <v/>
      </c>
    </row>
    <row r="61" spans="2:8">
      <c r="B61" s="762">
        <f>'03 - Monthly Asset Follow up'!B66</f>
        <v>0</v>
      </c>
      <c r="C61" s="397" t="str">
        <f>IF($B61=0,"",'03 - Monthly Asset Follow up'!D66)</f>
        <v/>
      </c>
      <c r="D61" s="398" t="str">
        <f t="shared" si="3"/>
        <v/>
      </c>
      <c r="E61" s="767" t="str">
        <f>IF($B61=0,"",_xlfn.XLOOKUP($B61,INPUT_DATA!$BR:$BR,INPUT_DATA!CA:CA))</f>
        <v/>
      </c>
      <c r="F61" s="398" t="str">
        <f t="shared" si="4"/>
        <v/>
      </c>
      <c r="G61" s="397" t="str">
        <f>IF($B61=0,"",'04 - Monthly Collection'!AA62)</f>
        <v/>
      </c>
      <c r="H61" s="399" t="str">
        <f t="shared" si="5"/>
        <v/>
      </c>
    </row>
    <row r="62" spans="2:8">
      <c r="B62" s="762">
        <f>'03 - Monthly Asset Follow up'!B67</f>
        <v>0</v>
      </c>
      <c r="C62" s="397" t="str">
        <f>IF($B62=0,"",'03 - Monthly Asset Follow up'!D67)</f>
        <v/>
      </c>
      <c r="D62" s="398" t="str">
        <f t="shared" si="3"/>
        <v/>
      </c>
      <c r="E62" s="767" t="str">
        <f>IF($B62=0,"",_xlfn.XLOOKUP($B62,INPUT_DATA!$BR:$BR,INPUT_DATA!CA:CA))</f>
        <v/>
      </c>
      <c r="F62" s="398" t="str">
        <f t="shared" si="4"/>
        <v/>
      </c>
      <c r="G62" s="397" t="str">
        <f>IF($B62=0,"",'04 - Monthly Collection'!AA63)</f>
        <v/>
      </c>
      <c r="H62" s="399" t="str">
        <f t="shared" si="5"/>
        <v/>
      </c>
    </row>
    <row r="63" spans="2:8">
      <c r="B63" s="762">
        <f>'03 - Monthly Asset Follow up'!B68</f>
        <v>0</v>
      </c>
      <c r="C63" s="397" t="str">
        <f>IF($B63=0,"",'03 - Monthly Asset Follow up'!D68)</f>
        <v/>
      </c>
      <c r="D63" s="398" t="str">
        <f t="shared" si="3"/>
        <v/>
      </c>
      <c r="E63" s="767" t="str">
        <f>IF($B63=0,"",_xlfn.XLOOKUP($B63,INPUT_DATA!$BR:$BR,INPUT_DATA!CA:CA))</f>
        <v/>
      </c>
      <c r="F63" s="398" t="str">
        <f t="shared" si="4"/>
        <v/>
      </c>
      <c r="G63" s="397" t="str">
        <f>IF($B63=0,"",'04 - Monthly Collection'!AA64)</f>
        <v/>
      </c>
      <c r="H63" s="399" t="str">
        <f t="shared" si="5"/>
        <v/>
      </c>
    </row>
    <row r="64" spans="2:8">
      <c r="B64" s="762">
        <f>'03 - Monthly Asset Follow up'!B69</f>
        <v>0</v>
      </c>
      <c r="C64" s="397" t="str">
        <f>IF($B64=0,"",'03 - Monthly Asset Follow up'!D69)</f>
        <v/>
      </c>
      <c r="D64" s="398" t="str">
        <f t="shared" si="3"/>
        <v/>
      </c>
      <c r="E64" s="767" t="str">
        <f>IF($B64=0,"",_xlfn.XLOOKUP($B64,INPUT_DATA!$BR:$BR,INPUT_DATA!CA:CA))</f>
        <v/>
      </c>
      <c r="F64" s="398" t="str">
        <f t="shared" si="4"/>
        <v/>
      </c>
      <c r="G64" s="397" t="str">
        <f>IF($B64=0,"",'04 - Monthly Collection'!AA65)</f>
        <v/>
      </c>
      <c r="H64" s="399" t="str">
        <f t="shared" si="5"/>
        <v/>
      </c>
    </row>
    <row r="65" spans="2:8">
      <c r="B65" s="762">
        <f>'03 - Monthly Asset Follow up'!B70</f>
        <v>0</v>
      </c>
      <c r="C65" s="397" t="str">
        <f>IF($B65=0,"",'03 - Monthly Asset Follow up'!D70)</f>
        <v/>
      </c>
      <c r="D65" s="398" t="str">
        <f t="shared" si="3"/>
        <v/>
      </c>
      <c r="E65" s="767" t="str">
        <f>IF($B65=0,"",_xlfn.XLOOKUP($B65,INPUT_DATA!$BR:$BR,INPUT_DATA!CA:CA))</f>
        <v/>
      </c>
      <c r="F65" s="398" t="str">
        <f t="shared" si="4"/>
        <v/>
      </c>
      <c r="G65" s="397" t="str">
        <f>IF($B65=0,"",'04 - Monthly Collection'!AA66)</f>
        <v/>
      </c>
      <c r="H65" s="399" t="str">
        <f t="shared" si="5"/>
        <v/>
      </c>
    </row>
    <row r="66" spans="2:8">
      <c r="B66" s="762">
        <f>'03 - Monthly Asset Follow up'!B71</f>
        <v>0</v>
      </c>
      <c r="C66" s="397" t="str">
        <f>IF($B66=0,"",'03 - Monthly Asset Follow up'!D71)</f>
        <v/>
      </c>
      <c r="D66" s="398" t="str">
        <f t="shared" si="3"/>
        <v/>
      </c>
      <c r="E66" s="767" t="str">
        <f>IF($B66=0,"",_xlfn.XLOOKUP($B66,INPUT_DATA!$BR:$BR,INPUT_DATA!CA:CA))</f>
        <v/>
      </c>
      <c r="F66" s="398" t="str">
        <f t="shared" si="4"/>
        <v/>
      </c>
      <c r="G66" s="397" t="str">
        <f>IF($B66=0,"",'04 - Monthly Collection'!AA67)</f>
        <v/>
      </c>
      <c r="H66" s="399" t="str">
        <f t="shared" si="5"/>
        <v/>
      </c>
    </row>
    <row r="67" spans="2:8">
      <c r="B67" s="762">
        <f>'03 - Monthly Asset Follow up'!B72</f>
        <v>0</v>
      </c>
      <c r="C67" s="397" t="str">
        <f>IF($B67=0,"",'03 - Monthly Asset Follow up'!D72)</f>
        <v/>
      </c>
      <c r="D67" s="398" t="str">
        <f t="shared" si="3"/>
        <v/>
      </c>
      <c r="E67" s="767" t="str">
        <f>IF($B67=0,"",_xlfn.XLOOKUP($B67,INPUT_DATA!$BR:$BR,INPUT_DATA!CA:CA))</f>
        <v/>
      </c>
      <c r="F67" s="398" t="str">
        <f t="shared" si="4"/>
        <v/>
      </c>
      <c r="G67" s="397" t="str">
        <f>IF($B67=0,"",'04 - Monthly Collection'!AA68)</f>
        <v/>
      </c>
      <c r="H67" s="399" t="str">
        <f t="shared" si="5"/>
        <v/>
      </c>
    </row>
    <row r="68" spans="2:8">
      <c r="B68" s="762">
        <f>'03 - Monthly Asset Follow up'!B73</f>
        <v>0</v>
      </c>
      <c r="C68" s="397" t="str">
        <f>IF($B68=0,"",'03 - Monthly Asset Follow up'!D73)</f>
        <v/>
      </c>
      <c r="D68" s="398" t="str">
        <f t="shared" si="3"/>
        <v/>
      </c>
      <c r="E68" s="767" t="str">
        <f>IF($B68=0,"",_xlfn.XLOOKUP($B68,INPUT_DATA!$BR:$BR,INPUT_DATA!CA:CA))</f>
        <v/>
      </c>
      <c r="F68" s="398" t="str">
        <f t="shared" si="4"/>
        <v/>
      </c>
      <c r="G68" s="397" t="str">
        <f>IF($B68=0,"",'04 - Monthly Collection'!AA69)</f>
        <v/>
      </c>
      <c r="H68" s="399" t="str">
        <f t="shared" si="5"/>
        <v/>
      </c>
    </row>
    <row r="69" spans="2:8">
      <c r="B69" s="762">
        <f>'03 - Monthly Asset Follow up'!B74</f>
        <v>0</v>
      </c>
      <c r="C69" s="397" t="str">
        <f>IF($B69=0,"",'03 - Monthly Asset Follow up'!D74)</f>
        <v/>
      </c>
      <c r="D69" s="398" t="str">
        <f t="shared" si="3"/>
        <v/>
      </c>
      <c r="E69" s="767" t="str">
        <f>IF($B69=0,"",_xlfn.XLOOKUP($B69,INPUT_DATA!$BR:$BR,INPUT_DATA!CA:CA))</f>
        <v/>
      </c>
      <c r="F69" s="398" t="str">
        <f t="shared" si="4"/>
        <v/>
      </c>
      <c r="G69" s="397" t="str">
        <f>IF($B69=0,"",'04 - Monthly Collection'!AA70)</f>
        <v/>
      </c>
      <c r="H69" s="399" t="str">
        <f t="shared" si="5"/>
        <v/>
      </c>
    </row>
    <row r="70" spans="2:8">
      <c r="B70" s="762">
        <f>'03 - Monthly Asset Follow up'!B75</f>
        <v>0</v>
      </c>
      <c r="C70" s="397" t="str">
        <f>IF($B70=0,"",'03 - Monthly Asset Follow up'!D75)</f>
        <v/>
      </c>
      <c r="D70" s="398" t="str">
        <f t="shared" si="3"/>
        <v/>
      </c>
      <c r="E70" s="767" t="str">
        <f>IF($B70=0,"",_xlfn.XLOOKUP($B70,INPUT_DATA!$BR:$BR,INPUT_DATA!CA:CA))</f>
        <v/>
      </c>
      <c r="F70" s="398" t="str">
        <f t="shared" si="4"/>
        <v/>
      </c>
      <c r="G70" s="397" t="str">
        <f>IF($B70=0,"",'04 - Monthly Collection'!AA71)</f>
        <v/>
      </c>
      <c r="H70" s="399" t="str">
        <f t="shared" si="5"/>
        <v/>
      </c>
    </row>
    <row r="71" spans="2:8">
      <c r="B71" s="762">
        <f>'03 - Monthly Asset Follow up'!B76</f>
        <v>0</v>
      </c>
      <c r="C71" s="397" t="str">
        <f>IF($B71=0,"",'03 - Monthly Asset Follow up'!D76)</f>
        <v/>
      </c>
      <c r="D71" s="398" t="str">
        <f t="shared" si="3"/>
        <v/>
      </c>
      <c r="E71" s="767" t="str">
        <f>IF($B71=0,"",_xlfn.XLOOKUP($B71,INPUT_DATA!$BR:$BR,INPUT_DATA!CA:CA))</f>
        <v/>
      </c>
      <c r="F71" s="398" t="str">
        <f t="shared" si="4"/>
        <v/>
      </c>
      <c r="G71" s="397" t="str">
        <f>IF($B71=0,"",'04 - Monthly Collection'!AA72)</f>
        <v/>
      </c>
      <c r="H71" s="399" t="str">
        <f t="shared" si="5"/>
        <v/>
      </c>
    </row>
    <row r="72" spans="2:8">
      <c r="B72" s="762">
        <f>'03 - Monthly Asset Follow up'!B77</f>
        <v>0</v>
      </c>
      <c r="C72" s="397" t="str">
        <f>IF($B72=0,"",'03 - Monthly Asset Follow up'!D77)</f>
        <v/>
      </c>
      <c r="D72" s="398" t="str">
        <f t="shared" si="3"/>
        <v/>
      </c>
      <c r="E72" s="767" t="str">
        <f>IF($B72=0,"",_xlfn.XLOOKUP($B72,INPUT_DATA!$BR:$BR,INPUT_DATA!CA:CA))</f>
        <v/>
      </c>
      <c r="F72" s="398" t="str">
        <f t="shared" si="4"/>
        <v/>
      </c>
      <c r="G72" s="397" t="str">
        <f>IF($B72=0,"",'04 - Monthly Collection'!AA73)</f>
        <v/>
      </c>
      <c r="H72" s="399" t="str">
        <f t="shared" si="5"/>
        <v/>
      </c>
    </row>
  </sheetData>
  <conditionalFormatting sqref="B12:B72">
    <cfRule type="cellIs" dxfId="49"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zoomScale="80" zoomScaleNormal="80" zoomScaleSheetLayoutView="40" workbookViewId="0">
      <selection activeCell="E15" sqref="E15"/>
    </sheetView>
  </sheetViews>
  <sheetFormatPr defaultColWidth="10.85546875" defaultRowHeight="15"/>
  <cols>
    <col min="1" max="1" width="4.42578125" style="380" customWidth="1"/>
    <col min="2" max="2" width="23" style="380" customWidth="1"/>
    <col min="3" max="4" width="21.85546875" style="380" customWidth="1"/>
    <col min="5" max="5" width="24.5703125" style="380" customWidth="1"/>
    <col min="6" max="6" width="29.5703125" style="380" customWidth="1"/>
    <col min="7" max="7" width="16.42578125" style="380" customWidth="1"/>
    <col min="8" max="9" width="17" style="380" customWidth="1"/>
    <col min="10" max="11" width="20.42578125" style="380" customWidth="1"/>
    <col min="12" max="12" width="13.42578125" style="380" bestFit="1" customWidth="1"/>
    <col min="13" max="16384" width="10.85546875" style="380"/>
  </cols>
  <sheetData>
    <row r="1" spans="1:14">
      <c r="A1" s="104"/>
      <c r="B1" s="104"/>
      <c r="C1" s="104"/>
      <c r="D1" s="104"/>
      <c r="E1" s="104"/>
      <c r="F1" s="104"/>
      <c r="G1" s="104"/>
      <c r="H1" s="104"/>
      <c r="I1" s="104"/>
      <c r="J1" s="104"/>
      <c r="K1" s="104"/>
      <c r="L1" s="104"/>
    </row>
    <row r="2" spans="1:14">
      <c r="A2" s="104"/>
      <c r="B2" s="106"/>
      <c r="C2" s="106"/>
      <c r="D2" s="106"/>
      <c r="E2" s="106"/>
      <c r="F2" s="106"/>
      <c r="G2" s="106"/>
      <c r="H2" s="106"/>
      <c r="I2" s="106"/>
      <c r="J2" s="106"/>
      <c r="K2" s="106"/>
      <c r="L2" s="106"/>
    </row>
    <row r="3" spans="1:14" ht="14.45" customHeight="1">
      <c r="A3" s="104"/>
      <c r="B3" s="106"/>
      <c r="C3" s="106"/>
      <c r="D3" s="106"/>
      <c r="E3" s="658"/>
      <c r="F3" s="106"/>
      <c r="G3" s="105"/>
      <c r="H3" s="105"/>
      <c r="I3" s="105"/>
      <c r="J3" s="101" t="s">
        <v>651</v>
      </c>
      <c r="K3" s="101">
        <f>'00 - Cover'!F14</f>
        <v>46219</v>
      </c>
      <c r="L3" s="105"/>
    </row>
    <row r="4" spans="1:14" ht="14.45" customHeight="1">
      <c r="A4" s="104"/>
      <c r="B4" s="106"/>
      <c r="C4" s="106"/>
      <c r="D4" s="106"/>
      <c r="E4" s="658"/>
      <c r="F4" s="106"/>
      <c r="G4" s="105"/>
      <c r="H4" s="105"/>
      <c r="I4" s="105"/>
      <c r="J4" s="101" t="s">
        <v>92</v>
      </c>
      <c r="K4" s="101">
        <f>'00 - Cover'!F15</f>
        <v>46224</v>
      </c>
      <c r="L4" s="105"/>
    </row>
    <row r="5" spans="1:14" ht="14.45" customHeight="1">
      <c r="A5" s="104"/>
      <c r="B5" s="106"/>
      <c r="C5" s="106"/>
      <c r="D5" s="106"/>
      <c r="E5" s="658"/>
      <c r="F5" s="106"/>
      <c r="G5" s="105"/>
      <c r="H5" s="105"/>
      <c r="I5" s="105"/>
      <c r="J5" s="101" t="s">
        <v>85</v>
      </c>
      <c r="K5" s="101">
        <f>'00 - Cover'!F16</f>
        <v>46230</v>
      </c>
      <c r="L5" s="105"/>
    </row>
    <row r="6" spans="1:14" ht="14.45" customHeight="1">
      <c r="A6" s="104"/>
      <c r="B6" s="106"/>
      <c r="C6" s="106"/>
      <c r="D6" s="106"/>
      <c r="E6" s="658"/>
      <c r="F6" s="106"/>
      <c r="G6" s="106"/>
      <c r="H6" s="106"/>
      <c r="I6" s="106"/>
      <c r="J6" s="144"/>
      <c r="K6" s="662"/>
      <c r="L6" s="106"/>
    </row>
    <row r="7" spans="1:14">
      <c r="A7" s="104"/>
      <c r="B7" s="106"/>
      <c r="C7" s="106"/>
      <c r="D7" s="106"/>
      <c r="E7" s="106"/>
      <c r="F7" s="106"/>
      <c r="G7" s="106"/>
      <c r="H7" s="106"/>
      <c r="I7" s="106"/>
      <c r="J7" s="106"/>
      <c r="K7" s="106"/>
      <c r="L7" s="106"/>
    </row>
    <row r="8" spans="1:14">
      <c r="A8" s="379"/>
    </row>
    <row r="9" spans="1:14">
      <c r="B9" s="1192" t="s">
        <v>817</v>
      </c>
      <c r="C9" s="1193"/>
      <c r="D9" s="1193"/>
      <c r="E9" s="1193"/>
      <c r="F9" s="1193"/>
      <c r="G9" s="1193"/>
      <c r="H9" s="1193"/>
      <c r="I9" s="1193"/>
      <c r="J9" s="1193"/>
      <c r="K9" s="1193"/>
    </row>
    <row r="10" spans="1:14" ht="15.75" thickBot="1"/>
    <row r="11" spans="1:14" ht="55.5" customHeight="1" thickBot="1">
      <c r="A11" s="396"/>
      <c r="B11" s="682" t="s">
        <v>85</v>
      </c>
      <c r="C11" s="665" t="s">
        <v>822</v>
      </c>
      <c r="D11" s="666" t="s">
        <v>823</v>
      </c>
      <c r="E11" s="667" t="s">
        <v>824</v>
      </c>
      <c r="F11" s="665" t="s">
        <v>818</v>
      </c>
      <c r="G11" s="666" t="s">
        <v>820</v>
      </c>
      <c r="H11" s="667" t="s">
        <v>821</v>
      </c>
      <c r="I11" s="678" t="s">
        <v>826</v>
      </c>
      <c r="J11" s="666" t="s">
        <v>819</v>
      </c>
      <c r="K11" s="667" t="s">
        <v>825</v>
      </c>
    </row>
    <row r="12" spans="1:14">
      <c r="A12" s="396"/>
      <c r="B12" s="668">
        <f>IF('00 - Cover'!F20="Quartely",K5,'10 -Principal Deficiency Ledger'!B13)</f>
        <v>46230</v>
      </c>
      <c r="C12" s="675">
        <f>'15 - Priority of Payments'!J53+'15 - Priority of Payments'!J50</f>
        <v>1544430.37</v>
      </c>
      <c r="D12" s="664">
        <f>'09 - Default &amp; Recovery Stat'!E12+'09 - Default &amp; Recovery Stat'!E13+'09 - Default &amp; Recovery Stat'!E14</f>
        <v>1544430.37</v>
      </c>
      <c r="E12" s="669">
        <f>'15 - Priority of Payments'!K45+'15 - Priority of Payments'!K46+'15 - Priority of Payments'!K47+'15 - Priority of Payments'!K48+'15 - Priority of Payments'!K49</f>
        <v>0</v>
      </c>
      <c r="F12" s="675">
        <f>H13</f>
        <v>0</v>
      </c>
      <c r="G12" s="664">
        <f>'11 - Notes Follow-up'!M24</f>
        <v>67585000</v>
      </c>
      <c r="H12" s="669">
        <f>MIN(F12-C12+D12+E12,G12)</f>
        <v>0</v>
      </c>
      <c r="I12" s="679">
        <f>K13</f>
        <v>0</v>
      </c>
      <c r="J12" s="664">
        <f>'11 - Notes Follow-up'!D24</f>
        <v>653500000</v>
      </c>
      <c r="K12" s="669">
        <f>IF((F12-C12+D12+E12-G12)&gt;0,MIN((F12-C12+D12+E12+I12-G12),J12),0)</f>
        <v>0</v>
      </c>
      <c r="N12" s="402"/>
    </row>
    <row r="13" spans="1:14">
      <c r="A13" s="396"/>
      <c r="B13" s="670">
        <v>46139</v>
      </c>
      <c r="C13" s="676">
        <v>923212.12000000011</v>
      </c>
      <c r="D13" s="663">
        <v>923212.12000000011</v>
      </c>
      <c r="E13" s="671">
        <v>0</v>
      </c>
      <c r="F13" s="676">
        <v>0</v>
      </c>
      <c r="G13" s="663">
        <v>67585000</v>
      </c>
      <c r="H13" s="671">
        <v>0</v>
      </c>
      <c r="I13" s="680">
        <v>0</v>
      </c>
      <c r="J13" s="663">
        <v>653500000</v>
      </c>
      <c r="K13" s="671">
        <v>0</v>
      </c>
    </row>
    <row r="14" spans="1:14">
      <c r="A14" s="396"/>
      <c r="B14" s="670">
        <v>46049</v>
      </c>
      <c r="C14" s="676">
        <v>158101.49000000002</v>
      </c>
      <c r="D14" s="663">
        <v>158101.49000000002</v>
      </c>
      <c r="E14" s="671">
        <v>0</v>
      </c>
      <c r="F14" s="676">
        <v>0</v>
      </c>
      <c r="G14" s="663">
        <v>67585000</v>
      </c>
      <c r="H14" s="671">
        <v>0</v>
      </c>
      <c r="I14" s="680">
        <v>0</v>
      </c>
      <c r="J14" s="663">
        <v>653500000</v>
      </c>
      <c r="K14" s="671">
        <v>0</v>
      </c>
      <c r="M14" s="402"/>
    </row>
    <row r="15" spans="1:14">
      <c r="B15" s="670">
        <v>45957</v>
      </c>
      <c r="C15" s="676">
        <v>175852.19</v>
      </c>
      <c r="D15" s="663">
        <v>175852.19</v>
      </c>
      <c r="E15" s="671">
        <v>0</v>
      </c>
      <c r="F15" s="676">
        <v>0</v>
      </c>
      <c r="G15" s="663">
        <v>67585000</v>
      </c>
      <c r="H15" s="671">
        <v>0</v>
      </c>
      <c r="I15" s="680">
        <v>0</v>
      </c>
      <c r="J15" s="663">
        <v>653500000</v>
      </c>
      <c r="K15" s="671">
        <v>0</v>
      </c>
    </row>
    <row r="16" spans="1:14">
      <c r="B16" s="670">
        <v>45863</v>
      </c>
      <c r="C16" s="676">
        <v>514297.56</v>
      </c>
      <c r="D16" s="663">
        <v>514297.56</v>
      </c>
      <c r="E16" s="671">
        <v>0</v>
      </c>
      <c r="F16" s="676">
        <v>0</v>
      </c>
      <c r="G16" s="663">
        <v>67585000</v>
      </c>
      <c r="H16" s="671">
        <v>0</v>
      </c>
      <c r="I16" s="680">
        <v>0</v>
      </c>
      <c r="J16" s="663">
        <v>577861938.46000004</v>
      </c>
      <c r="K16" s="671">
        <v>0</v>
      </c>
    </row>
    <row r="17" spans="2:11">
      <c r="B17" s="670">
        <v>45772</v>
      </c>
      <c r="C17" s="676">
        <v>123882.82</v>
      </c>
      <c r="D17" s="663">
        <v>123882.82</v>
      </c>
      <c r="E17" s="671">
        <v>0</v>
      </c>
      <c r="F17" s="676">
        <v>0</v>
      </c>
      <c r="G17" s="663">
        <v>67585000</v>
      </c>
      <c r="H17" s="671">
        <v>0</v>
      </c>
      <c r="I17" s="680">
        <v>0</v>
      </c>
      <c r="J17" s="663">
        <v>596010111.4000001</v>
      </c>
      <c r="K17" s="671">
        <v>0</v>
      </c>
    </row>
    <row r="18" spans="2:11">
      <c r="B18" s="670">
        <v>45684</v>
      </c>
      <c r="C18" s="676">
        <v>522190.58999999997</v>
      </c>
      <c r="D18" s="663">
        <v>522190.58999999997</v>
      </c>
      <c r="E18" s="671">
        <v>0</v>
      </c>
      <c r="F18" s="676">
        <v>0</v>
      </c>
      <c r="G18" s="663">
        <v>67585000</v>
      </c>
      <c r="H18" s="671">
        <v>0</v>
      </c>
      <c r="I18" s="680">
        <v>0</v>
      </c>
      <c r="J18" s="663">
        <v>615449465.71000004</v>
      </c>
      <c r="K18" s="671">
        <v>0</v>
      </c>
    </row>
    <row r="19" spans="2:11">
      <c r="B19" s="670">
        <v>45590</v>
      </c>
      <c r="C19" s="676">
        <v>3515.46</v>
      </c>
      <c r="D19" s="663">
        <v>3515.46</v>
      </c>
      <c r="E19" s="671">
        <v>0</v>
      </c>
      <c r="F19" s="676">
        <v>0</v>
      </c>
      <c r="G19" s="663">
        <v>67585000</v>
      </c>
      <c r="H19" s="671">
        <v>0</v>
      </c>
      <c r="I19" s="680">
        <v>0</v>
      </c>
      <c r="J19" s="663">
        <v>633803781.08000004</v>
      </c>
      <c r="K19" s="671">
        <v>0</v>
      </c>
    </row>
    <row r="20" spans="2:11">
      <c r="B20" s="670">
        <v>45498</v>
      </c>
      <c r="C20" s="676">
        <v>0</v>
      </c>
      <c r="D20" s="663">
        <v>0</v>
      </c>
      <c r="E20" s="671">
        <v>0</v>
      </c>
      <c r="F20" s="676">
        <v>0</v>
      </c>
      <c r="G20" s="663">
        <v>67585000</v>
      </c>
      <c r="H20" s="671">
        <v>0</v>
      </c>
      <c r="I20" s="680">
        <v>0</v>
      </c>
      <c r="J20" s="663">
        <v>650283436.13999999</v>
      </c>
      <c r="K20" s="671">
        <v>0</v>
      </c>
    </row>
    <row r="21" spans="2:11">
      <c r="B21" s="670">
        <v>45407</v>
      </c>
      <c r="C21" s="676">
        <v>0</v>
      </c>
      <c r="D21" s="663">
        <v>0</v>
      </c>
      <c r="E21" s="671">
        <v>0</v>
      </c>
      <c r="F21" s="676">
        <v>0</v>
      </c>
      <c r="G21" s="663">
        <v>67585000</v>
      </c>
      <c r="H21" s="671">
        <v>0</v>
      </c>
      <c r="I21" s="680">
        <v>0</v>
      </c>
      <c r="J21" s="663">
        <v>683500000</v>
      </c>
      <c r="K21" s="671">
        <v>0</v>
      </c>
    </row>
    <row r="22" spans="2:11">
      <c r="B22" s="670"/>
      <c r="C22" s="676"/>
      <c r="D22" s="663"/>
      <c r="E22" s="671"/>
      <c r="F22" s="676"/>
      <c r="G22" s="663"/>
      <c r="H22" s="671"/>
      <c r="I22" s="680"/>
      <c r="J22" s="663"/>
      <c r="K22" s="671"/>
    </row>
    <row r="23" spans="2:11">
      <c r="B23" s="670"/>
      <c r="C23" s="676"/>
      <c r="D23" s="663"/>
      <c r="E23" s="671"/>
      <c r="F23" s="676"/>
      <c r="G23" s="663"/>
      <c r="H23" s="671"/>
      <c r="I23" s="680"/>
      <c r="J23" s="663"/>
      <c r="K23" s="671"/>
    </row>
    <row r="24" spans="2:11">
      <c r="B24" s="670"/>
      <c r="C24" s="676"/>
      <c r="D24" s="663"/>
      <c r="E24" s="671"/>
      <c r="F24" s="676"/>
      <c r="G24" s="663"/>
      <c r="H24" s="671"/>
      <c r="I24" s="680"/>
      <c r="J24" s="663"/>
      <c r="K24" s="671"/>
    </row>
    <row r="25" spans="2:11">
      <c r="B25" s="670"/>
      <c r="C25" s="676"/>
      <c r="D25" s="663"/>
      <c r="E25" s="671"/>
      <c r="F25" s="676"/>
      <c r="G25" s="663"/>
      <c r="H25" s="671"/>
      <c r="I25" s="680"/>
      <c r="J25" s="663"/>
      <c r="K25" s="671"/>
    </row>
    <row r="26" spans="2:11">
      <c r="B26" s="670"/>
      <c r="C26" s="676"/>
      <c r="D26" s="663"/>
      <c r="E26" s="671"/>
      <c r="F26" s="676"/>
      <c r="G26" s="663"/>
      <c r="H26" s="671"/>
      <c r="I26" s="680"/>
      <c r="J26" s="663"/>
      <c r="K26" s="671"/>
    </row>
    <row r="27" spans="2:11">
      <c r="B27" s="670"/>
      <c r="C27" s="676"/>
      <c r="D27" s="663"/>
      <c r="E27" s="671"/>
      <c r="F27" s="676"/>
      <c r="G27" s="663"/>
      <c r="H27" s="671"/>
      <c r="I27" s="680"/>
      <c r="J27" s="663"/>
      <c r="K27" s="671"/>
    </row>
    <row r="28" spans="2:11">
      <c r="B28" s="670"/>
      <c r="C28" s="676"/>
      <c r="D28" s="663"/>
      <c r="E28" s="671"/>
      <c r="F28" s="676"/>
      <c r="G28" s="663"/>
      <c r="H28" s="671"/>
      <c r="I28" s="680"/>
      <c r="J28" s="663"/>
      <c r="K28" s="671"/>
    </row>
    <row r="29" spans="2:11">
      <c r="B29" s="670"/>
      <c r="C29" s="676"/>
      <c r="D29" s="663"/>
      <c r="E29" s="671"/>
      <c r="F29" s="676"/>
      <c r="G29" s="663"/>
      <c r="H29" s="671"/>
      <c r="I29" s="680"/>
      <c r="J29" s="663"/>
      <c r="K29" s="671"/>
    </row>
    <row r="30" spans="2:11">
      <c r="B30" s="670"/>
      <c r="C30" s="676"/>
      <c r="D30" s="663"/>
      <c r="E30" s="671"/>
      <c r="F30" s="676"/>
      <c r="G30" s="663"/>
      <c r="H30" s="671"/>
      <c r="I30" s="680"/>
      <c r="J30" s="663"/>
      <c r="K30" s="671"/>
    </row>
    <row r="31" spans="2:11">
      <c r="B31" s="670"/>
      <c r="C31" s="676"/>
      <c r="D31" s="663"/>
      <c r="E31" s="671"/>
      <c r="F31" s="676"/>
      <c r="G31" s="663"/>
      <c r="H31" s="671"/>
      <c r="I31" s="680"/>
      <c r="J31" s="663"/>
      <c r="K31" s="671"/>
    </row>
    <row r="32" spans="2:11">
      <c r="B32" s="670"/>
      <c r="C32" s="676"/>
      <c r="D32" s="663"/>
      <c r="E32" s="671"/>
      <c r="F32" s="676"/>
      <c r="G32" s="663"/>
      <c r="H32" s="671"/>
      <c r="I32" s="680"/>
      <c r="J32" s="663"/>
      <c r="K32" s="671"/>
    </row>
    <row r="33" spans="2:12">
      <c r="B33" s="670"/>
      <c r="C33" s="676"/>
      <c r="D33" s="663"/>
      <c r="E33" s="671"/>
      <c r="F33" s="676"/>
      <c r="G33" s="663"/>
      <c r="H33" s="671"/>
      <c r="I33" s="680"/>
      <c r="J33" s="663"/>
      <c r="K33" s="671"/>
      <c r="L33" s="402"/>
    </row>
    <row r="34" spans="2:12">
      <c r="B34" s="670"/>
      <c r="C34" s="676"/>
      <c r="D34" s="663"/>
      <c r="E34" s="671"/>
      <c r="F34" s="676"/>
      <c r="G34" s="663"/>
      <c r="H34" s="671"/>
      <c r="I34" s="680"/>
      <c r="J34" s="663"/>
      <c r="K34" s="671"/>
    </row>
    <row r="35" spans="2:12">
      <c r="B35" s="670"/>
      <c r="C35" s="676"/>
      <c r="D35" s="663"/>
      <c r="E35" s="671"/>
      <c r="F35" s="676"/>
      <c r="G35" s="663"/>
      <c r="H35" s="671"/>
      <c r="I35" s="680"/>
      <c r="J35" s="663"/>
      <c r="K35" s="671"/>
    </row>
    <row r="36" spans="2:12">
      <c r="B36" s="670"/>
      <c r="C36" s="676"/>
      <c r="D36" s="663"/>
      <c r="E36" s="671"/>
      <c r="F36" s="676"/>
      <c r="G36" s="663"/>
      <c r="H36" s="671"/>
      <c r="I36" s="680"/>
      <c r="J36" s="663"/>
      <c r="K36" s="671"/>
    </row>
    <row r="37" spans="2:12">
      <c r="B37" s="670"/>
      <c r="C37" s="676"/>
      <c r="D37" s="663"/>
      <c r="E37" s="671"/>
      <c r="F37" s="676"/>
      <c r="G37" s="663"/>
      <c r="H37" s="671"/>
      <c r="I37" s="680"/>
      <c r="J37" s="663"/>
      <c r="K37" s="671"/>
    </row>
    <row r="38" spans="2:12">
      <c r="B38" s="670"/>
      <c r="C38" s="676"/>
      <c r="D38" s="663"/>
      <c r="E38" s="671"/>
      <c r="F38" s="676"/>
      <c r="G38" s="663"/>
      <c r="H38" s="671"/>
      <c r="I38" s="680"/>
      <c r="J38" s="663"/>
      <c r="K38" s="671"/>
    </row>
    <row r="39" spans="2:12">
      <c r="B39" s="670"/>
      <c r="C39" s="676"/>
      <c r="D39" s="663"/>
      <c r="E39" s="671"/>
      <c r="F39" s="676"/>
      <c r="G39" s="663"/>
      <c r="H39" s="671"/>
      <c r="I39" s="680"/>
      <c r="J39" s="663"/>
      <c r="K39" s="671"/>
    </row>
    <row r="40" spans="2:12">
      <c r="B40" s="670"/>
      <c r="C40" s="676"/>
      <c r="D40" s="663"/>
      <c r="E40" s="671"/>
      <c r="F40" s="676"/>
      <c r="G40" s="663"/>
      <c r="H40" s="671"/>
      <c r="I40" s="680"/>
      <c r="J40" s="663"/>
      <c r="K40" s="671"/>
    </row>
    <row r="41" spans="2:12">
      <c r="B41" s="670"/>
      <c r="C41" s="676"/>
      <c r="D41" s="663"/>
      <c r="E41" s="671"/>
      <c r="F41" s="676"/>
      <c r="G41" s="663"/>
      <c r="H41" s="671"/>
      <c r="I41" s="680"/>
      <c r="J41" s="663"/>
      <c r="K41" s="671"/>
    </row>
    <row r="42" spans="2:12">
      <c r="B42" s="670"/>
      <c r="C42" s="676"/>
      <c r="D42" s="663"/>
      <c r="E42" s="671"/>
      <c r="F42" s="676"/>
      <c r="G42" s="663"/>
      <c r="H42" s="671"/>
      <c r="I42" s="680"/>
      <c r="J42" s="663"/>
      <c r="K42" s="671"/>
    </row>
    <row r="43" spans="2:12">
      <c r="B43" s="670"/>
      <c r="C43" s="676"/>
      <c r="D43" s="663"/>
      <c r="E43" s="671"/>
      <c r="F43" s="676"/>
      <c r="G43" s="663"/>
      <c r="H43" s="671"/>
      <c r="I43" s="680"/>
      <c r="J43" s="663"/>
      <c r="K43" s="671"/>
    </row>
    <row r="44" spans="2:12">
      <c r="B44" s="670"/>
      <c r="C44" s="676"/>
      <c r="D44" s="663"/>
      <c r="E44" s="671"/>
      <c r="F44" s="676"/>
      <c r="G44" s="663"/>
      <c r="H44" s="671"/>
      <c r="I44" s="680"/>
      <c r="J44" s="663"/>
      <c r="K44" s="671"/>
    </row>
    <row r="45" spans="2:12">
      <c r="B45" s="670"/>
      <c r="C45" s="676"/>
      <c r="D45" s="663"/>
      <c r="E45" s="671"/>
      <c r="F45" s="676"/>
      <c r="G45" s="663"/>
      <c r="H45" s="671"/>
      <c r="I45" s="680"/>
      <c r="J45" s="663"/>
      <c r="K45" s="671"/>
    </row>
    <row r="46" spans="2:12">
      <c r="B46" s="670"/>
      <c r="C46" s="676"/>
      <c r="D46" s="663"/>
      <c r="E46" s="671"/>
      <c r="F46" s="676"/>
      <c r="G46" s="663"/>
      <c r="H46" s="671"/>
      <c r="I46" s="680"/>
      <c r="J46" s="663"/>
      <c r="K46" s="671"/>
    </row>
    <row r="47" spans="2:12">
      <c r="B47" s="670"/>
      <c r="C47" s="676"/>
      <c r="D47" s="663"/>
      <c r="E47" s="671"/>
      <c r="F47" s="676"/>
      <c r="G47" s="663"/>
      <c r="H47" s="671"/>
      <c r="I47" s="680"/>
      <c r="J47" s="663"/>
      <c r="K47" s="671"/>
    </row>
    <row r="48" spans="2:12">
      <c r="B48" s="670"/>
      <c r="C48" s="676"/>
      <c r="D48" s="663"/>
      <c r="E48" s="671"/>
      <c r="F48" s="676"/>
      <c r="G48" s="663"/>
      <c r="H48" s="671"/>
      <c r="I48" s="680"/>
      <c r="J48" s="663"/>
      <c r="K48" s="671"/>
    </row>
    <row r="49" spans="2:11">
      <c r="B49" s="670"/>
      <c r="C49" s="676"/>
      <c r="D49" s="663"/>
      <c r="E49" s="671"/>
      <c r="F49" s="676"/>
      <c r="G49" s="663"/>
      <c r="H49" s="671"/>
      <c r="I49" s="680"/>
      <c r="J49" s="663"/>
      <c r="K49" s="671"/>
    </row>
    <row r="50" spans="2:11">
      <c r="B50" s="670"/>
      <c r="C50" s="676"/>
      <c r="D50" s="663"/>
      <c r="E50" s="671"/>
      <c r="F50" s="676"/>
      <c r="G50" s="663"/>
      <c r="H50" s="671"/>
      <c r="I50" s="680"/>
      <c r="J50" s="663"/>
      <c r="K50" s="671"/>
    </row>
    <row r="51" spans="2:11">
      <c r="B51" s="670"/>
      <c r="C51" s="676"/>
      <c r="D51" s="663"/>
      <c r="E51" s="671"/>
      <c r="F51" s="676"/>
      <c r="G51" s="663"/>
      <c r="H51" s="671"/>
      <c r="I51" s="680"/>
      <c r="J51" s="663"/>
      <c r="K51" s="671"/>
    </row>
    <row r="52" spans="2:11">
      <c r="B52" s="670"/>
      <c r="C52" s="676"/>
      <c r="D52" s="663"/>
      <c r="E52" s="671"/>
      <c r="F52" s="676"/>
      <c r="G52" s="663"/>
      <c r="H52" s="671"/>
      <c r="I52" s="680"/>
      <c r="J52" s="663"/>
      <c r="K52" s="671"/>
    </row>
    <row r="53" spans="2:11">
      <c r="B53" s="670"/>
      <c r="C53" s="676"/>
      <c r="D53" s="663"/>
      <c r="E53" s="671"/>
      <c r="F53" s="676"/>
      <c r="G53" s="663"/>
      <c r="H53" s="671"/>
      <c r="I53" s="680"/>
      <c r="J53" s="663"/>
      <c r="K53" s="671"/>
    </row>
    <row r="54" spans="2:11">
      <c r="B54" s="670"/>
      <c r="C54" s="676"/>
      <c r="D54" s="663"/>
      <c r="E54" s="671"/>
      <c r="F54" s="676"/>
      <c r="G54" s="663"/>
      <c r="H54" s="671"/>
      <c r="I54" s="680"/>
      <c r="J54" s="663"/>
      <c r="K54" s="671"/>
    </row>
    <row r="55" spans="2:11">
      <c r="B55" s="670"/>
      <c r="C55" s="676"/>
      <c r="D55" s="663"/>
      <c r="E55" s="671"/>
      <c r="F55" s="676"/>
      <c r="G55" s="663"/>
      <c r="H55" s="671"/>
      <c r="I55" s="680"/>
      <c r="J55" s="663"/>
      <c r="K55" s="671"/>
    </row>
    <row r="56" spans="2:11">
      <c r="B56" s="670"/>
      <c r="C56" s="676"/>
      <c r="D56" s="663"/>
      <c r="E56" s="671"/>
      <c r="F56" s="676"/>
      <c r="G56" s="663"/>
      <c r="H56" s="671"/>
      <c r="I56" s="680"/>
      <c r="J56" s="663"/>
      <c r="K56" s="671"/>
    </row>
    <row r="57" spans="2:11">
      <c r="B57" s="670"/>
      <c r="C57" s="676"/>
      <c r="D57" s="663"/>
      <c r="E57" s="671"/>
      <c r="F57" s="676"/>
      <c r="G57" s="663"/>
      <c r="H57" s="671"/>
      <c r="I57" s="680"/>
      <c r="J57" s="663"/>
      <c r="K57" s="671"/>
    </row>
    <row r="58" spans="2:11">
      <c r="B58" s="670"/>
      <c r="C58" s="676"/>
      <c r="D58" s="663"/>
      <c r="E58" s="671"/>
      <c r="F58" s="676"/>
      <c r="G58" s="663"/>
      <c r="H58" s="671"/>
      <c r="I58" s="680"/>
      <c r="J58" s="663"/>
      <c r="K58" s="671"/>
    </row>
    <row r="59" spans="2:11">
      <c r="B59" s="670"/>
      <c r="C59" s="676"/>
      <c r="D59" s="663"/>
      <c r="E59" s="671"/>
      <c r="F59" s="676"/>
      <c r="G59" s="663"/>
      <c r="H59" s="671"/>
      <c r="I59" s="680"/>
      <c r="J59" s="663"/>
      <c r="K59" s="671"/>
    </row>
    <row r="60" spans="2:11">
      <c r="B60" s="670"/>
      <c r="C60" s="676"/>
      <c r="D60" s="663"/>
      <c r="E60" s="671"/>
      <c r="F60" s="676"/>
      <c r="G60" s="663"/>
      <c r="H60" s="671"/>
      <c r="I60" s="680"/>
      <c r="J60" s="663"/>
      <c r="K60" s="671"/>
    </row>
    <row r="61" spans="2:11">
      <c r="B61" s="670"/>
      <c r="C61" s="676"/>
      <c r="D61" s="663"/>
      <c r="E61" s="671"/>
      <c r="F61" s="676"/>
      <c r="G61" s="663"/>
      <c r="H61" s="671"/>
      <c r="I61" s="680"/>
      <c r="J61" s="663"/>
      <c r="K61" s="671"/>
    </row>
    <row r="62" spans="2:11">
      <c r="B62" s="670"/>
      <c r="C62" s="676"/>
      <c r="D62" s="663"/>
      <c r="E62" s="671"/>
      <c r="F62" s="676"/>
      <c r="G62" s="663"/>
      <c r="H62" s="671"/>
      <c r="I62" s="680"/>
      <c r="J62" s="663"/>
      <c r="K62" s="671"/>
    </row>
    <row r="63" spans="2:11">
      <c r="B63" s="670"/>
      <c r="C63" s="676"/>
      <c r="D63" s="663"/>
      <c r="E63" s="671"/>
      <c r="F63" s="676"/>
      <c r="G63" s="663"/>
      <c r="H63" s="671"/>
      <c r="I63" s="680"/>
      <c r="J63" s="663"/>
      <c r="K63" s="671"/>
    </row>
    <row r="64" spans="2:11">
      <c r="B64" s="670"/>
      <c r="C64" s="676"/>
      <c r="D64" s="663"/>
      <c r="E64" s="671"/>
      <c r="F64" s="676"/>
      <c r="G64" s="663"/>
      <c r="H64" s="671"/>
      <c r="I64" s="680"/>
      <c r="J64" s="663"/>
      <c r="K64" s="671"/>
    </row>
    <row r="65" spans="2:11">
      <c r="B65" s="670"/>
      <c r="C65" s="676"/>
      <c r="D65" s="663"/>
      <c r="E65" s="671"/>
      <c r="F65" s="676"/>
      <c r="G65" s="663"/>
      <c r="H65" s="671"/>
      <c r="I65" s="680"/>
      <c r="J65" s="663"/>
      <c r="K65" s="671"/>
    </row>
    <row r="66" spans="2:11">
      <c r="B66" s="670"/>
      <c r="C66" s="676"/>
      <c r="D66" s="663"/>
      <c r="E66" s="671"/>
      <c r="F66" s="676"/>
      <c r="G66" s="663"/>
      <c r="H66" s="671"/>
      <c r="I66" s="680"/>
      <c r="J66" s="663"/>
      <c r="K66" s="671"/>
    </row>
    <row r="67" spans="2:11">
      <c r="B67" s="670"/>
      <c r="C67" s="676"/>
      <c r="D67" s="663"/>
      <c r="E67" s="671"/>
      <c r="F67" s="676"/>
      <c r="G67" s="663"/>
      <c r="H67" s="671"/>
      <c r="I67" s="680"/>
      <c r="J67" s="663"/>
      <c r="K67" s="671"/>
    </row>
    <row r="68" spans="2:11">
      <c r="B68" s="670"/>
      <c r="C68" s="676"/>
      <c r="D68" s="663"/>
      <c r="E68" s="671"/>
      <c r="F68" s="676"/>
      <c r="G68" s="663"/>
      <c r="H68" s="671"/>
      <c r="I68" s="680"/>
      <c r="J68" s="663"/>
      <c r="K68" s="671"/>
    </row>
    <row r="69" spans="2:11">
      <c r="B69" s="670"/>
      <c r="C69" s="676"/>
      <c r="D69" s="663"/>
      <c r="E69" s="671"/>
      <c r="F69" s="676"/>
      <c r="G69" s="663"/>
      <c r="H69" s="671"/>
      <c r="I69" s="680"/>
      <c r="J69" s="663"/>
      <c r="K69" s="671"/>
    </row>
    <row r="70" spans="2:11">
      <c r="B70" s="670"/>
      <c r="C70" s="676"/>
      <c r="D70" s="663"/>
      <c r="E70" s="671"/>
      <c r="F70" s="676"/>
      <c r="G70" s="663"/>
      <c r="H70" s="671"/>
      <c r="I70" s="680"/>
      <c r="J70" s="663"/>
      <c r="K70" s="671"/>
    </row>
    <row r="71" spans="2:11">
      <c r="B71" s="670"/>
      <c r="C71" s="676"/>
      <c r="D71" s="663"/>
      <c r="E71" s="671"/>
      <c r="F71" s="676"/>
      <c r="G71" s="663"/>
      <c r="H71" s="671"/>
      <c r="I71" s="680"/>
      <c r="J71" s="663"/>
      <c r="K71" s="671"/>
    </row>
    <row r="72" spans="2:11" ht="15.75" thickBot="1">
      <c r="B72" s="672"/>
      <c r="C72" s="677"/>
      <c r="D72" s="673"/>
      <c r="E72" s="674"/>
      <c r="F72" s="677"/>
      <c r="G72" s="673"/>
      <c r="H72" s="674"/>
      <c r="I72" s="681"/>
      <c r="J72" s="673"/>
      <c r="K72" s="674"/>
    </row>
  </sheetData>
  <mergeCells count="1">
    <mergeCell ref="B9:K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T220"/>
  <sheetViews>
    <sheetView showGridLines="0" zoomScale="80" zoomScaleNormal="80" workbookViewId="0">
      <selection activeCell="N19" sqref="N19"/>
    </sheetView>
  </sheetViews>
  <sheetFormatPr defaultColWidth="11.42578125" defaultRowHeight="12.75"/>
  <cols>
    <col min="1" max="1" width="1.85546875" style="464" customWidth="1"/>
    <col min="2" max="2" width="15.85546875" style="515" customWidth="1"/>
    <col min="3" max="3" width="2.85546875" style="464" customWidth="1"/>
    <col min="4" max="4" width="26.5703125" style="464" customWidth="1"/>
    <col min="5" max="6" width="22.140625" style="464" customWidth="1"/>
    <col min="7" max="7" width="19.5703125" style="464" customWidth="1"/>
    <col min="8" max="8" width="26.140625" style="464" bestFit="1" customWidth="1"/>
    <col min="9" max="10" width="21.42578125" style="516" customWidth="1"/>
    <col min="11" max="11" width="18.85546875" style="464" customWidth="1"/>
    <col min="12" max="12" width="2.85546875" style="464" customWidth="1"/>
    <col min="13" max="13" width="31.85546875" style="464" bestFit="1" customWidth="1"/>
    <col min="14" max="14" width="24.42578125" style="464" bestFit="1" customWidth="1"/>
    <col min="15" max="15" width="18.85546875" style="464" customWidth="1"/>
    <col min="16" max="16" width="21.85546875" style="464" bestFit="1" customWidth="1"/>
    <col min="17" max="17" width="21.85546875" style="516" customWidth="1"/>
    <col min="18" max="18" width="18.85546875" style="464" customWidth="1"/>
    <col min="19" max="19" width="2.85546875" style="464" customWidth="1"/>
    <col min="20" max="20" width="25.5703125" style="464" bestFit="1" customWidth="1"/>
    <col min="21" max="25" width="21.140625" style="464" customWidth="1"/>
    <col min="26" max="16384" width="11.42578125" style="464"/>
  </cols>
  <sheetData>
    <row r="1" spans="2:46" ht="6.75" customHeight="1">
      <c r="B1" s="464"/>
      <c r="I1" s="464"/>
      <c r="J1" s="464"/>
      <c r="Q1" s="464"/>
    </row>
    <row r="2" spans="2:46" ht="11.25" customHeight="1">
      <c r="B2" s="464"/>
      <c r="I2" s="464"/>
      <c r="J2" s="464"/>
      <c r="Q2" s="464"/>
    </row>
    <row r="3" spans="2:46" ht="11.25" customHeight="1">
      <c r="B3" s="464"/>
      <c r="I3" s="464"/>
      <c r="J3" s="464"/>
      <c r="Q3" s="464"/>
    </row>
    <row r="4" spans="2:46" ht="11.25" customHeight="1">
      <c r="B4" s="464"/>
      <c r="I4" s="464"/>
      <c r="J4" s="464"/>
      <c r="Q4" s="464"/>
    </row>
    <row r="5" spans="2:46" ht="11.25" customHeight="1">
      <c r="B5" s="464"/>
      <c r="I5" s="464"/>
      <c r="J5" s="464"/>
      <c r="Q5" s="464"/>
    </row>
    <row r="6" spans="2:46" ht="11.25" customHeight="1">
      <c r="B6" s="464"/>
      <c r="I6" s="464"/>
      <c r="J6" s="464"/>
      <c r="Q6" s="464"/>
    </row>
    <row r="7" spans="2:46" ht="11.25" customHeight="1">
      <c r="B7" s="464"/>
      <c r="I7" s="464"/>
      <c r="J7" s="464"/>
      <c r="Q7" s="464"/>
    </row>
    <row r="8" spans="2:46" ht="11.25" customHeight="1">
      <c r="B8" s="464"/>
      <c r="I8" s="464"/>
      <c r="J8" s="464"/>
      <c r="Q8" s="464"/>
    </row>
    <row r="9" spans="2:46" ht="14.25" customHeight="1">
      <c r="B9" s="464"/>
      <c r="I9" s="464"/>
      <c r="J9" s="464"/>
      <c r="Q9" s="464"/>
    </row>
    <row r="10" spans="2:46" ht="15.75">
      <c r="B10" s="1196" t="s">
        <v>814</v>
      </c>
      <c r="C10" s="1197"/>
      <c r="D10" s="1197"/>
      <c r="E10" s="1197"/>
      <c r="F10" s="1197"/>
      <c r="G10" s="1197"/>
      <c r="H10" s="1197"/>
      <c r="I10" s="1197"/>
      <c r="J10" s="1197"/>
      <c r="K10" s="1197"/>
      <c r="L10" s="1197"/>
      <c r="M10" s="1197"/>
      <c r="N10" s="1197"/>
      <c r="O10" s="1197"/>
      <c r="P10" s="1197"/>
      <c r="Q10" s="1197"/>
      <c r="R10" s="1197"/>
      <c r="S10" s="1197"/>
      <c r="T10" s="1197"/>
      <c r="U10" s="1197"/>
      <c r="V10" s="1197"/>
      <c r="W10" s="1197"/>
      <c r="X10" s="1197"/>
      <c r="Y10" s="1197"/>
    </row>
    <row r="11" spans="2:46" ht="21" customHeight="1">
      <c r="B11" s="464"/>
      <c r="C11" s="465"/>
      <c r="D11" s="465"/>
      <c r="E11" s="465"/>
      <c r="F11" s="465"/>
      <c r="G11" s="465"/>
      <c r="H11" s="465"/>
      <c r="I11" s="465"/>
      <c r="J11" s="465"/>
      <c r="K11" s="465"/>
      <c r="L11" s="465"/>
      <c r="M11" s="465"/>
      <c r="N11" s="465"/>
      <c r="O11" s="465"/>
      <c r="P11" s="465"/>
      <c r="Q11" s="465"/>
      <c r="R11" s="465"/>
      <c r="S11" s="465"/>
    </row>
    <row r="12" spans="2:46" ht="12" customHeight="1">
      <c r="B12" s="464"/>
      <c r="D12" s="466" t="s">
        <v>96</v>
      </c>
      <c r="E12" s="467" t="s">
        <v>679</v>
      </c>
      <c r="F12" s="1078"/>
      <c r="G12" s="465"/>
      <c r="H12" s="465"/>
      <c r="I12" s="465"/>
      <c r="J12" s="465"/>
      <c r="K12" s="465"/>
      <c r="L12" s="465"/>
      <c r="M12" s="466" t="s">
        <v>96</v>
      </c>
      <c r="N12" s="467" t="s">
        <v>699</v>
      </c>
      <c r="Q12" s="464"/>
      <c r="R12" s="465"/>
      <c r="S12" s="465"/>
      <c r="T12" s="466" t="s">
        <v>96</v>
      </c>
      <c r="U12" s="467" t="s">
        <v>715</v>
      </c>
    </row>
    <row r="13" spans="2:46" s="468" customFormat="1" ht="12" customHeight="1">
      <c r="C13" s="469"/>
      <c r="D13" s="779" t="s">
        <v>691</v>
      </c>
      <c r="E13" s="780">
        <v>100000</v>
      </c>
      <c r="F13" s="1079"/>
      <c r="G13" s="469"/>
      <c r="H13" s="469"/>
      <c r="I13" s="469"/>
      <c r="J13" s="469"/>
      <c r="K13" s="469"/>
      <c r="L13" s="469"/>
      <c r="M13" s="779" t="s">
        <v>691</v>
      </c>
      <c r="N13" s="781">
        <v>1000</v>
      </c>
      <c r="R13" s="469"/>
      <c r="S13" s="469"/>
      <c r="T13" s="470" t="s">
        <v>691</v>
      </c>
      <c r="U13" s="471">
        <v>150</v>
      </c>
      <c r="AN13" s="472"/>
      <c r="AQ13" s="472"/>
      <c r="AT13" s="472"/>
    </row>
    <row r="14" spans="2:46" ht="12" customHeight="1">
      <c r="B14" s="465"/>
      <c r="C14" s="465"/>
      <c r="D14" s="782" t="s">
        <v>692</v>
      </c>
      <c r="E14" s="783">
        <v>1</v>
      </c>
      <c r="F14" s="1080"/>
      <c r="G14" s="465"/>
      <c r="H14" s="465"/>
      <c r="I14" s="465"/>
      <c r="J14" s="465"/>
      <c r="K14" s="465"/>
      <c r="L14" s="465"/>
      <c r="M14" s="782" t="s">
        <v>692</v>
      </c>
      <c r="N14" s="783">
        <v>1</v>
      </c>
      <c r="Q14" s="464"/>
      <c r="R14" s="465"/>
      <c r="S14" s="465"/>
      <c r="T14" s="473" t="s">
        <v>692</v>
      </c>
      <c r="U14" s="474">
        <v>1</v>
      </c>
    </row>
    <row r="15" spans="2:46" ht="12" customHeight="1">
      <c r="B15" s="465"/>
      <c r="C15" s="465"/>
      <c r="D15" s="567" t="s">
        <v>1246</v>
      </c>
      <c r="E15" s="800">
        <v>2.5000000000000001E-3</v>
      </c>
      <c r="F15" s="1081"/>
      <c r="G15" s="465"/>
      <c r="H15" s="477"/>
      <c r="I15" s="465"/>
      <c r="J15" s="465"/>
      <c r="K15" s="465"/>
      <c r="L15" s="465"/>
      <c r="M15" s="567" t="s">
        <v>1246</v>
      </c>
      <c r="N15" s="568">
        <v>0</v>
      </c>
      <c r="Q15" s="464"/>
      <c r="R15" s="465"/>
      <c r="S15" s="465"/>
      <c r="T15" s="476" t="s">
        <v>710</v>
      </c>
      <c r="U15" s="633" t="s">
        <v>716</v>
      </c>
    </row>
    <row r="16" spans="2:46" ht="12" customHeight="1">
      <c r="B16" s="475"/>
      <c r="C16" s="465"/>
      <c r="D16" s="567" t="s">
        <v>710</v>
      </c>
      <c r="E16" s="568" t="s">
        <v>718</v>
      </c>
      <c r="F16" s="1080"/>
      <c r="G16" s="465"/>
      <c r="H16" s="477"/>
      <c r="I16" s="465"/>
      <c r="J16" s="465"/>
      <c r="K16" s="465"/>
      <c r="L16" s="465"/>
      <c r="M16" s="567" t="s">
        <v>710</v>
      </c>
      <c r="N16" s="568" t="s">
        <v>719</v>
      </c>
      <c r="P16" s="478"/>
      <c r="Q16" s="478"/>
      <c r="R16" s="465"/>
      <c r="S16" s="465"/>
    </row>
    <row r="17" spans="1:25" ht="12" customHeight="1">
      <c r="B17" s="475"/>
      <c r="C17" s="465"/>
      <c r="D17" s="784" t="s">
        <v>693</v>
      </c>
      <c r="E17" s="785" t="s">
        <v>722</v>
      </c>
      <c r="F17" s="1082"/>
      <c r="G17" s="465"/>
      <c r="H17" s="477"/>
      <c r="I17" s="465"/>
      <c r="J17" s="465"/>
      <c r="K17" s="465"/>
      <c r="L17" s="465"/>
      <c r="M17" s="784" t="s">
        <v>693</v>
      </c>
      <c r="N17" s="786" t="s">
        <v>1247</v>
      </c>
      <c r="P17" s="478"/>
      <c r="Q17" s="478"/>
      <c r="R17" s="465"/>
      <c r="S17" s="465"/>
    </row>
    <row r="18" spans="1:25" ht="12" customHeight="1">
      <c r="B18" s="475"/>
      <c r="C18" s="465"/>
      <c r="D18" s="1194" t="s">
        <v>1248</v>
      </c>
      <c r="E18" s="785" t="s">
        <v>1300</v>
      </c>
      <c r="F18" s="1082"/>
      <c r="G18" s="465"/>
      <c r="H18" s="477"/>
      <c r="I18" s="465"/>
      <c r="J18" s="465"/>
      <c r="K18" s="465"/>
      <c r="L18" s="465"/>
      <c r="M18" s="784" t="s">
        <v>1248</v>
      </c>
      <c r="N18" s="787" t="s">
        <v>2621</v>
      </c>
      <c r="P18" s="478"/>
      <c r="Q18" s="478"/>
      <c r="R18" s="465"/>
      <c r="S18" s="465"/>
    </row>
    <row r="19" spans="1:25" ht="12" customHeight="1">
      <c r="B19" s="475"/>
      <c r="C19" s="465"/>
      <c r="D19" s="1195"/>
      <c r="E19" s="785" t="s">
        <v>1301</v>
      </c>
      <c r="F19" s="1082"/>
      <c r="G19" s="465"/>
      <c r="H19" s="477"/>
      <c r="I19" s="465"/>
      <c r="J19" s="465"/>
      <c r="K19" s="825"/>
      <c r="L19" s="825"/>
      <c r="M19" s="825"/>
      <c r="N19" s="825"/>
      <c r="P19" s="478"/>
      <c r="Q19" s="478"/>
      <c r="R19" s="465"/>
      <c r="S19" s="465"/>
    </row>
    <row r="20" spans="1:25" ht="21" customHeight="1">
      <c r="B20" s="465"/>
      <c r="C20" s="465"/>
      <c r="H20" s="475"/>
      <c r="I20" s="475"/>
      <c r="J20" s="464"/>
      <c r="Q20" s="464"/>
    </row>
    <row r="21" spans="1:25" s="479" customFormat="1" ht="25.5" customHeight="1">
      <c r="B21" s="1203" t="s">
        <v>23</v>
      </c>
      <c r="C21" s="480"/>
      <c r="D21" s="1198" t="s">
        <v>679</v>
      </c>
      <c r="E21" s="1199"/>
      <c r="F21" s="1206"/>
      <c r="G21" s="1199"/>
      <c r="H21" s="1199"/>
      <c r="I21" s="1199"/>
      <c r="J21" s="1206"/>
      <c r="K21" s="1200"/>
      <c r="L21" s="480"/>
      <c r="M21" s="1198" t="s">
        <v>699</v>
      </c>
      <c r="N21" s="1199"/>
      <c r="O21" s="1199"/>
      <c r="P21" s="1199"/>
      <c r="Q21" s="1199"/>
      <c r="R21" s="1200"/>
      <c r="S21" s="480"/>
      <c r="T21" s="1198" t="s">
        <v>246</v>
      </c>
      <c r="U21" s="1199"/>
      <c r="V21" s="1199"/>
      <c r="W21" s="1199"/>
      <c r="X21" s="1199"/>
      <c r="Y21" s="1200"/>
    </row>
    <row r="22" spans="1:25" ht="25.5" customHeight="1" thickBot="1">
      <c r="B22" s="1204"/>
      <c r="C22" s="481"/>
      <c r="D22" s="1201" t="s">
        <v>694</v>
      </c>
      <c r="E22" s="1201" t="s">
        <v>695</v>
      </c>
      <c r="F22" s="1207" t="s">
        <v>2447</v>
      </c>
      <c r="G22" s="1201" t="s">
        <v>696</v>
      </c>
      <c r="H22" s="1201" t="s">
        <v>697</v>
      </c>
      <c r="I22" s="1201" t="s">
        <v>701</v>
      </c>
      <c r="J22" s="1201" t="s">
        <v>1313</v>
      </c>
      <c r="K22" s="1207" t="s">
        <v>698</v>
      </c>
      <c r="L22" s="481"/>
      <c r="M22" s="1201" t="s">
        <v>694</v>
      </c>
      <c r="N22" s="1201" t="s">
        <v>695</v>
      </c>
      <c r="O22" s="1201" t="s">
        <v>696</v>
      </c>
      <c r="P22" s="1201" t="s">
        <v>697</v>
      </c>
      <c r="Q22" s="1201" t="s">
        <v>700</v>
      </c>
      <c r="R22" s="1201" t="s">
        <v>698</v>
      </c>
      <c r="S22" s="481"/>
      <c r="T22" s="1201" t="s">
        <v>741</v>
      </c>
      <c r="U22" s="1201" t="s">
        <v>695</v>
      </c>
      <c r="V22" s="1201" t="s">
        <v>696</v>
      </c>
      <c r="W22" s="1201" t="s">
        <v>742</v>
      </c>
      <c r="X22" s="1201" t="s">
        <v>743</v>
      </c>
      <c r="Y22" s="1201" t="s">
        <v>744</v>
      </c>
    </row>
    <row r="23" spans="1:25" ht="25.5" customHeight="1" thickTop="1">
      <c r="B23" s="1205"/>
      <c r="C23" s="481"/>
      <c r="D23" s="1202"/>
      <c r="E23" s="1202"/>
      <c r="F23" s="1208"/>
      <c r="G23" s="1202"/>
      <c r="H23" s="1202"/>
      <c r="I23" s="1202"/>
      <c r="J23" s="1202"/>
      <c r="K23" s="1208"/>
      <c r="L23" s="481"/>
      <c r="M23" s="1202"/>
      <c r="N23" s="1202"/>
      <c r="O23" s="1202"/>
      <c r="P23" s="1202"/>
      <c r="Q23" s="1202"/>
      <c r="R23" s="1202"/>
      <c r="S23" s="481"/>
      <c r="T23" s="1202"/>
      <c r="U23" s="1202"/>
      <c r="V23" s="1202"/>
      <c r="W23" s="1202"/>
      <c r="X23" s="1202"/>
      <c r="Y23" s="1202"/>
    </row>
    <row r="24" spans="1:25" s="490" customFormat="1" ht="12">
      <c r="A24" s="482">
        <v>22</v>
      </c>
      <c r="B24" s="483">
        <f>'10 -Principal Deficiency Ledger'!B12</f>
        <v>46230</v>
      </c>
      <c r="C24" s="484"/>
      <c r="D24" s="485">
        <f>H25</f>
        <v>653500000</v>
      </c>
      <c r="E24" s="486">
        <v>0</v>
      </c>
      <c r="F24" s="486">
        <f>G24</f>
        <v>21458261.34999999</v>
      </c>
      <c r="G24" s="486">
        <f>IF(B24="NO",0,MIN(D24,'15 - Priority of Payments'!L24))</f>
        <v>21458261.34999999</v>
      </c>
      <c r="H24" s="486">
        <f>D24+E24-G24+F24</f>
        <v>653500000</v>
      </c>
      <c r="I24" s="487">
        <f>'12 - Notes Interest'!B17</f>
        <v>6835</v>
      </c>
      <c r="J24" s="1002">
        <f>IF(B24="NO",J25,G24/I24)</f>
        <v>3139.4676444769552</v>
      </c>
      <c r="K24" s="488">
        <f>H24/I24</f>
        <v>95610.826627651797</v>
      </c>
      <c r="L24" s="484"/>
      <c r="M24" s="485">
        <f>P25</f>
        <v>67585000</v>
      </c>
      <c r="N24" s="486">
        <v>0</v>
      </c>
      <c r="O24" s="486">
        <f>IF('11 - Notes Follow-up'!H24&gt;0,0,MIN(M24,'15 - Priority of Payments'!L25))</f>
        <v>0</v>
      </c>
      <c r="P24" s="486">
        <f>M24+N24-O24</f>
        <v>67585000</v>
      </c>
      <c r="Q24" s="489">
        <v>67585</v>
      </c>
      <c r="R24" s="488">
        <f>P24/Q24</f>
        <v>1000</v>
      </c>
      <c r="S24" s="484"/>
      <c r="T24" s="485">
        <f>W25</f>
        <v>300</v>
      </c>
      <c r="U24" s="486">
        <v>0</v>
      </c>
      <c r="V24" s="486">
        <v>0</v>
      </c>
      <c r="W24" s="486">
        <f>T24+U24-V24</f>
        <v>300</v>
      </c>
      <c r="X24" s="489">
        <v>2</v>
      </c>
      <c r="Y24" s="488">
        <f>W24/X24</f>
        <v>150</v>
      </c>
    </row>
    <row r="25" spans="1:25" s="501" customFormat="1">
      <c r="A25" s="491">
        <f>A24-1</f>
        <v>21</v>
      </c>
      <c r="B25" s="492">
        <v>46139</v>
      </c>
      <c r="C25" s="493"/>
      <c r="D25" s="494">
        <v>653500000</v>
      </c>
      <c r="E25" s="495">
        <v>0</v>
      </c>
      <c r="F25" s="1074">
        <v>20258931.840000018</v>
      </c>
      <c r="G25" s="495">
        <v>20258931.840000018</v>
      </c>
      <c r="H25" s="496">
        <v>653500000</v>
      </c>
      <c r="I25" s="497">
        <v>6835</v>
      </c>
      <c r="J25" s="978">
        <v>2963.9988061448453</v>
      </c>
      <c r="K25" s="498">
        <v>95610.826627651797</v>
      </c>
      <c r="L25" s="499"/>
      <c r="M25" s="500">
        <v>67585000</v>
      </c>
      <c r="N25" s="495">
        <v>0</v>
      </c>
      <c r="O25" s="495">
        <v>0</v>
      </c>
      <c r="P25" s="496">
        <v>67585000</v>
      </c>
      <c r="Q25" s="497">
        <v>67585</v>
      </c>
      <c r="R25" s="498">
        <v>1000</v>
      </c>
      <c r="S25" s="499"/>
      <c r="T25" s="500">
        <v>300</v>
      </c>
      <c r="U25" s="495">
        <v>0</v>
      </c>
      <c r="V25" s="495">
        <v>0</v>
      </c>
      <c r="W25" s="496">
        <v>300</v>
      </c>
      <c r="X25" s="497">
        <v>2</v>
      </c>
      <c r="Y25" s="498">
        <v>150</v>
      </c>
    </row>
    <row r="26" spans="1:25" s="501" customFormat="1">
      <c r="A26" s="502">
        <f>A25-1</f>
        <v>20</v>
      </c>
      <c r="B26" s="492">
        <v>46049</v>
      </c>
      <c r="C26" s="503"/>
      <c r="D26" s="494">
        <v>653500000</v>
      </c>
      <c r="E26" s="495">
        <v>0</v>
      </c>
      <c r="F26" s="1074">
        <v>20201951.329999998</v>
      </c>
      <c r="G26" s="495">
        <v>20201951.329999998</v>
      </c>
      <c r="H26" s="496">
        <v>653500000</v>
      </c>
      <c r="I26" s="497">
        <v>6835</v>
      </c>
      <c r="J26" s="979">
        <v>2955.6622282370149</v>
      </c>
      <c r="K26" s="498">
        <v>95610.826627651797</v>
      </c>
      <c r="L26" s="499"/>
      <c r="M26" s="500">
        <v>67585000</v>
      </c>
      <c r="N26" s="495">
        <v>0</v>
      </c>
      <c r="O26" s="495">
        <v>0</v>
      </c>
      <c r="P26" s="496">
        <v>67585000</v>
      </c>
      <c r="Q26" s="497">
        <v>67585</v>
      </c>
      <c r="R26" s="498">
        <v>1000</v>
      </c>
      <c r="S26" s="499"/>
      <c r="T26" s="500">
        <v>300</v>
      </c>
      <c r="U26" s="495">
        <v>0</v>
      </c>
      <c r="V26" s="495">
        <v>0</v>
      </c>
      <c r="W26" s="496">
        <v>300</v>
      </c>
      <c r="X26" s="497">
        <v>2</v>
      </c>
      <c r="Y26" s="498">
        <v>150</v>
      </c>
    </row>
    <row r="27" spans="1:25" s="501" customFormat="1">
      <c r="A27" s="502">
        <f t="shared" ref="A27:A90" si="0">A26-1</f>
        <v>19</v>
      </c>
      <c r="B27" s="492">
        <v>45957</v>
      </c>
      <c r="C27" s="503"/>
      <c r="D27" s="494">
        <v>653500000</v>
      </c>
      <c r="E27" s="495">
        <v>0</v>
      </c>
      <c r="F27" s="1074">
        <v>19224178.939999986</v>
      </c>
      <c r="G27" s="495">
        <v>19224178.939999986</v>
      </c>
      <c r="H27" s="496">
        <v>653500000</v>
      </c>
      <c r="I27" s="497">
        <v>6835</v>
      </c>
      <c r="J27" s="979">
        <v>2812.6084769568379</v>
      </c>
      <c r="K27" s="498">
        <v>95610.826627651797</v>
      </c>
      <c r="L27" s="499"/>
      <c r="M27" s="500">
        <v>67585000</v>
      </c>
      <c r="N27" s="495">
        <v>0</v>
      </c>
      <c r="O27" s="495">
        <v>0</v>
      </c>
      <c r="P27" s="496">
        <v>67585000</v>
      </c>
      <c r="Q27" s="497">
        <v>67585</v>
      </c>
      <c r="R27" s="498">
        <v>1000</v>
      </c>
      <c r="S27" s="499"/>
      <c r="T27" s="500">
        <v>300</v>
      </c>
      <c r="U27" s="495">
        <v>0</v>
      </c>
      <c r="V27" s="495">
        <v>0</v>
      </c>
      <c r="W27" s="496">
        <v>300</v>
      </c>
      <c r="X27" s="497">
        <v>2</v>
      </c>
      <c r="Y27" s="498">
        <v>150</v>
      </c>
    </row>
    <row r="28" spans="1:25" s="501" customFormat="1">
      <c r="A28" s="502">
        <f t="shared" si="0"/>
        <v>18</v>
      </c>
      <c r="B28" s="492">
        <v>45863</v>
      </c>
      <c r="C28" s="503"/>
      <c r="D28" s="494">
        <v>577861938.46000004</v>
      </c>
      <c r="E28" s="495">
        <v>0</v>
      </c>
      <c r="F28" s="1074">
        <v>75638061.540000007</v>
      </c>
      <c r="G28" s="495">
        <v>0</v>
      </c>
      <c r="H28" s="496">
        <v>653500000</v>
      </c>
      <c r="I28" s="497">
        <v>6835</v>
      </c>
      <c r="J28" s="979">
        <v>0</v>
      </c>
      <c r="K28" s="498">
        <v>95610.826627651797</v>
      </c>
      <c r="L28" s="499"/>
      <c r="M28" s="500">
        <v>67585000</v>
      </c>
      <c r="N28" s="495">
        <v>0</v>
      </c>
      <c r="O28" s="495">
        <v>0</v>
      </c>
      <c r="P28" s="496">
        <v>67585000</v>
      </c>
      <c r="Q28" s="497">
        <v>67585</v>
      </c>
      <c r="R28" s="498">
        <v>1000</v>
      </c>
      <c r="S28" s="499"/>
      <c r="T28" s="500">
        <v>300</v>
      </c>
      <c r="U28" s="495">
        <v>0</v>
      </c>
      <c r="V28" s="495">
        <v>0</v>
      </c>
      <c r="W28" s="496">
        <v>300</v>
      </c>
      <c r="X28" s="497">
        <v>2</v>
      </c>
      <c r="Y28" s="498">
        <v>150</v>
      </c>
    </row>
    <row r="29" spans="1:25" s="501" customFormat="1">
      <c r="A29" s="502">
        <f t="shared" si="0"/>
        <v>17</v>
      </c>
      <c r="B29" s="492">
        <v>45772</v>
      </c>
      <c r="C29" s="493"/>
      <c r="D29" s="494">
        <v>596010111.4000001</v>
      </c>
      <c r="E29" s="495">
        <v>0</v>
      </c>
      <c r="F29" s="1074">
        <v>0</v>
      </c>
      <c r="G29" s="495">
        <v>18148172.940000013</v>
      </c>
      <c r="H29" s="496">
        <v>577861938.46000004</v>
      </c>
      <c r="I29" s="497">
        <v>6835</v>
      </c>
      <c r="J29" s="978">
        <v>2655.1825808339449</v>
      </c>
      <c r="K29" s="498">
        <v>84544.541106071702</v>
      </c>
      <c r="L29" s="499"/>
      <c r="M29" s="500">
        <v>67585000</v>
      </c>
      <c r="N29" s="495">
        <v>0</v>
      </c>
      <c r="O29" s="495">
        <v>0</v>
      </c>
      <c r="P29" s="496">
        <v>67585000</v>
      </c>
      <c r="Q29" s="497">
        <v>67585</v>
      </c>
      <c r="R29" s="498">
        <v>1000</v>
      </c>
      <c r="S29" s="499"/>
      <c r="T29" s="500">
        <v>300</v>
      </c>
      <c r="U29" s="495">
        <v>0</v>
      </c>
      <c r="V29" s="495">
        <v>0</v>
      </c>
      <c r="W29" s="496">
        <v>300</v>
      </c>
      <c r="X29" s="497">
        <v>2</v>
      </c>
      <c r="Y29" s="498">
        <v>150</v>
      </c>
    </row>
    <row r="30" spans="1:25" s="501" customFormat="1">
      <c r="A30" s="502">
        <f t="shared" si="0"/>
        <v>16</v>
      </c>
      <c r="B30" s="492">
        <v>45684</v>
      </c>
      <c r="C30" s="493"/>
      <c r="D30" s="494">
        <v>615449465.71000004</v>
      </c>
      <c r="E30" s="495">
        <v>0</v>
      </c>
      <c r="F30" s="1074">
        <v>0</v>
      </c>
      <c r="G30" s="495">
        <v>19439354.309999999</v>
      </c>
      <c r="H30" s="496">
        <v>596010111.4000001</v>
      </c>
      <c r="I30" s="497">
        <v>6835</v>
      </c>
      <c r="J30" s="978">
        <v>2844.0898771031452</v>
      </c>
      <c r="K30" s="498">
        <v>87199.723686905651</v>
      </c>
      <c r="L30" s="499"/>
      <c r="M30" s="500">
        <v>67585000</v>
      </c>
      <c r="N30" s="495">
        <v>0</v>
      </c>
      <c r="O30" s="495">
        <v>0</v>
      </c>
      <c r="P30" s="496">
        <v>67585000</v>
      </c>
      <c r="Q30" s="497">
        <v>67585</v>
      </c>
      <c r="R30" s="498">
        <v>1000</v>
      </c>
      <c r="S30" s="499"/>
      <c r="T30" s="500">
        <v>300</v>
      </c>
      <c r="U30" s="495">
        <v>0</v>
      </c>
      <c r="V30" s="495">
        <v>0</v>
      </c>
      <c r="W30" s="496">
        <v>300</v>
      </c>
      <c r="X30" s="497">
        <v>2</v>
      </c>
      <c r="Y30" s="498">
        <v>150</v>
      </c>
    </row>
    <row r="31" spans="1:25" s="501" customFormat="1">
      <c r="A31" s="502">
        <f t="shared" si="0"/>
        <v>15</v>
      </c>
      <c r="B31" s="492">
        <v>45590</v>
      </c>
      <c r="C31" s="493"/>
      <c r="D31" s="494">
        <v>633803781.08000004</v>
      </c>
      <c r="E31" s="495">
        <v>0</v>
      </c>
      <c r="F31" s="1074">
        <v>0</v>
      </c>
      <c r="G31" s="495">
        <v>18354315.369999994</v>
      </c>
      <c r="H31" s="496">
        <v>615449465.71000004</v>
      </c>
      <c r="I31" s="497">
        <v>6835</v>
      </c>
      <c r="J31" s="978">
        <v>2685.3424096561803</v>
      </c>
      <c r="K31" s="498">
        <v>90043.813564008786</v>
      </c>
      <c r="L31" s="499"/>
      <c r="M31" s="500">
        <v>67585000</v>
      </c>
      <c r="N31" s="495">
        <v>0</v>
      </c>
      <c r="O31" s="495">
        <v>0</v>
      </c>
      <c r="P31" s="496">
        <v>67585000</v>
      </c>
      <c r="Q31" s="497">
        <v>67585</v>
      </c>
      <c r="R31" s="498">
        <v>1000</v>
      </c>
      <c r="S31" s="499"/>
      <c r="T31" s="500">
        <v>300</v>
      </c>
      <c r="U31" s="495">
        <v>0</v>
      </c>
      <c r="V31" s="495">
        <v>0</v>
      </c>
      <c r="W31" s="496">
        <v>300</v>
      </c>
      <c r="X31" s="497">
        <v>2</v>
      </c>
      <c r="Y31" s="498">
        <v>150</v>
      </c>
    </row>
    <row r="32" spans="1:25" s="501" customFormat="1">
      <c r="A32" s="502">
        <f t="shared" si="0"/>
        <v>14</v>
      </c>
      <c r="B32" s="492">
        <v>45498</v>
      </c>
      <c r="C32" s="493"/>
      <c r="D32" s="494">
        <v>650283436.13999999</v>
      </c>
      <c r="E32" s="495">
        <v>0</v>
      </c>
      <c r="F32" s="1074">
        <v>0</v>
      </c>
      <c r="G32" s="495">
        <v>16479655.059999999</v>
      </c>
      <c r="H32" s="496">
        <v>633803781.08000004</v>
      </c>
      <c r="I32" s="497">
        <v>6835</v>
      </c>
      <c r="J32" s="978">
        <v>2411.0687724945133</v>
      </c>
      <c r="K32" s="498">
        <v>92729.155973664965</v>
      </c>
      <c r="L32" s="499"/>
      <c r="M32" s="500">
        <v>67585000</v>
      </c>
      <c r="N32" s="495">
        <v>0</v>
      </c>
      <c r="O32" s="495">
        <v>0</v>
      </c>
      <c r="P32" s="496">
        <v>67585000</v>
      </c>
      <c r="Q32" s="497">
        <v>67585</v>
      </c>
      <c r="R32" s="498">
        <v>1000</v>
      </c>
      <c r="S32" s="499"/>
      <c r="T32" s="500">
        <v>300</v>
      </c>
      <c r="U32" s="495">
        <v>0</v>
      </c>
      <c r="V32" s="495">
        <v>0</v>
      </c>
      <c r="W32" s="496">
        <v>300</v>
      </c>
      <c r="X32" s="497">
        <v>2</v>
      </c>
      <c r="Y32" s="498">
        <v>150</v>
      </c>
    </row>
    <row r="33" spans="1:25" s="501" customFormat="1">
      <c r="A33" s="502">
        <f t="shared" si="0"/>
        <v>13</v>
      </c>
      <c r="B33" s="492">
        <v>45407</v>
      </c>
      <c r="C33" s="493"/>
      <c r="D33" s="494">
        <v>683500000</v>
      </c>
      <c r="E33" s="495">
        <v>0</v>
      </c>
      <c r="F33" s="1074">
        <v>0</v>
      </c>
      <c r="G33" s="495">
        <v>33216563.859999996</v>
      </c>
      <c r="H33" s="496">
        <v>650283436.13999999</v>
      </c>
      <c r="I33" s="497">
        <v>6835</v>
      </c>
      <c r="J33" s="978">
        <v>4859.7752538405257</v>
      </c>
      <c r="K33" s="498">
        <v>95140.224746159467</v>
      </c>
      <c r="L33" s="499"/>
      <c r="M33" s="500">
        <v>67585000</v>
      </c>
      <c r="N33" s="495">
        <v>0</v>
      </c>
      <c r="O33" s="495">
        <v>0</v>
      </c>
      <c r="P33" s="496">
        <v>67585000</v>
      </c>
      <c r="Q33" s="497">
        <v>67585</v>
      </c>
      <c r="R33" s="498">
        <v>1000</v>
      </c>
      <c r="S33" s="499"/>
      <c r="T33" s="500">
        <v>300</v>
      </c>
      <c r="U33" s="495">
        <v>0</v>
      </c>
      <c r="V33" s="495">
        <v>0</v>
      </c>
      <c r="W33" s="496">
        <v>300</v>
      </c>
      <c r="X33" s="497">
        <v>2</v>
      </c>
      <c r="Y33" s="498">
        <v>150</v>
      </c>
    </row>
    <row r="34" spans="1:25" s="501" customFormat="1">
      <c r="A34" s="502">
        <f t="shared" si="0"/>
        <v>12</v>
      </c>
      <c r="B34" s="492">
        <v>45268</v>
      </c>
      <c r="C34" s="493"/>
      <c r="D34" s="494">
        <v>0</v>
      </c>
      <c r="E34" s="495">
        <v>683500000</v>
      </c>
      <c r="F34" s="1074">
        <v>0</v>
      </c>
      <c r="G34" s="495">
        <v>0</v>
      </c>
      <c r="H34" s="496">
        <v>683500000</v>
      </c>
      <c r="I34" s="497">
        <v>6835</v>
      </c>
      <c r="J34" s="978">
        <v>0</v>
      </c>
      <c r="K34" s="498">
        <v>100000</v>
      </c>
      <c r="L34" s="499"/>
      <c r="M34" s="500">
        <v>0</v>
      </c>
      <c r="N34" s="495">
        <v>67585000</v>
      </c>
      <c r="O34" s="495">
        <v>0</v>
      </c>
      <c r="P34" s="496">
        <v>67585000</v>
      </c>
      <c r="Q34" s="497">
        <v>67585</v>
      </c>
      <c r="R34" s="498">
        <v>1000</v>
      </c>
      <c r="S34" s="499"/>
      <c r="T34" s="500">
        <v>0</v>
      </c>
      <c r="U34" s="495">
        <v>300</v>
      </c>
      <c r="V34" s="495">
        <v>0</v>
      </c>
      <c r="W34" s="496">
        <v>300</v>
      </c>
      <c r="X34" s="497">
        <v>2</v>
      </c>
      <c r="Y34" s="498">
        <v>150</v>
      </c>
    </row>
    <row r="35" spans="1:25" s="501" customFormat="1">
      <c r="A35" s="502">
        <f t="shared" si="0"/>
        <v>11</v>
      </c>
      <c r="B35" s="809"/>
      <c r="C35" s="504"/>
      <c r="D35" s="810"/>
      <c r="E35" s="811"/>
      <c r="F35" s="1075"/>
      <c r="G35" s="811"/>
      <c r="H35" s="812"/>
      <c r="I35" s="813"/>
      <c r="J35" s="847"/>
      <c r="K35" s="814"/>
      <c r="L35" s="505"/>
      <c r="M35" s="500"/>
      <c r="N35" s="495"/>
      <c r="O35" s="495"/>
      <c r="P35" s="496"/>
      <c r="Q35" s="497"/>
      <c r="R35" s="498"/>
      <c r="S35" s="505"/>
      <c r="T35" s="500"/>
      <c r="U35" s="495"/>
      <c r="V35" s="495"/>
      <c r="W35" s="496"/>
      <c r="X35" s="497"/>
      <c r="Y35" s="498"/>
    </row>
    <row r="36" spans="1:25" s="501" customFormat="1">
      <c r="A36" s="502">
        <f t="shared" si="0"/>
        <v>10</v>
      </c>
      <c r="B36" s="809"/>
      <c r="C36" s="504"/>
      <c r="D36" s="810"/>
      <c r="E36" s="811"/>
      <c r="F36" s="1075"/>
      <c r="G36" s="811"/>
      <c r="H36" s="812"/>
      <c r="I36" s="813"/>
      <c r="J36" s="847"/>
      <c r="K36" s="814"/>
      <c r="L36" s="505"/>
      <c r="M36" s="500"/>
      <c r="N36" s="495"/>
      <c r="O36" s="495"/>
      <c r="P36" s="496"/>
      <c r="Q36" s="497"/>
      <c r="R36" s="498"/>
      <c r="S36" s="505"/>
      <c r="T36" s="500"/>
      <c r="U36" s="495"/>
      <c r="V36" s="495"/>
      <c r="W36" s="496"/>
      <c r="X36" s="497"/>
      <c r="Y36" s="498"/>
    </row>
    <row r="37" spans="1:25" s="501" customFormat="1">
      <c r="A37" s="502">
        <f t="shared" si="0"/>
        <v>9</v>
      </c>
      <c r="B37" s="809"/>
      <c r="C37" s="504"/>
      <c r="D37" s="810"/>
      <c r="E37" s="811"/>
      <c r="F37" s="1075"/>
      <c r="G37" s="811"/>
      <c r="H37" s="812"/>
      <c r="I37" s="813"/>
      <c r="J37" s="847"/>
      <c r="K37" s="814"/>
      <c r="L37" s="505"/>
      <c r="M37" s="500"/>
      <c r="N37" s="495"/>
      <c r="O37" s="495"/>
      <c r="P37" s="496"/>
      <c r="Q37" s="497"/>
      <c r="R37" s="498"/>
      <c r="S37" s="505"/>
      <c r="T37" s="500"/>
      <c r="U37" s="495"/>
      <c r="V37" s="495"/>
      <c r="W37" s="496"/>
      <c r="X37" s="497"/>
      <c r="Y37" s="498"/>
    </row>
    <row r="38" spans="1:25" s="501" customFormat="1">
      <c r="A38" s="502">
        <f t="shared" si="0"/>
        <v>8</v>
      </c>
      <c r="B38" s="809"/>
      <c r="C38" s="504"/>
      <c r="D38" s="810"/>
      <c r="E38" s="811"/>
      <c r="F38" s="1075"/>
      <c r="G38" s="811"/>
      <c r="H38" s="812"/>
      <c r="I38" s="813"/>
      <c r="J38" s="847"/>
      <c r="K38" s="814"/>
      <c r="L38" s="505"/>
      <c r="M38" s="500"/>
      <c r="N38" s="495"/>
      <c r="O38" s="495"/>
      <c r="P38" s="496"/>
      <c r="Q38" s="497"/>
      <c r="R38" s="498"/>
      <c r="S38" s="505"/>
      <c r="T38" s="500"/>
      <c r="U38" s="495"/>
      <c r="V38" s="495"/>
      <c r="W38" s="496"/>
      <c r="X38" s="497"/>
      <c r="Y38" s="498"/>
    </row>
    <row r="39" spans="1:25" s="501" customFormat="1">
      <c r="A39" s="502">
        <f t="shared" si="0"/>
        <v>7</v>
      </c>
      <c r="B39" s="809"/>
      <c r="C39" s="504"/>
      <c r="D39" s="810"/>
      <c r="E39" s="811"/>
      <c r="F39" s="1075"/>
      <c r="G39" s="811"/>
      <c r="H39" s="812"/>
      <c r="I39" s="813"/>
      <c r="J39" s="847"/>
      <c r="K39" s="814"/>
      <c r="L39" s="505"/>
      <c r="M39" s="500"/>
      <c r="N39" s="495"/>
      <c r="O39" s="495"/>
      <c r="P39" s="496"/>
      <c r="Q39" s="497"/>
      <c r="R39" s="498"/>
      <c r="S39" s="505"/>
      <c r="T39" s="500"/>
      <c r="U39" s="495"/>
      <c r="V39" s="495"/>
      <c r="W39" s="496"/>
      <c r="X39" s="497"/>
      <c r="Y39" s="498"/>
    </row>
    <row r="40" spans="1:25" s="501" customFormat="1">
      <c r="A40" s="502">
        <f t="shared" si="0"/>
        <v>6</v>
      </c>
      <c r="B40" s="809"/>
      <c r="C40" s="504"/>
      <c r="D40" s="810"/>
      <c r="E40" s="811"/>
      <c r="F40" s="1075"/>
      <c r="G40" s="811"/>
      <c r="H40" s="812"/>
      <c r="I40" s="813"/>
      <c r="J40" s="847"/>
      <c r="K40" s="814"/>
      <c r="L40" s="505"/>
      <c r="M40" s="500"/>
      <c r="N40" s="495"/>
      <c r="O40" s="495"/>
      <c r="P40" s="496"/>
      <c r="Q40" s="497"/>
      <c r="R40" s="498"/>
      <c r="S40" s="505"/>
      <c r="T40" s="500"/>
      <c r="U40" s="495"/>
      <c r="V40" s="495"/>
      <c r="W40" s="496"/>
      <c r="X40" s="497"/>
      <c r="Y40" s="498"/>
    </row>
    <row r="41" spans="1:25" s="501" customFormat="1">
      <c r="A41" s="502">
        <f t="shared" si="0"/>
        <v>5</v>
      </c>
      <c r="B41" s="809"/>
      <c r="C41" s="504"/>
      <c r="D41" s="810"/>
      <c r="E41" s="811"/>
      <c r="F41" s="1075"/>
      <c r="G41" s="811"/>
      <c r="H41" s="812"/>
      <c r="I41" s="813"/>
      <c r="J41" s="847"/>
      <c r="K41" s="814"/>
      <c r="L41" s="505"/>
      <c r="M41" s="500"/>
      <c r="N41" s="495"/>
      <c r="O41" s="495"/>
      <c r="P41" s="496"/>
      <c r="Q41" s="497"/>
      <c r="R41" s="498"/>
      <c r="S41" s="505"/>
      <c r="T41" s="500"/>
      <c r="U41" s="495"/>
      <c r="V41" s="495"/>
      <c r="W41" s="496"/>
      <c r="X41" s="497"/>
      <c r="Y41" s="498"/>
    </row>
    <row r="42" spans="1:25" s="501" customFormat="1">
      <c r="A42" s="502">
        <f t="shared" si="0"/>
        <v>4</v>
      </c>
      <c r="B42" s="809"/>
      <c r="C42" s="504"/>
      <c r="D42" s="810"/>
      <c r="E42" s="811"/>
      <c r="F42" s="1075"/>
      <c r="G42" s="811"/>
      <c r="H42" s="812"/>
      <c r="I42" s="813"/>
      <c r="J42" s="847"/>
      <c r="K42" s="814"/>
      <c r="L42" s="505"/>
      <c r="M42" s="500"/>
      <c r="N42" s="495"/>
      <c r="O42" s="495"/>
      <c r="P42" s="496"/>
      <c r="Q42" s="497"/>
      <c r="R42" s="498"/>
      <c r="S42" s="505"/>
      <c r="T42" s="500"/>
      <c r="U42" s="495"/>
      <c r="V42" s="495"/>
      <c r="W42" s="496"/>
      <c r="X42" s="497"/>
      <c r="Y42" s="498"/>
    </row>
    <row r="43" spans="1:25" s="501" customFormat="1">
      <c r="A43" s="502">
        <f t="shared" si="0"/>
        <v>3</v>
      </c>
      <c r="B43" s="809"/>
      <c r="C43" s="504"/>
      <c r="D43" s="810"/>
      <c r="E43" s="811"/>
      <c r="F43" s="1075"/>
      <c r="G43" s="811"/>
      <c r="H43" s="812"/>
      <c r="I43" s="813"/>
      <c r="J43" s="847"/>
      <c r="K43" s="814"/>
      <c r="L43" s="505"/>
      <c r="M43" s="500"/>
      <c r="N43" s="495"/>
      <c r="O43" s="495"/>
      <c r="P43" s="496"/>
      <c r="Q43" s="497"/>
      <c r="R43" s="498"/>
      <c r="S43" s="505"/>
      <c r="T43" s="500"/>
      <c r="U43" s="495"/>
      <c r="V43" s="495"/>
      <c r="W43" s="496"/>
      <c r="X43" s="497"/>
      <c r="Y43" s="498"/>
    </row>
    <row r="44" spans="1:25" s="479" customFormat="1">
      <c r="A44" s="502">
        <f t="shared" si="0"/>
        <v>2</v>
      </c>
      <c r="B44" s="809"/>
      <c r="C44" s="504"/>
      <c r="D44" s="810"/>
      <c r="E44" s="815"/>
      <c r="F44" s="1076"/>
      <c r="G44" s="811"/>
      <c r="H44" s="812"/>
      <c r="I44" s="813"/>
      <c r="J44" s="847"/>
      <c r="K44" s="816"/>
      <c r="L44" s="505"/>
      <c r="M44" s="494"/>
      <c r="N44" s="506"/>
      <c r="O44" s="495"/>
      <c r="P44" s="496"/>
      <c r="Q44" s="497"/>
      <c r="R44" s="507"/>
      <c r="S44" s="505"/>
      <c r="T44" s="494"/>
      <c r="U44" s="506"/>
      <c r="V44" s="495"/>
      <c r="W44" s="496"/>
      <c r="X44" s="497"/>
      <c r="Y44" s="507"/>
    </row>
    <row r="45" spans="1:25" s="479" customFormat="1">
      <c r="A45" s="502">
        <f t="shared" si="0"/>
        <v>1</v>
      </c>
      <c r="B45" s="809"/>
      <c r="C45" s="504"/>
      <c r="D45" s="810"/>
      <c r="E45" s="815"/>
      <c r="F45" s="1076"/>
      <c r="G45" s="811"/>
      <c r="H45" s="812"/>
      <c r="I45" s="813"/>
      <c r="J45" s="847"/>
      <c r="K45" s="816"/>
      <c r="L45" s="505"/>
      <c r="M45" s="494"/>
      <c r="N45" s="506"/>
      <c r="O45" s="495"/>
      <c r="P45" s="496"/>
      <c r="Q45" s="497"/>
      <c r="R45" s="507"/>
      <c r="S45" s="505"/>
      <c r="T45" s="494"/>
      <c r="U45" s="506"/>
      <c r="V45" s="495"/>
      <c r="W45" s="496"/>
      <c r="X45" s="497"/>
      <c r="Y45" s="507"/>
    </row>
    <row r="46" spans="1:25" s="479" customFormat="1">
      <c r="A46" s="502">
        <f t="shared" si="0"/>
        <v>0</v>
      </c>
      <c r="B46" s="809"/>
      <c r="C46" s="504"/>
      <c r="D46" s="810"/>
      <c r="E46" s="815"/>
      <c r="F46" s="1076"/>
      <c r="G46" s="811"/>
      <c r="H46" s="812"/>
      <c r="I46" s="813"/>
      <c r="J46" s="847"/>
      <c r="K46" s="816"/>
      <c r="L46" s="505"/>
      <c r="M46" s="494"/>
      <c r="N46" s="506"/>
      <c r="O46" s="495"/>
      <c r="P46" s="496"/>
      <c r="Q46" s="497"/>
      <c r="R46" s="507"/>
      <c r="S46" s="505"/>
      <c r="T46" s="494"/>
      <c r="U46" s="506"/>
      <c r="V46" s="495"/>
      <c r="W46" s="496"/>
      <c r="X46" s="497"/>
      <c r="Y46" s="507"/>
    </row>
    <row r="47" spans="1:25" s="479" customFormat="1">
      <c r="A47" s="502">
        <f t="shared" si="0"/>
        <v>-1</v>
      </c>
      <c r="B47" s="809" t="s">
        <v>653</v>
      </c>
      <c r="C47" s="504"/>
      <c r="D47" s="810" t="s">
        <v>653</v>
      </c>
      <c r="E47" s="815" t="s">
        <v>653</v>
      </c>
      <c r="F47" s="1076"/>
      <c r="G47" s="811" t="s">
        <v>653</v>
      </c>
      <c r="H47" s="812" t="s">
        <v>653</v>
      </c>
      <c r="I47" s="813" t="s">
        <v>653</v>
      </c>
      <c r="J47" s="847"/>
      <c r="K47" s="816" t="s">
        <v>653</v>
      </c>
      <c r="L47" s="505"/>
      <c r="M47" s="494" t="s">
        <v>653</v>
      </c>
      <c r="N47" s="506" t="s">
        <v>653</v>
      </c>
      <c r="O47" s="495" t="s">
        <v>653</v>
      </c>
      <c r="P47" s="496" t="s">
        <v>653</v>
      </c>
      <c r="Q47" s="497" t="s">
        <v>653</v>
      </c>
      <c r="R47" s="507" t="s">
        <v>653</v>
      </c>
      <c r="S47" s="505"/>
      <c r="T47" s="494" t="s">
        <v>653</v>
      </c>
      <c r="U47" s="506" t="s">
        <v>653</v>
      </c>
      <c r="V47" s="495" t="s">
        <v>653</v>
      </c>
      <c r="W47" s="496" t="s">
        <v>653</v>
      </c>
      <c r="X47" s="497" t="s">
        <v>653</v>
      </c>
      <c r="Y47" s="507" t="s">
        <v>653</v>
      </c>
    </row>
    <row r="48" spans="1:25" s="479" customFormat="1">
      <c r="A48" s="502">
        <f t="shared" si="0"/>
        <v>-2</v>
      </c>
      <c r="B48" s="809" t="s">
        <v>653</v>
      </c>
      <c r="C48" s="504"/>
      <c r="D48" s="810" t="s">
        <v>653</v>
      </c>
      <c r="E48" s="815" t="s">
        <v>653</v>
      </c>
      <c r="F48" s="1076"/>
      <c r="G48" s="811" t="s">
        <v>653</v>
      </c>
      <c r="H48" s="812" t="s">
        <v>653</v>
      </c>
      <c r="I48" s="813" t="s">
        <v>653</v>
      </c>
      <c r="J48" s="847"/>
      <c r="K48" s="816" t="s">
        <v>653</v>
      </c>
      <c r="L48" s="505"/>
      <c r="M48" s="494" t="s">
        <v>653</v>
      </c>
      <c r="N48" s="506" t="s">
        <v>653</v>
      </c>
      <c r="O48" s="495" t="s">
        <v>653</v>
      </c>
      <c r="P48" s="496" t="s">
        <v>653</v>
      </c>
      <c r="Q48" s="497" t="s">
        <v>653</v>
      </c>
      <c r="R48" s="507" t="s">
        <v>653</v>
      </c>
      <c r="S48" s="505"/>
      <c r="T48" s="494" t="s">
        <v>653</v>
      </c>
      <c r="U48" s="506" t="s">
        <v>653</v>
      </c>
      <c r="V48" s="495" t="s">
        <v>653</v>
      </c>
      <c r="W48" s="496" t="s">
        <v>653</v>
      </c>
      <c r="X48" s="497" t="s">
        <v>653</v>
      </c>
      <c r="Y48" s="507" t="s">
        <v>653</v>
      </c>
    </row>
    <row r="49" spans="1:25" s="479" customFormat="1">
      <c r="A49" s="502">
        <f t="shared" si="0"/>
        <v>-3</v>
      </c>
      <c r="B49" s="809" t="s">
        <v>653</v>
      </c>
      <c r="C49" s="504"/>
      <c r="D49" s="810" t="s">
        <v>653</v>
      </c>
      <c r="E49" s="815" t="s">
        <v>653</v>
      </c>
      <c r="F49" s="1076"/>
      <c r="G49" s="811" t="s">
        <v>653</v>
      </c>
      <c r="H49" s="812" t="s">
        <v>653</v>
      </c>
      <c r="I49" s="813" t="s">
        <v>653</v>
      </c>
      <c r="J49" s="847"/>
      <c r="K49" s="816" t="s">
        <v>653</v>
      </c>
      <c r="L49" s="505"/>
      <c r="M49" s="494" t="s">
        <v>653</v>
      </c>
      <c r="N49" s="506" t="s">
        <v>653</v>
      </c>
      <c r="O49" s="495" t="s">
        <v>653</v>
      </c>
      <c r="P49" s="496" t="s">
        <v>653</v>
      </c>
      <c r="Q49" s="497" t="s">
        <v>653</v>
      </c>
      <c r="R49" s="507" t="s">
        <v>653</v>
      </c>
      <c r="S49" s="505"/>
      <c r="T49" s="494" t="s">
        <v>653</v>
      </c>
      <c r="U49" s="506" t="s">
        <v>653</v>
      </c>
      <c r="V49" s="495" t="s">
        <v>653</v>
      </c>
      <c r="W49" s="496" t="s">
        <v>653</v>
      </c>
      <c r="X49" s="497" t="s">
        <v>653</v>
      </c>
      <c r="Y49" s="507" t="s">
        <v>653</v>
      </c>
    </row>
    <row r="50" spans="1:25" s="479" customFormat="1">
      <c r="A50" s="502">
        <f t="shared" si="0"/>
        <v>-4</v>
      </c>
      <c r="B50" s="809" t="s">
        <v>653</v>
      </c>
      <c r="C50" s="504"/>
      <c r="D50" s="810" t="s">
        <v>653</v>
      </c>
      <c r="E50" s="815" t="s">
        <v>653</v>
      </c>
      <c r="F50" s="1076"/>
      <c r="G50" s="815" t="s">
        <v>653</v>
      </c>
      <c r="H50" s="812" t="s">
        <v>653</v>
      </c>
      <c r="I50" s="813" t="s">
        <v>653</v>
      </c>
      <c r="J50" s="847"/>
      <c r="K50" s="816" t="s">
        <v>653</v>
      </c>
      <c r="L50" s="505"/>
      <c r="M50" s="508" t="s">
        <v>653</v>
      </c>
      <c r="N50" s="506" t="s">
        <v>653</v>
      </c>
      <c r="O50" s="506" t="s">
        <v>653</v>
      </c>
      <c r="P50" s="496" t="s">
        <v>653</v>
      </c>
      <c r="Q50" s="497" t="s">
        <v>653</v>
      </c>
      <c r="R50" s="507" t="s">
        <v>653</v>
      </c>
      <c r="S50" s="505"/>
      <c r="T50" s="508" t="s">
        <v>653</v>
      </c>
      <c r="U50" s="506" t="s">
        <v>653</v>
      </c>
      <c r="V50" s="506" t="s">
        <v>653</v>
      </c>
      <c r="W50" s="496" t="s">
        <v>653</v>
      </c>
      <c r="X50" s="497" t="s">
        <v>653</v>
      </c>
      <c r="Y50" s="507" t="s">
        <v>653</v>
      </c>
    </row>
    <row r="51" spans="1:25" s="479" customFormat="1">
      <c r="A51" s="502">
        <f t="shared" si="0"/>
        <v>-5</v>
      </c>
      <c r="B51" s="809" t="s">
        <v>653</v>
      </c>
      <c r="C51" s="504"/>
      <c r="D51" s="817" t="s">
        <v>653</v>
      </c>
      <c r="E51" s="815" t="s">
        <v>653</v>
      </c>
      <c r="F51" s="1076"/>
      <c r="G51" s="815" t="s">
        <v>653</v>
      </c>
      <c r="H51" s="812" t="s">
        <v>653</v>
      </c>
      <c r="I51" s="813" t="s">
        <v>653</v>
      </c>
      <c r="J51" s="847"/>
      <c r="K51" s="816" t="s">
        <v>653</v>
      </c>
      <c r="L51" s="505"/>
      <c r="M51" s="500" t="s">
        <v>653</v>
      </c>
      <c r="N51" s="506" t="s">
        <v>653</v>
      </c>
      <c r="O51" s="506" t="s">
        <v>653</v>
      </c>
      <c r="P51" s="496" t="s">
        <v>653</v>
      </c>
      <c r="Q51" s="497" t="s">
        <v>653</v>
      </c>
      <c r="R51" s="507" t="s">
        <v>653</v>
      </c>
      <c r="S51" s="505"/>
      <c r="T51" s="500" t="s">
        <v>653</v>
      </c>
      <c r="U51" s="506" t="s">
        <v>653</v>
      </c>
      <c r="V51" s="506" t="s">
        <v>653</v>
      </c>
      <c r="W51" s="496" t="s">
        <v>653</v>
      </c>
      <c r="X51" s="497" t="s">
        <v>653</v>
      </c>
      <c r="Y51" s="507" t="s">
        <v>653</v>
      </c>
    </row>
    <row r="52" spans="1:25" s="479" customFormat="1">
      <c r="A52" s="502">
        <f t="shared" si="0"/>
        <v>-6</v>
      </c>
      <c r="B52" s="809" t="s">
        <v>653</v>
      </c>
      <c r="C52" s="504"/>
      <c r="D52" s="817" t="s">
        <v>653</v>
      </c>
      <c r="E52" s="815" t="s">
        <v>653</v>
      </c>
      <c r="F52" s="1076"/>
      <c r="G52" s="815" t="s">
        <v>653</v>
      </c>
      <c r="H52" s="812" t="s">
        <v>653</v>
      </c>
      <c r="I52" s="813" t="s">
        <v>653</v>
      </c>
      <c r="J52" s="847"/>
      <c r="K52" s="816" t="s">
        <v>653</v>
      </c>
      <c r="L52" s="505"/>
      <c r="M52" s="500" t="s">
        <v>653</v>
      </c>
      <c r="N52" s="506" t="s">
        <v>653</v>
      </c>
      <c r="O52" s="506" t="s">
        <v>653</v>
      </c>
      <c r="P52" s="496" t="s">
        <v>653</v>
      </c>
      <c r="Q52" s="497" t="s">
        <v>653</v>
      </c>
      <c r="R52" s="507" t="s">
        <v>653</v>
      </c>
      <c r="S52" s="505"/>
      <c r="T52" s="500" t="s">
        <v>653</v>
      </c>
      <c r="U52" s="506" t="s">
        <v>653</v>
      </c>
      <c r="V52" s="506" t="s">
        <v>653</v>
      </c>
      <c r="W52" s="496" t="s">
        <v>653</v>
      </c>
      <c r="X52" s="497" t="s">
        <v>653</v>
      </c>
      <c r="Y52" s="507" t="s">
        <v>653</v>
      </c>
    </row>
    <row r="53" spans="1:25" s="479" customFormat="1">
      <c r="A53" s="502">
        <f t="shared" si="0"/>
        <v>-7</v>
      </c>
      <c r="B53" s="809" t="s">
        <v>653</v>
      </c>
      <c r="C53" s="504"/>
      <c r="D53" s="817" t="s">
        <v>653</v>
      </c>
      <c r="E53" s="815" t="s">
        <v>653</v>
      </c>
      <c r="F53" s="1076"/>
      <c r="G53" s="815" t="s">
        <v>653</v>
      </c>
      <c r="H53" s="812" t="s">
        <v>653</v>
      </c>
      <c r="I53" s="813" t="s">
        <v>653</v>
      </c>
      <c r="J53" s="847"/>
      <c r="K53" s="816" t="s">
        <v>653</v>
      </c>
      <c r="L53" s="505"/>
      <c r="M53" s="500" t="s">
        <v>653</v>
      </c>
      <c r="N53" s="506" t="s">
        <v>653</v>
      </c>
      <c r="O53" s="506" t="s">
        <v>653</v>
      </c>
      <c r="P53" s="496" t="s">
        <v>653</v>
      </c>
      <c r="Q53" s="497" t="s">
        <v>653</v>
      </c>
      <c r="R53" s="507" t="s">
        <v>653</v>
      </c>
      <c r="S53" s="505"/>
      <c r="T53" s="500" t="s">
        <v>653</v>
      </c>
      <c r="U53" s="506" t="s">
        <v>653</v>
      </c>
      <c r="V53" s="506" t="s">
        <v>653</v>
      </c>
      <c r="W53" s="496" t="s">
        <v>653</v>
      </c>
      <c r="X53" s="497" t="s">
        <v>653</v>
      </c>
      <c r="Y53" s="507" t="s">
        <v>653</v>
      </c>
    </row>
    <row r="54" spans="1:25" s="479" customFormat="1">
      <c r="A54" s="502">
        <f t="shared" si="0"/>
        <v>-8</v>
      </c>
      <c r="B54" s="809" t="s">
        <v>653</v>
      </c>
      <c r="C54" s="504"/>
      <c r="D54" s="817" t="s">
        <v>653</v>
      </c>
      <c r="E54" s="815" t="s">
        <v>653</v>
      </c>
      <c r="F54" s="1076"/>
      <c r="G54" s="815" t="s">
        <v>653</v>
      </c>
      <c r="H54" s="812" t="s">
        <v>653</v>
      </c>
      <c r="I54" s="813" t="s">
        <v>653</v>
      </c>
      <c r="J54" s="847"/>
      <c r="K54" s="816" t="s">
        <v>653</v>
      </c>
      <c r="L54" s="505"/>
      <c r="M54" s="500" t="s">
        <v>653</v>
      </c>
      <c r="N54" s="506" t="s">
        <v>653</v>
      </c>
      <c r="O54" s="506" t="s">
        <v>653</v>
      </c>
      <c r="P54" s="496" t="s">
        <v>653</v>
      </c>
      <c r="Q54" s="497" t="s">
        <v>653</v>
      </c>
      <c r="R54" s="507" t="s">
        <v>653</v>
      </c>
      <c r="S54" s="505"/>
      <c r="T54" s="500" t="s">
        <v>653</v>
      </c>
      <c r="U54" s="506" t="s">
        <v>653</v>
      </c>
      <c r="V54" s="506" t="s">
        <v>653</v>
      </c>
      <c r="W54" s="496" t="s">
        <v>653</v>
      </c>
      <c r="X54" s="497" t="s">
        <v>653</v>
      </c>
      <c r="Y54" s="507" t="s">
        <v>653</v>
      </c>
    </row>
    <row r="55" spans="1:25" s="479" customFormat="1">
      <c r="A55" s="502">
        <f t="shared" si="0"/>
        <v>-9</v>
      </c>
      <c r="B55" s="809" t="s">
        <v>653</v>
      </c>
      <c r="C55" s="504"/>
      <c r="D55" s="817" t="s">
        <v>653</v>
      </c>
      <c r="E55" s="815" t="s">
        <v>653</v>
      </c>
      <c r="F55" s="1076"/>
      <c r="G55" s="815" t="s">
        <v>653</v>
      </c>
      <c r="H55" s="812" t="s">
        <v>653</v>
      </c>
      <c r="I55" s="813" t="s">
        <v>653</v>
      </c>
      <c r="J55" s="847"/>
      <c r="K55" s="816" t="s">
        <v>653</v>
      </c>
      <c r="L55" s="505"/>
      <c r="M55" s="500" t="s">
        <v>653</v>
      </c>
      <c r="N55" s="506" t="s">
        <v>653</v>
      </c>
      <c r="O55" s="506" t="s">
        <v>653</v>
      </c>
      <c r="P55" s="496" t="s">
        <v>653</v>
      </c>
      <c r="Q55" s="497" t="s">
        <v>653</v>
      </c>
      <c r="R55" s="507" t="s">
        <v>653</v>
      </c>
      <c r="S55" s="505"/>
      <c r="T55" s="500" t="s">
        <v>653</v>
      </c>
      <c r="U55" s="506" t="s">
        <v>653</v>
      </c>
      <c r="V55" s="506" t="s">
        <v>653</v>
      </c>
      <c r="W55" s="496" t="s">
        <v>653</v>
      </c>
      <c r="X55" s="497" t="s">
        <v>653</v>
      </c>
      <c r="Y55" s="507" t="s">
        <v>653</v>
      </c>
    </row>
    <row r="56" spans="1:25" s="479" customFormat="1">
      <c r="A56" s="502">
        <f t="shared" si="0"/>
        <v>-10</v>
      </c>
      <c r="B56" s="809" t="s">
        <v>653</v>
      </c>
      <c r="C56" s="504"/>
      <c r="D56" s="817" t="s">
        <v>653</v>
      </c>
      <c r="E56" s="815" t="s">
        <v>653</v>
      </c>
      <c r="F56" s="1076"/>
      <c r="G56" s="815" t="s">
        <v>653</v>
      </c>
      <c r="H56" s="812" t="s">
        <v>653</v>
      </c>
      <c r="I56" s="813" t="s">
        <v>653</v>
      </c>
      <c r="J56" s="847"/>
      <c r="K56" s="816" t="s">
        <v>653</v>
      </c>
      <c r="L56" s="505"/>
      <c r="M56" s="500" t="s">
        <v>653</v>
      </c>
      <c r="N56" s="506" t="s">
        <v>653</v>
      </c>
      <c r="O56" s="506" t="s">
        <v>653</v>
      </c>
      <c r="P56" s="496" t="s">
        <v>653</v>
      </c>
      <c r="Q56" s="497" t="s">
        <v>653</v>
      </c>
      <c r="R56" s="507" t="s">
        <v>653</v>
      </c>
      <c r="S56" s="505"/>
      <c r="T56" s="500" t="s">
        <v>653</v>
      </c>
      <c r="U56" s="506" t="s">
        <v>653</v>
      </c>
      <c r="V56" s="506" t="s">
        <v>653</v>
      </c>
      <c r="W56" s="496" t="s">
        <v>653</v>
      </c>
      <c r="X56" s="497" t="s">
        <v>653</v>
      </c>
      <c r="Y56" s="507" t="s">
        <v>653</v>
      </c>
    </row>
    <row r="57" spans="1:25" s="479" customFormat="1">
      <c r="A57" s="502">
        <f t="shared" si="0"/>
        <v>-11</v>
      </c>
      <c r="B57" s="809" t="s">
        <v>653</v>
      </c>
      <c r="C57" s="504"/>
      <c r="D57" s="817" t="s">
        <v>653</v>
      </c>
      <c r="E57" s="815" t="s">
        <v>653</v>
      </c>
      <c r="F57" s="1076"/>
      <c r="G57" s="815" t="s">
        <v>653</v>
      </c>
      <c r="H57" s="812" t="s">
        <v>653</v>
      </c>
      <c r="I57" s="813" t="s">
        <v>653</v>
      </c>
      <c r="J57" s="847"/>
      <c r="K57" s="816" t="s">
        <v>653</v>
      </c>
      <c r="L57" s="505"/>
      <c r="M57" s="500" t="s">
        <v>653</v>
      </c>
      <c r="N57" s="506" t="s">
        <v>653</v>
      </c>
      <c r="O57" s="506" t="s">
        <v>653</v>
      </c>
      <c r="P57" s="496" t="s">
        <v>653</v>
      </c>
      <c r="Q57" s="497" t="s">
        <v>653</v>
      </c>
      <c r="R57" s="507" t="s">
        <v>653</v>
      </c>
      <c r="S57" s="505"/>
      <c r="T57" s="500" t="s">
        <v>653</v>
      </c>
      <c r="U57" s="506" t="s">
        <v>653</v>
      </c>
      <c r="V57" s="506" t="s">
        <v>653</v>
      </c>
      <c r="W57" s="496" t="s">
        <v>653</v>
      </c>
      <c r="X57" s="497" t="s">
        <v>653</v>
      </c>
      <c r="Y57" s="507" t="s">
        <v>653</v>
      </c>
    </row>
    <row r="58" spans="1:25" s="479" customFormat="1">
      <c r="A58" s="502">
        <f t="shared" si="0"/>
        <v>-12</v>
      </c>
      <c r="B58" s="809" t="s">
        <v>653</v>
      </c>
      <c r="C58" s="504"/>
      <c r="D58" s="817" t="s">
        <v>653</v>
      </c>
      <c r="E58" s="815" t="s">
        <v>653</v>
      </c>
      <c r="F58" s="1076"/>
      <c r="G58" s="815" t="s">
        <v>653</v>
      </c>
      <c r="H58" s="812" t="s">
        <v>653</v>
      </c>
      <c r="I58" s="813" t="s">
        <v>653</v>
      </c>
      <c r="J58" s="847"/>
      <c r="K58" s="816" t="s">
        <v>653</v>
      </c>
      <c r="L58" s="505"/>
      <c r="M58" s="500" t="s">
        <v>653</v>
      </c>
      <c r="N58" s="506" t="s">
        <v>653</v>
      </c>
      <c r="O58" s="506" t="s">
        <v>653</v>
      </c>
      <c r="P58" s="496" t="s">
        <v>653</v>
      </c>
      <c r="Q58" s="497" t="s">
        <v>653</v>
      </c>
      <c r="R58" s="507" t="s">
        <v>653</v>
      </c>
      <c r="S58" s="505"/>
      <c r="T58" s="500" t="s">
        <v>653</v>
      </c>
      <c r="U58" s="506" t="s">
        <v>653</v>
      </c>
      <c r="V58" s="506" t="s">
        <v>653</v>
      </c>
      <c r="W58" s="496" t="s">
        <v>653</v>
      </c>
      <c r="X58" s="497" t="s">
        <v>653</v>
      </c>
      <c r="Y58" s="507" t="s">
        <v>653</v>
      </c>
    </row>
    <row r="59" spans="1:25" s="479" customFormat="1">
      <c r="A59" s="502">
        <f t="shared" si="0"/>
        <v>-13</v>
      </c>
      <c r="B59" s="809" t="s">
        <v>653</v>
      </c>
      <c r="C59" s="504"/>
      <c r="D59" s="817" t="s">
        <v>653</v>
      </c>
      <c r="E59" s="815" t="s">
        <v>653</v>
      </c>
      <c r="F59" s="1076"/>
      <c r="G59" s="815" t="s">
        <v>653</v>
      </c>
      <c r="H59" s="812" t="s">
        <v>653</v>
      </c>
      <c r="I59" s="813" t="s">
        <v>653</v>
      </c>
      <c r="J59" s="847"/>
      <c r="K59" s="816" t="s">
        <v>653</v>
      </c>
      <c r="L59" s="505"/>
      <c r="M59" s="500" t="s">
        <v>653</v>
      </c>
      <c r="N59" s="506" t="s">
        <v>653</v>
      </c>
      <c r="O59" s="506" t="s">
        <v>653</v>
      </c>
      <c r="P59" s="496" t="s">
        <v>653</v>
      </c>
      <c r="Q59" s="497" t="s">
        <v>653</v>
      </c>
      <c r="R59" s="507" t="s">
        <v>653</v>
      </c>
      <c r="S59" s="505"/>
      <c r="T59" s="500" t="s">
        <v>653</v>
      </c>
      <c r="U59" s="506" t="s">
        <v>653</v>
      </c>
      <c r="V59" s="506" t="s">
        <v>653</v>
      </c>
      <c r="W59" s="496" t="s">
        <v>653</v>
      </c>
      <c r="X59" s="497" t="s">
        <v>653</v>
      </c>
      <c r="Y59" s="507" t="s">
        <v>653</v>
      </c>
    </row>
    <row r="60" spans="1:25" s="479" customFormat="1">
      <c r="A60" s="502">
        <f t="shared" si="0"/>
        <v>-14</v>
      </c>
      <c r="B60" s="809" t="s">
        <v>653</v>
      </c>
      <c r="C60" s="504"/>
      <c r="D60" s="817" t="s">
        <v>653</v>
      </c>
      <c r="E60" s="815" t="s">
        <v>653</v>
      </c>
      <c r="F60" s="1076"/>
      <c r="G60" s="815" t="s">
        <v>653</v>
      </c>
      <c r="H60" s="812" t="s">
        <v>653</v>
      </c>
      <c r="I60" s="813" t="s">
        <v>653</v>
      </c>
      <c r="J60" s="847"/>
      <c r="K60" s="816" t="s">
        <v>653</v>
      </c>
      <c r="L60" s="505"/>
      <c r="M60" s="500" t="s">
        <v>653</v>
      </c>
      <c r="N60" s="506" t="s">
        <v>653</v>
      </c>
      <c r="O60" s="506" t="s">
        <v>653</v>
      </c>
      <c r="P60" s="496" t="s">
        <v>653</v>
      </c>
      <c r="Q60" s="497" t="s">
        <v>653</v>
      </c>
      <c r="R60" s="507" t="s">
        <v>653</v>
      </c>
      <c r="S60" s="505"/>
      <c r="T60" s="500" t="s">
        <v>653</v>
      </c>
      <c r="U60" s="506" t="s">
        <v>653</v>
      </c>
      <c r="V60" s="506" t="s">
        <v>653</v>
      </c>
      <c r="W60" s="496" t="s">
        <v>653</v>
      </c>
      <c r="X60" s="497" t="s">
        <v>653</v>
      </c>
      <c r="Y60" s="507" t="s">
        <v>653</v>
      </c>
    </row>
    <row r="61" spans="1:25" s="479" customFormat="1">
      <c r="A61" s="502">
        <f t="shared" si="0"/>
        <v>-15</v>
      </c>
      <c r="B61" s="809" t="s">
        <v>653</v>
      </c>
      <c r="C61" s="504"/>
      <c r="D61" s="817" t="s">
        <v>653</v>
      </c>
      <c r="E61" s="815" t="s">
        <v>653</v>
      </c>
      <c r="F61" s="1076"/>
      <c r="G61" s="815" t="s">
        <v>653</v>
      </c>
      <c r="H61" s="812" t="s">
        <v>653</v>
      </c>
      <c r="I61" s="813" t="s">
        <v>653</v>
      </c>
      <c r="J61" s="847"/>
      <c r="K61" s="816" t="s">
        <v>653</v>
      </c>
      <c r="L61" s="505"/>
      <c r="M61" s="500" t="s">
        <v>653</v>
      </c>
      <c r="N61" s="506" t="s">
        <v>653</v>
      </c>
      <c r="O61" s="506" t="s">
        <v>653</v>
      </c>
      <c r="P61" s="496" t="s">
        <v>653</v>
      </c>
      <c r="Q61" s="497" t="s">
        <v>653</v>
      </c>
      <c r="R61" s="507" t="s">
        <v>653</v>
      </c>
      <c r="S61" s="505"/>
      <c r="T61" s="500" t="s">
        <v>653</v>
      </c>
      <c r="U61" s="506" t="s">
        <v>653</v>
      </c>
      <c r="V61" s="506" t="s">
        <v>653</v>
      </c>
      <c r="W61" s="496" t="s">
        <v>653</v>
      </c>
      <c r="X61" s="497" t="s">
        <v>653</v>
      </c>
      <c r="Y61" s="507" t="s">
        <v>653</v>
      </c>
    </row>
    <row r="62" spans="1:25" s="479" customFormat="1">
      <c r="A62" s="502">
        <f t="shared" si="0"/>
        <v>-16</v>
      </c>
      <c r="B62" s="809" t="s">
        <v>653</v>
      </c>
      <c r="C62" s="504"/>
      <c r="D62" s="817" t="s">
        <v>653</v>
      </c>
      <c r="E62" s="815" t="s">
        <v>653</v>
      </c>
      <c r="F62" s="1076"/>
      <c r="G62" s="815" t="s">
        <v>653</v>
      </c>
      <c r="H62" s="812" t="s">
        <v>653</v>
      </c>
      <c r="I62" s="813" t="s">
        <v>653</v>
      </c>
      <c r="J62" s="847"/>
      <c r="K62" s="816" t="s">
        <v>653</v>
      </c>
      <c r="L62" s="505"/>
      <c r="M62" s="500" t="s">
        <v>653</v>
      </c>
      <c r="N62" s="506" t="s">
        <v>653</v>
      </c>
      <c r="O62" s="506" t="s">
        <v>653</v>
      </c>
      <c r="P62" s="496" t="s">
        <v>653</v>
      </c>
      <c r="Q62" s="497" t="s">
        <v>653</v>
      </c>
      <c r="R62" s="507" t="s">
        <v>653</v>
      </c>
      <c r="S62" s="505"/>
      <c r="T62" s="500" t="s">
        <v>653</v>
      </c>
      <c r="U62" s="506" t="s">
        <v>653</v>
      </c>
      <c r="V62" s="506" t="s">
        <v>653</v>
      </c>
      <c r="W62" s="496" t="s">
        <v>653</v>
      </c>
      <c r="X62" s="497" t="s">
        <v>653</v>
      </c>
      <c r="Y62" s="507" t="s">
        <v>653</v>
      </c>
    </row>
    <row r="63" spans="1:25" s="479" customFormat="1">
      <c r="A63" s="502">
        <f t="shared" si="0"/>
        <v>-17</v>
      </c>
      <c r="B63" s="809" t="s">
        <v>653</v>
      </c>
      <c r="C63" s="504"/>
      <c r="D63" s="817" t="s">
        <v>653</v>
      </c>
      <c r="E63" s="815" t="s">
        <v>653</v>
      </c>
      <c r="F63" s="1076"/>
      <c r="G63" s="815" t="s">
        <v>653</v>
      </c>
      <c r="H63" s="812" t="s">
        <v>653</v>
      </c>
      <c r="I63" s="813" t="s">
        <v>653</v>
      </c>
      <c r="J63" s="847"/>
      <c r="K63" s="816" t="s">
        <v>653</v>
      </c>
      <c r="L63" s="505"/>
      <c r="M63" s="500" t="s">
        <v>653</v>
      </c>
      <c r="N63" s="506" t="s">
        <v>653</v>
      </c>
      <c r="O63" s="506" t="s">
        <v>653</v>
      </c>
      <c r="P63" s="496" t="s">
        <v>653</v>
      </c>
      <c r="Q63" s="497" t="s">
        <v>653</v>
      </c>
      <c r="R63" s="507" t="s">
        <v>653</v>
      </c>
      <c r="S63" s="505"/>
      <c r="T63" s="500" t="s">
        <v>653</v>
      </c>
      <c r="U63" s="506" t="s">
        <v>653</v>
      </c>
      <c r="V63" s="506" t="s">
        <v>653</v>
      </c>
      <c r="W63" s="496" t="s">
        <v>653</v>
      </c>
      <c r="X63" s="497" t="s">
        <v>653</v>
      </c>
      <c r="Y63" s="507" t="s">
        <v>653</v>
      </c>
    </row>
    <row r="64" spans="1:25" s="479" customFormat="1">
      <c r="A64" s="502">
        <f t="shared" si="0"/>
        <v>-18</v>
      </c>
      <c r="B64" s="809" t="s">
        <v>653</v>
      </c>
      <c r="C64" s="504"/>
      <c r="D64" s="817" t="s">
        <v>653</v>
      </c>
      <c r="E64" s="815" t="s">
        <v>653</v>
      </c>
      <c r="F64" s="1076"/>
      <c r="G64" s="815" t="s">
        <v>653</v>
      </c>
      <c r="H64" s="812" t="s">
        <v>653</v>
      </c>
      <c r="I64" s="813" t="s">
        <v>653</v>
      </c>
      <c r="J64" s="847"/>
      <c r="K64" s="816" t="s">
        <v>653</v>
      </c>
      <c r="L64" s="505"/>
      <c r="M64" s="500" t="s">
        <v>653</v>
      </c>
      <c r="N64" s="506" t="s">
        <v>653</v>
      </c>
      <c r="O64" s="506" t="s">
        <v>653</v>
      </c>
      <c r="P64" s="496" t="s">
        <v>653</v>
      </c>
      <c r="Q64" s="497" t="s">
        <v>653</v>
      </c>
      <c r="R64" s="507" t="s">
        <v>653</v>
      </c>
      <c r="S64" s="505"/>
      <c r="T64" s="500" t="s">
        <v>653</v>
      </c>
      <c r="U64" s="506" t="s">
        <v>653</v>
      </c>
      <c r="V64" s="506" t="s">
        <v>653</v>
      </c>
      <c r="W64" s="496" t="s">
        <v>653</v>
      </c>
      <c r="X64" s="497" t="s">
        <v>653</v>
      </c>
      <c r="Y64" s="507" t="s">
        <v>653</v>
      </c>
    </row>
    <row r="65" spans="1:25" s="479" customFormat="1">
      <c r="A65" s="502">
        <f t="shared" si="0"/>
        <v>-19</v>
      </c>
      <c r="B65" s="809" t="s">
        <v>653</v>
      </c>
      <c r="C65" s="504"/>
      <c r="D65" s="817" t="s">
        <v>653</v>
      </c>
      <c r="E65" s="815" t="s">
        <v>653</v>
      </c>
      <c r="F65" s="1076"/>
      <c r="G65" s="815" t="s">
        <v>653</v>
      </c>
      <c r="H65" s="812" t="s">
        <v>653</v>
      </c>
      <c r="I65" s="813" t="s">
        <v>653</v>
      </c>
      <c r="J65" s="847"/>
      <c r="K65" s="816" t="s">
        <v>653</v>
      </c>
      <c r="L65" s="505"/>
      <c r="M65" s="500" t="s">
        <v>653</v>
      </c>
      <c r="N65" s="506" t="s">
        <v>653</v>
      </c>
      <c r="O65" s="506" t="s">
        <v>653</v>
      </c>
      <c r="P65" s="496" t="s">
        <v>653</v>
      </c>
      <c r="Q65" s="497" t="s">
        <v>653</v>
      </c>
      <c r="R65" s="507" t="s">
        <v>653</v>
      </c>
      <c r="S65" s="505"/>
      <c r="T65" s="500" t="s">
        <v>653</v>
      </c>
      <c r="U65" s="506" t="s">
        <v>653</v>
      </c>
      <c r="V65" s="506" t="s">
        <v>653</v>
      </c>
      <c r="W65" s="496" t="s">
        <v>653</v>
      </c>
      <c r="X65" s="497" t="s">
        <v>653</v>
      </c>
      <c r="Y65" s="507" t="s">
        <v>653</v>
      </c>
    </row>
    <row r="66" spans="1:25" s="479" customFormat="1">
      <c r="A66" s="502">
        <f t="shared" si="0"/>
        <v>-20</v>
      </c>
      <c r="B66" s="809" t="s">
        <v>653</v>
      </c>
      <c r="C66" s="504"/>
      <c r="D66" s="817" t="s">
        <v>653</v>
      </c>
      <c r="E66" s="815" t="s">
        <v>653</v>
      </c>
      <c r="F66" s="1076"/>
      <c r="G66" s="815" t="s">
        <v>653</v>
      </c>
      <c r="H66" s="812" t="s">
        <v>653</v>
      </c>
      <c r="I66" s="813" t="s">
        <v>653</v>
      </c>
      <c r="J66" s="847"/>
      <c r="K66" s="816" t="s">
        <v>653</v>
      </c>
      <c r="L66" s="505"/>
      <c r="M66" s="500" t="s">
        <v>653</v>
      </c>
      <c r="N66" s="506" t="s">
        <v>653</v>
      </c>
      <c r="O66" s="506" t="s">
        <v>653</v>
      </c>
      <c r="P66" s="496" t="s">
        <v>653</v>
      </c>
      <c r="Q66" s="497" t="s">
        <v>653</v>
      </c>
      <c r="R66" s="507" t="s">
        <v>653</v>
      </c>
      <c r="S66" s="505"/>
      <c r="T66" s="500" t="s">
        <v>653</v>
      </c>
      <c r="U66" s="506" t="s">
        <v>653</v>
      </c>
      <c r="V66" s="506" t="s">
        <v>653</v>
      </c>
      <c r="W66" s="496" t="s">
        <v>653</v>
      </c>
      <c r="X66" s="497" t="s">
        <v>653</v>
      </c>
      <c r="Y66" s="507" t="s">
        <v>653</v>
      </c>
    </row>
    <row r="67" spans="1:25" s="479" customFormat="1">
      <c r="A67" s="502">
        <f t="shared" si="0"/>
        <v>-21</v>
      </c>
      <c r="B67" s="809" t="s">
        <v>653</v>
      </c>
      <c r="C67" s="504"/>
      <c r="D67" s="817" t="s">
        <v>653</v>
      </c>
      <c r="E67" s="815" t="s">
        <v>653</v>
      </c>
      <c r="F67" s="1076"/>
      <c r="G67" s="815" t="s">
        <v>653</v>
      </c>
      <c r="H67" s="812" t="s">
        <v>653</v>
      </c>
      <c r="I67" s="813" t="s">
        <v>653</v>
      </c>
      <c r="J67" s="847"/>
      <c r="K67" s="816" t="s">
        <v>653</v>
      </c>
      <c r="L67" s="505"/>
      <c r="M67" s="500" t="s">
        <v>653</v>
      </c>
      <c r="N67" s="506" t="s">
        <v>653</v>
      </c>
      <c r="O67" s="506" t="s">
        <v>653</v>
      </c>
      <c r="P67" s="496" t="s">
        <v>653</v>
      </c>
      <c r="Q67" s="497" t="s">
        <v>653</v>
      </c>
      <c r="R67" s="507" t="s">
        <v>653</v>
      </c>
      <c r="S67" s="505"/>
      <c r="T67" s="500" t="s">
        <v>653</v>
      </c>
      <c r="U67" s="506" t="s">
        <v>653</v>
      </c>
      <c r="V67" s="506" t="s">
        <v>653</v>
      </c>
      <c r="W67" s="496" t="s">
        <v>653</v>
      </c>
      <c r="X67" s="497" t="s">
        <v>653</v>
      </c>
      <c r="Y67" s="507" t="s">
        <v>653</v>
      </c>
    </row>
    <row r="68" spans="1:25" s="479" customFormat="1">
      <c r="A68" s="502">
        <f t="shared" si="0"/>
        <v>-22</v>
      </c>
      <c r="B68" s="809" t="s">
        <v>653</v>
      </c>
      <c r="C68" s="504"/>
      <c r="D68" s="817" t="s">
        <v>653</v>
      </c>
      <c r="E68" s="815" t="s">
        <v>653</v>
      </c>
      <c r="F68" s="1076"/>
      <c r="G68" s="815" t="s">
        <v>653</v>
      </c>
      <c r="H68" s="812" t="s">
        <v>653</v>
      </c>
      <c r="I68" s="813" t="s">
        <v>653</v>
      </c>
      <c r="J68" s="847"/>
      <c r="K68" s="816" t="s">
        <v>653</v>
      </c>
      <c r="L68" s="505"/>
      <c r="M68" s="500" t="s">
        <v>653</v>
      </c>
      <c r="N68" s="506" t="s">
        <v>653</v>
      </c>
      <c r="O68" s="506" t="s">
        <v>653</v>
      </c>
      <c r="P68" s="496" t="s">
        <v>653</v>
      </c>
      <c r="Q68" s="497" t="s">
        <v>653</v>
      </c>
      <c r="R68" s="507" t="s">
        <v>653</v>
      </c>
      <c r="S68" s="505"/>
      <c r="T68" s="500" t="s">
        <v>653</v>
      </c>
      <c r="U68" s="506" t="s">
        <v>653</v>
      </c>
      <c r="V68" s="506" t="s">
        <v>653</v>
      </c>
      <c r="W68" s="496" t="s">
        <v>653</v>
      </c>
      <c r="X68" s="497" t="s">
        <v>653</v>
      </c>
      <c r="Y68" s="507" t="s">
        <v>653</v>
      </c>
    </row>
    <row r="69" spans="1:25" s="479" customFormat="1">
      <c r="A69" s="502">
        <f t="shared" si="0"/>
        <v>-23</v>
      </c>
      <c r="B69" s="809" t="s">
        <v>653</v>
      </c>
      <c r="C69" s="504"/>
      <c r="D69" s="817" t="s">
        <v>653</v>
      </c>
      <c r="E69" s="815" t="s">
        <v>653</v>
      </c>
      <c r="F69" s="1076"/>
      <c r="G69" s="815" t="s">
        <v>653</v>
      </c>
      <c r="H69" s="812" t="s">
        <v>653</v>
      </c>
      <c r="I69" s="813" t="s">
        <v>653</v>
      </c>
      <c r="J69" s="847"/>
      <c r="K69" s="816" t="s">
        <v>653</v>
      </c>
      <c r="L69" s="505"/>
      <c r="M69" s="500" t="s">
        <v>653</v>
      </c>
      <c r="N69" s="506" t="s">
        <v>653</v>
      </c>
      <c r="O69" s="506" t="s">
        <v>653</v>
      </c>
      <c r="P69" s="496" t="s">
        <v>653</v>
      </c>
      <c r="Q69" s="497" t="s">
        <v>653</v>
      </c>
      <c r="R69" s="507" t="s">
        <v>653</v>
      </c>
      <c r="S69" s="505"/>
      <c r="T69" s="500" t="s">
        <v>653</v>
      </c>
      <c r="U69" s="506" t="s">
        <v>653</v>
      </c>
      <c r="V69" s="506" t="s">
        <v>653</v>
      </c>
      <c r="W69" s="496" t="s">
        <v>653</v>
      </c>
      <c r="X69" s="497" t="s">
        <v>653</v>
      </c>
      <c r="Y69" s="507" t="s">
        <v>653</v>
      </c>
    </row>
    <row r="70" spans="1:25" s="479" customFormat="1">
      <c r="A70" s="502">
        <f t="shared" si="0"/>
        <v>-24</v>
      </c>
      <c r="B70" s="809" t="s">
        <v>653</v>
      </c>
      <c r="C70" s="504"/>
      <c r="D70" s="810" t="s">
        <v>653</v>
      </c>
      <c r="E70" s="815" t="s">
        <v>653</v>
      </c>
      <c r="F70" s="1076"/>
      <c r="G70" s="815" t="s">
        <v>653</v>
      </c>
      <c r="H70" s="812" t="s">
        <v>653</v>
      </c>
      <c r="I70" s="813" t="s">
        <v>653</v>
      </c>
      <c r="J70" s="847"/>
      <c r="K70" s="816" t="s">
        <v>653</v>
      </c>
      <c r="L70" s="505"/>
      <c r="M70" s="494" t="s">
        <v>653</v>
      </c>
      <c r="N70" s="506" t="s">
        <v>653</v>
      </c>
      <c r="O70" s="506" t="s">
        <v>653</v>
      </c>
      <c r="P70" s="496" t="s">
        <v>653</v>
      </c>
      <c r="Q70" s="497" t="s">
        <v>653</v>
      </c>
      <c r="R70" s="507" t="s">
        <v>653</v>
      </c>
      <c r="S70" s="505"/>
      <c r="T70" s="494" t="s">
        <v>653</v>
      </c>
      <c r="U70" s="506" t="s">
        <v>653</v>
      </c>
      <c r="V70" s="506" t="s">
        <v>653</v>
      </c>
      <c r="W70" s="496" t="s">
        <v>653</v>
      </c>
      <c r="X70" s="497" t="s">
        <v>653</v>
      </c>
      <c r="Y70" s="507" t="s">
        <v>653</v>
      </c>
    </row>
    <row r="71" spans="1:25" s="479" customFormat="1">
      <c r="A71" s="502">
        <f t="shared" si="0"/>
        <v>-25</v>
      </c>
      <c r="B71" s="809" t="s">
        <v>653</v>
      </c>
      <c r="C71" s="504"/>
      <c r="D71" s="810" t="s">
        <v>653</v>
      </c>
      <c r="E71" s="815" t="s">
        <v>653</v>
      </c>
      <c r="F71" s="1076"/>
      <c r="G71" s="815" t="s">
        <v>653</v>
      </c>
      <c r="H71" s="812" t="s">
        <v>653</v>
      </c>
      <c r="I71" s="813" t="s">
        <v>653</v>
      </c>
      <c r="J71" s="847"/>
      <c r="K71" s="816" t="s">
        <v>653</v>
      </c>
      <c r="L71" s="505"/>
      <c r="M71" s="494" t="s">
        <v>653</v>
      </c>
      <c r="N71" s="506" t="s">
        <v>653</v>
      </c>
      <c r="O71" s="506" t="s">
        <v>653</v>
      </c>
      <c r="P71" s="496" t="s">
        <v>653</v>
      </c>
      <c r="Q71" s="497" t="s">
        <v>653</v>
      </c>
      <c r="R71" s="507" t="s">
        <v>653</v>
      </c>
      <c r="S71" s="505"/>
      <c r="T71" s="494" t="s">
        <v>653</v>
      </c>
      <c r="U71" s="506" t="s">
        <v>653</v>
      </c>
      <c r="V71" s="506" t="s">
        <v>653</v>
      </c>
      <c r="W71" s="496" t="s">
        <v>653</v>
      </c>
      <c r="X71" s="497" t="s">
        <v>653</v>
      </c>
      <c r="Y71" s="507" t="s">
        <v>653</v>
      </c>
    </row>
    <row r="72" spans="1:25" s="479" customFormat="1">
      <c r="A72" s="502">
        <f t="shared" si="0"/>
        <v>-26</v>
      </c>
      <c r="B72" s="809" t="s">
        <v>653</v>
      </c>
      <c r="C72" s="504"/>
      <c r="D72" s="810" t="s">
        <v>653</v>
      </c>
      <c r="E72" s="815" t="s">
        <v>653</v>
      </c>
      <c r="F72" s="1076"/>
      <c r="G72" s="815" t="s">
        <v>653</v>
      </c>
      <c r="H72" s="812" t="s">
        <v>653</v>
      </c>
      <c r="I72" s="813" t="s">
        <v>653</v>
      </c>
      <c r="J72" s="847"/>
      <c r="K72" s="816" t="s">
        <v>653</v>
      </c>
      <c r="L72" s="505"/>
      <c r="M72" s="494" t="s">
        <v>653</v>
      </c>
      <c r="N72" s="506" t="s">
        <v>653</v>
      </c>
      <c r="O72" s="506" t="s">
        <v>653</v>
      </c>
      <c r="P72" s="496" t="s">
        <v>653</v>
      </c>
      <c r="Q72" s="497" t="s">
        <v>653</v>
      </c>
      <c r="R72" s="507" t="s">
        <v>653</v>
      </c>
      <c r="S72" s="505"/>
      <c r="T72" s="494" t="s">
        <v>653</v>
      </c>
      <c r="U72" s="506" t="s">
        <v>653</v>
      </c>
      <c r="V72" s="506" t="s">
        <v>653</v>
      </c>
      <c r="W72" s="496" t="s">
        <v>653</v>
      </c>
      <c r="X72" s="497" t="s">
        <v>653</v>
      </c>
      <c r="Y72" s="507" t="s">
        <v>653</v>
      </c>
    </row>
    <row r="73" spans="1:25" s="479" customFormat="1">
      <c r="A73" s="502">
        <f t="shared" si="0"/>
        <v>-27</v>
      </c>
      <c r="B73" s="809" t="s">
        <v>653</v>
      </c>
      <c r="C73" s="504"/>
      <c r="D73" s="817" t="s">
        <v>653</v>
      </c>
      <c r="E73" s="815" t="s">
        <v>653</v>
      </c>
      <c r="F73" s="1076"/>
      <c r="G73" s="815" t="s">
        <v>653</v>
      </c>
      <c r="H73" s="812" t="s">
        <v>653</v>
      </c>
      <c r="I73" s="813" t="s">
        <v>653</v>
      </c>
      <c r="J73" s="847"/>
      <c r="K73" s="816" t="s">
        <v>653</v>
      </c>
      <c r="L73" s="505"/>
      <c r="M73" s="500" t="s">
        <v>653</v>
      </c>
      <c r="N73" s="506" t="s">
        <v>653</v>
      </c>
      <c r="O73" s="506" t="s">
        <v>653</v>
      </c>
      <c r="P73" s="496" t="s">
        <v>653</v>
      </c>
      <c r="Q73" s="497" t="s">
        <v>653</v>
      </c>
      <c r="R73" s="507" t="s">
        <v>653</v>
      </c>
      <c r="S73" s="505"/>
      <c r="T73" s="500" t="s">
        <v>653</v>
      </c>
      <c r="U73" s="506" t="s">
        <v>653</v>
      </c>
      <c r="V73" s="506" t="s">
        <v>653</v>
      </c>
      <c r="W73" s="496" t="s">
        <v>653</v>
      </c>
      <c r="X73" s="497" t="s">
        <v>653</v>
      </c>
      <c r="Y73" s="507" t="s">
        <v>653</v>
      </c>
    </row>
    <row r="74" spans="1:25" s="479" customFormat="1">
      <c r="A74" s="502">
        <f t="shared" si="0"/>
        <v>-28</v>
      </c>
      <c r="B74" s="809" t="s">
        <v>653</v>
      </c>
      <c r="C74" s="504"/>
      <c r="D74" s="817" t="s">
        <v>653</v>
      </c>
      <c r="E74" s="815" t="s">
        <v>653</v>
      </c>
      <c r="F74" s="1076"/>
      <c r="G74" s="815" t="s">
        <v>653</v>
      </c>
      <c r="H74" s="812" t="s">
        <v>653</v>
      </c>
      <c r="I74" s="813" t="s">
        <v>653</v>
      </c>
      <c r="J74" s="847"/>
      <c r="K74" s="816" t="s">
        <v>653</v>
      </c>
      <c r="L74" s="505"/>
      <c r="M74" s="500" t="s">
        <v>653</v>
      </c>
      <c r="N74" s="506" t="s">
        <v>653</v>
      </c>
      <c r="O74" s="506" t="s">
        <v>653</v>
      </c>
      <c r="P74" s="496" t="s">
        <v>653</v>
      </c>
      <c r="Q74" s="497" t="s">
        <v>653</v>
      </c>
      <c r="R74" s="507" t="s">
        <v>653</v>
      </c>
      <c r="S74" s="505"/>
      <c r="T74" s="500" t="s">
        <v>653</v>
      </c>
      <c r="U74" s="506" t="s">
        <v>653</v>
      </c>
      <c r="V74" s="506" t="s">
        <v>653</v>
      </c>
      <c r="W74" s="496" t="s">
        <v>653</v>
      </c>
      <c r="X74" s="497" t="s">
        <v>653</v>
      </c>
      <c r="Y74" s="507" t="s">
        <v>653</v>
      </c>
    </row>
    <row r="75" spans="1:25" s="479" customFormat="1">
      <c r="A75" s="502">
        <f t="shared" si="0"/>
        <v>-29</v>
      </c>
      <c r="B75" s="809" t="s">
        <v>653</v>
      </c>
      <c r="C75" s="504"/>
      <c r="D75" s="817" t="s">
        <v>653</v>
      </c>
      <c r="E75" s="815" t="s">
        <v>653</v>
      </c>
      <c r="F75" s="1076"/>
      <c r="G75" s="815" t="s">
        <v>653</v>
      </c>
      <c r="H75" s="812" t="s">
        <v>653</v>
      </c>
      <c r="I75" s="813" t="s">
        <v>653</v>
      </c>
      <c r="J75" s="847"/>
      <c r="K75" s="816" t="s">
        <v>653</v>
      </c>
      <c r="L75" s="505"/>
      <c r="M75" s="500" t="s">
        <v>653</v>
      </c>
      <c r="N75" s="506" t="s">
        <v>653</v>
      </c>
      <c r="O75" s="506" t="s">
        <v>653</v>
      </c>
      <c r="P75" s="496" t="s">
        <v>653</v>
      </c>
      <c r="Q75" s="497" t="s">
        <v>653</v>
      </c>
      <c r="R75" s="507" t="s">
        <v>653</v>
      </c>
      <c r="S75" s="505"/>
      <c r="T75" s="500" t="s">
        <v>653</v>
      </c>
      <c r="U75" s="506" t="s">
        <v>653</v>
      </c>
      <c r="V75" s="506" t="s">
        <v>653</v>
      </c>
      <c r="W75" s="496" t="s">
        <v>653</v>
      </c>
      <c r="X75" s="497" t="s">
        <v>653</v>
      </c>
      <c r="Y75" s="507" t="s">
        <v>653</v>
      </c>
    </row>
    <row r="76" spans="1:25" s="479" customFormat="1">
      <c r="A76" s="502">
        <f t="shared" si="0"/>
        <v>-30</v>
      </c>
      <c r="B76" s="809" t="s">
        <v>653</v>
      </c>
      <c r="C76" s="504"/>
      <c r="D76" s="817" t="s">
        <v>653</v>
      </c>
      <c r="E76" s="815" t="s">
        <v>653</v>
      </c>
      <c r="F76" s="1076"/>
      <c r="G76" s="815" t="s">
        <v>653</v>
      </c>
      <c r="H76" s="812" t="s">
        <v>653</v>
      </c>
      <c r="I76" s="813" t="s">
        <v>653</v>
      </c>
      <c r="J76" s="847"/>
      <c r="K76" s="816" t="s">
        <v>653</v>
      </c>
      <c r="L76" s="505"/>
      <c r="M76" s="500" t="s">
        <v>653</v>
      </c>
      <c r="N76" s="506" t="s">
        <v>653</v>
      </c>
      <c r="O76" s="506" t="s">
        <v>653</v>
      </c>
      <c r="P76" s="496" t="s">
        <v>653</v>
      </c>
      <c r="Q76" s="497" t="s">
        <v>653</v>
      </c>
      <c r="R76" s="507" t="s">
        <v>653</v>
      </c>
      <c r="S76" s="505"/>
      <c r="T76" s="500" t="s">
        <v>653</v>
      </c>
      <c r="U76" s="506" t="s">
        <v>653</v>
      </c>
      <c r="V76" s="506" t="s">
        <v>653</v>
      </c>
      <c r="W76" s="496" t="s">
        <v>653</v>
      </c>
      <c r="X76" s="497" t="s">
        <v>653</v>
      </c>
      <c r="Y76" s="507" t="s">
        <v>653</v>
      </c>
    </row>
    <row r="77" spans="1:25" s="479" customFormat="1">
      <c r="A77" s="502">
        <f t="shared" si="0"/>
        <v>-31</v>
      </c>
      <c r="B77" s="809" t="s">
        <v>653</v>
      </c>
      <c r="C77" s="504"/>
      <c r="D77" s="817" t="s">
        <v>653</v>
      </c>
      <c r="E77" s="815" t="s">
        <v>653</v>
      </c>
      <c r="F77" s="1076"/>
      <c r="G77" s="815" t="s">
        <v>653</v>
      </c>
      <c r="H77" s="812" t="s">
        <v>653</v>
      </c>
      <c r="I77" s="813" t="s">
        <v>653</v>
      </c>
      <c r="J77" s="847"/>
      <c r="K77" s="816" t="s">
        <v>653</v>
      </c>
      <c r="L77" s="505"/>
      <c r="M77" s="500" t="s">
        <v>653</v>
      </c>
      <c r="N77" s="506" t="s">
        <v>653</v>
      </c>
      <c r="O77" s="506" t="s">
        <v>653</v>
      </c>
      <c r="P77" s="496" t="s">
        <v>653</v>
      </c>
      <c r="Q77" s="497" t="s">
        <v>653</v>
      </c>
      <c r="R77" s="507" t="s">
        <v>653</v>
      </c>
      <c r="S77" s="505"/>
      <c r="T77" s="500" t="s">
        <v>653</v>
      </c>
      <c r="U77" s="506" t="s">
        <v>653</v>
      </c>
      <c r="V77" s="506" t="s">
        <v>653</v>
      </c>
      <c r="W77" s="496" t="s">
        <v>653</v>
      </c>
      <c r="X77" s="497" t="s">
        <v>653</v>
      </c>
      <c r="Y77" s="507" t="s">
        <v>653</v>
      </c>
    </row>
    <row r="78" spans="1:25" s="479" customFormat="1">
      <c r="A78" s="502">
        <f t="shared" si="0"/>
        <v>-32</v>
      </c>
      <c r="B78" s="809" t="s">
        <v>653</v>
      </c>
      <c r="C78" s="504"/>
      <c r="D78" s="817" t="s">
        <v>653</v>
      </c>
      <c r="E78" s="815" t="s">
        <v>653</v>
      </c>
      <c r="F78" s="1076"/>
      <c r="G78" s="815" t="s">
        <v>653</v>
      </c>
      <c r="H78" s="812" t="s">
        <v>653</v>
      </c>
      <c r="I78" s="813" t="s">
        <v>653</v>
      </c>
      <c r="J78" s="847"/>
      <c r="K78" s="816" t="s">
        <v>653</v>
      </c>
      <c r="L78" s="505"/>
      <c r="M78" s="500" t="s">
        <v>653</v>
      </c>
      <c r="N78" s="506" t="s">
        <v>653</v>
      </c>
      <c r="O78" s="506" t="s">
        <v>653</v>
      </c>
      <c r="P78" s="496" t="s">
        <v>653</v>
      </c>
      <c r="Q78" s="497" t="s">
        <v>653</v>
      </c>
      <c r="R78" s="507" t="s">
        <v>653</v>
      </c>
      <c r="S78" s="505"/>
      <c r="T78" s="500" t="s">
        <v>653</v>
      </c>
      <c r="U78" s="506" t="s">
        <v>653</v>
      </c>
      <c r="V78" s="506" t="s">
        <v>653</v>
      </c>
      <c r="W78" s="496" t="s">
        <v>653</v>
      </c>
      <c r="X78" s="497" t="s">
        <v>653</v>
      </c>
      <c r="Y78" s="507" t="s">
        <v>653</v>
      </c>
    </row>
    <row r="79" spans="1:25" s="479" customFormat="1">
      <c r="A79" s="502">
        <f t="shared" si="0"/>
        <v>-33</v>
      </c>
      <c r="B79" s="809" t="s">
        <v>653</v>
      </c>
      <c r="C79" s="504"/>
      <c r="D79" s="817" t="s">
        <v>653</v>
      </c>
      <c r="E79" s="815" t="s">
        <v>653</v>
      </c>
      <c r="F79" s="1076"/>
      <c r="G79" s="815" t="s">
        <v>653</v>
      </c>
      <c r="H79" s="812" t="s">
        <v>653</v>
      </c>
      <c r="I79" s="813" t="s">
        <v>653</v>
      </c>
      <c r="J79" s="847"/>
      <c r="K79" s="816" t="s">
        <v>653</v>
      </c>
      <c r="L79" s="505"/>
      <c r="M79" s="500" t="s">
        <v>653</v>
      </c>
      <c r="N79" s="506" t="s">
        <v>653</v>
      </c>
      <c r="O79" s="506" t="s">
        <v>653</v>
      </c>
      <c r="P79" s="496" t="s">
        <v>653</v>
      </c>
      <c r="Q79" s="497" t="s">
        <v>653</v>
      </c>
      <c r="R79" s="507" t="s">
        <v>653</v>
      </c>
      <c r="S79" s="505"/>
      <c r="T79" s="500" t="s">
        <v>653</v>
      </c>
      <c r="U79" s="506" t="s">
        <v>653</v>
      </c>
      <c r="V79" s="506" t="s">
        <v>653</v>
      </c>
      <c r="W79" s="496" t="s">
        <v>653</v>
      </c>
      <c r="X79" s="497" t="s">
        <v>653</v>
      </c>
      <c r="Y79" s="507" t="s">
        <v>653</v>
      </c>
    </row>
    <row r="80" spans="1:25" s="479" customFormat="1">
      <c r="A80" s="502">
        <f t="shared" si="0"/>
        <v>-34</v>
      </c>
      <c r="B80" s="809" t="s">
        <v>653</v>
      </c>
      <c r="C80" s="504"/>
      <c r="D80" s="817" t="s">
        <v>653</v>
      </c>
      <c r="E80" s="815" t="s">
        <v>653</v>
      </c>
      <c r="F80" s="1076"/>
      <c r="G80" s="815" t="s">
        <v>653</v>
      </c>
      <c r="H80" s="812" t="s">
        <v>653</v>
      </c>
      <c r="I80" s="813" t="s">
        <v>653</v>
      </c>
      <c r="J80" s="847"/>
      <c r="K80" s="816" t="s">
        <v>653</v>
      </c>
      <c r="L80" s="505"/>
      <c r="M80" s="500" t="s">
        <v>653</v>
      </c>
      <c r="N80" s="506" t="s">
        <v>653</v>
      </c>
      <c r="O80" s="506" t="s">
        <v>653</v>
      </c>
      <c r="P80" s="496" t="s">
        <v>653</v>
      </c>
      <c r="Q80" s="497" t="s">
        <v>653</v>
      </c>
      <c r="R80" s="507" t="s">
        <v>653</v>
      </c>
      <c r="S80" s="505"/>
      <c r="T80" s="500" t="s">
        <v>653</v>
      </c>
      <c r="U80" s="506" t="s">
        <v>653</v>
      </c>
      <c r="V80" s="506" t="s">
        <v>653</v>
      </c>
      <c r="W80" s="496" t="s">
        <v>653</v>
      </c>
      <c r="X80" s="497" t="s">
        <v>653</v>
      </c>
      <c r="Y80" s="507" t="s">
        <v>653</v>
      </c>
    </row>
    <row r="81" spans="1:25" s="479" customFormat="1">
      <c r="A81" s="502">
        <f t="shared" si="0"/>
        <v>-35</v>
      </c>
      <c r="B81" s="809" t="s">
        <v>653</v>
      </c>
      <c r="C81" s="504"/>
      <c r="D81" s="817" t="s">
        <v>653</v>
      </c>
      <c r="E81" s="815" t="s">
        <v>653</v>
      </c>
      <c r="F81" s="1076"/>
      <c r="G81" s="815" t="s">
        <v>653</v>
      </c>
      <c r="H81" s="812" t="s">
        <v>653</v>
      </c>
      <c r="I81" s="813" t="s">
        <v>653</v>
      </c>
      <c r="J81" s="847"/>
      <c r="K81" s="816" t="s">
        <v>653</v>
      </c>
      <c r="L81" s="505"/>
      <c r="M81" s="500" t="s">
        <v>653</v>
      </c>
      <c r="N81" s="506" t="s">
        <v>653</v>
      </c>
      <c r="O81" s="506" t="s">
        <v>653</v>
      </c>
      <c r="P81" s="496" t="s">
        <v>653</v>
      </c>
      <c r="Q81" s="497" t="s">
        <v>653</v>
      </c>
      <c r="R81" s="507" t="s">
        <v>653</v>
      </c>
      <c r="S81" s="505"/>
      <c r="T81" s="500" t="s">
        <v>653</v>
      </c>
      <c r="U81" s="506" t="s">
        <v>653</v>
      </c>
      <c r="V81" s="506" t="s">
        <v>653</v>
      </c>
      <c r="W81" s="496" t="s">
        <v>653</v>
      </c>
      <c r="X81" s="497" t="s">
        <v>653</v>
      </c>
      <c r="Y81" s="507" t="s">
        <v>653</v>
      </c>
    </row>
    <row r="82" spans="1:25" s="479" customFormat="1">
      <c r="A82" s="502">
        <f t="shared" si="0"/>
        <v>-36</v>
      </c>
      <c r="B82" s="809" t="s">
        <v>653</v>
      </c>
      <c r="C82" s="504"/>
      <c r="D82" s="817" t="s">
        <v>653</v>
      </c>
      <c r="E82" s="815" t="s">
        <v>653</v>
      </c>
      <c r="F82" s="1076"/>
      <c r="G82" s="815" t="s">
        <v>653</v>
      </c>
      <c r="H82" s="812" t="s">
        <v>653</v>
      </c>
      <c r="I82" s="813" t="s">
        <v>653</v>
      </c>
      <c r="J82" s="847"/>
      <c r="K82" s="816" t="s">
        <v>653</v>
      </c>
      <c r="L82" s="505"/>
      <c r="M82" s="500" t="s">
        <v>653</v>
      </c>
      <c r="N82" s="506" t="s">
        <v>653</v>
      </c>
      <c r="O82" s="506" t="s">
        <v>653</v>
      </c>
      <c r="P82" s="496" t="s">
        <v>653</v>
      </c>
      <c r="Q82" s="497" t="s">
        <v>653</v>
      </c>
      <c r="R82" s="507" t="s">
        <v>653</v>
      </c>
      <c r="S82" s="505"/>
      <c r="T82" s="500" t="s">
        <v>653</v>
      </c>
      <c r="U82" s="506" t="s">
        <v>653</v>
      </c>
      <c r="V82" s="506" t="s">
        <v>653</v>
      </c>
      <c r="W82" s="496" t="s">
        <v>653</v>
      </c>
      <c r="X82" s="497" t="s">
        <v>653</v>
      </c>
      <c r="Y82" s="507" t="s">
        <v>653</v>
      </c>
    </row>
    <row r="83" spans="1:25" s="479" customFormat="1">
      <c r="A83" s="502">
        <f t="shared" si="0"/>
        <v>-37</v>
      </c>
      <c r="B83" s="809" t="s">
        <v>653</v>
      </c>
      <c r="C83" s="504"/>
      <c r="D83" s="817" t="s">
        <v>653</v>
      </c>
      <c r="E83" s="815" t="s">
        <v>653</v>
      </c>
      <c r="F83" s="1076"/>
      <c r="G83" s="815" t="s">
        <v>653</v>
      </c>
      <c r="H83" s="812" t="s">
        <v>653</v>
      </c>
      <c r="I83" s="813" t="s">
        <v>653</v>
      </c>
      <c r="J83" s="847"/>
      <c r="K83" s="816" t="s">
        <v>653</v>
      </c>
      <c r="L83" s="505"/>
      <c r="M83" s="500" t="s">
        <v>653</v>
      </c>
      <c r="N83" s="506" t="s">
        <v>653</v>
      </c>
      <c r="O83" s="506" t="s">
        <v>653</v>
      </c>
      <c r="P83" s="496" t="s">
        <v>653</v>
      </c>
      <c r="Q83" s="497" t="s">
        <v>653</v>
      </c>
      <c r="R83" s="507" t="s">
        <v>653</v>
      </c>
      <c r="S83" s="505"/>
      <c r="T83" s="500" t="s">
        <v>653</v>
      </c>
      <c r="U83" s="506" t="s">
        <v>653</v>
      </c>
      <c r="V83" s="506" t="s">
        <v>653</v>
      </c>
      <c r="W83" s="496" t="s">
        <v>653</v>
      </c>
      <c r="X83" s="497" t="s">
        <v>653</v>
      </c>
      <c r="Y83" s="507" t="s">
        <v>653</v>
      </c>
    </row>
    <row r="84" spans="1:25" s="479" customFormat="1">
      <c r="A84" s="502">
        <f t="shared" si="0"/>
        <v>-38</v>
      </c>
      <c r="B84" s="809" t="s">
        <v>653</v>
      </c>
      <c r="C84" s="504"/>
      <c r="D84" s="817" t="s">
        <v>653</v>
      </c>
      <c r="E84" s="815" t="s">
        <v>653</v>
      </c>
      <c r="F84" s="1076"/>
      <c r="G84" s="815" t="s">
        <v>653</v>
      </c>
      <c r="H84" s="812" t="s">
        <v>653</v>
      </c>
      <c r="I84" s="813" t="s">
        <v>653</v>
      </c>
      <c r="J84" s="847"/>
      <c r="K84" s="816" t="s">
        <v>653</v>
      </c>
      <c r="L84" s="505"/>
      <c r="M84" s="500" t="s">
        <v>653</v>
      </c>
      <c r="N84" s="506" t="s">
        <v>653</v>
      </c>
      <c r="O84" s="506" t="s">
        <v>653</v>
      </c>
      <c r="P84" s="496" t="s">
        <v>653</v>
      </c>
      <c r="Q84" s="497" t="s">
        <v>653</v>
      </c>
      <c r="R84" s="507" t="s">
        <v>653</v>
      </c>
      <c r="S84" s="505"/>
      <c r="T84" s="500" t="s">
        <v>653</v>
      </c>
      <c r="U84" s="506" t="s">
        <v>653</v>
      </c>
      <c r="V84" s="506" t="s">
        <v>653</v>
      </c>
      <c r="W84" s="496" t="s">
        <v>653</v>
      </c>
      <c r="X84" s="497" t="s">
        <v>653</v>
      </c>
      <c r="Y84" s="507" t="s">
        <v>653</v>
      </c>
    </row>
    <row r="85" spans="1:25" s="479" customFormat="1">
      <c r="A85" s="502">
        <f t="shared" si="0"/>
        <v>-39</v>
      </c>
      <c r="B85" s="809" t="s">
        <v>653</v>
      </c>
      <c r="C85" s="504"/>
      <c r="D85" s="817" t="s">
        <v>653</v>
      </c>
      <c r="E85" s="815" t="s">
        <v>653</v>
      </c>
      <c r="F85" s="1076"/>
      <c r="G85" s="815" t="s">
        <v>653</v>
      </c>
      <c r="H85" s="812" t="s">
        <v>653</v>
      </c>
      <c r="I85" s="813" t="s">
        <v>653</v>
      </c>
      <c r="J85" s="847"/>
      <c r="K85" s="816" t="s">
        <v>653</v>
      </c>
      <c r="L85" s="505"/>
      <c r="M85" s="500" t="s">
        <v>653</v>
      </c>
      <c r="N85" s="506" t="s">
        <v>653</v>
      </c>
      <c r="O85" s="506" t="s">
        <v>653</v>
      </c>
      <c r="P85" s="496" t="s">
        <v>653</v>
      </c>
      <c r="Q85" s="497" t="s">
        <v>653</v>
      </c>
      <c r="R85" s="507" t="s">
        <v>653</v>
      </c>
      <c r="S85" s="505"/>
      <c r="T85" s="500" t="s">
        <v>653</v>
      </c>
      <c r="U85" s="506" t="s">
        <v>653</v>
      </c>
      <c r="V85" s="506" t="s">
        <v>653</v>
      </c>
      <c r="W85" s="496" t="s">
        <v>653</v>
      </c>
      <c r="X85" s="497" t="s">
        <v>653</v>
      </c>
      <c r="Y85" s="507" t="s">
        <v>653</v>
      </c>
    </row>
    <row r="86" spans="1:25" s="479" customFormat="1">
      <c r="A86" s="502">
        <f t="shared" si="0"/>
        <v>-40</v>
      </c>
      <c r="B86" s="809" t="s">
        <v>653</v>
      </c>
      <c r="C86" s="504"/>
      <c r="D86" s="817" t="s">
        <v>653</v>
      </c>
      <c r="E86" s="815" t="s">
        <v>653</v>
      </c>
      <c r="F86" s="1076"/>
      <c r="G86" s="815" t="s">
        <v>653</v>
      </c>
      <c r="H86" s="812" t="s">
        <v>653</v>
      </c>
      <c r="I86" s="813" t="s">
        <v>653</v>
      </c>
      <c r="J86" s="847"/>
      <c r="K86" s="816" t="s">
        <v>653</v>
      </c>
      <c r="L86" s="505"/>
      <c r="M86" s="500" t="s">
        <v>653</v>
      </c>
      <c r="N86" s="506" t="s">
        <v>653</v>
      </c>
      <c r="O86" s="506" t="s">
        <v>653</v>
      </c>
      <c r="P86" s="496" t="s">
        <v>653</v>
      </c>
      <c r="Q86" s="497" t="s">
        <v>653</v>
      </c>
      <c r="R86" s="507" t="s">
        <v>653</v>
      </c>
      <c r="S86" s="505"/>
      <c r="T86" s="500" t="s">
        <v>653</v>
      </c>
      <c r="U86" s="506" t="s">
        <v>653</v>
      </c>
      <c r="V86" s="506" t="s">
        <v>653</v>
      </c>
      <c r="W86" s="496" t="s">
        <v>653</v>
      </c>
      <c r="X86" s="497" t="s">
        <v>653</v>
      </c>
      <c r="Y86" s="507" t="s">
        <v>653</v>
      </c>
    </row>
    <row r="87" spans="1:25" s="479" customFormat="1">
      <c r="A87" s="502">
        <f t="shared" si="0"/>
        <v>-41</v>
      </c>
      <c r="B87" s="809" t="s">
        <v>653</v>
      </c>
      <c r="C87" s="504"/>
      <c r="D87" s="817" t="s">
        <v>653</v>
      </c>
      <c r="E87" s="815" t="s">
        <v>653</v>
      </c>
      <c r="F87" s="1076"/>
      <c r="G87" s="815" t="s">
        <v>653</v>
      </c>
      <c r="H87" s="812" t="s">
        <v>653</v>
      </c>
      <c r="I87" s="813" t="s">
        <v>653</v>
      </c>
      <c r="J87" s="847"/>
      <c r="K87" s="816" t="s">
        <v>653</v>
      </c>
      <c r="L87" s="505"/>
      <c r="M87" s="500" t="s">
        <v>653</v>
      </c>
      <c r="N87" s="506" t="s">
        <v>653</v>
      </c>
      <c r="O87" s="506" t="s">
        <v>653</v>
      </c>
      <c r="P87" s="496" t="s">
        <v>653</v>
      </c>
      <c r="Q87" s="497" t="s">
        <v>653</v>
      </c>
      <c r="R87" s="507" t="s">
        <v>653</v>
      </c>
      <c r="S87" s="505"/>
      <c r="T87" s="500" t="s">
        <v>653</v>
      </c>
      <c r="U87" s="506" t="s">
        <v>653</v>
      </c>
      <c r="V87" s="506" t="s">
        <v>653</v>
      </c>
      <c r="W87" s="496" t="s">
        <v>653</v>
      </c>
      <c r="X87" s="497" t="s">
        <v>653</v>
      </c>
      <c r="Y87" s="507" t="s">
        <v>653</v>
      </c>
    </row>
    <row r="88" spans="1:25" s="479" customFormat="1">
      <c r="A88" s="502">
        <f t="shared" si="0"/>
        <v>-42</v>
      </c>
      <c r="B88" s="809" t="s">
        <v>653</v>
      </c>
      <c r="C88" s="504"/>
      <c r="D88" s="817" t="s">
        <v>653</v>
      </c>
      <c r="E88" s="815" t="s">
        <v>653</v>
      </c>
      <c r="F88" s="1076"/>
      <c r="G88" s="815" t="s">
        <v>653</v>
      </c>
      <c r="H88" s="812" t="s">
        <v>653</v>
      </c>
      <c r="I88" s="813" t="s">
        <v>653</v>
      </c>
      <c r="J88" s="847"/>
      <c r="K88" s="816" t="s">
        <v>653</v>
      </c>
      <c r="L88" s="505"/>
      <c r="M88" s="500" t="s">
        <v>653</v>
      </c>
      <c r="N88" s="506" t="s">
        <v>653</v>
      </c>
      <c r="O88" s="506" t="s">
        <v>653</v>
      </c>
      <c r="P88" s="496" t="s">
        <v>653</v>
      </c>
      <c r="Q88" s="497" t="s">
        <v>653</v>
      </c>
      <c r="R88" s="507" t="s">
        <v>653</v>
      </c>
      <c r="S88" s="505"/>
      <c r="T88" s="500" t="s">
        <v>653</v>
      </c>
      <c r="U88" s="506" t="s">
        <v>653</v>
      </c>
      <c r="V88" s="506" t="s">
        <v>653</v>
      </c>
      <c r="W88" s="496" t="s">
        <v>653</v>
      </c>
      <c r="X88" s="497" t="s">
        <v>653</v>
      </c>
      <c r="Y88" s="507" t="s">
        <v>653</v>
      </c>
    </row>
    <row r="89" spans="1:25" s="479" customFormat="1">
      <c r="A89" s="502">
        <f t="shared" si="0"/>
        <v>-43</v>
      </c>
      <c r="B89" s="809" t="s">
        <v>653</v>
      </c>
      <c r="C89" s="504"/>
      <c r="D89" s="817" t="s">
        <v>653</v>
      </c>
      <c r="E89" s="815" t="s">
        <v>653</v>
      </c>
      <c r="F89" s="1076"/>
      <c r="G89" s="815" t="s">
        <v>653</v>
      </c>
      <c r="H89" s="812" t="s">
        <v>653</v>
      </c>
      <c r="I89" s="813" t="s">
        <v>653</v>
      </c>
      <c r="J89" s="847"/>
      <c r="K89" s="816" t="s">
        <v>653</v>
      </c>
      <c r="L89" s="505"/>
      <c r="M89" s="500" t="s">
        <v>653</v>
      </c>
      <c r="N89" s="506" t="s">
        <v>653</v>
      </c>
      <c r="O89" s="506" t="s">
        <v>653</v>
      </c>
      <c r="P89" s="496" t="s">
        <v>653</v>
      </c>
      <c r="Q89" s="497" t="s">
        <v>653</v>
      </c>
      <c r="R89" s="507" t="s">
        <v>653</v>
      </c>
      <c r="S89" s="505"/>
      <c r="T89" s="500" t="s">
        <v>653</v>
      </c>
      <c r="U89" s="506" t="s">
        <v>653</v>
      </c>
      <c r="V89" s="506" t="s">
        <v>653</v>
      </c>
      <c r="W89" s="496" t="s">
        <v>653</v>
      </c>
      <c r="X89" s="497" t="s">
        <v>653</v>
      </c>
      <c r="Y89" s="507" t="s">
        <v>653</v>
      </c>
    </row>
    <row r="90" spans="1:25" s="479" customFormat="1">
      <c r="A90" s="502">
        <f t="shared" si="0"/>
        <v>-44</v>
      </c>
      <c r="B90" s="809" t="s">
        <v>653</v>
      </c>
      <c r="C90" s="504"/>
      <c r="D90" s="817" t="s">
        <v>653</v>
      </c>
      <c r="E90" s="815" t="s">
        <v>653</v>
      </c>
      <c r="F90" s="1076"/>
      <c r="G90" s="815" t="s">
        <v>653</v>
      </c>
      <c r="H90" s="812" t="s">
        <v>653</v>
      </c>
      <c r="I90" s="813" t="s">
        <v>653</v>
      </c>
      <c r="J90" s="847"/>
      <c r="K90" s="816" t="s">
        <v>653</v>
      </c>
      <c r="L90" s="505"/>
      <c r="M90" s="500" t="s">
        <v>653</v>
      </c>
      <c r="N90" s="506" t="s">
        <v>653</v>
      </c>
      <c r="O90" s="506" t="s">
        <v>653</v>
      </c>
      <c r="P90" s="496" t="s">
        <v>653</v>
      </c>
      <c r="Q90" s="497" t="s">
        <v>653</v>
      </c>
      <c r="R90" s="507" t="s">
        <v>653</v>
      </c>
      <c r="S90" s="505"/>
      <c r="T90" s="500" t="s">
        <v>653</v>
      </c>
      <c r="U90" s="506" t="s">
        <v>653</v>
      </c>
      <c r="V90" s="506" t="s">
        <v>653</v>
      </c>
      <c r="W90" s="496" t="s">
        <v>653</v>
      </c>
      <c r="X90" s="497" t="s">
        <v>653</v>
      </c>
      <c r="Y90" s="507" t="s">
        <v>653</v>
      </c>
    </row>
    <row r="91" spans="1:25" s="479" customFormat="1">
      <c r="A91" s="502">
        <f t="shared" ref="A91:A154" si="1">A90-1</f>
        <v>-45</v>
      </c>
      <c r="B91" s="809" t="s">
        <v>653</v>
      </c>
      <c r="C91" s="504"/>
      <c r="D91" s="817" t="s">
        <v>653</v>
      </c>
      <c r="E91" s="815" t="s">
        <v>653</v>
      </c>
      <c r="F91" s="1076"/>
      <c r="G91" s="815" t="s">
        <v>653</v>
      </c>
      <c r="H91" s="812" t="s">
        <v>653</v>
      </c>
      <c r="I91" s="813" t="s">
        <v>653</v>
      </c>
      <c r="J91" s="847"/>
      <c r="K91" s="816" t="s">
        <v>653</v>
      </c>
      <c r="L91" s="505"/>
      <c r="M91" s="500" t="s">
        <v>653</v>
      </c>
      <c r="N91" s="506" t="s">
        <v>653</v>
      </c>
      <c r="O91" s="506" t="s">
        <v>653</v>
      </c>
      <c r="P91" s="496" t="s">
        <v>653</v>
      </c>
      <c r="Q91" s="497" t="s">
        <v>653</v>
      </c>
      <c r="R91" s="507" t="s">
        <v>653</v>
      </c>
      <c r="S91" s="505"/>
      <c r="T91" s="500" t="s">
        <v>653</v>
      </c>
      <c r="U91" s="506" t="s">
        <v>653</v>
      </c>
      <c r="V91" s="506" t="s">
        <v>653</v>
      </c>
      <c r="W91" s="496" t="s">
        <v>653</v>
      </c>
      <c r="X91" s="497" t="s">
        <v>653</v>
      </c>
      <c r="Y91" s="507" t="s">
        <v>653</v>
      </c>
    </row>
    <row r="92" spans="1:25" s="479" customFormat="1">
      <c r="A92" s="502">
        <f t="shared" si="1"/>
        <v>-46</v>
      </c>
      <c r="B92" s="809" t="s">
        <v>653</v>
      </c>
      <c r="C92" s="504"/>
      <c r="D92" s="817" t="s">
        <v>653</v>
      </c>
      <c r="E92" s="815" t="s">
        <v>653</v>
      </c>
      <c r="F92" s="1076"/>
      <c r="G92" s="815" t="s">
        <v>653</v>
      </c>
      <c r="H92" s="812" t="s">
        <v>653</v>
      </c>
      <c r="I92" s="813" t="s">
        <v>653</v>
      </c>
      <c r="J92" s="847"/>
      <c r="K92" s="816" t="s">
        <v>653</v>
      </c>
      <c r="L92" s="505"/>
      <c r="M92" s="500" t="s">
        <v>653</v>
      </c>
      <c r="N92" s="506" t="s">
        <v>653</v>
      </c>
      <c r="O92" s="506" t="s">
        <v>653</v>
      </c>
      <c r="P92" s="496" t="s">
        <v>653</v>
      </c>
      <c r="Q92" s="497" t="s">
        <v>653</v>
      </c>
      <c r="R92" s="507" t="s">
        <v>653</v>
      </c>
      <c r="S92" s="505"/>
      <c r="T92" s="500" t="s">
        <v>653</v>
      </c>
      <c r="U92" s="506" t="s">
        <v>653</v>
      </c>
      <c r="V92" s="506" t="s">
        <v>653</v>
      </c>
      <c r="W92" s="496" t="s">
        <v>653</v>
      </c>
      <c r="X92" s="497" t="s">
        <v>653</v>
      </c>
      <c r="Y92" s="507" t="s">
        <v>653</v>
      </c>
    </row>
    <row r="93" spans="1:25" s="479" customFormat="1">
      <c r="A93" s="502">
        <f t="shared" si="1"/>
        <v>-47</v>
      </c>
      <c r="B93" s="809" t="s">
        <v>653</v>
      </c>
      <c r="C93" s="504"/>
      <c r="D93" s="817" t="s">
        <v>653</v>
      </c>
      <c r="E93" s="815" t="s">
        <v>653</v>
      </c>
      <c r="F93" s="1076"/>
      <c r="G93" s="815" t="s">
        <v>653</v>
      </c>
      <c r="H93" s="812" t="s">
        <v>653</v>
      </c>
      <c r="I93" s="813" t="s">
        <v>653</v>
      </c>
      <c r="J93" s="847"/>
      <c r="K93" s="816" t="s">
        <v>653</v>
      </c>
      <c r="L93" s="505"/>
      <c r="M93" s="500" t="s">
        <v>653</v>
      </c>
      <c r="N93" s="506" t="s">
        <v>653</v>
      </c>
      <c r="O93" s="506" t="s">
        <v>653</v>
      </c>
      <c r="P93" s="496" t="s">
        <v>653</v>
      </c>
      <c r="Q93" s="497" t="s">
        <v>653</v>
      </c>
      <c r="R93" s="507" t="s">
        <v>653</v>
      </c>
      <c r="S93" s="505"/>
      <c r="T93" s="500" t="s">
        <v>653</v>
      </c>
      <c r="U93" s="506" t="s">
        <v>653</v>
      </c>
      <c r="V93" s="506" t="s">
        <v>653</v>
      </c>
      <c r="W93" s="496" t="s">
        <v>653</v>
      </c>
      <c r="X93" s="497" t="s">
        <v>653</v>
      </c>
      <c r="Y93" s="507" t="s">
        <v>653</v>
      </c>
    </row>
    <row r="94" spans="1:25" s="479" customFormat="1">
      <c r="A94" s="502">
        <f t="shared" si="1"/>
        <v>-48</v>
      </c>
      <c r="B94" s="809" t="s">
        <v>653</v>
      </c>
      <c r="C94" s="504"/>
      <c r="D94" s="817" t="s">
        <v>653</v>
      </c>
      <c r="E94" s="815" t="s">
        <v>653</v>
      </c>
      <c r="F94" s="1076"/>
      <c r="G94" s="815" t="s">
        <v>653</v>
      </c>
      <c r="H94" s="812" t="s">
        <v>653</v>
      </c>
      <c r="I94" s="813" t="s">
        <v>653</v>
      </c>
      <c r="J94" s="847"/>
      <c r="K94" s="816" t="s">
        <v>653</v>
      </c>
      <c r="L94" s="505"/>
      <c r="M94" s="500" t="s">
        <v>653</v>
      </c>
      <c r="N94" s="506" t="s">
        <v>653</v>
      </c>
      <c r="O94" s="506" t="s">
        <v>653</v>
      </c>
      <c r="P94" s="496" t="s">
        <v>653</v>
      </c>
      <c r="Q94" s="497" t="s">
        <v>653</v>
      </c>
      <c r="R94" s="507" t="s">
        <v>653</v>
      </c>
      <c r="S94" s="505"/>
      <c r="T94" s="500" t="s">
        <v>653</v>
      </c>
      <c r="U94" s="506" t="s">
        <v>653</v>
      </c>
      <c r="V94" s="506" t="s">
        <v>653</v>
      </c>
      <c r="W94" s="496" t="s">
        <v>653</v>
      </c>
      <c r="X94" s="497" t="s">
        <v>653</v>
      </c>
      <c r="Y94" s="507" t="s">
        <v>653</v>
      </c>
    </row>
    <row r="95" spans="1:25" s="479" customFormat="1">
      <c r="A95" s="502">
        <f t="shared" si="1"/>
        <v>-49</v>
      </c>
      <c r="B95" s="809" t="s">
        <v>653</v>
      </c>
      <c r="C95" s="504"/>
      <c r="D95" s="817" t="s">
        <v>653</v>
      </c>
      <c r="E95" s="815" t="s">
        <v>653</v>
      </c>
      <c r="F95" s="1076"/>
      <c r="G95" s="815" t="s">
        <v>653</v>
      </c>
      <c r="H95" s="812" t="s">
        <v>653</v>
      </c>
      <c r="I95" s="813" t="s">
        <v>653</v>
      </c>
      <c r="J95" s="847"/>
      <c r="K95" s="816" t="s">
        <v>653</v>
      </c>
      <c r="L95" s="505"/>
      <c r="M95" s="500" t="s">
        <v>653</v>
      </c>
      <c r="N95" s="506" t="s">
        <v>653</v>
      </c>
      <c r="O95" s="506" t="s">
        <v>653</v>
      </c>
      <c r="P95" s="496" t="s">
        <v>653</v>
      </c>
      <c r="Q95" s="497" t="s">
        <v>653</v>
      </c>
      <c r="R95" s="507" t="s">
        <v>653</v>
      </c>
      <c r="S95" s="505"/>
      <c r="T95" s="500" t="s">
        <v>653</v>
      </c>
      <c r="U95" s="506" t="s">
        <v>653</v>
      </c>
      <c r="V95" s="506" t="s">
        <v>653</v>
      </c>
      <c r="W95" s="496" t="s">
        <v>653</v>
      </c>
      <c r="X95" s="497" t="s">
        <v>653</v>
      </c>
      <c r="Y95" s="507" t="s">
        <v>653</v>
      </c>
    </row>
    <row r="96" spans="1:25" s="479" customFormat="1">
      <c r="A96" s="502">
        <f t="shared" si="1"/>
        <v>-50</v>
      </c>
      <c r="B96" s="809" t="s">
        <v>653</v>
      </c>
      <c r="C96" s="504"/>
      <c r="D96" s="817" t="s">
        <v>653</v>
      </c>
      <c r="E96" s="815" t="s">
        <v>653</v>
      </c>
      <c r="F96" s="1076"/>
      <c r="G96" s="815" t="s">
        <v>653</v>
      </c>
      <c r="H96" s="812" t="s">
        <v>653</v>
      </c>
      <c r="I96" s="813" t="s">
        <v>653</v>
      </c>
      <c r="J96" s="847"/>
      <c r="K96" s="816" t="s">
        <v>653</v>
      </c>
      <c r="L96" s="505"/>
      <c r="M96" s="500" t="s">
        <v>653</v>
      </c>
      <c r="N96" s="506" t="s">
        <v>653</v>
      </c>
      <c r="O96" s="506" t="s">
        <v>653</v>
      </c>
      <c r="P96" s="496" t="s">
        <v>653</v>
      </c>
      <c r="Q96" s="497" t="s">
        <v>653</v>
      </c>
      <c r="R96" s="507" t="s">
        <v>653</v>
      </c>
      <c r="S96" s="505"/>
      <c r="T96" s="500" t="s">
        <v>653</v>
      </c>
      <c r="U96" s="506" t="s">
        <v>653</v>
      </c>
      <c r="V96" s="506" t="s">
        <v>653</v>
      </c>
      <c r="W96" s="496" t="s">
        <v>653</v>
      </c>
      <c r="X96" s="497" t="s">
        <v>653</v>
      </c>
      <c r="Y96" s="507" t="s">
        <v>653</v>
      </c>
    </row>
    <row r="97" spans="1:25" s="479" customFormat="1">
      <c r="A97" s="502">
        <f t="shared" si="1"/>
        <v>-51</v>
      </c>
      <c r="B97" s="809" t="s">
        <v>653</v>
      </c>
      <c r="C97" s="504"/>
      <c r="D97" s="817" t="s">
        <v>653</v>
      </c>
      <c r="E97" s="815" t="s">
        <v>653</v>
      </c>
      <c r="F97" s="1076"/>
      <c r="G97" s="815" t="s">
        <v>653</v>
      </c>
      <c r="H97" s="812" t="s">
        <v>653</v>
      </c>
      <c r="I97" s="813" t="s">
        <v>653</v>
      </c>
      <c r="J97" s="847"/>
      <c r="K97" s="816" t="s">
        <v>653</v>
      </c>
      <c r="L97" s="505"/>
      <c r="M97" s="500" t="s">
        <v>653</v>
      </c>
      <c r="N97" s="506" t="s">
        <v>653</v>
      </c>
      <c r="O97" s="506" t="s">
        <v>653</v>
      </c>
      <c r="P97" s="496" t="s">
        <v>653</v>
      </c>
      <c r="Q97" s="497" t="s">
        <v>653</v>
      </c>
      <c r="R97" s="507" t="s">
        <v>653</v>
      </c>
      <c r="S97" s="505"/>
      <c r="T97" s="500" t="s">
        <v>653</v>
      </c>
      <c r="U97" s="506" t="s">
        <v>653</v>
      </c>
      <c r="V97" s="506" t="s">
        <v>653</v>
      </c>
      <c r="W97" s="496" t="s">
        <v>653</v>
      </c>
      <c r="X97" s="497" t="s">
        <v>653</v>
      </c>
      <c r="Y97" s="507" t="s">
        <v>653</v>
      </c>
    </row>
    <row r="98" spans="1:25" s="479" customFormat="1">
      <c r="A98" s="502">
        <f t="shared" si="1"/>
        <v>-52</v>
      </c>
      <c r="B98" s="809" t="s">
        <v>653</v>
      </c>
      <c r="C98" s="504"/>
      <c r="D98" s="817" t="s">
        <v>653</v>
      </c>
      <c r="E98" s="815" t="s">
        <v>653</v>
      </c>
      <c r="F98" s="1076"/>
      <c r="G98" s="815" t="s">
        <v>653</v>
      </c>
      <c r="H98" s="812" t="s">
        <v>653</v>
      </c>
      <c r="I98" s="813" t="s">
        <v>653</v>
      </c>
      <c r="J98" s="847"/>
      <c r="K98" s="816" t="s">
        <v>653</v>
      </c>
      <c r="L98" s="505"/>
      <c r="M98" s="500" t="s">
        <v>653</v>
      </c>
      <c r="N98" s="506" t="s">
        <v>653</v>
      </c>
      <c r="O98" s="506" t="s">
        <v>653</v>
      </c>
      <c r="P98" s="496" t="s">
        <v>653</v>
      </c>
      <c r="Q98" s="497" t="s">
        <v>653</v>
      </c>
      <c r="R98" s="507" t="s">
        <v>653</v>
      </c>
      <c r="S98" s="505"/>
      <c r="T98" s="500" t="s">
        <v>653</v>
      </c>
      <c r="U98" s="506" t="s">
        <v>653</v>
      </c>
      <c r="V98" s="506" t="s">
        <v>653</v>
      </c>
      <c r="W98" s="496" t="s">
        <v>653</v>
      </c>
      <c r="X98" s="497" t="s">
        <v>653</v>
      </c>
      <c r="Y98" s="507" t="s">
        <v>653</v>
      </c>
    </row>
    <row r="99" spans="1:25" s="479" customFormat="1">
      <c r="A99" s="502">
        <f t="shared" si="1"/>
        <v>-53</v>
      </c>
      <c r="B99" s="809" t="s">
        <v>653</v>
      </c>
      <c r="C99" s="504"/>
      <c r="D99" s="817" t="s">
        <v>653</v>
      </c>
      <c r="E99" s="815" t="s">
        <v>653</v>
      </c>
      <c r="F99" s="1076"/>
      <c r="G99" s="815" t="s">
        <v>653</v>
      </c>
      <c r="H99" s="812" t="s">
        <v>653</v>
      </c>
      <c r="I99" s="813" t="s">
        <v>653</v>
      </c>
      <c r="J99" s="847"/>
      <c r="K99" s="816" t="s">
        <v>653</v>
      </c>
      <c r="L99" s="505"/>
      <c r="M99" s="500" t="s">
        <v>653</v>
      </c>
      <c r="N99" s="506" t="s">
        <v>653</v>
      </c>
      <c r="O99" s="506" t="s">
        <v>653</v>
      </c>
      <c r="P99" s="496" t="s">
        <v>653</v>
      </c>
      <c r="Q99" s="497" t="s">
        <v>653</v>
      </c>
      <c r="R99" s="507" t="s">
        <v>653</v>
      </c>
      <c r="S99" s="505"/>
      <c r="T99" s="500" t="s">
        <v>653</v>
      </c>
      <c r="U99" s="506" t="s">
        <v>653</v>
      </c>
      <c r="V99" s="506" t="s">
        <v>653</v>
      </c>
      <c r="W99" s="496" t="s">
        <v>653</v>
      </c>
      <c r="X99" s="497" t="s">
        <v>653</v>
      </c>
      <c r="Y99" s="507" t="s">
        <v>653</v>
      </c>
    </row>
    <row r="100" spans="1:25" s="479" customFormat="1">
      <c r="A100" s="502">
        <f t="shared" si="1"/>
        <v>-54</v>
      </c>
      <c r="B100" s="809" t="s">
        <v>653</v>
      </c>
      <c r="C100" s="504"/>
      <c r="D100" s="817" t="s">
        <v>653</v>
      </c>
      <c r="E100" s="815" t="s">
        <v>653</v>
      </c>
      <c r="F100" s="1076"/>
      <c r="G100" s="815" t="s">
        <v>653</v>
      </c>
      <c r="H100" s="812" t="s">
        <v>653</v>
      </c>
      <c r="I100" s="813" t="s">
        <v>653</v>
      </c>
      <c r="J100" s="847"/>
      <c r="K100" s="816" t="s">
        <v>653</v>
      </c>
      <c r="L100" s="505"/>
      <c r="M100" s="500" t="s">
        <v>653</v>
      </c>
      <c r="N100" s="506" t="s">
        <v>653</v>
      </c>
      <c r="O100" s="506" t="s">
        <v>653</v>
      </c>
      <c r="P100" s="496" t="s">
        <v>653</v>
      </c>
      <c r="Q100" s="497" t="s">
        <v>653</v>
      </c>
      <c r="R100" s="507" t="s">
        <v>653</v>
      </c>
      <c r="S100" s="505"/>
      <c r="T100" s="500" t="s">
        <v>653</v>
      </c>
      <c r="U100" s="506" t="s">
        <v>653</v>
      </c>
      <c r="V100" s="506" t="s">
        <v>653</v>
      </c>
      <c r="W100" s="496" t="s">
        <v>653</v>
      </c>
      <c r="X100" s="497" t="s">
        <v>653</v>
      </c>
      <c r="Y100" s="507" t="s">
        <v>653</v>
      </c>
    </row>
    <row r="101" spans="1:25" s="479" customFormat="1">
      <c r="A101" s="502">
        <f t="shared" si="1"/>
        <v>-55</v>
      </c>
      <c r="B101" s="809" t="s">
        <v>653</v>
      </c>
      <c r="C101" s="504"/>
      <c r="D101" s="817" t="s">
        <v>653</v>
      </c>
      <c r="E101" s="815" t="s">
        <v>653</v>
      </c>
      <c r="F101" s="1076"/>
      <c r="G101" s="815" t="s">
        <v>653</v>
      </c>
      <c r="H101" s="812" t="s">
        <v>653</v>
      </c>
      <c r="I101" s="813" t="s">
        <v>653</v>
      </c>
      <c r="J101" s="847"/>
      <c r="K101" s="816" t="s">
        <v>653</v>
      </c>
      <c r="L101" s="505"/>
      <c r="M101" s="500" t="s">
        <v>653</v>
      </c>
      <c r="N101" s="506" t="s">
        <v>653</v>
      </c>
      <c r="O101" s="506" t="s">
        <v>653</v>
      </c>
      <c r="P101" s="496" t="s">
        <v>653</v>
      </c>
      <c r="Q101" s="497" t="s">
        <v>653</v>
      </c>
      <c r="R101" s="507" t="s">
        <v>653</v>
      </c>
      <c r="S101" s="505"/>
      <c r="T101" s="500" t="s">
        <v>653</v>
      </c>
      <c r="U101" s="506" t="s">
        <v>653</v>
      </c>
      <c r="V101" s="506" t="s">
        <v>653</v>
      </c>
      <c r="W101" s="496" t="s">
        <v>653</v>
      </c>
      <c r="X101" s="497" t="s">
        <v>653</v>
      </c>
      <c r="Y101" s="507" t="s">
        <v>653</v>
      </c>
    </row>
    <row r="102" spans="1:25" s="479" customFormat="1">
      <c r="A102" s="502">
        <f t="shared" si="1"/>
        <v>-56</v>
      </c>
      <c r="B102" s="809" t="s">
        <v>653</v>
      </c>
      <c r="C102" s="504"/>
      <c r="D102" s="817" t="s">
        <v>653</v>
      </c>
      <c r="E102" s="815" t="s">
        <v>653</v>
      </c>
      <c r="F102" s="1076"/>
      <c r="G102" s="815" t="s">
        <v>653</v>
      </c>
      <c r="H102" s="812" t="s">
        <v>653</v>
      </c>
      <c r="I102" s="813" t="s">
        <v>653</v>
      </c>
      <c r="J102" s="847"/>
      <c r="K102" s="816" t="s">
        <v>653</v>
      </c>
      <c r="L102" s="505"/>
      <c r="M102" s="500" t="s">
        <v>653</v>
      </c>
      <c r="N102" s="506" t="s">
        <v>653</v>
      </c>
      <c r="O102" s="506" t="s">
        <v>653</v>
      </c>
      <c r="P102" s="496" t="s">
        <v>653</v>
      </c>
      <c r="Q102" s="497" t="s">
        <v>653</v>
      </c>
      <c r="R102" s="507" t="s">
        <v>653</v>
      </c>
      <c r="S102" s="505"/>
      <c r="T102" s="500" t="s">
        <v>653</v>
      </c>
      <c r="U102" s="506" t="s">
        <v>653</v>
      </c>
      <c r="V102" s="506" t="s">
        <v>653</v>
      </c>
      <c r="W102" s="496" t="s">
        <v>653</v>
      </c>
      <c r="X102" s="497" t="s">
        <v>653</v>
      </c>
      <c r="Y102" s="507" t="s">
        <v>653</v>
      </c>
    </row>
    <row r="103" spans="1:25" s="479" customFormat="1">
      <c r="A103" s="502">
        <f t="shared" si="1"/>
        <v>-57</v>
      </c>
      <c r="B103" s="809" t="s">
        <v>653</v>
      </c>
      <c r="C103" s="504"/>
      <c r="D103" s="817" t="s">
        <v>653</v>
      </c>
      <c r="E103" s="815" t="s">
        <v>653</v>
      </c>
      <c r="F103" s="1076"/>
      <c r="G103" s="815" t="s">
        <v>653</v>
      </c>
      <c r="H103" s="812" t="s">
        <v>653</v>
      </c>
      <c r="I103" s="813" t="s">
        <v>653</v>
      </c>
      <c r="J103" s="847"/>
      <c r="K103" s="816" t="s">
        <v>653</v>
      </c>
      <c r="L103" s="505"/>
      <c r="M103" s="500" t="s">
        <v>653</v>
      </c>
      <c r="N103" s="506" t="s">
        <v>653</v>
      </c>
      <c r="O103" s="506" t="s">
        <v>653</v>
      </c>
      <c r="P103" s="496" t="s">
        <v>653</v>
      </c>
      <c r="Q103" s="497" t="s">
        <v>653</v>
      </c>
      <c r="R103" s="507" t="s">
        <v>653</v>
      </c>
      <c r="S103" s="505"/>
      <c r="T103" s="500" t="s">
        <v>653</v>
      </c>
      <c r="U103" s="506" t="s">
        <v>653</v>
      </c>
      <c r="V103" s="506" t="s">
        <v>653</v>
      </c>
      <c r="W103" s="496" t="s">
        <v>653</v>
      </c>
      <c r="X103" s="497" t="s">
        <v>653</v>
      </c>
      <c r="Y103" s="507" t="s">
        <v>653</v>
      </c>
    </row>
    <row r="104" spans="1:25" s="479" customFormat="1">
      <c r="A104" s="502">
        <f t="shared" si="1"/>
        <v>-58</v>
      </c>
      <c r="B104" s="809" t="s">
        <v>653</v>
      </c>
      <c r="C104" s="504"/>
      <c r="D104" s="817" t="s">
        <v>653</v>
      </c>
      <c r="E104" s="815" t="s">
        <v>653</v>
      </c>
      <c r="F104" s="1076"/>
      <c r="G104" s="815" t="s">
        <v>653</v>
      </c>
      <c r="H104" s="812" t="s">
        <v>653</v>
      </c>
      <c r="I104" s="813" t="s">
        <v>653</v>
      </c>
      <c r="J104" s="847"/>
      <c r="K104" s="816" t="s">
        <v>653</v>
      </c>
      <c r="L104" s="505"/>
      <c r="M104" s="500" t="s">
        <v>653</v>
      </c>
      <c r="N104" s="506" t="s">
        <v>653</v>
      </c>
      <c r="O104" s="506" t="s">
        <v>653</v>
      </c>
      <c r="P104" s="496" t="s">
        <v>653</v>
      </c>
      <c r="Q104" s="497" t="s">
        <v>653</v>
      </c>
      <c r="R104" s="507" t="s">
        <v>653</v>
      </c>
      <c r="S104" s="505"/>
      <c r="T104" s="500" t="s">
        <v>653</v>
      </c>
      <c r="U104" s="506" t="s">
        <v>653</v>
      </c>
      <c r="V104" s="506" t="s">
        <v>653</v>
      </c>
      <c r="W104" s="496" t="s">
        <v>653</v>
      </c>
      <c r="X104" s="497" t="s">
        <v>653</v>
      </c>
      <c r="Y104" s="507" t="s">
        <v>653</v>
      </c>
    </row>
    <row r="105" spans="1:25" s="479" customFormat="1">
      <c r="A105" s="502">
        <f t="shared" si="1"/>
        <v>-59</v>
      </c>
      <c r="B105" s="809" t="s">
        <v>653</v>
      </c>
      <c r="C105" s="504"/>
      <c r="D105" s="817" t="s">
        <v>653</v>
      </c>
      <c r="E105" s="815" t="s">
        <v>653</v>
      </c>
      <c r="F105" s="1076"/>
      <c r="G105" s="815" t="s">
        <v>653</v>
      </c>
      <c r="H105" s="812" t="s">
        <v>653</v>
      </c>
      <c r="I105" s="813" t="s">
        <v>653</v>
      </c>
      <c r="J105" s="847"/>
      <c r="K105" s="816" t="s">
        <v>653</v>
      </c>
      <c r="L105" s="505"/>
      <c r="M105" s="500" t="s">
        <v>653</v>
      </c>
      <c r="N105" s="506" t="s">
        <v>653</v>
      </c>
      <c r="O105" s="506" t="s">
        <v>653</v>
      </c>
      <c r="P105" s="496" t="s">
        <v>653</v>
      </c>
      <c r="Q105" s="497" t="s">
        <v>653</v>
      </c>
      <c r="R105" s="507" t="s">
        <v>653</v>
      </c>
      <c r="S105" s="505"/>
      <c r="T105" s="500" t="s">
        <v>653</v>
      </c>
      <c r="U105" s="506" t="s">
        <v>653</v>
      </c>
      <c r="V105" s="506" t="s">
        <v>653</v>
      </c>
      <c r="W105" s="496" t="s">
        <v>653</v>
      </c>
      <c r="X105" s="497" t="s">
        <v>653</v>
      </c>
      <c r="Y105" s="507" t="s">
        <v>653</v>
      </c>
    </row>
    <row r="106" spans="1:25" s="479" customFormat="1">
      <c r="A106" s="502">
        <f t="shared" si="1"/>
        <v>-60</v>
      </c>
      <c r="B106" s="809" t="s">
        <v>653</v>
      </c>
      <c r="C106" s="504"/>
      <c r="D106" s="817" t="s">
        <v>653</v>
      </c>
      <c r="E106" s="815" t="s">
        <v>653</v>
      </c>
      <c r="F106" s="1076"/>
      <c r="G106" s="815" t="s">
        <v>653</v>
      </c>
      <c r="H106" s="812" t="s">
        <v>653</v>
      </c>
      <c r="I106" s="813" t="s">
        <v>653</v>
      </c>
      <c r="J106" s="847"/>
      <c r="K106" s="816" t="s">
        <v>653</v>
      </c>
      <c r="L106" s="505"/>
      <c r="M106" s="500" t="s">
        <v>653</v>
      </c>
      <c r="N106" s="506" t="s">
        <v>653</v>
      </c>
      <c r="O106" s="506" t="s">
        <v>653</v>
      </c>
      <c r="P106" s="496" t="s">
        <v>653</v>
      </c>
      <c r="Q106" s="497" t="s">
        <v>653</v>
      </c>
      <c r="R106" s="507" t="s">
        <v>653</v>
      </c>
      <c r="S106" s="505"/>
      <c r="T106" s="500" t="s">
        <v>653</v>
      </c>
      <c r="U106" s="506" t="s">
        <v>653</v>
      </c>
      <c r="V106" s="506" t="s">
        <v>653</v>
      </c>
      <c r="W106" s="496" t="s">
        <v>653</v>
      </c>
      <c r="X106" s="497" t="s">
        <v>653</v>
      </c>
      <c r="Y106" s="507" t="s">
        <v>653</v>
      </c>
    </row>
    <row r="107" spans="1:25" s="479" customFormat="1">
      <c r="A107" s="502">
        <f t="shared" si="1"/>
        <v>-61</v>
      </c>
      <c r="B107" s="809" t="s">
        <v>653</v>
      </c>
      <c r="C107" s="504"/>
      <c r="D107" s="817" t="s">
        <v>653</v>
      </c>
      <c r="E107" s="815" t="s">
        <v>653</v>
      </c>
      <c r="F107" s="1076"/>
      <c r="G107" s="815" t="s">
        <v>653</v>
      </c>
      <c r="H107" s="812" t="s">
        <v>653</v>
      </c>
      <c r="I107" s="813" t="s">
        <v>653</v>
      </c>
      <c r="J107" s="847"/>
      <c r="K107" s="816" t="s">
        <v>653</v>
      </c>
      <c r="L107" s="505"/>
      <c r="M107" s="500" t="s">
        <v>653</v>
      </c>
      <c r="N107" s="506" t="s">
        <v>653</v>
      </c>
      <c r="O107" s="506" t="s">
        <v>653</v>
      </c>
      <c r="P107" s="496" t="s">
        <v>653</v>
      </c>
      <c r="Q107" s="497" t="s">
        <v>653</v>
      </c>
      <c r="R107" s="507" t="s">
        <v>653</v>
      </c>
      <c r="S107" s="505"/>
      <c r="T107" s="500" t="s">
        <v>653</v>
      </c>
      <c r="U107" s="506" t="s">
        <v>653</v>
      </c>
      <c r="V107" s="506" t="s">
        <v>653</v>
      </c>
      <c r="W107" s="496" t="s">
        <v>653</v>
      </c>
      <c r="X107" s="497" t="s">
        <v>653</v>
      </c>
      <c r="Y107" s="507" t="s">
        <v>653</v>
      </c>
    </row>
    <row r="108" spans="1:25" s="479" customFormat="1">
      <c r="A108" s="502">
        <f t="shared" si="1"/>
        <v>-62</v>
      </c>
      <c r="B108" s="809" t="s">
        <v>653</v>
      </c>
      <c r="C108" s="504"/>
      <c r="D108" s="817" t="s">
        <v>653</v>
      </c>
      <c r="E108" s="815" t="s">
        <v>653</v>
      </c>
      <c r="F108" s="1076"/>
      <c r="G108" s="815" t="s">
        <v>653</v>
      </c>
      <c r="H108" s="812" t="s">
        <v>653</v>
      </c>
      <c r="I108" s="813" t="s">
        <v>653</v>
      </c>
      <c r="J108" s="847"/>
      <c r="K108" s="816" t="s">
        <v>653</v>
      </c>
      <c r="L108" s="505"/>
      <c r="M108" s="500" t="s">
        <v>653</v>
      </c>
      <c r="N108" s="506" t="s">
        <v>653</v>
      </c>
      <c r="O108" s="506" t="s">
        <v>653</v>
      </c>
      <c r="P108" s="496" t="s">
        <v>653</v>
      </c>
      <c r="Q108" s="497" t="s">
        <v>653</v>
      </c>
      <c r="R108" s="507" t="s">
        <v>653</v>
      </c>
      <c r="S108" s="505"/>
      <c r="T108" s="500" t="s">
        <v>653</v>
      </c>
      <c r="U108" s="506" t="s">
        <v>653</v>
      </c>
      <c r="V108" s="506" t="s">
        <v>653</v>
      </c>
      <c r="W108" s="496" t="s">
        <v>653</v>
      </c>
      <c r="X108" s="497" t="s">
        <v>653</v>
      </c>
      <c r="Y108" s="507" t="s">
        <v>653</v>
      </c>
    </row>
    <row r="109" spans="1:25" s="479" customFormat="1">
      <c r="A109" s="502">
        <f t="shared" si="1"/>
        <v>-63</v>
      </c>
      <c r="B109" s="809" t="s">
        <v>653</v>
      </c>
      <c r="C109" s="504"/>
      <c r="D109" s="817" t="s">
        <v>653</v>
      </c>
      <c r="E109" s="815" t="s">
        <v>653</v>
      </c>
      <c r="F109" s="1076"/>
      <c r="G109" s="815" t="s">
        <v>653</v>
      </c>
      <c r="H109" s="812" t="s">
        <v>653</v>
      </c>
      <c r="I109" s="813" t="s">
        <v>653</v>
      </c>
      <c r="J109" s="847"/>
      <c r="K109" s="816" t="s">
        <v>653</v>
      </c>
      <c r="L109" s="505"/>
      <c r="M109" s="500" t="s">
        <v>653</v>
      </c>
      <c r="N109" s="506" t="s">
        <v>653</v>
      </c>
      <c r="O109" s="506" t="s">
        <v>653</v>
      </c>
      <c r="P109" s="496" t="s">
        <v>653</v>
      </c>
      <c r="Q109" s="497" t="s">
        <v>653</v>
      </c>
      <c r="R109" s="507" t="s">
        <v>653</v>
      </c>
      <c r="S109" s="505"/>
      <c r="T109" s="500" t="s">
        <v>653</v>
      </c>
      <c r="U109" s="506" t="s">
        <v>653</v>
      </c>
      <c r="V109" s="506" t="s">
        <v>653</v>
      </c>
      <c r="W109" s="496" t="s">
        <v>653</v>
      </c>
      <c r="X109" s="497" t="s">
        <v>653</v>
      </c>
      <c r="Y109" s="507" t="s">
        <v>653</v>
      </c>
    </row>
    <row r="110" spans="1:25" s="479" customFormat="1">
      <c r="A110" s="502">
        <f t="shared" si="1"/>
        <v>-64</v>
      </c>
      <c r="B110" s="809" t="s">
        <v>653</v>
      </c>
      <c r="C110" s="504"/>
      <c r="D110" s="817" t="s">
        <v>653</v>
      </c>
      <c r="E110" s="815" t="s">
        <v>653</v>
      </c>
      <c r="F110" s="1076"/>
      <c r="G110" s="815" t="s">
        <v>653</v>
      </c>
      <c r="H110" s="812" t="s">
        <v>653</v>
      </c>
      <c r="I110" s="813" t="s">
        <v>653</v>
      </c>
      <c r="J110" s="847"/>
      <c r="K110" s="816" t="s">
        <v>653</v>
      </c>
      <c r="L110" s="505"/>
      <c r="M110" s="500" t="s">
        <v>653</v>
      </c>
      <c r="N110" s="506" t="s">
        <v>653</v>
      </c>
      <c r="O110" s="506" t="s">
        <v>653</v>
      </c>
      <c r="P110" s="496" t="s">
        <v>653</v>
      </c>
      <c r="Q110" s="497" t="s">
        <v>653</v>
      </c>
      <c r="R110" s="507" t="s">
        <v>653</v>
      </c>
      <c r="S110" s="505"/>
      <c r="T110" s="500" t="s">
        <v>653</v>
      </c>
      <c r="U110" s="506" t="s">
        <v>653</v>
      </c>
      <c r="V110" s="506" t="s">
        <v>653</v>
      </c>
      <c r="W110" s="496" t="s">
        <v>653</v>
      </c>
      <c r="X110" s="497" t="s">
        <v>653</v>
      </c>
      <c r="Y110" s="507" t="s">
        <v>653</v>
      </c>
    </row>
    <row r="111" spans="1:25" s="479" customFormat="1">
      <c r="A111" s="502">
        <f t="shared" si="1"/>
        <v>-65</v>
      </c>
      <c r="B111" s="809" t="s">
        <v>653</v>
      </c>
      <c r="C111" s="504"/>
      <c r="D111" s="817" t="s">
        <v>653</v>
      </c>
      <c r="E111" s="815" t="s">
        <v>653</v>
      </c>
      <c r="F111" s="1076"/>
      <c r="G111" s="815" t="s">
        <v>653</v>
      </c>
      <c r="H111" s="812" t="s">
        <v>653</v>
      </c>
      <c r="I111" s="813" t="s">
        <v>653</v>
      </c>
      <c r="J111" s="847"/>
      <c r="K111" s="816" t="s">
        <v>653</v>
      </c>
      <c r="L111" s="505"/>
      <c r="M111" s="500" t="s">
        <v>653</v>
      </c>
      <c r="N111" s="506" t="s">
        <v>653</v>
      </c>
      <c r="O111" s="506" t="s">
        <v>653</v>
      </c>
      <c r="P111" s="496" t="s">
        <v>653</v>
      </c>
      <c r="Q111" s="497" t="s">
        <v>653</v>
      </c>
      <c r="R111" s="507" t="s">
        <v>653</v>
      </c>
      <c r="S111" s="505"/>
      <c r="T111" s="500" t="s">
        <v>653</v>
      </c>
      <c r="U111" s="506" t="s">
        <v>653</v>
      </c>
      <c r="V111" s="506" t="s">
        <v>653</v>
      </c>
      <c r="W111" s="496" t="s">
        <v>653</v>
      </c>
      <c r="X111" s="497" t="s">
        <v>653</v>
      </c>
      <c r="Y111" s="507" t="s">
        <v>653</v>
      </c>
    </row>
    <row r="112" spans="1:25" s="479" customFormat="1">
      <c r="A112" s="502">
        <f t="shared" si="1"/>
        <v>-66</v>
      </c>
      <c r="B112" s="809" t="s">
        <v>653</v>
      </c>
      <c r="C112" s="504"/>
      <c r="D112" s="817" t="s">
        <v>653</v>
      </c>
      <c r="E112" s="815" t="s">
        <v>653</v>
      </c>
      <c r="F112" s="1076"/>
      <c r="G112" s="815" t="s">
        <v>653</v>
      </c>
      <c r="H112" s="812" t="s">
        <v>653</v>
      </c>
      <c r="I112" s="813" t="s">
        <v>653</v>
      </c>
      <c r="J112" s="847"/>
      <c r="K112" s="816" t="s">
        <v>653</v>
      </c>
      <c r="L112" s="505"/>
      <c r="M112" s="500" t="s">
        <v>653</v>
      </c>
      <c r="N112" s="506" t="s">
        <v>653</v>
      </c>
      <c r="O112" s="506" t="s">
        <v>653</v>
      </c>
      <c r="P112" s="496" t="s">
        <v>653</v>
      </c>
      <c r="Q112" s="497" t="s">
        <v>653</v>
      </c>
      <c r="R112" s="507" t="s">
        <v>653</v>
      </c>
      <c r="S112" s="505"/>
      <c r="T112" s="500" t="s">
        <v>653</v>
      </c>
      <c r="U112" s="506" t="s">
        <v>653</v>
      </c>
      <c r="V112" s="506" t="s">
        <v>653</v>
      </c>
      <c r="W112" s="496" t="s">
        <v>653</v>
      </c>
      <c r="X112" s="497" t="s">
        <v>653</v>
      </c>
      <c r="Y112" s="507" t="s">
        <v>653</v>
      </c>
    </row>
    <row r="113" spans="1:25" s="479" customFormat="1">
      <c r="A113" s="502">
        <f t="shared" si="1"/>
        <v>-67</v>
      </c>
      <c r="B113" s="809" t="s">
        <v>653</v>
      </c>
      <c r="C113" s="504"/>
      <c r="D113" s="817" t="s">
        <v>653</v>
      </c>
      <c r="E113" s="815" t="s">
        <v>653</v>
      </c>
      <c r="F113" s="1076"/>
      <c r="G113" s="815" t="s">
        <v>653</v>
      </c>
      <c r="H113" s="812" t="s">
        <v>653</v>
      </c>
      <c r="I113" s="813" t="s">
        <v>653</v>
      </c>
      <c r="J113" s="847"/>
      <c r="K113" s="816" t="s">
        <v>653</v>
      </c>
      <c r="L113" s="505"/>
      <c r="M113" s="500" t="s">
        <v>653</v>
      </c>
      <c r="N113" s="506" t="s">
        <v>653</v>
      </c>
      <c r="O113" s="506" t="s">
        <v>653</v>
      </c>
      <c r="P113" s="496" t="s">
        <v>653</v>
      </c>
      <c r="Q113" s="497" t="s">
        <v>653</v>
      </c>
      <c r="R113" s="507" t="s">
        <v>653</v>
      </c>
      <c r="S113" s="505"/>
      <c r="T113" s="500" t="s">
        <v>653</v>
      </c>
      <c r="U113" s="506" t="s">
        <v>653</v>
      </c>
      <c r="V113" s="506" t="s">
        <v>653</v>
      </c>
      <c r="W113" s="496" t="s">
        <v>653</v>
      </c>
      <c r="X113" s="497" t="s">
        <v>653</v>
      </c>
      <c r="Y113" s="507" t="s">
        <v>653</v>
      </c>
    </row>
    <row r="114" spans="1:25" s="479" customFormat="1">
      <c r="A114" s="502">
        <f t="shared" si="1"/>
        <v>-68</v>
      </c>
      <c r="B114" s="809" t="s">
        <v>653</v>
      </c>
      <c r="C114" s="504"/>
      <c r="D114" s="817" t="s">
        <v>653</v>
      </c>
      <c r="E114" s="815" t="s">
        <v>653</v>
      </c>
      <c r="F114" s="1076"/>
      <c r="G114" s="815" t="s">
        <v>653</v>
      </c>
      <c r="H114" s="812" t="s">
        <v>653</v>
      </c>
      <c r="I114" s="813" t="s">
        <v>653</v>
      </c>
      <c r="J114" s="847"/>
      <c r="K114" s="816" t="s">
        <v>653</v>
      </c>
      <c r="L114" s="505"/>
      <c r="M114" s="500" t="s">
        <v>653</v>
      </c>
      <c r="N114" s="506" t="s">
        <v>653</v>
      </c>
      <c r="O114" s="506" t="s">
        <v>653</v>
      </c>
      <c r="P114" s="496" t="s">
        <v>653</v>
      </c>
      <c r="Q114" s="497" t="s">
        <v>653</v>
      </c>
      <c r="R114" s="507" t="s">
        <v>653</v>
      </c>
      <c r="S114" s="505"/>
      <c r="T114" s="500" t="s">
        <v>653</v>
      </c>
      <c r="U114" s="506" t="s">
        <v>653</v>
      </c>
      <c r="V114" s="506" t="s">
        <v>653</v>
      </c>
      <c r="W114" s="496" t="s">
        <v>653</v>
      </c>
      <c r="X114" s="497" t="s">
        <v>653</v>
      </c>
      <c r="Y114" s="507" t="s">
        <v>653</v>
      </c>
    </row>
    <row r="115" spans="1:25" s="479" customFormat="1">
      <c r="A115" s="502">
        <f t="shared" si="1"/>
        <v>-69</v>
      </c>
      <c r="B115" s="809" t="s">
        <v>653</v>
      </c>
      <c r="C115" s="504"/>
      <c r="D115" s="817" t="s">
        <v>653</v>
      </c>
      <c r="E115" s="815" t="s">
        <v>653</v>
      </c>
      <c r="F115" s="1076"/>
      <c r="G115" s="815" t="s">
        <v>653</v>
      </c>
      <c r="H115" s="812" t="s">
        <v>653</v>
      </c>
      <c r="I115" s="813" t="s">
        <v>653</v>
      </c>
      <c r="J115" s="847"/>
      <c r="K115" s="816" t="s">
        <v>653</v>
      </c>
      <c r="L115" s="505"/>
      <c r="M115" s="500" t="s">
        <v>653</v>
      </c>
      <c r="N115" s="506" t="s">
        <v>653</v>
      </c>
      <c r="O115" s="506" t="s">
        <v>653</v>
      </c>
      <c r="P115" s="496" t="s">
        <v>653</v>
      </c>
      <c r="Q115" s="497" t="s">
        <v>653</v>
      </c>
      <c r="R115" s="507" t="s">
        <v>653</v>
      </c>
      <c r="S115" s="505"/>
      <c r="T115" s="500" t="s">
        <v>653</v>
      </c>
      <c r="U115" s="506" t="s">
        <v>653</v>
      </c>
      <c r="V115" s="506" t="s">
        <v>653</v>
      </c>
      <c r="W115" s="496" t="s">
        <v>653</v>
      </c>
      <c r="X115" s="497" t="s">
        <v>653</v>
      </c>
      <c r="Y115" s="507" t="s">
        <v>653</v>
      </c>
    </row>
    <row r="116" spans="1:25" s="479" customFormat="1">
      <c r="A116" s="502">
        <f t="shared" si="1"/>
        <v>-70</v>
      </c>
      <c r="B116" s="809" t="s">
        <v>653</v>
      </c>
      <c r="C116" s="504"/>
      <c r="D116" s="817" t="s">
        <v>653</v>
      </c>
      <c r="E116" s="815" t="s">
        <v>653</v>
      </c>
      <c r="F116" s="1076"/>
      <c r="G116" s="815" t="s">
        <v>653</v>
      </c>
      <c r="H116" s="812" t="s">
        <v>653</v>
      </c>
      <c r="I116" s="813" t="s">
        <v>653</v>
      </c>
      <c r="J116" s="847"/>
      <c r="K116" s="816" t="s">
        <v>653</v>
      </c>
      <c r="L116" s="505"/>
      <c r="M116" s="500" t="s">
        <v>653</v>
      </c>
      <c r="N116" s="506" t="s">
        <v>653</v>
      </c>
      <c r="O116" s="506" t="s">
        <v>653</v>
      </c>
      <c r="P116" s="496" t="s">
        <v>653</v>
      </c>
      <c r="Q116" s="497" t="s">
        <v>653</v>
      </c>
      <c r="R116" s="507" t="s">
        <v>653</v>
      </c>
      <c r="S116" s="505"/>
      <c r="T116" s="500" t="s">
        <v>653</v>
      </c>
      <c r="U116" s="506" t="s">
        <v>653</v>
      </c>
      <c r="V116" s="506" t="s">
        <v>653</v>
      </c>
      <c r="W116" s="496" t="s">
        <v>653</v>
      </c>
      <c r="X116" s="497" t="s">
        <v>653</v>
      </c>
      <c r="Y116" s="507" t="s">
        <v>653</v>
      </c>
    </row>
    <row r="117" spans="1:25" s="479" customFormat="1">
      <c r="A117" s="502">
        <f t="shared" si="1"/>
        <v>-71</v>
      </c>
      <c r="B117" s="809" t="s">
        <v>653</v>
      </c>
      <c r="C117" s="504"/>
      <c r="D117" s="817" t="s">
        <v>653</v>
      </c>
      <c r="E117" s="815" t="s">
        <v>653</v>
      </c>
      <c r="F117" s="1076"/>
      <c r="G117" s="815" t="s">
        <v>653</v>
      </c>
      <c r="H117" s="812" t="s">
        <v>653</v>
      </c>
      <c r="I117" s="813" t="s">
        <v>653</v>
      </c>
      <c r="J117" s="847"/>
      <c r="K117" s="816" t="s">
        <v>653</v>
      </c>
      <c r="L117" s="505"/>
      <c r="M117" s="500" t="s">
        <v>653</v>
      </c>
      <c r="N117" s="506" t="s">
        <v>653</v>
      </c>
      <c r="O117" s="506" t="s">
        <v>653</v>
      </c>
      <c r="P117" s="496" t="s">
        <v>653</v>
      </c>
      <c r="Q117" s="497" t="s">
        <v>653</v>
      </c>
      <c r="R117" s="507" t="s">
        <v>653</v>
      </c>
      <c r="S117" s="505"/>
      <c r="T117" s="500" t="s">
        <v>653</v>
      </c>
      <c r="U117" s="506" t="s">
        <v>653</v>
      </c>
      <c r="V117" s="506" t="s">
        <v>653</v>
      </c>
      <c r="W117" s="496" t="s">
        <v>653</v>
      </c>
      <c r="X117" s="497" t="s">
        <v>653</v>
      </c>
      <c r="Y117" s="507" t="s">
        <v>653</v>
      </c>
    </row>
    <row r="118" spans="1:25" s="479" customFormat="1">
      <c r="A118" s="502">
        <f t="shared" si="1"/>
        <v>-72</v>
      </c>
      <c r="B118" s="809" t="s">
        <v>653</v>
      </c>
      <c r="C118" s="504"/>
      <c r="D118" s="817" t="s">
        <v>653</v>
      </c>
      <c r="E118" s="815" t="s">
        <v>653</v>
      </c>
      <c r="F118" s="1076"/>
      <c r="G118" s="815" t="s">
        <v>653</v>
      </c>
      <c r="H118" s="812" t="s">
        <v>653</v>
      </c>
      <c r="I118" s="813" t="s">
        <v>653</v>
      </c>
      <c r="J118" s="847"/>
      <c r="K118" s="816" t="s">
        <v>653</v>
      </c>
      <c r="L118" s="505"/>
      <c r="M118" s="500" t="s">
        <v>653</v>
      </c>
      <c r="N118" s="506" t="s">
        <v>653</v>
      </c>
      <c r="O118" s="506" t="s">
        <v>653</v>
      </c>
      <c r="P118" s="496" t="s">
        <v>653</v>
      </c>
      <c r="Q118" s="497" t="s">
        <v>653</v>
      </c>
      <c r="R118" s="507" t="s">
        <v>653</v>
      </c>
      <c r="S118" s="505"/>
      <c r="T118" s="500" t="s">
        <v>653</v>
      </c>
      <c r="U118" s="506" t="s">
        <v>653</v>
      </c>
      <c r="V118" s="506" t="s">
        <v>653</v>
      </c>
      <c r="W118" s="496" t="s">
        <v>653</v>
      </c>
      <c r="X118" s="497" t="s">
        <v>653</v>
      </c>
      <c r="Y118" s="507" t="s">
        <v>653</v>
      </c>
    </row>
    <row r="119" spans="1:25" s="479" customFormat="1">
      <c r="A119" s="502">
        <f t="shared" si="1"/>
        <v>-73</v>
      </c>
      <c r="B119" s="809" t="s">
        <v>653</v>
      </c>
      <c r="C119" s="504"/>
      <c r="D119" s="817" t="s">
        <v>653</v>
      </c>
      <c r="E119" s="815" t="s">
        <v>653</v>
      </c>
      <c r="F119" s="1076"/>
      <c r="G119" s="815" t="s">
        <v>653</v>
      </c>
      <c r="H119" s="812" t="s">
        <v>653</v>
      </c>
      <c r="I119" s="813" t="s">
        <v>653</v>
      </c>
      <c r="J119" s="847"/>
      <c r="K119" s="816" t="s">
        <v>653</v>
      </c>
      <c r="L119" s="505"/>
      <c r="M119" s="500" t="s">
        <v>653</v>
      </c>
      <c r="N119" s="506" t="s">
        <v>653</v>
      </c>
      <c r="O119" s="506" t="s">
        <v>653</v>
      </c>
      <c r="P119" s="496" t="s">
        <v>653</v>
      </c>
      <c r="Q119" s="497" t="s">
        <v>653</v>
      </c>
      <c r="R119" s="507" t="s">
        <v>653</v>
      </c>
      <c r="S119" s="505"/>
      <c r="T119" s="500" t="s">
        <v>653</v>
      </c>
      <c r="U119" s="506" t="s">
        <v>653</v>
      </c>
      <c r="V119" s="506" t="s">
        <v>653</v>
      </c>
      <c r="W119" s="496" t="s">
        <v>653</v>
      </c>
      <c r="X119" s="497" t="s">
        <v>653</v>
      </c>
      <c r="Y119" s="507" t="s">
        <v>653</v>
      </c>
    </row>
    <row r="120" spans="1:25" s="479" customFormat="1">
      <c r="A120" s="502">
        <f t="shared" si="1"/>
        <v>-74</v>
      </c>
      <c r="B120" s="809" t="s">
        <v>653</v>
      </c>
      <c r="C120" s="504"/>
      <c r="D120" s="817" t="s">
        <v>653</v>
      </c>
      <c r="E120" s="815" t="s">
        <v>653</v>
      </c>
      <c r="F120" s="1076"/>
      <c r="G120" s="815" t="s">
        <v>653</v>
      </c>
      <c r="H120" s="812" t="s">
        <v>653</v>
      </c>
      <c r="I120" s="813" t="s">
        <v>653</v>
      </c>
      <c r="J120" s="847"/>
      <c r="K120" s="816" t="s">
        <v>653</v>
      </c>
      <c r="L120" s="505"/>
      <c r="M120" s="500" t="s">
        <v>653</v>
      </c>
      <c r="N120" s="506" t="s">
        <v>653</v>
      </c>
      <c r="O120" s="506" t="s">
        <v>653</v>
      </c>
      <c r="P120" s="496" t="s">
        <v>653</v>
      </c>
      <c r="Q120" s="497" t="s">
        <v>653</v>
      </c>
      <c r="R120" s="507" t="s">
        <v>653</v>
      </c>
      <c r="S120" s="505"/>
      <c r="T120" s="500" t="s">
        <v>653</v>
      </c>
      <c r="U120" s="506" t="s">
        <v>653</v>
      </c>
      <c r="V120" s="506" t="s">
        <v>653</v>
      </c>
      <c r="W120" s="496" t="s">
        <v>653</v>
      </c>
      <c r="X120" s="497" t="s">
        <v>653</v>
      </c>
      <c r="Y120" s="507" t="s">
        <v>653</v>
      </c>
    </row>
    <row r="121" spans="1:25" s="479" customFormat="1">
      <c r="A121" s="502">
        <f t="shared" si="1"/>
        <v>-75</v>
      </c>
      <c r="B121" s="809" t="s">
        <v>653</v>
      </c>
      <c r="C121" s="504"/>
      <c r="D121" s="817" t="s">
        <v>653</v>
      </c>
      <c r="E121" s="815" t="s">
        <v>653</v>
      </c>
      <c r="F121" s="1076"/>
      <c r="G121" s="815" t="s">
        <v>653</v>
      </c>
      <c r="H121" s="812" t="s">
        <v>653</v>
      </c>
      <c r="I121" s="813" t="s">
        <v>653</v>
      </c>
      <c r="J121" s="847"/>
      <c r="K121" s="816" t="s">
        <v>653</v>
      </c>
      <c r="L121" s="505"/>
      <c r="M121" s="500" t="s">
        <v>653</v>
      </c>
      <c r="N121" s="506" t="s">
        <v>653</v>
      </c>
      <c r="O121" s="506" t="s">
        <v>653</v>
      </c>
      <c r="P121" s="496" t="s">
        <v>653</v>
      </c>
      <c r="Q121" s="497" t="s">
        <v>653</v>
      </c>
      <c r="R121" s="507" t="s">
        <v>653</v>
      </c>
      <c r="S121" s="505"/>
      <c r="T121" s="500" t="s">
        <v>653</v>
      </c>
      <c r="U121" s="506" t="s">
        <v>653</v>
      </c>
      <c r="V121" s="506" t="s">
        <v>653</v>
      </c>
      <c r="W121" s="496" t="s">
        <v>653</v>
      </c>
      <c r="X121" s="497" t="s">
        <v>653</v>
      </c>
      <c r="Y121" s="507" t="s">
        <v>653</v>
      </c>
    </row>
    <row r="122" spans="1:25" s="479" customFormat="1">
      <c r="A122" s="502">
        <f t="shared" si="1"/>
        <v>-76</v>
      </c>
      <c r="B122" s="809" t="s">
        <v>653</v>
      </c>
      <c r="C122" s="504"/>
      <c r="D122" s="817" t="s">
        <v>653</v>
      </c>
      <c r="E122" s="815" t="s">
        <v>653</v>
      </c>
      <c r="F122" s="1076"/>
      <c r="G122" s="815" t="s">
        <v>653</v>
      </c>
      <c r="H122" s="812" t="s">
        <v>653</v>
      </c>
      <c r="I122" s="813" t="s">
        <v>653</v>
      </c>
      <c r="J122" s="847"/>
      <c r="K122" s="816" t="s">
        <v>653</v>
      </c>
      <c r="L122" s="505"/>
      <c r="M122" s="500" t="s">
        <v>653</v>
      </c>
      <c r="N122" s="506" t="s">
        <v>653</v>
      </c>
      <c r="O122" s="506" t="s">
        <v>653</v>
      </c>
      <c r="P122" s="496" t="s">
        <v>653</v>
      </c>
      <c r="Q122" s="497" t="s">
        <v>653</v>
      </c>
      <c r="R122" s="507" t="s">
        <v>653</v>
      </c>
      <c r="S122" s="505"/>
      <c r="T122" s="500" t="s">
        <v>653</v>
      </c>
      <c r="U122" s="506" t="s">
        <v>653</v>
      </c>
      <c r="V122" s="506" t="s">
        <v>653</v>
      </c>
      <c r="W122" s="496" t="s">
        <v>653</v>
      </c>
      <c r="X122" s="497" t="s">
        <v>653</v>
      </c>
      <c r="Y122" s="507" t="s">
        <v>653</v>
      </c>
    </row>
    <row r="123" spans="1:25" s="479" customFormat="1">
      <c r="A123" s="502">
        <f t="shared" si="1"/>
        <v>-77</v>
      </c>
      <c r="B123" s="809" t="s">
        <v>653</v>
      </c>
      <c r="C123" s="504"/>
      <c r="D123" s="817" t="s">
        <v>653</v>
      </c>
      <c r="E123" s="815" t="s">
        <v>653</v>
      </c>
      <c r="F123" s="1076"/>
      <c r="G123" s="815" t="s">
        <v>653</v>
      </c>
      <c r="H123" s="812" t="s">
        <v>653</v>
      </c>
      <c r="I123" s="813" t="s">
        <v>653</v>
      </c>
      <c r="J123" s="847"/>
      <c r="K123" s="816" t="s">
        <v>653</v>
      </c>
      <c r="L123" s="505"/>
      <c r="M123" s="500" t="s">
        <v>653</v>
      </c>
      <c r="N123" s="506" t="s">
        <v>653</v>
      </c>
      <c r="O123" s="506" t="s">
        <v>653</v>
      </c>
      <c r="P123" s="496" t="s">
        <v>653</v>
      </c>
      <c r="Q123" s="497" t="s">
        <v>653</v>
      </c>
      <c r="R123" s="507" t="s">
        <v>653</v>
      </c>
      <c r="S123" s="505"/>
      <c r="T123" s="500" t="s">
        <v>653</v>
      </c>
      <c r="U123" s="506" t="s">
        <v>653</v>
      </c>
      <c r="V123" s="506" t="s">
        <v>653</v>
      </c>
      <c r="W123" s="496" t="s">
        <v>653</v>
      </c>
      <c r="X123" s="497" t="s">
        <v>653</v>
      </c>
      <c r="Y123" s="507" t="s">
        <v>653</v>
      </c>
    </row>
    <row r="124" spans="1:25" s="479" customFormat="1">
      <c r="A124" s="502">
        <f t="shared" si="1"/>
        <v>-78</v>
      </c>
      <c r="B124" s="809" t="s">
        <v>653</v>
      </c>
      <c r="C124" s="504"/>
      <c r="D124" s="817" t="s">
        <v>653</v>
      </c>
      <c r="E124" s="815" t="s">
        <v>653</v>
      </c>
      <c r="F124" s="1076"/>
      <c r="G124" s="815" t="s">
        <v>653</v>
      </c>
      <c r="H124" s="812" t="s">
        <v>653</v>
      </c>
      <c r="I124" s="813" t="s">
        <v>653</v>
      </c>
      <c r="J124" s="847"/>
      <c r="K124" s="816" t="s">
        <v>653</v>
      </c>
      <c r="L124" s="505"/>
      <c r="M124" s="500" t="s">
        <v>653</v>
      </c>
      <c r="N124" s="506" t="s">
        <v>653</v>
      </c>
      <c r="O124" s="506" t="s">
        <v>653</v>
      </c>
      <c r="P124" s="496" t="s">
        <v>653</v>
      </c>
      <c r="Q124" s="497" t="s">
        <v>653</v>
      </c>
      <c r="R124" s="507" t="s">
        <v>653</v>
      </c>
      <c r="S124" s="505"/>
      <c r="T124" s="500" t="s">
        <v>653</v>
      </c>
      <c r="U124" s="506" t="s">
        <v>653</v>
      </c>
      <c r="V124" s="506" t="s">
        <v>653</v>
      </c>
      <c r="W124" s="496" t="s">
        <v>653</v>
      </c>
      <c r="X124" s="497" t="s">
        <v>653</v>
      </c>
      <c r="Y124" s="507" t="s">
        <v>653</v>
      </c>
    </row>
    <row r="125" spans="1:25" s="479" customFormat="1">
      <c r="A125" s="502">
        <f t="shared" si="1"/>
        <v>-79</v>
      </c>
      <c r="B125" s="809" t="s">
        <v>653</v>
      </c>
      <c r="C125" s="504"/>
      <c r="D125" s="817" t="s">
        <v>653</v>
      </c>
      <c r="E125" s="815" t="s">
        <v>653</v>
      </c>
      <c r="F125" s="1076"/>
      <c r="G125" s="815" t="s">
        <v>653</v>
      </c>
      <c r="H125" s="812" t="s">
        <v>653</v>
      </c>
      <c r="I125" s="813" t="s">
        <v>653</v>
      </c>
      <c r="J125" s="847"/>
      <c r="K125" s="816" t="s">
        <v>653</v>
      </c>
      <c r="L125" s="505"/>
      <c r="M125" s="500" t="s">
        <v>653</v>
      </c>
      <c r="N125" s="506" t="s">
        <v>653</v>
      </c>
      <c r="O125" s="506" t="s">
        <v>653</v>
      </c>
      <c r="P125" s="496" t="s">
        <v>653</v>
      </c>
      <c r="Q125" s="497" t="s">
        <v>653</v>
      </c>
      <c r="R125" s="507" t="s">
        <v>653</v>
      </c>
      <c r="S125" s="505"/>
      <c r="T125" s="500" t="s">
        <v>653</v>
      </c>
      <c r="U125" s="506" t="s">
        <v>653</v>
      </c>
      <c r="V125" s="506" t="s">
        <v>653</v>
      </c>
      <c r="W125" s="496" t="s">
        <v>653</v>
      </c>
      <c r="X125" s="497" t="s">
        <v>653</v>
      </c>
      <c r="Y125" s="507" t="s">
        <v>653</v>
      </c>
    </row>
    <row r="126" spans="1:25" s="479" customFormat="1">
      <c r="A126" s="502">
        <f t="shared" si="1"/>
        <v>-80</v>
      </c>
      <c r="B126" s="809" t="s">
        <v>653</v>
      </c>
      <c r="C126" s="504"/>
      <c r="D126" s="817" t="s">
        <v>653</v>
      </c>
      <c r="E126" s="815" t="s">
        <v>653</v>
      </c>
      <c r="F126" s="1076"/>
      <c r="G126" s="815" t="s">
        <v>653</v>
      </c>
      <c r="H126" s="812" t="s">
        <v>653</v>
      </c>
      <c r="I126" s="813" t="s">
        <v>653</v>
      </c>
      <c r="J126" s="847"/>
      <c r="K126" s="816" t="s">
        <v>653</v>
      </c>
      <c r="L126" s="505"/>
      <c r="M126" s="500" t="s">
        <v>653</v>
      </c>
      <c r="N126" s="506" t="s">
        <v>653</v>
      </c>
      <c r="O126" s="506" t="s">
        <v>653</v>
      </c>
      <c r="P126" s="496" t="s">
        <v>653</v>
      </c>
      <c r="Q126" s="497" t="s">
        <v>653</v>
      </c>
      <c r="R126" s="507" t="s">
        <v>653</v>
      </c>
      <c r="S126" s="505"/>
      <c r="T126" s="500" t="s">
        <v>653</v>
      </c>
      <c r="U126" s="506" t="s">
        <v>653</v>
      </c>
      <c r="V126" s="506" t="s">
        <v>653</v>
      </c>
      <c r="W126" s="496" t="s">
        <v>653</v>
      </c>
      <c r="X126" s="497" t="s">
        <v>653</v>
      </c>
      <c r="Y126" s="507" t="s">
        <v>653</v>
      </c>
    </row>
    <row r="127" spans="1:25" s="479" customFormat="1">
      <c r="A127" s="502">
        <f t="shared" si="1"/>
        <v>-81</v>
      </c>
      <c r="B127" s="809" t="s">
        <v>653</v>
      </c>
      <c r="C127" s="504"/>
      <c r="D127" s="817" t="s">
        <v>653</v>
      </c>
      <c r="E127" s="815" t="s">
        <v>653</v>
      </c>
      <c r="F127" s="1076"/>
      <c r="G127" s="815" t="s">
        <v>653</v>
      </c>
      <c r="H127" s="812" t="s">
        <v>653</v>
      </c>
      <c r="I127" s="813" t="s">
        <v>653</v>
      </c>
      <c r="J127" s="847"/>
      <c r="K127" s="816" t="s">
        <v>653</v>
      </c>
      <c r="L127" s="505"/>
      <c r="M127" s="500" t="s">
        <v>653</v>
      </c>
      <c r="N127" s="506" t="s">
        <v>653</v>
      </c>
      <c r="O127" s="506" t="s">
        <v>653</v>
      </c>
      <c r="P127" s="496" t="s">
        <v>653</v>
      </c>
      <c r="Q127" s="497" t="s">
        <v>653</v>
      </c>
      <c r="R127" s="507" t="s">
        <v>653</v>
      </c>
      <c r="S127" s="505"/>
      <c r="T127" s="500" t="s">
        <v>653</v>
      </c>
      <c r="U127" s="506" t="s">
        <v>653</v>
      </c>
      <c r="V127" s="506" t="s">
        <v>653</v>
      </c>
      <c r="W127" s="496" t="s">
        <v>653</v>
      </c>
      <c r="X127" s="497" t="s">
        <v>653</v>
      </c>
      <c r="Y127" s="507" t="s">
        <v>653</v>
      </c>
    </row>
    <row r="128" spans="1:25" s="479" customFormat="1">
      <c r="A128" s="502">
        <f t="shared" si="1"/>
        <v>-82</v>
      </c>
      <c r="B128" s="809" t="s">
        <v>653</v>
      </c>
      <c r="C128" s="504"/>
      <c r="D128" s="817" t="s">
        <v>653</v>
      </c>
      <c r="E128" s="815" t="s">
        <v>653</v>
      </c>
      <c r="F128" s="1076"/>
      <c r="G128" s="815" t="s">
        <v>653</v>
      </c>
      <c r="H128" s="812" t="s">
        <v>653</v>
      </c>
      <c r="I128" s="813" t="s">
        <v>653</v>
      </c>
      <c r="J128" s="847"/>
      <c r="K128" s="816" t="s">
        <v>653</v>
      </c>
      <c r="L128" s="505"/>
      <c r="M128" s="500" t="s">
        <v>653</v>
      </c>
      <c r="N128" s="506" t="s">
        <v>653</v>
      </c>
      <c r="O128" s="506" t="s">
        <v>653</v>
      </c>
      <c r="P128" s="496" t="s">
        <v>653</v>
      </c>
      <c r="Q128" s="497" t="s">
        <v>653</v>
      </c>
      <c r="R128" s="507" t="s">
        <v>653</v>
      </c>
      <c r="S128" s="505"/>
      <c r="T128" s="500" t="s">
        <v>653</v>
      </c>
      <c r="U128" s="506" t="s">
        <v>653</v>
      </c>
      <c r="V128" s="506" t="s">
        <v>653</v>
      </c>
      <c r="W128" s="496" t="s">
        <v>653</v>
      </c>
      <c r="X128" s="497" t="s">
        <v>653</v>
      </c>
      <c r="Y128" s="507" t="s">
        <v>653</v>
      </c>
    </row>
    <row r="129" spans="1:25" s="479" customFormat="1">
      <c r="A129" s="502">
        <f t="shared" si="1"/>
        <v>-83</v>
      </c>
      <c r="B129" s="809" t="s">
        <v>653</v>
      </c>
      <c r="C129" s="504"/>
      <c r="D129" s="817" t="s">
        <v>653</v>
      </c>
      <c r="E129" s="815" t="s">
        <v>653</v>
      </c>
      <c r="F129" s="1076"/>
      <c r="G129" s="815" t="s">
        <v>653</v>
      </c>
      <c r="H129" s="812" t="s">
        <v>653</v>
      </c>
      <c r="I129" s="813" t="s">
        <v>653</v>
      </c>
      <c r="J129" s="847"/>
      <c r="K129" s="816" t="s">
        <v>653</v>
      </c>
      <c r="L129" s="505"/>
      <c r="M129" s="500" t="s">
        <v>653</v>
      </c>
      <c r="N129" s="506" t="s">
        <v>653</v>
      </c>
      <c r="O129" s="506" t="s">
        <v>653</v>
      </c>
      <c r="P129" s="496" t="s">
        <v>653</v>
      </c>
      <c r="Q129" s="497" t="s">
        <v>653</v>
      </c>
      <c r="R129" s="507" t="s">
        <v>653</v>
      </c>
      <c r="S129" s="505"/>
      <c r="T129" s="500" t="s">
        <v>653</v>
      </c>
      <c r="U129" s="506" t="s">
        <v>653</v>
      </c>
      <c r="V129" s="506" t="s">
        <v>653</v>
      </c>
      <c r="W129" s="496" t="s">
        <v>653</v>
      </c>
      <c r="X129" s="497" t="s">
        <v>653</v>
      </c>
      <c r="Y129" s="507" t="s">
        <v>653</v>
      </c>
    </row>
    <row r="130" spans="1:25" s="479" customFormat="1">
      <c r="A130" s="502">
        <f t="shared" si="1"/>
        <v>-84</v>
      </c>
      <c r="B130" s="809" t="s">
        <v>653</v>
      </c>
      <c r="C130" s="504"/>
      <c r="D130" s="817" t="s">
        <v>653</v>
      </c>
      <c r="E130" s="815" t="s">
        <v>653</v>
      </c>
      <c r="F130" s="1076"/>
      <c r="G130" s="815" t="s">
        <v>653</v>
      </c>
      <c r="H130" s="812" t="s">
        <v>653</v>
      </c>
      <c r="I130" s="813" t="s">
        <v>653</v>
      </c>
      <c r="J130" s="847"/>
      <c r="K130" s="816" t="s">
        <v>653</v>
      </c>
      <c r="L130" s="505"/>
      <c r="M130" s="500" t="s">
        <v>653</v>
      </c>
      <c r="N130" s="506" t="s">
        <v>653</v>
      </c>
      <c r="O130" s="506" t="s">
        <v>653</v>
      </c>
      <c r="P130" s="496" t="s">
        <v>653</v>
      </c>
      <c r="Q130" s="497" t="s">
        <v>653</v>
      </c>
      <c r="R130" s="507" t="s">
        <v>653</v>
      </c>
      <c r="S130" s="505"/>
      <c r="T130" s="500" t="s">
        <v>653</v>
      </c>
      <c r="U130" s="506" t="s">
        <v>653</v>
      </c>
      <c r="V130" s="506" t="s">
        <v>653</v>
      </c>
      <c r="W130" s="496" t="s">
        <v>653</v>
      </c>
      <c r="X130" s="497" t="s">
        <v>653</v>
      </c>
      <c r="Y130" s="507" t="s">
        <v>653</v>
      </c>
    </row>
    <row r="131" spans="1:25" s="479" customFormat="1">
      <c r="A131" s="502">
        <f t="shared" si="1"/>
        <v>-85</v>
      </c>
      <c r="B131" s="809" t="s">
        <v>653</v>
      </c>
      <c r="C131" s="504"/>
      <c r="D131" s="817" t="s">
        <v>653</v>
      </c>
      <c r="E131" s="815" t="s">
        <v>653</v>
      </c>
      <c r="F131" s="1076"/>
      <c r="G131" s="815" t="s">
        <v>653</v>
      </c>
      <c r="H131" s="812" t="s">
        <v>653</v>
      </c>
      <c r="I131" s="813" t="s">
        <v>653</v>
      </c>
      <c r="J131" s="847"/>
      <c r="K131" s="816" t="s">
        <v>653</v>
      </c>
      <c r="L131" s="505"/>
      <c r="M131" s="500" t="s">
        <v>653</v>
      </c>
      <c r="N131" s="506" t="s">
        <v>653</v>
      </c>
      <c r="O131" s="506" t="s">
        <v>653</v>
      </c>
      <c r="P131" s="496" t="s">
        <v>653</v>
      </c>
      <c r="Q131" s="497" t="s">
        <v>653</v>
      </c>
      <c r="R131" s="507" t="s">
        <v>653</v>
      </c>
      <c r="S131" s="505"/>
      <c r="T131" s="500" t="s">
        <v>653</v>
      </c>
      <c r="U131" s="506" t="s">
        <v>653</v>
      </c>
      <c r="V131" s="506" t="s">
        <v>653</v>
      </c>
      <c r="W131" s="496" t="s">
        <v>653</v>
      </c>
      <c r="X131" s="497" t="s">
        <v>653</v>
      </c>
      <c r="Y131" s="507" t="s">
        <v>653</v>
      </c>
    </row>
    <row r="132" spans="1:25" s="479" customFormat="1">
      <c r="A132" s="502">
        <f t="shared" si="1"/>
        <v>-86</v>
      </c>
      <c r="B132" s="809" t="s">
        <v>653</v>
      </c>
      <c r="C132" s="504"/>
      <c r="D132" s="817" t="s">
        <v>653</v>
      </c>
      <c r="E132" s="815" t="s">
        <v>653</v>
      </c>
      <c r="F132" s="1076"/>
      <c r="G132" s="815" t="s">
        <v>653</v>
      </c>
      <c r="H132" s="812" t="s">
        <v>653</v>
      </c>
      <c r="I132" s="813" t="s">
        <v>653</v>
      </c>
      <c r="J132" s="847"/>
      <c r="K132" s="816" t="s">
        <v>653</v>
      </c>
      <c r="L132" s="505"/>
      <c r="M132" s="500" t="s">
        <v>653</v>
      </c>
      <c r="N132" s="506" t="s">
        <v>653</v>
      </c>
      <c r="O132" s="506" t="s">
        <v>653</v>
      </c>
      <c r="P132" s="496" t="s">
        <v>653</v>
      </c>
      <c r="Q132" s="497" t="s">
        <v>653</v>
      </c>
      <c r="R132" s="507" t="s">
        <v>653</v>
      </c>
      <c r="S132" s="505"/>
      <c r="T132" s="500" t="s">
        <v>653</v>
      </c>
      <c r="U132" s="506" t="s">
        <v>653</v>
      </c>
      <c r="V132" s="506" t="s">
        <v>653</v>
      </c>
      <c r="W132" s="496" t="s">
        <v>653</v>
      </c>
      <c r="X132" s="497" t="s">
        <v>653</v>
      </c>
      <c r="Y132" s="507" t="s">
        <v>653</v>
      </c>
    </row>
    <row r="133" spans="1:25" s="479" customFormat="1">
      <c r="A133" s="502">
        <f t="shared" si="1"/>
        <v>-87</v>
      </c>
      <c r="B133" s="809" t="s">
        <v>653</v>
      </c>
      <c r="C133" s="504"/>
      <c r="D133" s="817" t="s">
        <v>653</v>
      </c>
      <c r="E133" s="815" t="s">
        <v>653</v>
      </c>
      <c r="F133" s="1076"/>
      <c r="G133" s="815" t="s">
        <v>653</v>
      </c>
      <c r="H133" s="812" t="s">
        <v>653</v>
      </c>
      <c r="I133" s="813" t="s">
        <v>653</v>
      </c>
      <c r="J133" s="847"/>
      <c r="K133" s="816" t="s">
        <v>653</v>
      </c>
      <c r="L133" s="505"/>
      <c r="M133" s="500" t="s">
        <v>653</v>
      </c>
      <c r="N133" s="506" t="s">
        <v>653</v>
      </c>
      <c r="O133" s="506" t="s">
        <v>653</v>
      </c>
      <c r="P133" s="496" t="s">
        <v>653</v>
      </c>
      <c r="Q133" s="497" t="s">
        <v>653</v>
      </c>
      <c r="R133" s="507" t="s">
        <v>653</v>
      </c>
      <c r="S133" s="505"/>
      <c r="T133" s="500" t="s">
        <v>653</v>
      </c>
      <c r="U133" s="506" t="s">
        <v>653</v>
      </c>
      <c r="V133" s="506" t="s">
        <v>653</v>
      </c>
      <c r="W133" s="496" t="s">
        <v>653</v>
      </c>
      <c r="X133" s="497" t="s">
        <v>653</v>
      </c>
      <c r="Y133" s="507" t="s">
        <v>653</v>
      </c>
    </row>
    <row r="134" spans="1:25" s="479" customFormat="1">
      <c r="A134" s="502">
        <f t="shared" si="1"/>
        <v>-88</v>
      </c>
      <c r="B134" s="809" t="s">
        <v>653</v>
      </c>
      <c r="C134" s="504"/>
      <c r="D134" s="817" t="s">
        <v>653</v>
      </c>
      <c r="E134" s="815" t="s">
        <v>653</v>
      </c>
      <c r="F134" s="1076"/>
      <c r="G134" s="815" t="s">
        <v>653</v>
      </c>
      <c r="H134" s="812" t="s">
        <v>653</v>
      </c>
      <c r="I134" s="813" t="s">
        <v>653</v>
      </c>
      <c r="J134" s="847"/>
      <c r="K134" s="816" t="s">
        <v>653</v>
      </c>
      <c r="L134" s="505"/>
      <c r="M134" s="500" t="s">
        <v>653</v>
      </c>
      <c r="N134" s="506" t="s">
        <v>653</v>
      </c>
      <c r="O134" s="506" t="s">
        <v>653</v>
      </c>
      <c r="P134" s="496" t="s">
        <v>653</v>
      </c>
      <c r="Q134" s="497" t="s">
        <v>653</v>
      </c>
      <c r="R134" s="507" t="s">
        <v>653</v>
      </c>
      <c r="S134" s="505"/>
      <c r="T134" s="500" t="s">
        <v>653</v>
      </c>
      <c r="U134" s="506" t="s">
        <v>653</v>
      </c>
      <c r="V134" s="506" t="s">
        <v>653</v>
      </c>
      <c r="W134" s="496" t="s">
        <v>653</v>
      </c>
      <c r="X134" s="497" t="s">
        <v>653</v>
      </c>
      <c r="Y134" s="507" t="s">
        <v>653</v>
      </c>
    </row>
    <row r="135" spans="1:25" s="479" customFormat="1">
      <c r="A135" s="502">
        <f t="shared" si="1"/>
        <v>-89</v>
      </c>
      <c r="B135" s="809" t="s">
        <v>653</v>
      </c>
      <c r="C135" s="504"/>
      <c r="D135" s="817" t="s">
        <v>653</v>
      </c>
      <c r="E135" s="815" t="s">
        <v>653</v>
      </c>
      <c r="F135" s="1076"/>
      <c r="G135" s="815" t="s">
        <v>653</v>
      </c>
      <c r="H135" s="812" t="s">
        <v>653</v>
      </c>
      <c r="I135" s="813" t="s">
        <v>653</v>
      </c>
      <c r="J135" s="847"/>
      <c r="K135" s="816" t="s">
        <v>653</v>
      </c>
      <c r="L135" s="505"/>
      <c r="M135" s="500" t="s">
        <v>653</v>
      </c>
      <c r="N135" s="506" t="s">
        <v>653</v>
      </c>
      <c r="O135" s="506" t="s">
        <v>653</v>
      </c>
      <c r="P135" s="496" t="s">
        <v>653</v>
      </c>
      <c r="Q135" s="497" t="s">
        <v>653</v>
      </c>
      <c r="R135" s="507" t="s">
        <v>653</v>
      </c>
      <c r="S135" s="505"/>
      <c r="T135" s="500" t="s">
        <v>653</v>
      </c>
      <c r="U135" s="506" t="s">
        <v>653</v>
      </c>
      <c r="V135" s="506" t="s">
        <v>653</v>
      </c>
      <c r="W135" s="496" t="s">
        <v>653</v>
      </c>
      <c r="X135" s="497" t="s">
        <v>653</v>
      </c>
      <c r="Y135" s="507" t="s">
        <v>653</v>
      </c>
    </row>
    <row r="136" spans="1:25" s="479" customFormat="1">
      <c r="A136" s="502">
        <f t="shared" si="1"/>
        <v>-90</v>
      </c>
      <c r="B136" s="809" t="s">
        <v>653</v>
      </c>
      <c r="C136" s="504"/>
      <c r="D136" s="817" t="s">
        <v>653</v>
      </c>
      <c r="E136" s="815" t="s">
        <v>653</v>
      </c>
      <c r="F136" s="1076"/>
      <c r="G136" s="815" t="s">
        <v>653</v>
      </c>
      <c r="H136" s="812" t="s">
        <v>653</v>
      </c>
      <c r="I136" s="813" t="s">
        <v>653</v>
      </c>
      <c r="J136" s="847"/>
      <c r="K136" s="816" t="s">
        <v>653</v>
      </c>
      <c r="L136" s="505"/>
      <c r="M136" s="500" t="s">
        <v>653</v>
      </c>
      <c r="N136" s="506" t="s">
        <v>653</v>
      </c>
      <c r="O136" s="506" t="s">
        <v>653</v>
      </c>
      <c r="P136" s="496" t="s">
        <v>653</v>
      </c>
      <c r="Q136" s="497" t="s">
        <v>653</v>
      </c>
      <c r="R136" s="507" t="s">
        <v>653</v>
      </c>
      <c r="S136" s="505"/>
      <c r="T136" s="500" t="s">
        <v>653</v>
      </c>
      <c r="U136" s="506" t="s">
        <v>653</v>
      </c>
      <c r="V136" s="506" t="s">
        <v>653</v>
      </c>
      <c r="W136" s="496" t="s">
        <v>653</v>
      </c>
      <c r="X136" s="497" t="s">
        <v>653</v>
      </c>
      <c r="Y136" s="507" t="s">
        <v>653</v>
      </c>
    </row>
    <row r="137" spans="1:25" s="479" customFormat="1">
      <c r="A137" s="502">
        <f t="shared" si="1"/>
        <v>-91</v>
      </c>
      <c r="B137" s="809" t="s">
        <v>653</v>
      </c>
      <c r="C137" s="504"/>
      <c r="D137" s="817" t="s">
        <v>653</v>
      </c>
      <c r="E137" s="815" t="s">
        <v>653</v>
      </c>
      <c r="F137" s="1076"/>
      <c r="G137" s="815" t="s">
        <v>653</v>
      </c>
      <c r="H137" s="812" t="s">
        <v>653</v>
      </c>
      <c r="I137" s="813" t="s">
        <v>653</v>
      </c>
      <c r="J137" s="847"/>
      <c r="K137" s="816" t="s">
        <v>653</v>
      </c>
      <c r="L137" s="505"/>
      <c r="M137" s="500" t="s">
        <v>653</v>
      </c>
      <c r="N137" s="506" t="s">
        <v>653</v>
      </c>
      <c r="O137" s="506" t="s">
        <v>653</v>
      </c>
      <c r="P137" s="496" t="s">
        <v>653</v>
      </c>
      <c r="Q137" s="497" t="s">
        <v>653</v>
      </c>
      <c r="R137" s="507" t="s">
        <v>653</v>
      </c>
      <c r="S137" s="505"/>
      <c r="T137" s="500" t="s">
        <v>653</v>
      </c>
      <c r="U137" s="506" t="s">
        <v>653</v>
      </c>
      <c r="V137" s="506" t="s">
        <v>653</v>
      </c>
      <c r="W137" s="496" t="s">
        <v>653</v>
      </c>
      <c r="X137" s="497" t="s">
        <v>653</v>
      </c>
      <c r="Y137" s="507" t="s">
        <v>653</v>
      </c>
    </row>
    <row r="138" spans="1:25" s="479" customFormat="1">
      <c r="A138" s="502">
        <f t="shared" si="1"/>
        <v>-92</v>
      </c>
      <c r="B138" s="809" t="s">
        <v>653</v>
      </c>
      <c r="C138" s="504"/>
      <c r="D138" s="817" t="s">
        <v>653</v>
      </c>
      <c r="E138" s="815" t="s">
        <v>653</v>
      </c>
      <c r="F138" s="1076"/>
      <c r="G138" s="815" t="s">
        <v>653</v>
      </c>
      <c r="H138" s="812" t="s">
        <v>653</v>
      </c>
      <c r="I138" s="813" t="s">
        <v>653</v>
      </c>
      <c r="J138" s="847"/>
      <c r="K138" s="816" t="s">
        <v>653</v>
      </c>
      <c r="L138" s="505"/>
      <c r="M138" s="500" t="s">
        <v>653</v>
      </c>
      <c r="N138" s="506" t="s">
        <v>653</v>
      </c>
      <c r="O138" s="506" t="s">
        <v>653</v>
      </c>
      <c r="P138" s="496" t="s">
        <v>653</v>
      </c>
      <c r="Q138" s="497" t="s">
        <v>653</v>
      </c>
      <c r="R138" s="507" t="s">
        <v>653</v>
      </c>
      <c r="S138" s="505"/>
      <c r="T138" s="500" t="s">
        <v>653</v>
      </c>
      <c r="U138" s="506" t="s">
        <v>653</v>
      </c>
      <c r="V138" s="506" t="s">
        <v>653</v>
      </c>
      <c r="W138" s="496" t="s">
        <v>653</v>
      </c>
      <c r="X138" s="497" t="s">
        <v>653</v>
      </c>
      <c r="Y138" s="507" t="s">
        <v>653</v>
      </c>
    </row>
    <row r="139" spans="1:25" s="479" customFormat="1">
      <c r="A139" s="502">
        <f t="shared" si="1"/>
        <v>-93</v>
      </c>
      <c r="B139" s="809" t="s">
        <v>653</v>
      </c>
      <c r="C139" s="504"/>
      <c r="D139" s="817" t="s">
        <v>653</v>
      </c>
      <c r="E139" s="815" t="s">
        <v>653</v>
      </c>
      <c r="F139" s="1076"/>
      <c r="G139" s="815" t="s">
        <v>653</v>
      </c>
      <c r="H139" s="812" t="s">
        <v>653</v>
      </c>
      <c r="I139" s="813" t="s">
        <v>653</v>
      </c>
      <c r="J139" s="847"/>
      <c r="K139" s="816" t="s">
        <v>653</v>
      </c>
      <c r="L139" s="505"/>
      <c r="M139" s="500" t="s">
        <v>653</v>
      </c>
      <c r="N139" s="506" t="s">
        <v>653</v>
      </c>
      <c r="O139" s="506" t="s">
        <v>653</v>
      </c>
      <c r="P139" s="496" t="s">
        <v>653</v>
      </c>
      <c r="Q139" s="497" t="s">
        <v>653</v>
      </c>
      <c r="R139" s="507" t="s">
        <v>653</v>
      </c>
      <c r="S139" s="505"/>
      <c r="T139" s="500" t="s">
        <v>653</v>
      </c>
      <c r="U139" s="506" t="s">
        <v>653</v>
      </c>
      <c r="V139" s="506" t="s">
        <v>653</v>
      </c>
      <c r="W139" s="496" t="s">
        <v>653</v>
      </c>
      <c r="X139" s="497" t="s">
        <v>653</v>
      </c>
      <c r="Y139" s="507" t="s">
        <v>653</v>
      </c>
    </row>
    <row r="140" spans="1:25" s="479" customFormat="1">
      <c r="A140" s="502">
        <f t="shared" si="1"/>
        <v>-94</v>
      </c>
      <c r="B140" s="809" t="s">
        <v>653</v>
      </c>
      <c r="C140" s="504"/>
      <c r="D140" s="817" t="s">
        <v>653</v>
      </c>
      <c r="E140" s="815" t="s">
        <v>653</v>
      </c>
      <c r="F140" s="1076"/>
      <c r="G140" s="815" t="s">
        <v>653</v>
      </c>
      <c r="H140" s="812" t="s">
        <v>653</v>
      </c>
      <c r="I140" s="813" t="s">
        <v>653</v>
      </c>
      <c r="J140" s="847"/>
      <c r="K140" s="816" t="s">
        <v>653</v>
      </c>
      <c r="L140" s="505"/>
      <c r="M140" s="500" t="s">
        <v>653</v>
      </c>
      <c r="N140" s="506" t="s">
        <v>653</v>
      </c>
      <c r="O140" s="506" t="s">
        <v>653</v>
      </c>
      <c r="P140" s="496" t="s">
        <v>653</v>
      </c>
      <c r="Q140" s="497" t="s">
        <v>653</v>
      </c>
      <c r="R140" s="507" t="s">
        <v>653</v>
      </c>
      <c r="S140" s="505"/>
      <c r="T140" s="500" t="s">
        <v>653</v>
      </c>
      <c r="U140" s="506" t="s">
        <v>653</v>
      </c>
      <c r="V140" s="506" t="s">
        <v>653</v>
      </c>
      <c r="W140" s="496" t="s">
        <v>653</v>
      </c>
      <c r="X140" s="497" t="s">
        <v>653</v>
      </c>
      <c r="Y140" s="507" t="s">
        <v>653</v>
      </c>
    </row>
    <row r="141" spans="1:25" s="479" customFormat="1">
      <c r="A141" s="502">
        <f t="shared" si="1"/>
        <v>-95</v>
      </c>
      <c r="B141" s="809" t="s">
        <v>653</v>
      </c>
      <c r="C141" s="504"/>
      <c r="D141" s="817" t="s">
        <v>653</v>
      </c>
      <c r="E141" s="815" t="s">
        <v>653</v>
      </c>
      <c r="F141" s="1076"/>
      <c r="G141" s="815" t="s">
        <v>653</v>
      </c>
      <c r="H141" s="812" t="s">
        <v>653</v>
      </c>
      <c r="I141" s="813" t="s">
        <v>653</v>
      </c>
      <c r="J141" s="847"/>
      <c r="K141" s="816" t="s">
        <v>653</v>
      </c>
      <c r="L141" s="505"/>
      <c r="M141" s="500" t="s">
        <v>653</v>
      </c>
      <c r="N141" s="506" t="s">
        <v>653</v>
      </c>
      <c r="O141" s="506" t="s">
        <v>653</v>
      </c>
      <c r="P141" s="496" t="s">
        <v>653</v>
      </c>
      <c r="Q141" s="497" t="s">
        <v>653</v>
      </c>
      <c r="R141" s="507" t="s">
        <v>653</v>
      </c>
      <c r="S141" s="505"/>
      <c r="T141" s="500" t="s">
        <v>653</v>
      </c>
      <c r="U141" s="506" t="s">
        <v>653</v>
      </c>
      <c r="V141" s="506" t="s">
        <v>653</v>
      </c>
      <c r="W141" s="496" t="s">
        <v>653</v>
      </c>
      <c r="X141" s="497" t="s">
        <v>653</v>
      </c>
      <c r="Y141" s="507" t="s">
        <v>653</v>
      </c>
    </row>
    <row r="142" spans="1:25" s="479" customFormat="1">
      <c r="A142" s="502">
        <f t="shared" si="1"/>
        <v>-96</v>
      </c>
      <c r="B142" s="809" t="s">
        <v>653</v>
      </c>
      <c r="C142" s="504"/>
      <c r="D142" s="817" t="s">
        <v>653</v>
      </c>
      <c r="E142" s="815" t="s">
        <v>653</v>
      </c>
      <c r="F142" s="1076"/>
      <c r="G142" s="815" t="s">
        <v>653</v>
      </c>
      <c r="H142" s="812" t="s">
        <v>653</v>
      </c>
      <c r="I142" s="813" t="s">
        <v>653</v>
      </c>
      <c r="J142" s="847"/>
      <c r="K142" s="816" t="s">
        <v>653</v>
      </c>
      <c r="L142" s="505"/>
      <c r="M142" s="500" t="s">
        <v>653</v>
      </c>
      <c r="N142" s="506" t="s">
        <v>653</v>
      </c>
      <c r="O142" s="506" t="s">
        <v>653</v>
      </c>
      <c r="P142" s="496" t="s">
        <v>653</v>
      </c>
      <c r="Q142" s="497" t="s">
        <v>653</v>
      </c>
      <c r="R142" s="507" t="s">
        <v>653</v>
      </c>
      <c r="S142" s="505"/>
      <c r="T142" s="500" t="s">
        <v>653</v>
      </c>
      <c r="U142" s="506" t="s">
        <v>653</v>
      </c>
      <c r="V142" s="506" t="s">
        <v>653</v>
      </c>
      <c r="W142" s="496" t="s">
        <v>653</v>
      </c>
      <c r="X142" s="497" t="s">
        <v>653</v>
      </c>
      <c r="Y142" s="507" t="s">
        <v>653</v>
      </c>
    </row>
    <row r="143" spans="1:25" s="479" customFormat="1">
      <c r="A143" s="502">
        <f t="shared" si="1"/>
        <v>-97</v>
      </c>
      <c r="B143" s="809" t="s">
        <v>653</v>
      </c>
      <c r="C143" s="504"/>
      <c r="D143" s="817" t="s">
        <v>653</v>
      </c>
      <c r="E143" s="815" t="s">
        <v>653</v>
      </c>
      <c r="F143" s="1076"/>
      <c r="G143" s="815" t="s">
        <v>653</v>
      </c>
      <c r="H143" s="812" t="s">
        <v>653</v>
      </c>
      <c r="I143" s="813" t="s">
        <v>653</v>
      </c>
      <c r="J143" s="847"/>
      <c r="K143" s="816" t="s">
        <v>653</v>
      </c>
      <c r="L143" s="505"/>
      <c r="M143" s="500" t="s">
        <v>653</v>
      </c>
      <c r="N143" s="506" t="s">
        <v>653</v>
      </c>
      <c r="O143" s="506" t="s">
        <v>653</v>
      </c>
      <c r="P143" s="496" t="s">
        <v>653</v>
      </c>
      <c r="Q143" s="497" t="s">
        <v>653</v>
      </c>
      <c r="R143" s="507" t="s">
        <v>653</v>
      </c>
      <c r="S143" s="505"/>
      <c r="T143" s="500" t="s">
        <v>653</v>
      </c>
      <c r="U143" s="506" t="s">
        <v>653</v>
      </c>
      <c r="V143" s="506" t="s">
        <v>653</v>
      </c>
      <c r="W143" s="496" t="s">
        <v>653</v>
      </c>
      <c r="X143" s="497" t="s">
        <v>653</v>
      </c>
      <c r="Y143" s="507" t="s">
        <v>653</v>
      </c>
    </row>
    <row r="144" spans="1:25" s="479" customFormat="1">
      <c r="A144" s="502">
        <f t="shared" si="1"/>
        <v>-98</v>
      </c>
      <c r="B144" s="809" t="s">
        <v>653</v>
      </c>
      <c r="C144" s="504"/>
      <c r="D144" s="817" t="s">
        <v>653</v>
      </c>
      <c r="E144" s="815" t="s">
        <v>653</v>
      </c>
      <c r="F144" s="1076"/>
      <c r="G144" s="815" t="s">
        <v>653</v>
      </c>
      <c r="H144" s="812" t="s">
        <v>653</v>
      </c>
      <c r="I144" s="813" t="s">
        <v>653</v>
      </c>
      <c r="J144" s="847"/>
      <c r="K144" s="816" t="s">
        <v>653</v>
      </c>
      <c r="L144" s="505"/>
      <c r="M144" s="500" t="s">
        <v>653</v>
      </c>
      <c r="N144" s="506" t="s">
        <v>653</v>
      </c>
      <c r="O144" s="506" t="s">
        <v>653</v>
      </c>
      <c r="P144" s="496" t="s">
        <v>653</v>
      </c>
      <c r="Q144" s="497" t="s">
        <v>653</v>
      </c>
      <c r="R144" s="507" t="s">
        <v>653</v>
      </c>
      <c r="S144" s="505"/>
      <c r="T144" s="500" t="s">
        <v>653</v>
      </c>
      <c r="U144" s="506" t="s">
        <v>653</v>
      </c>
      <c r="V144" s="506" t="s">
        <v>653</v>
      </c>
      <c r="W144" s="496" t="s">
        <v>653</v>
      </c>
      <c r="X144" s="497" t="s">
        <v>653</v>
      </c>
      <c r="Y144" s="507" t="s">
        <v>653</v>
      </c>
    </row>
    <row r="145" spans="1:25" s="479" customFormat="1">
      <c r="A145" s="502">
        <f t="shared" si="1"/>
        <v>-99</v>
      </c>
      <c r="B145" s="809" t="s">
        <v>653</v>
      </c>
      <c r="C145" s="504"/>
      <c r="D145" s="817" t="s">
        <v>653</v>
      </c>
      <c r="E145" s="815" t="s">
        <v>653</v>
      </c>
      <c r="F145" s="1076"/>
      <c r="G145" s="815" t="s">
        <v>653</v>
      </c>
      <c r="H145" s="812" t="s">
        <v>653</v>
      </c>
      <c r="I145" s="813" t="s">
        <v>653</v>
      </c>
      <c r="J145" s="847"/>
      <c r="K145" s="816" t="s">
        <v>653</v>
      </c>
      <c r="L145" s="505"/>
      <c r="M145" s="500" t="s">
        <v>653</v>
      </c>
      <c r="N145" s="506" t="s">
        <v>653</v>
      </c>
      <c r="O145" s="506" t="s">
        <v>653</v>
      </c>
      <c r="P145" s="496" t="s">
        <v>653</v>
      </c>
      <c r="Q145" s="497" t="s">
        <v>653</v>
      </c>
      <c r="R145" s="507" t="s">
        <v>653</v>
      </c>
      <c r="S145" s="505"/>
      <c r="T145" s="500" t="s">
        <v>653</v>
      </c>
      <c r="U145" s="506" t="s">
        <v>653</v>
      </c>
      <c r="V145" s="506" t="s">
        <v>653</v>
      </c>
      <c r="W145" s="496" t="s">
        <v>653</v>
      </c>
      <c r="X145" s="497" t="s">
        <v>653</v>
      </c>
      <c r="Y145" s="507" t="s">
        <v>653</v>
      </c>
    </row>
    <row r="146" spans="1:25" s="479" customFormat="1">
      <c r="A146" s="502">
        <f t="shared" si="1"/>
        <v>-100</v>
      </c>
      <c r="B146" s="809" t="s">
        <v>653</v>
      </c>
      <c r="C146" s="504"/>
      <c r="D146" s="817" t="s">
        <v>653</v>
      </c>
      <c r="E146" s="815" t="s">
        <v>653</v>
      </c>
      <c r="F146" s="1076"/>
      <c r="G146" s="815" t="s">
        <v>653</v>
      </c>
      <c r="H146" s="812" t="s">
        <v>653</v>
      </c>
      <c r="I146" s="813" t="s">
        <v>653</v>
      </c>
      <c r="J146" s="847"/>
      <c r="K146" s="816" t="s">
        <v>653</v>
      </c>
      <c r="L146" s="505"/>
      <c r="M146" s="500" t="s">
        <v>653</v>
      </c>
      <c r="N146" s="506" t="s">
        <v>653</v>
      </c>
      <c r="O146" s="506" t="s">
        <v>653</v>
      </c>
      <c r="P146" s="496" t="s">
        <v>653</v>
      </c>
      <c r="Q146" s="497" t="s">
        <v>653</v>
      </c>
      <c r="R146" s="507" t="s">
        <v>653</v>
      </c>
      <c r="S146" s="505"/>
      <c r="T146" s="500" t="s">
        <v>653</v>
      </c>
      <c r="U146" s="506" t="s">
        <v>653</v>
      </c>
      <c r="V146" s="506" t="s">
        <v>653</v>
      </c>
      <c r="W146" s="496" t="s">
        <v>653</v>
      </c>
      <c r="X146" s="497" t="s">
        <v>653</v>
      </c>
      <c r="Y146" s="507" t="s">
        <v>653</v>
      </c>
    </row>
    <row r="147" spans="1:25" s="479" customFormat="1">
      <c r="A147" s="502">
        <f t="shared" si="1"/>
        <v>-101</v>
      </c>
      <c r="B147" s="809" t="s">
        <v>653</v>
      </c>
      <c r="C147" s="504"/>
      <c r="D147" s="817" t="s">
        <v>653</v>
      </c>
      <c r="E147" s="815" t="s">
        <v>653</v>
      </c>
      <c r="F147" s="1076"/>
      <c r="G147" s="815" t="s">
        <v>653</v>
      </c>
      <c r="H147" s="812" t="s">
        <v>653</v>
      </c>
      <c r="I147" s="813" t="s">
        <v>653</v>
      </c>
      <c r="J147" s="847"/>
      <c r="K147" s="816" t="s">
        <v>653</v>
      </c>
      <c r="L147" s="505"/>
      <c r="M147" s="500" t="s">
        <v>653</v>
      </c>
      <c r="N147" s="506" t="s">
        <v>653</v>
      </c>
      <c r="O147" s="506" t="s">
        <v>653</v>
      </c>
      <c r="P147" s="496" t="s">
        <v>653</v>
      </c>
      <c r="Q147" s="497" t="s">
        <v>653</v>
      </c>
      <c r="R147" s="507" t="s">
        <v>653</v>
      </c>
      <c r="S147" s="505"/>
      <c r="T147" s="500" t="s">
        <v>653</v>
      </c>
      <c r="U147" s="506" t="s">
        <v>653</v>
      </c>
      <c r="V147" s="506" t="s">
        <v>653</v>
      </c>
      <c r="W147" s="496" t="s">
        <v>653</v>
      </c>
      <c r="X147" s="497" t="s">
        <v>653</v>
      </c>
      <c r="Y147" s="507" t="s">
        <v>653</v>
      </c>
    </row>
    <row r="148" spans="1:25" s="479" customFormat="1">
      <c r="A148" s="502">
        <f t="shared" si="1"/>
        <v>-102</v>
      </c>
      <c r="B148" s="809" t="s">
        <v>653</v>
      </c>
      <c r="C148" s="504"/>
      <c r="D148" s="817" t="s">
        <v>653</v>
      </c>
      <c r="E148" s="815" t="s">
        <v>653</v>
      </c>
      <c r="F148" s="1076"/>
      <c r="G148" s="815" t="s">
        <v>653</v>
      </c>
      <c r="H148" s="812" t="s">
        <v>653</v>
      </c>
      <c r="I148" s="813" t="s">
        <v>653</v>
      </c>
      <c r="J148" s="847"/>
      <c r="K148" s="816" t="s">
        <v>653</v>
      </c>
      <c r="L148" s="505"/>
      <c r="M148" s="500" t="s">
        <v>653</v>
      </c>
      <c r="N148" s="506" t="s">
        <v>653</v>
      </c>
      <c r="O148" s="506" t="s">
        <v>653</v>
      </c>
      <c r="P148" s="496" t="s">
        <v>653</v>
      </c>
      <c r="Q148" s="497" t="s">
        <v>653</v>
      </c>
      <c r="R148" s="507" t="s">
        <v>653</v>
      </c>
      <c r="S148" s="505"/>
      <c r="T148" s="500" t="s">
        <v>653</v>
      </c>
      <c r="U148" s="506" t="s">
        <v>653</v>
      </c>
      <c r="V148" s="506" t="s">
        <v>653</v>
      </c>
      <c r="W148" s="496" t="s">
        <v>653</v>
      </c>
      <c r="X148" s="497" t="s">
        <v>653</v>
      </c>
      <c r="Y148" s="507" t="s">
        <v>653</v>
      </c>
    </row>
    <row r="149" spans="1:25" s="479" customFormat="1">
      <c r="A149" s="502">
        <f t="shared" si="1"/>
        <v>-103</v>
      </c>
      <c r="B149" s="809" t="s">
        <v>653</v>
      </c>
      <c r="C149" s="504"/>
      <c r="D149" s="817" t="s">
        <v>653</v>
      </c>
      <c r="E149" s="815" t="s">
        <v>653</v>
      </c>
      <c r="F149" s="1076"/>
      <c r="G149" s="815" t="s">
        <v>653</v>
      </c>
      <c r="H149" s="812" t="s">
        <v>653</v>
      </c>
      <c r="I149" s="813" t="s">
        <v>653</v>
      </c>
      <c r="J149" s="847"/>
      <c r="K149" s="816" t="s">
        <v>653</v>
      </c>
      <c r="L149" s="505"/>
      <c r="M149" s="500" t="s">
        <v>653</v>
      </c>
      <c r="N149" s="506" t="s">
        <v>653</v>
      </c>
      <c r="O149" s="506" t="s">
        <v>653</v>
      </c>
      <c r="P149" s="496" t="s">
        <v>653</v>
      </c>
      <c r="Q149" s="497" t="s">
        <v>653</v>
      </c>
      <c r="R149" s="507" t="s">
        <v>653</v>
      </c>
      <c r="S149" s="505"/>
      <c r="T149" s="500" t="s">
        <v>653</v>
      </c>
      <c r="U149" s="506" t="s">
        <v>653</v>
      </c>
      <c r="V149" s="506" t="s">
        <v>653</v>
      </c>
      <c r="W149" s="496" t="s">
        <v>653</v>
      </c>
      <c r="X149" s="497" t="s">
        <v>653</v>
      </c>
      <c r="Y149" s="507" t="s">
        <v>653</v>
      </c>
    </row>
    <row r="150" spans="1:25" s="479" customFormat="1">
      <c r="A150" s="502">
        <f t="shared" si="1"/>
        <v>-104</v>
      </c>
      <c r="B150" s="809" t="s">
        <v>653</v>
      </c>
      <c r="C150" s="504"/>
      <c r="D150" s="817" t="s">
        <v>653</v>
      </c>
      <c r="E150" s="815" t="s">
        <v>653</v>
      </c>
      <c r="F150" s="1076"/>
      <c r="G150" s="815" t="s">
        <v>653</v>
      </c>
      <c r="H150" s="812" t="s">
        <v>653</v>
      </c>
      <c r="I150" s="813" t="s">
        <v>653</v>
      </c>
      <c r="J150" s="847"/>
      <c r="K150" s="816" t="s">
        <v>653</v>
      </c>
      <c r="L150" s="505"/>
      <c r="M150" s="500" t="s">
        <v>653</v>
      </c>
      <c r="N150" s="506" t="s">
        <v>653</v>
      </c>
      <c r="O150" s="506" t="s">
        <v>653</v>
      </c>
      <c r="P150" s="496" t="s">
        <v>653</v>
      </c>
      <c r="Q150" s="497" t="s">
        <v>653</v>
      </c>
      <c r="R150" s="507" t="s">
        <v>653</v>
      </c>
      <c r="S150" s="505"/>
      <c r="T150" s="500" t="s">
        <v>653</v>
      </c>
      <c r="U150" s="506" t="s">
        <v>653</v>
      </c>
      <c r="V150" s="506" t="s">
        <v>653</v>
      </c>
      <c r="W150" s="496" t="s">
        <v>653</v>
      </c>
      <c r="X150" s="497" t="s">
        <v>653</v>
      </c>
      <c r="Y150" s="507" t="s">
        <v>653</v>
      </c>
    </row>
    <row r="151" spans="1:25" s="479" customFormat="1">
      <c r="A151" s="502">
        <f t="shared" si="1"/>
        <v>-105</v>
      </c>
      <c r="B151" s="809" t="s">
        <v>653</v>
      </c>
      <c r="C151" s="504"/>
      <c r="D151" s="817" t="s">
        <v>653</v>
      </c>
      <c r="E151" s="815" t="s">
        <v>653</v>
      </c>
      <c r="F151" s="1076"/>
      <c r="G151" s="815" t="s">
        <v>653</v>
      </c>
      <c r="H151" s="812" t="s">
        <v>653</v>
      </c>
      <c r="I151" s="813" t="s">
        <v>653</v>
      </c>
      <c r="J151" s="847"/>
      <c r="K151" s="816" t="s">
        <v>653</v>
      </c>
      <c r="L151" s="505"/>
      <c r="M151" s="500" t="s">
        <v>653</v>
      </c>
      <c r="N151" s="506" t="s">
        <v>653</v>
      </c>
      <c r="O151" s="506" t="s">
        <v>653</v>
      </c>
      <c r="P151" s="496" t="s">
        <v>653</v>
      </c>
      <c r="Q151" s="497" t="s">
        <v>653</v>
      </c>
      <c r="R151" s="507" t="s">
        <v>653</v>
      </c>
      <c r="S151" s="505"/>
      <c r="T151" s="500" t="s">
        <v>653</v>
      </c>
      <c r="U151" s="506" t="s">
        <v>653</v>
      </c>
      <c r="V151" s="506" t="s">
        <v>653</v>
      </c>
      <c r="W151" s="496" t="s">
        <v>653</v>
      </c>
      <c r="X151" s="497" t="s">
        <v>653</v>
      </c>
      <c r="Y151" s="507" t="s">
        <v>653</v>
      </c>
    </row>
    <row r="152" spans="1:25" s="479" customFormat="1">
      <c r="A152" s="502">
        <f t="shared" si="1"/>
        <v>-106</v>
      </c>
      <c r="B152" s="809" t="s">
        <v>653</v>
      </c>
      <c r="C152" s="504"/>
      <c r="D152" s="817" t="s">
        <v>653</v>
      </c>
      <c r="E152" s="815" t="s">
        <v>653</v>
      </c>
      <c r="F152" s="1076"/>
      <c r="G152" s="815" t="s">
        <v>653</v>
      </c>
      <c r="H152" s="812" t="s">
        <v>653</v>
      </c>
      <c r="I152" s="813" t="s">
        <v>653</v>
      </c>
      <c r="J152" s="847"/>
      <c r="K152" s="816" t="s">
        <v>653</v>
      </c>
      <c r="L152" s="505"/>
      <c r="M152" s="500" t="s">
        <v>653</v>
      </c>
      <c r="N152" s="506" t="s">
        <v>653</v>
      </c>
      <c r="O152" s="506" t="s">
        <v>653</v>
      </c>
      <c r="P152" s="496" t="s">
        <v>653</v>
      </c>
      <c r="Q152" s="497" t="s">
        <v>653</v>
      </c>
      <c r="R152" s="507" t="s">
        <v>653</v>
      </c>
      <c r="S152" s="505"/>
      <c r="T152" s="500" t="s">
        <v>653</v>
      </c>
      <c r="U152" s="506" t="s">
        <v>653</v>
      </c>
      <c r="V152" s="506" t="s">
        <v>653</v>
      </c>
      <c r="W152" s="496" t="s">
        <v>653</v>
      </c>
      <c r="X152" s="497" t="s">
        <v>653</v>
      </c>
      <c r="Y152" s="507" t="s">
        <v>653</v>
      </c>
    </row>
    <row r="153" spans="1:25" s="479" customFormat="1">
      <c r="A153" s="502">
        <f t="shared" si="1"/>
        <v>-107</v>
      </c>
      <c r="B153" s="809" t="s">
        <v>653</v>
      </c>
      <c r="C153" s="504"/>
      <c r="D153" s="817" t="s">
        <v>653</v>
      </c>
      <c r="E153" s="815" t="s">
        <v>653</v>
      </c>
      <c r="F153" s="1076"/>
      <c r="G153" s="815" t="s">
        <v>653</v>
      </c>
      <c r="H153" s="812" t="s">
        <v>653</v>
      </c>
      <c r="I153" s="813" t="s">
        <v>653</v>
      </c>
      <c r="J153" s="847"/>
      <c r="K153" s="816" t="s">
        <v>653</v>
      </c>
      <c r="L153" s="505"/>
      <c r="M153" s="500" t="s">
        <v>653</v>
      </c>
      <c r="N153" s="506" t="s">
        <v>653</v>
      </c>
      <c r="O153" s="506" t="s">
        <v>653</v>
      </c>
      <c r="P153" s="496" t="s">
        <v>653</v>
      </c>
      <c r="Q153" s="497" t="s">
        <v>653</v>
      </c>
      <c r="R153" s="507" t="s">
        <v>653</v>
      </c>
      <c r="S153" s="505"/>
      <c r="T153" s="500" t="s">
        <v>653</v>
      </c>
      <c r="U153" s="506" t="s">
        <v>653</v>
      </c>
      <c r="V153" s="506" t="s">
        <v>653</v>
      </c>
      <c r="W153" s="496" t="s">
        <v>653</v>
      </c>
      <c r="X153" s="497" t="s">
        <v>653</v>
      </c>
      <c r="Y153" s="507" t="s">
        <v>653</v>
      </c>
    </row>
    <row r="154" spans="1:25" s="479" customFormat="1">
      <c r="A154" s="502">
        <f t="shared" si="1"/>
        <v>-108</v>
      </c>
      <c r="B154" s="809" t="s">
        <v>653</v>
      </c>
      <c r="C154" s="504"/>
      <c r="D154" s="817" t="s">
        <v>653</v>
      </c>
      <c r="E154" s="815" t="s">
        <v>653</v>
      </c>
      <c r="F154" s="1076"/>
      <c r="G154" s="815" t="s">
        <v>653</v>
      </c>
      <c r="H154" s="812" t="s">
        <v>653</v>
      </c>
      <c r="I154" s="813" t="s">
        <v>653</v>
      </c>
      <c r="J154" s="847"/>
      <c r="K154" s="816" t="s">
        <v>653</v>
      </c>
      <c r="L154" s="505"/>
      <c r="M154" s="500" t="s">
        <v>653</v>
      </c>
      <c r="N154" s="506" t="s">
        <v>653</v>
      </c>
      <c r="O154" s="506" t="s">
        <v>653</v>
      </c>
      <c r="P154" s="496" t="s">
        <v>653</v>
      </c>
      <c r="Q154" s="497" t="s">
        <v>653</v>
      </c>
      <c r="R154" s="507" t="s">
        <v>653</v>
      </c>
      <c r="S154" s="505"/>
      <c r="T154" s="500" t="s">
        <v>653</v>
      </c>
      <c r="U154" s="506" t="s">
        <v>653</v>
      </c>
      <c r="V154" s="506" t="s">
        <v>653</v>
      </c>
      <c r="W154" s="496" t="s">
        <v>653</v>
      </c>
      <c r="X154" s="497" t="s">
        <v>653</v>
      </c>
      <c r="Y154" s="507" t="s">
        <v>653</v>
      </c>
    </row>
    <row r="155" spans="1:25" s="479" customFormat="1">
      <c r="A155" s="502">
        <f t="shared" ref="A155:A218" si="2">A154-1</f>
        <v>-109</v>
      </c>
      <c r="B155" s="809" t="s">
        <v>653</v>
      </c>
      <c r="C155" s="504"/>
      <c r="D155" s="817" t="s">
        <v>653</v>
      </c>
      <c r="E155" s="815" t="s">
        <v>653</v>
      </c>
      <c r="F155" s="1076"/>
      <c r="G155" s="815" t="s">
        <v>653</v>
      </c>
      <c r="H155" s="812" t="s">
        <v>653</v>
      </c>
      <c r="I155" s="813" t="s">
        <v>653</v>
      </c>
      <c r="J155" s="847"/>
      <c r="K155" s="816" t="s">
        <v>653</v>
      </c>
      <c r="L155" s="505"/>
      <c r="M155" s="500" t="s">
        <v>653</v>
      </c>
      <c r="N155" s="506" t="s">
        <v>653</v>
      </c>
      <c r="O155" s="506" t="s">
        <v>653</v>
      </c>
      <c r="P155" s="496" t="s">
        <v>653</v>
      </c>
      <c r="Q155" s="497" t="s">
        <v>653</v>
      </c>
      <c r="R155" s="507" t="s">
        <v>653</v>
      </c>
      <c r="S155" s="505"/>
      <c r="T155" s="500" t="s">
        <v>653</v>
      </c>
      <c r="U155" s="506" t="s">
        <v>653</v>
      </c>
      <c r="V155" s="506" t="s">
        <v>653</v>
      </c>
      <c r="W155" s="496" t="s">
        <v>653</v>
      </c>
      <c r="X155" s="497" t="s">
        <v>653</v>
      </c>
      <c r="Y155" s="507" t="s">
        <v>653</v>
      </c>
    </row>
    <row r="156" spans="1:25" s="479" customFormat="1">
      <c r="A156" s="502">
        <f t="shared" si="2"/>
        <v>-110</v>
      </c>
      <c r="B156" s="809" t="s">
        <v>653</v>
      </c>
      <c r="C156" s="504"/>
      <c r="D156" s="817" t="s">
        <v>653</v>
      </c>
      <c r="E156" s="815" t="s">
        <v>653</v>
      </c>
      <c r="F156" s="1076"/>
      <c r="G156" s="815" t="s">
        <v>653</v>
      </c>
      <c r="H156" s="812" t="s">
        <v>653</v>
      </c>
      <c r="I156" s="813" t="s">
        <v>653</v>
      </c>
      <c r="J156" s="847"/>
      <c r="K156" s="816" t="s">
        <v>653</v>
      </c>
      <c r="L156" s="505"/>
      <c r="M156" s="500" t="s">
        <v>653</v>
      </c>
      <c r="N156" s="506" t="s">
        <v>653</v>
      </c>
      <c r="O156" s="506" t="s">
        <v>653</v>
      </c>
      <c r="P156" s="496" t="s">
        <v>653</v>
      </c>
      <c r="Q156" s="497" t="s">
        <v>653</v>
      </c>
      <c r="R156" s="507" t="s">
        <v>653</v>
      </c>
      <c r="S156" s="505"/>
      <c r="T156" s="500" t="s">
        <v>653</v>
      </c>
      <c r="U156" s="506" t="s">
        <v>653</v>
      </c>
      <c r="V156" s="506" t="s">
        <v>653</v>
      </c>
      <c r="W156" s="496" t="s">
        <v>653</v>
      </c>
      <c r="X156" s="497" t="s">
        <v>653</v>
      </c>
      <c r="Y156" s="507" t="s">
        <v>653</v>
      </c>
    </row>
    <row r="157" spans="1:25" s="479" customFormat="1">
      <c r="A157" s="502">
        <f t="shared" si="2"/>
        <v>-111</v>
      </c>
      <c r="B157" s="809" t="s">
        <v>653</v>
      </c>
      <c r="C157" s="504"/>
      <c r="D157" s="817" t="s">
        <v>653</v>
      </c>
      <c r="E157" s="815" t="s">
        <v>653</v>
      </c>
      <c r="F157" s="1076"/>
      <c r="G157" s="815" t="s">
        <v>653</v>
      </c>
      <c r="H157" s="812" t="s">
        <v>653</v>
      </c>
      <c r="I157" s="813" t="s">
        <v>653</v>
      </c>
      <c r="J157" s="847"/>
      <c r="K157" s="816" t="s">
        <v>653</v>
      </c>
      <c r="L157" s="505"/>
      <c r="M157" s="500" t="s">
        <v>653</v>
      </c>
      <c r="N157" s="506" t="s">
        <v>653</v>
      </c>
      <c r="O157" s="506" t="s">
        <v>653</v>
      </c>
      <c r="P157" s="496" t="s">
        <v>653</v>
      </c>
      <c r="Q157" s="497" t="s">
        <v>653</v>
      </c>
      <c r="R157" s="507" t="s">
        <v>653</v>
      </c>
      <c r="S157" s="505"/>
      <c r="T157" s="500" t="s">
        <v>653</v>
      </c>
      <c r="U157" s="506" t="s">
        <v>653</v>
      </c>
      <c r="V157" s="506" t="s">
        <v>653</v>
      </c>
      <c r="W157" s="496" t="s">
        <v>653</v>
      </c>
      <c r="X157" s="497" t="s">
        <v>653</v>
      </c>
      <c r="Y157" s="507" t="s">
        <v>653</v>
      </c>
    </row>
    <row r="158" spans="1:25" s="479" customFormat="1">
      <c r="A158" s="502">
        <f t="shared" si="2"/>
        <v>-112</v>
      </c>
      <c r="B158" s="809" t="s">
        <v>653</v>
      </c>
      <c r="C158" s="504"/>
      <c r="D158" s="817" t="s">
        <v>653</v>
      </c>
      <c r="E158" s="815" t="s">
        <v>653</v>
      </c>
      <c r="F158" s="1076"/>
      <c r="G158" s="815" t="s">
        <v>653</v>
      </c>
      <c r="H158" s="812" t="s">
        <v>653</v>
      </c>
      <c r="I158" s="813" t="s">
        <v>653</v>
      </c>
      <c r="J158" s="847"/>
      <c r="K158" s="816" t="s">
        <v>653</v>
      </c>
      <c r="L158" s="505"/>
      <c r="M158" s="500" t="s">
        <v>653</v>
      </c>
      <c r="N158" s="506" t="s">
        <v>653</v>
      </c>
      <c r="O158" s="506" t="s">
        <v>653</v>
      </c>
      <c r="P158" s="496" t="s">
        <v>653</v>
      </c>
      <c r="Q158" s="497" t="s">
        <v>653</v>
      </c>
      <c r="R158" s="507" t="s">
        <v>653</v>
      </c>
      <c r="S158" s="505"/>
      <c r="T158" s="500" t="s">
        <v>653</v>
      </c>
      <c r="U158" s="506" t="s">
        <v>653</v>
      </c>
      <c r="V158" s="506" t="s">
        <v>653</v>
      </c>
      <c r="W158" s="496" t="s">
        <v>653</v>
      </c>
      <c r="X158" s="497" t="s">
        <v>653</v>
      </c>
      <c r="Y158" s="507" t="s">
        <v>653</v>
      </c>
    </row>
    <row r="159" spans="1:25" s="479" customFormat="1">
      <c r="A159" s="502">
        <f t="shared" si="2"/>
        <v>-113</v>
      </c>
      <c r="B159" s="809" t="s">
        <v>653</v>
      </c>
      <c r="C159" s="504"/>
      <c r="D159" s="817" t="s">
        <v>653</v>
      </c>
      <c r="E159" s="815" t="s">
        <v>653</v>
      </c>
      <c r="F159" s="1076"/>
      <c r="G159" s="815" t="s">
        <v>653</v>
      </c>
      <c r="H159" s="812" t="s">
        <v>653</v>
      </c>
      <c r="I159" s="813" t="s">
        <v>653</v>
      </c>
      <c r="J159" s="847"/>
      <c r="K159" s="816" t="s">
        <v>653</v>
      </c>
      <c r="L159" s="505"/>
      <c r="M159" s="500" t="s">
        <v>653</v>
      </c>
      <c r="N159" s="506" t="s">
        <v>653</v>
      </c>
      <c r="O159" s="506" t="s">
        <v>653</v>
      </c>
      <c r="P159" s="496" t="s">
        <v>653</v>
      </c>
      <c r="Q159" s="497" t="s">
        <v>653</v>
      </c>
      <c r="R159" s="507" t="s">
        <v>653</v>
      </c>
      <c r="S159" s="505"/>
      <c r="T159" s="500" t="s">
        <v>653</v>
      </c>
      <c r="U159" s="506" t="s">
        <v>653</v>
      </c>
      <c r="V159" s="506" t="s">
        <v>653</v>
      </c>
      <c r="W159" s="496" t="s">
        <v>653</v>
      </c>
      <c r="X159" s="497" t="s">
        <v>653</v>
      </c>
      <c r="Y159" s="507" t="s">
        <v>653</v>
      </c>
    </row>
    <row r="160" spans="1:25" s="479" customFormat="1">
      <c r="A160" s="502">
        <f t="shared" si="2"/>
        <v>-114</v>
      </c>
      <c r="B160" s="809" t="s">
        <v>653</v>
      </c>
      <c r="C160" s="504"/>
      <c r="D160" s="817" t="s">
        <v>653</v>
      </c>
      <c r="E160" s="815" t="s">
        <v>653</v>
      </c>
      <c r="F160" s="1076"/>
      <c r="G160" s="815" t="s">
        <v>653</v>
      </c>
      <c r="H160" s="812" t="s">
        <v>653</v>
      </c>
      <c r="I160" s="813" t="s">
        <v>653</v>
      </c>
      <c r="J160" s="847"/>
      <c r="K160" s="816" t="s">
        <v>653</v>
      </c>
      <c r="L160" s="505"/>
      <c r="M160" s="500" t="s">
        <v>653</v>
      </c>
      <c r="N160" s="506" t="s">
        <v>653</v>
      </c>
      <c r="O160" s="506" t="s">
        <v>653</v>
      </c>
      <c r="P160" s="496" t="s">
        <v>653</v>
      </c>
      <c r="Q160" s="497" t="s">
        <v>653</v>
      </c>
      <c r="R160" s="507" t="s">
        <v>653</v>
      </c>
      <c r="S160" s="505"/>
      <c r="T160" s="500" t="s">
        <v>653</v>
      </c>
      <c r="U160" s="506" t="s">
        <v>653</v>
      </c>
      <c r="V160" s="506" t="s">
        <v>653</v>
      </c>
      <c r="W160" s="496" t="s">
        <v>653</v>
      </c>
      <c r="X160" s="497" t="s">
        <v>653</v>
      </c>
      <c r="Y160" s="507" t="s">
        <v>653</v>
      </c>
    </row>
    <row r="161" spans="1:25" s="479" customFormat="1">
      <c r="A161" s="502">
        <f t="shared" si="2"/>
        <v>-115</v>
      </c>
      <c r="B161" s="809" t="s">
        <v>653</v>
      </c>
      <c r="C161" s="504"/>
      <c r="D161" s="817" t="s">
        <v>653</v>
      </c>
      <c r="E161" s="815" t="s">
        <v>653</v>
      </c>
      <c r="F161" s="1076"/>
      <c r="G161" s="815" t="s">
        <v>653</v>
      </c>
      <c r="H161" s="812" t="s">
        <v>653</v>
      </c>
      <c r="I161" s="813" t="s">
        <v>653</v>
      </c>
      <c r="J161" s="847"/>
      <c r="K161" s="816" t="s">
        <v>653</v>
      </c>
      <c r="L161" s="505"/>
      <c r="M161" s="500" t="s">
        <v>653</v>
      </c>
      <c r="N161" s="506" t="s">
        <v>653</v>
      </c>
      <c r="O161" s="506" t="s">
        <v>653</v>
      </c>
      <c r="P161" s="496" t="s">
        <v>653</v>
      </c>
      <c r="Q161" s="497" t="s">
        <v>653</v>
      </c>
      <c r="R161" s="507" t="s">
        <v>653</v>
      </c>
      <c r="S161" s="505"/>
      <c r="T161" s="500" t="s">
        <v>653</v>
      </c>
      <c r="U161" s="506" t="s">
        <v>653</v>
      </c>
      <c r="V161" s="506" t="s">
        <v>653</v>
      </c>
      <c r="W161" s="496" t="s">
        <v>653</v>
      </c>
      <c r="X161" s="497" t="s">
        <v>653</v>
      </c>
      <c r="Y161" s="507" t="s">
        <v>653</v>
      </c>
    </row>
    <row r="162" spans="1:25" s="479" customFormat="1">
      <c r="A162" s="502">
        <f t="shared" si="2"/>
        <v>-116</v>
      </c>
      <c r="B162" s="809" t="s">
        <v>653</v>
      </c>
      <c r="C162" s="504"/>
      <c r="D162" s="817" t="s">
        <v>653</v>
      </c>
      <c r="E162" s="815" t="s">
        <v>653</v>
      </c>
      <c r="F162" s="1076"/>
      <c r="G162" s="815" t="s">
        <v>653</v>
      </c>
      <c r="H162" s="812" t="s">
        <v>653</v>
      </c>
      <c r="I162" s="813" t="s">
        <v>653</v>
      </c>
      <c r="J162" s="847"/>
      <c r="K162" s="816" t="s">
        <v>653</v>
      </c>
      <c r="L162" s="505"/>
      <c r="M162" s="500" t="s">
        <v>653</v>
      </c>
      <c r="N162" s="506" t="s">
        <v>653</v>
      </c>
      <c r="O162" s="506" t="s">
        <v>653</v>
      </c>
      <c r="P162" s="496" t="s">
        <v>653</v>
      </c>
      <c r="Q162" s="497" t="s">
        <v>653</v>
      </c>
      <c r="R162" s="507" t="s">
        <v>653</v>
      </c>
      <c r="S162" s="505"/>
      <c r="T162" s="500" t="s">
        <v>653</v>
      </c>
      <c r="U162" s="506" t="s">
        <v>653</v>
      </c>
      <c r="V162" s="506" t="s">
        <v>653</v>
      </c>
      <c r="W162" s="496" t="s">
        <v>653</v>
      </c>
      <c r="X162" s="497" t="s">
        <v>653</v>
      </c>
      <c r="Y162" s="507" t="s">
        <v>653</v>
      </c>
    </row>
    <row r="163" spans="1:25" s="479" customFormat="1">
      <c r="A163" s="502">
        <f t="shared" si="2"/>
        <v>-117</v>
      </c>
      <c r="B163" s="809" t="s">
        <v>653</v>
      </c>
      <c r="C163" s="504"/>
      <c r="D163" s="817" t="s">
        <v>653</v>
      </c>
      <c r="E163" s="815" t="s">
        <v>653</v>
      </c>
      <c r="F163" s="1076"/>
      <c r="G163" s="815" t="s">
        <v>653</v>
      </c>
      <c r="H163" s="812" t="s">
        <v>653</v>
      </c>
      <c r="I163" s="813" t="s">
        <v>653</v>
      </c>
      <c r="J163" s="847"/>
      <c r="K163" s="816" t="s">
        <v>653</v>
      </c>
      <c r="L163" s="505"/>
      <c r="M163" s="500" t="s">
        <v>653</v>
      </c>
      <c r="N163" s="506" t="s">
        <v>653</v>
      </c>
      <c r="O163" s="506" t="s">
        <v>653</v>
      </c>
      <c r="P163" s="496" t="s">
        <v>653</v>
      </c>
      <c r="Q163" s="497" t="s">
        <v>653</v>
      </c>
      <c r="R163" s="507" t="s">
        <v>653</v>
      </c>
      <c r="S163" s="505"/>
      <c r="T163" s="500" t="s">
        <v>653</v>
      </c>
      <c r="U163" s="506" t="s">
        <v>653</v>
      </c>
      <c r="V163" s="506" t="s">
        <v>653</v>
      </c>
      <c r="W163" s="496" t="s">
        <v>653</v>
      </c>
      <c r="X163" s="497" t="s">
        <v>653</v>
      </c>
      <c r="Y163" s="507" t="s">
        <v>653</v>
      </c>
    </row>
    <row r="164" spans="1:25" s="479" customFormat="1">
      <c r="A164" s="502">
        <f t="shared" si="2"/>
        <v>-118</v>
      </c>
      <c r="B164" s="809" t="s">
        <v>653</v>
      </c>
      <c r="C164" s="504"/>
      <c r="D164" s="817" t="s">
        <v>653</v>
      </c>
      <c r="E164" s="815" t="s">
        <v>653</v>
      </c>
      <c r="F164" s="1076"/>
      <c r="G164" s="815" t="s">
        <v>653</v>
      </c>
      <c r="H164" s="812" t="s">
        <v>653</v>
      </c>
      <c r="I164" s="813" t="s">
        <v>653</v>
      </c>
      <c r="J164" s="847"/>
      <c r="K164" s="816" t="s">
        <v>653</v>
      </c>
      <c r="L164" s="505"/>
      <c r="M164" s="500" t="s">
        <v>653</v>
      </c>
      <c r="N164" s="506" t="s">
        <v>653</v>
      </c>
      <c r="O164" s="506" t="s">
        <v>653</v>
      </c>
      <c r="P164" s="496" t="s">
        <v>653</v>
      </c>
      <c r="Q164" s="497" t="s">
        <v>653</v>
      </c>
      <c r="R164" s="507" t="s">
        <v>653</v>
      </c>
      <c r="S164" s="505"/>
      <c r="T164" s="500" t="s">
        <v>653</v>
      </c>
      <c r="U164" s="506" t="s">
        <v>653</v>
      </c>
      <c r="V164" s="506" t="s">
        <v>653</v>
      </c>
      <c r="W164" s="496" t="s">
        <v>653</v>
      </c>
      <c r="X164" s="497" t="s">
        <v>653</v>
      </c>
      <c r="Y164" s="507" t="s">
        <v>653</v>
      </c>
    </row>
    <row r="165" spans="1:25" s="479" customFormat="1">
      <c r="A165" s="502">
        <f t="shared" si="2"/>
        <v>-119</v>
      </c>
      <c r="B165" s="809" t="s">
        <v>653</v>
      </c>
      <c r="C165" s="504"/>
      <c r="D165" s="817" t="s">
        <v>653</v>
      </c>
      <c r="E165" s="815" t="s">
        <v>653</v>
      </c>
      <c r="F165" s="1076"/>
      <c r="G165" s="815" t="s">
        <v>653</v>
      </c>
      <c r="H165" s="812" t="s">
        <v>653</v>
      </c>
      <c r="I165" s="813" t="s">
        <v>653</v>
      </c>
      <c r="J165" s="847"/>
      <c r="K165" s="816" t="s">
        <v>653</v>
      </c>
      <c r="L165" s="505"/>
      <c r="M165" s="500" t="s">
        <v>653</v>
      </c>
      <c r="N165" s="506" t="s">
        <v>653</v>
      </c>
      <c r="O165" s="506" t="s">
        <v>653</v>
      </c>
      <c r="P165" s="496" t="s">
        <v>653</v>
      </c>
      <c r="Q165" s="497" t="s">
        <v>653</v>
      </c>
      <c r="R165" s="507" t="s">
        <v>653</v>
      </c>
      <c r="S165" s="505"/>
      <c r="T165" s="500" t="s">
        <v>653</v>
      </c>
      <c r="U165" s="506" t="s">
        <v>653</v>
      </c>
      <c r="V165" s="506" t="s">
        <v>653</v>
      </c>
      <c r="W165" s="496" t="s">
        <v>653</v>
      </c>
      <c r="X165" s="497" t="s">
        <v>653</v>
      </c>
      <c r="Y165" s="507" t="s">
        <v>653</v>
      </c>
    </row>
    <row r="166" spans="1:25" s="479" customFormat="1">
      <c r="A166" s="502">
        <f t="shared" si="2"/>
        <v>-120</v>
      </c>
      <c r="B166" s="809" t="s">
        <v>653</v>
      </c>
      <c r="C166" s="504"/>
      <c r="D166" s="817" t="s">
        <v>653</v>
      </c>
      <c r="E166" s="815" t="s">
        <v>653</v>
      </c>
      <c r="F166" s="1076"/>
      <c r="G166" s="815" t="s">
        <v>653</v>
      </c>
      <c r="H166" s="812" t="s">
        <v>653</v>
      </c>
      <c r="I166" s="813" t="s">
        <v>653</v>
      </c>
      <c r="J166" s="847"/>
      <c r="K166" s="816" t="s">
        <v>653</v>
      </c>
      <c r="L166" s="505"/>
      <c r="M166" s="500" t="s">
        <v>653</v>
      </c>
      <c r="N166" s="506" t="s">
        <v>653</v>
      </c>
      <c r="O166" s="506" t="s">
        <v>653</v>
      </c>
      <c r="P166" s="496" t="s">
        <v>653</v>
      </c>
      <c r="Q166" s="497" t="s">
        <v>653</v>
      </c>
      <c r="R166" s="507" t="s">
        <v>653</v>
      </c>
      <c r="S166" s="505"/>
      <c r="T166" s="500" t="s">
        <v>653</v>
      </c>
      <c r="U166" s="506" t="s">
        <v>653</v>
      </c>
      <c r="V166" s="506" t="s">
        <v>653</v>
      </c>
      <c r="W166" s="496" t="s">
        <v>653</v>
      </c>
      <c r="X166" s="497" t="s">
        <v>653</v>
      </c>
      <c r="Y166" s="507" t="s">
        <v>653</v>
      </c>
    </row>
    <row r="167" spans="1:25" s="479" customFormat="1">
      <c r="A167" s="502">
        <f t="shared" si="2"/>
        <v>-121</v>
      </c>
      <c r="B167" s="809" t="s">
        <v>653</v>
      </c>
      <c r="C167" s="504"/>
      <c r="D167" s="817" t="s">
        <v>653</v>
      </c>
      <c r="E167" s="815" t="s">
        <v>653</v>
      </c>
      <c r="F167" s="1076"/>
      <c r="G167" s="815" t="s">
        <v>653</v>
      </c>
      <c r="H167" s="812" t="s">
        <v>653</v>
      </c>
      <c r="I167" s="813" t="s">
        <v>653</v>
      </c>
      <c r="J167" s="847"/>
      <c r="K167" s="816" t="s">
        <v>653</v>
      </c>
      <c r="L167" s="505"/>
      <c r="M167" s="500" t="s">
        <v>653</v>
      </c>
      <c r="N167" s="506" t="s">
        <v>653</v>
      </c>
      <c r="O167" s="506" t="s">
        <v>653</v>
      </c>
      <c r="P167" s="496" t="s">
        <v>653</v>
      </c>
      <c r="Q167" s="497" t="s">
        <v>653</v>
      </c>
      <c r="R167" s="507" t="s">
        <v>653</v>
      </c>
      <c r="S167" s="505"/>
      <c r="T167" s="500" t="s">
        <v>653</v>
      </c>
      <c r="U167" s="506" t="s">
        <v>653</v>
      </c>
      <c r="V167" s="506" t="s">
        <v>653</v>
      </c>
      <c r="W167" s="496" t="s">
        <v>653</v>
      </c>
      <c r="X167" s="497" t="s">
        <v>653</v>
      </c>
      <c r="Y167" s="507" t="s">
        <v>653</v>
      </c>
    </row>
    <row r="168" spans="1:25">
      <c r="A168" s="502">
        <f t="shared" si="2"/>
        <v>-122</v>
      </c>
      <c r="B168" s="809" t="s">
        <v>653</v>
      </c>
      <c r="C168" s="504"/>
      <c r="D168" s="817" t="s">
        <v>653</v>
      </c>
      <c r="E168" s="815" t="s">
        <v>653</v>
      </c>
      <c r="F168" s="1076"/>
      <c r="G168" s="815" t="s">
        <v>653</v>
      </c>
      <c r="H168" s="812" t="s">
        <v>653</v>
      </c>
      <c r="I168" s="813" t="s">
        <v>653</v>
      </c>
      <c r="J168" s="847"/>
      <c r="K168" s="816" t="s">
        <v>653</v>
      </c>
      <c r="L168" s="505"/>
      <c r="M168" s="500" t="s">
        <v>653</v>
      </c>
      <c r="N168" s="506" t="s">
        <v>653</v>
      </c>
      <c r="O168" s="506" t="s">
        <v>653</v>
      </c>
      <c r="P168" s="496" t="s">
        <v>653</v>
      </c>
      <c r="Q168" s="497" t="s">
        <v>653</v>
      </c>
      <c r="R168" s="507" t="s">
        <v>653</v>
      </c>
      <c r="S168" s="505"/>
      <c r="T168" s="500" t="s">
        <v>653</v>
      </c>
      <c r="U168" s="506" t="s">
        <v>653</v>
      </c>
      <c r="V168" s="506" t="s">
        <v>653</v>
      </c>
      <c r="W168" s="496" t="s">
        <v>653</v>
      </c>
      <c r="X168" s="497" t="s">
        <v>653</v>
      </c>
      <c r="Y168" s="507" t="s">
        <v>653</v>
      </c>
    </row>
    <row r="169" spans="1:25">
      <c r="A169" s="502">
        <f t="shared" si="2"/>
        <v>-123</v>
      </c>
      <c r="B169" s="809" t="s">
        <v>653</v>
      </c>
      <c r="C169" s="504"/>
      <c r="D169" s="817" t="s">
        <v>653</v>
      </c>
      <c r="E169" s="815" t="s">
        <v>653</v>
      </c>
      <c r="F169" s="1076"/>
      <c r="G169" s="815" t="s">
        <v>653</v>
      </c>
      <c r="H169" s="812" t="s">
        <v>653</v>
      </c>
      <c r="I169" s="813" t="s">
        <v>653</v>
      </c>
      <c r="J169" s="847"/>
      <c r="K169" s="816" t="s">
        <v>653</v>
      </c>
      <c r="L169" s="505"/>
      <c r="M169" s="500" t="s">
        <v>653</v>
      </c>
      <c r="N169" s="506" t="s">
        <v>653</v>
      </c>
      <c r="O169" s="506" t="s">
        <v>653</v>
      </c>
      <c r="P169" s="496" t="s">
        <v>653</v>
      </c>
      <c r="Q169" s="497" t="s">
        <v>653</v>
      </c>
      <c r="R169" s="507" t="s">
        <v>653</v>
      </c>
      <c r="S169" s="505"/>
      <c r="T169" s="500" t="s">
        <v>653</v>
      </c>
      <c r="U169" s="506" t="s">
        <v>653</v>
      </c>
      <c r="V169" s="506" t="s">
        <v>653</v>
      </c>
      <c r="W169" s="496" t="s">
        <v>653</v>
      </c>
      <c r="X169" s="497" t="s">
        <v>653</v>
      </c>
      <c r="Y169" s="507" t="s">
        <v>653</v>
      </c>
    </row>
    <row r="170" spans="1:25">
      <c r="A170" s="502">
        <f t="shared" si="2"/>
        <v>-124</v>
      </c>
      <c r="B170" s="809" t="s">
        <v>653</v>
      </c>
      <c r="C170" s="504"/>
      <c r="D170" s="817" t="s">
        <v>653</v>
      </c>
      <c r="E170" s="815" t="s">
        <v>653</v>
      </c>
      <c r="F170" s="1076"/>
      <c r="G170" s="815" t="s">
        <v>653</v>
      </c>
      <c r="H170" s="812" t="s">
        <v>653</v>
      </c>
      <c r="I170" s="813" t="s">
        <v>653</v>
      </c>
      <c r="J170" s="847"/>
      <c r="K170" s="816" t="s">
        <v>653</v>
      </c>
      <c r="L170" s="505"/>
      <c r="M170" s="500" t="s">
        <v>653</v>
      </c>
      <c r="N170" s="506" t="s">
        <v>653</v>
      </c>
      <c r="O170" s="506" t="s">
        <v>653</v>
      </c>
      <c r="P170" s="496" t="s">
        <v>653</v>
      </c>
      <c r="Q170" s="497" t="s">
        <v>653</v>
      </c>
      <c r="R170" s="507" t="s">
        <v>653</v>
      </c>
      <c r="S170" s="505"/>
      <c r="T170" s="500" t="s">
        <v>653</v>
      </c>
      <c r="U170" s="506" t="s">
        <v>653</v>
      </c>
      <c r="V170" s="506" t="s">
        <v>653</v>
      </c>
      <c r="W170" s="496" t="s">
        <v>653</v>
      </c>
      <c r="X170" s="497" t="s">
        <v>653</v>
      </c>
      <c r="Y170" s="507" t="s">
        <v>653</v>
      </c>
    </row>
    <row r="171" spans="1:25">
      <c r="A171" s="502">
        <f t="shared" si="2"/>
        <v>-125</v>
      </c>
      <c r="B171" s="809" t="s">
        <v>653</v>
      </c>
      <c r="C171" s="504"/>
      <c r="D171" s="817" t="s">
        <v>653</v>
      </c>
      <c r="E171" s="815" t="s">
        <v>653</v>
      </c>
      <c r="F171" s="1076"/>
      <c r="G171" s="815" t="s">
        <v>653</v>
      </c>
      <c r="H171" s="812" t="s">
        <v>653</v>
      </c>
      <c r="I171" s="813" t="s">
        <v>653</v>
      </c>
      <c r="J171" s="847"/>
      <c r="K171" s="816" t="s">
        <v>653</v>
      </c>
      <c r="L171" s="505"/>
      <c r="M171" s="500" t="s">
        <v>653</v>
      </c>
      <c r="N171" s="506" t="s">
        <v>653</v>
      </c>
      <c r="O171" s="506" t="s">
        <v>653</v>
      </c>
      <c r="P171" s="496" t="s">
        <v>653</v>
      </c>
      <c r="Q171" s="497" t="s">
        <v>653</v>
      </c>
      <c r="R171" s="507" t="s">
        <v>653</v>
      </c>
      <c r="S171" s="505"/>
      <c r="T171" s="500" t="s">
        <v>653</v>
      </c>
      <c r="U171" s="506" t="s">
        <v>653</v>
      </c>
      <c r="V171" s="506" t="s">
        <v>653</v>
      </c>
      <c r="W171" s="496" t="s">
        <v>653</v>
      </c>
      <c r="X171" s="497" t="s">
        <v>653</v>
      </c>
      <c r="Y171" s="507" t="s">
        <v>653</v>
      </c>
    </row>
    <row r="172" spans="1:25">
      <c r="A172" s="502">
        <f t="shared" si="2"/>
        <v>-126</v>
      </c>
      <c r="B172" s="809" t="s">
        <v>653</v>
      </c>
      <c r="C172" s="504"/>
      <c r="D172" s="817" t="s">
        <v>653</v>
      </c>
      <c r="E172" s="815" t="s">
        <v>653</v>
      </c>
      <c r="F172" s="1076"/>
      <c r="G172" s="815" t="s">
        <v>653</v>
      </c>
      <c r="H172" s="812" t="s">
        <v>653</v>
      </c>
      <c r="I172" s="813" t="s">
        <v>653</v>
      </c>
      <c r="J172" s="847"/>
      <c r="K172" s="816" t="s">
        <v>653</v>
      </c>
      <c r="L172" s="505"/>
      <c r="M172" s="500" t="s">
        <v>653</v>
      </c>
      <c r="N172" s="506" t="s">
        <v>653</v>
      </c>
      <c r="O172" s="506" t="s">
        <v>653</v>
      </c>
      <c r="P172" s="496" t="s">
        <v>653</v>
      </c>
      <c r="Q172" s="497" t="s">
        <v>653</v>
      </c>
      <c r="R172" s="507" t="s">
        <v>653</v>
      </c>
      <c r="S172" s="505"/>
      <c r="T172" s="500" t="s">
        <v>653</v>
      </c>
      <c r="U172" s="506" t="s">
        <v>653</v>
      </c>
      <c r="V172" s="506" t="s">
        <v>653</v>
      </c>
      <c r="W172" s="496" t="s">
        <v>653</v>
      </c>
      <c r="X172" s="497" t="s">
        <v>653</v>
      </c>
      <c r="Y172" s="507" t="s">
        <v>653</v>
      </c>
    </row>
    <row r="173" spans="1:25">
      <c r="A173" s="502">
        <f t="shared" si="2"/>
        <v>-127</v>
      </c>
      <c r="B173" s="809" t="s">
        <v>653</v>
      </c>
      <c r="C173" s="504"/>
      <c r="D173" s="817" t="s">
        <v>653</v>
      </c>
      <c r="E173" s="815" t="s">
        <v>653</v>
      </c>
      <c r="F173" s="1076"/>
      <c r="G173" s="815" t="s">
        <v>653</v>
      </c>
      <c r="H173" s="812" t="s">
        <v>653</v>
      </c>
      <c r="I173" s="813" t="s">
        <v>653</v>
      </c>
      <c r="J173" s="847"/>
      <c r="K173" s="816" t="s">
        <v>653</v>
      </c>
      <c r="L173" s="505"/>
      <c r="M173" s="500" t="s">
        <v>653</v>
      </c>
      <c r="N173" s="506" t="s">
        <v>653</v>
      </c>
      <c r="O173" s="506" t="s">
        <v>653</v>
      </c>
      <c r="P173" s="496" t="s">
        <v>653</v>
      </c>
      <c r="Q173" s="497" t="s">
        <v>653</v>
      </c>
      <c r="R173" s="507" t="s">
        <v>653</v>
      </c>
      <c r="S173" s="505"/>
      <c r="T173" s="500" t="s">
        <v>653</v>
      </c>
      <c r="U173" s="506" t="s">
        <v>653</v>
      </c>
      <c r="V173" s="506" t="s">
        <v>653</v>
      </c>
      <c r="W173" s="496" t="s">
        <v>653</v>
      </c>
      <c r="X173" s="497" t="s">
        <v>653</v>
      </c>
      <c r="Y173" s="507" t="s">
        <v>653</v>
      </c>
    </row>
    <row r="174" spans="1:25">
      <c r="A174" s="502">
        <f t="shared" si="2"/>
        <v>-128</v>
      </c>
      <c r="B174" s="809" t="s">
        <v>653</v>
      </c>
      <c r="C174" s="504"/>
      <c r="D174" s="817" t="s">
        <v>653</v>
      </c>
      <c r="E174" s="815" t="s">
        <v>653</v>
      </c>
      <c r="F174" s="1076"/>
      <c r="G174" s="815" t="s">
        <v>653</v>
      </c>
      <c r="H174" s="812" t="s">
        <v>653</v>
      </c>
      <c r="I174" s="813" t="s">
        <v>653</v>
      </c>
      <c r="J174" s="847"/>
      <c r="K174" s="816" t="s">
        <v>653</v>
      </c>
      <c r="L174" s="505"/>
      <c r="M174" s="500" t="s">
        <v>653</v>
      </c>
      <c r="N174" s="506" t="s">
        <v>653</v>
      </c>
      <c r="O174" s="506" t="s">
        <v>653</v>
      </c>
      <c r="P174" s="496" t="s">
        <v>653</v>
      </c>
      <c r="Q174" s="497" t="s">
        <v>653</v>
      </c>
      <c r="R174" s="507" t="s">
        <v>653</v>
      </c>
      <c r="S174" s="505"/>
      <c r="T174" s="500" t="s">
        <v>653</v>
      </c>
      <c r="U174" s="506" t="s">
        <v>653</v>
      </c>
      <c r="V174" s="506" t="s">
        <v>653</v>
      </c>
      <c r="W174" s="496" t="s">
        <v>653</v>
      </c>
      <c r="X174" s="497" t="s">
        <v>653</v>
      </c>
      <c r="Y174" s="507" t="s">
        <v>653</v>
      </c>
    </row>
    <row r="175" spans="1:25">
      <c r="A175" s="502">
        <f t="shared" si="2"/>
        <v>-129</v>
      </c>
      <c r="B175" s="809" t="s">
        <v>653</v>
      </c>
      <c r="C175" s="504"/>
      <c r="D175" s="817" t="s">
        <v>653</v>
      </c>
      <c r="E175" s="815" t="s">
        <v>653</v>
      </c>
      <c r="F175" s="1076"/>
      <c r="G175" s="815" t="s">
        <v>653</v>
      </c>
      <c r="H175" s="812" t="s">
        <v>653</v>
      </c>
      <c r="I175" s="813" t="s">
        <v>653</v>
      </c>
      <c r="J175" s="847"/>
      <c r="K175" s="816" t="s">
        <v>653</v>
      </c>
      <c r="L175" s="505"/>
      <c r="M175" s="500" t="s">
        <v>653</v>
      </c>
      <c r="N175" s="506" t="s">
        <v>653</v>
      </c>
      <c r="O175" s="506" t="s">
        <v>653</v>
      </c>
      <c r="P175" s="496" t="s">
        <v>653</v>
      </c>
      <c r="Q175" s="497" t="s">
        <v>653</v>
      </c>
      <c r="R175" s="507" t="s">
        <v>653</v>
      </c>
      <c r="S175" s="505"/>
      <c r="T175" s="500" t="s">
        <v>653</v>
      </c>
      <c r="U175" s="506" t="s">
        <v>653</v>
      </c>
      <c r="V175" s="506" t="s">
        <v>653</v>
      </c>
      <c r="W175" s="496" t="s">
        <v>653</v>
      </c>
      <c r="X175" s="497" t="s">
        <v>653</v>
      </c>
      <c r="Y175" s="507" t="s">
        <v>653</v>
      </c>
    </row>
    <row r="176" spans="1:25">
      <c r="A176" s="502">
        <f t="shared" si="2"/>
        <v>-130</v>
      </c>
      <c r="B176" s="809" t="s">
        <v>653</v>
      </c>
      <c r="C176" s="504"/>
      <c r="D176" s="817" t="s">
        <v>653</v>
      </c>
      <c r="E176" s="815" t="s">
        <v>653</v>
      </c>
      <c r="F176" s="1076"/>
      <c r="G176" s="815" t="s">
        <v>653</v>
      </c>
      <c r="H176" s="812" t="s">
        <v>653</v>
      </c>
      <c r="I176" s="813" t="s">
        <v>653</v>
      </c>
      <c r="J176" s="847"/>
      <c r="K176" s="816" t="s">
        <v>653</v>
      </c>
      <c r="L176" s="505"/>
      <c r="M176" s="500" t="s">
        <v>653</v>
      </c>
      <c r="N176" s="506" t="s">
        <v>653</v>
      </c>
      <c r="O176" s="506" t="s">
        <v>653</v>
      </c>
      <c r="P176" s="496" t="s">
        <v>653</v>
      </c>
      <c r="Q176" s="497" t="s">
        <v>653</v>
      </c>
      <c r="R176" s="507" t="s">
        <v>653</v>
      </c>
      <c r="S176" s="505"/>
      <c r="T176" s="500" t="s">
        <v>653</v>
      </c>
      <c r="U176" s="506" t="s">
        <v>653</v>
      </c>
      <c r="V176" s="506" t="s">
        <v>653</v>
      </c>
      <c r="W176" s="496" t="s">
        <v>653</v>
      </c>
      <c r="X176" s="497" t="s">
        <v>653</v>
      </c>
      <c r="Y176" s="507" t="s">
        <v>653</v>
      </c>
    </row>
    <row r="177" spans="1:25">
      <c r="A177" s="502">
        <f t="shared" si="2"/>
        <v>-131</v>
      </c>
      <c r="B177" s="809" t="s">
        <v>653</v>
      </c>
      <c r="C177" s="504"/>
      <c r="D177" s="817" t="s">
        <v>653</v>
      </c>
      <c r="E177" s="815" t="s">
        <v>653</v>
      </c>
      <c r="F177" s="1076"/>
      <c r="G177" s="815" t="s">
        <v>653</v>
      </c>
      <c r="H177" s="812" t="s">
        <v>653</v>
      </c>
      <c r="I177" s="813" t="s">
        <v>653</v>
      </c>
      <c r="J177" s="847"/>
      <c r="K177" s="816" t="s">
        <v>653</v>
      </c>
      <c r="L177" s="505"/>
      <c r="M177" s="500" t="s">
        <v>653</v>
      </c>
      <c r="N177" s="506" t="s">
        <v>653</v>
      </c>
      <c r="O177" s="506" t="s">
        <v>653</v>
      </c>
      <c r="P177" s="496" t="s">
        <v>653</v>
      </c>
      <c r="Q177" s="497" t="s">
        <v>653</v>
      </c>
      <c r="R177" s="507" t="s">
        <v>653</v>
      </c>
      <c r="S177" s="505"/>
      <c r="T177" s="500" t="s">
        <v>653</v>
      </c>
      <c r="U177" s="506" t="s">
        <v>653</v>
      </c>
      <c r="V177" s="506" t="s">
        <v>653</v>
      </c>
      <c r="W177" s="496" t="s">
        <v>653</v>
      </c>
      <c r="X177" s="497" t="s">
        <v>653</v>
      </c>
      <c r="Y177" s="507" t="s">
        <v>653</v>
      </c>
    </row>
    <row r="178" spans="1:25">
      <c r="A178" s="502">
        <f t="shared" si="2"/>
        <v>-132</v>
      </c>
      <c r="B178" s="809" t="s">
        <v>653</v>
      </c>
      <c r="C178" s="504"/>
      <c r="D178" s="817" t="s">
        <v>653</v>
      </c>
      <c r="E178" s="815" t="s">
        <v>653</v>
      </c>
      <c r="F178" s="1076"/>
      <c r="G178" s="815" t="s">
        <v>653</v>
      </c>
      <c r="H178" s="812" t="s">
        <v>653</v>
      </c>
      <c r="I178" s="813" t="s">
        <v>653</v>
      </c>
      <c r="J178" s="847"/>
      <c r="K178" s="816" t="s">
        <v>653</v>
      </c>
      <c r="L178" s="505"/>
      <c r="M178" s="500" t="s">
        <v>653</v>
      </c>
      <c r="N178" s="506" t="s">
        <v>653</v>
      </c>
      <c r="O178" s="506" t="s">
        <v>653</v>
      </c>
      <c r="P178" s="496" t="s">
        <v>653</v>
      </c>
      <c r="Q178" s="497" t="s">
        <v>653</v>
      </c>
      <c r="R178" s="507" t="s">
        <v>653</v>
      </c>
      <c r="S178" s="505"/>
      <c r="T178" s="500" t="s">
        <v>653</v>
      </c>
      <c r="U178" s="506" t="s">
        <v>653</v>
      </c>
      <c r="V178" s="506" t="s">
        <v>653</v>
      </c>
      <c r="W178" s="496" t="s">
        <v>653</v>
      </c>
      <c r="X178" s="497" t="s">
        <v>653</v>
      </c>
      <c r="Y178" s="507" t="s">
        <v>653</v>
      </c>
    </row>
    <row r="179" spans="1:25">
      <c r="A179" s="502">
        <f t="shared" si="2"/>
        <v>-133</v>
      </c>
      <c r="B179" s="809" t="s">
        <v>653</v>
      </c>
      <c r="C179" s="504"/>
      <c r="D179" s="817" t="s">
        <v>653</v>
      </c>
      <c r="E179" s="815" t="s">
        <v>653</v>
      </c>
      <c r="F179" s="1076"/>
      <c r="G179" s="815" t="s">
        <v>653</v>
      </c>
      <c r="H179" s="812" t="s">
        <v>653</v>
      </c>
      <c r="I179" s="813" t="s">
        <v>653</v>
      </c>
      <c r="J179" s="847"/>
      <c r="K179" s="816" t="s">
        <v>653</v>
      </c>
      <c r="L179" s="505"/>
      <c r="M179" s="500" t="s">
        <v>653</v>
      </c>
      <c r="N179" s="506" t="s">
        <v>653</v>
      </c>
      <c r="O179" s="506" t="s">
        <v>653</v>
      </c>
      <c r="P179" s="496" t="s">
        <v>653</v>
      </c>
      <c r="Q179" s="497" t="s">
        <v>653</v>
      </c>
      <c r="R179" s="507" t="s">
        <v>653</v>
      </c>
      <c r="S179" s="505"/>
      <c r="T179" s="500" t="s">
        <v>653</v>
      </c>
      <c r="U179" s="506" t="s">
        <v>653</v>
      </c>
      <c r="V179" s="506" t="s">
        <v>653</v>
      </c>
      <c r="W179" s="496" t="s">
        <v>653</v>
      </c>
      <c r="X179" s="497" t="s">
        <v>653</v>
      </c>
      <c r="Y179" s="507" t="s">
        <v>653</v>
      </c>
    </row>
    <row r="180" spans="1:25">
      <c r="A180" s="502">
        <f t="shared" si="2"/>
        <v>-134</v>
      </c>
      <c r="B180" s="809" t="s">
        <v>653</v>
      </c>
      <c r="C180" s="504"/>
      <c r="D180" s="817" t="s">
        <v>653</v>
      </c>
      <c r="E180" s="815" t="s">
        <v>653</v>
      </c>
      <c r="F180" s="1076"/>
      <c r="G180" s="815" t="s">
        <v>653</v>
      </c>
      <c r="H180" s="812" t="s">
        <v>653</v>
      </c>
      <c r="I180" s="813" t="s">
        <v>653</v>
      </c>
      <c r="J180" s="847"/>
      <c r="K180" s="816" t="s">
        <v>653</v>
      </c>
      <c r="L180" s="505"/>
      <c r="M180" s="500" t="s">
        <v>653</v>
      </c>
      <c r="N180" s="506" t="s">
        <v>653</v>
      </c>
      <c r="O180" s="506" t="s">
        <v>653</v>
      </c>
      <c r="P180" s="496" t="s">
        <v>653</v>
      </c>
      <c r="Q180" s="497" t="s">
        <v>653</v>
      </c>
      <c r="R180" s="507" t="s">
        <v>653</v>
      </c>
      <c r="S180" s="505"/>
      <c r="T180" s="500" t="s">
        <v>653</v>
      </c>
      <c r="U180" s="506" t="s">
        <v>653</v>
      </c>
      <c r="V180" s="506" t="s">
        <v>653</v>
      </c>
      <c r="W180" s="496" t="s">
        <v>653</v>
      </c>
      <c r="X180" s="497" t="s">
        <v>653</v>
      </c>
      <c r="Y180" s="507" t="s">
        <v>653</v>
      </c>
    </row>
    <row r="181" spans="1:25">
      <c r="A181" s="502">
        <f t="shared" si="2"/>
        <v>-135</v>
      </c>
      <c r="B181" s="809" t="s">
        <v>653</v>
      </c>
      <c r="C181" s="504"/>
      <c r="D181" s="817" t="s">
        <v>653</v>
      </c>
      <c r="E181" s="815" t="s">
        <v>653</v>
      </c>
      <c r="F181" s="1076"/>
      <c r="G181" s="815" t="s">
        <v>653</v>
      </c>
      <c r="H181" s="812" t="s">
        <v>653</v>
      </c>
      <c r="I181" s="813" t="s">
        <v>653</v>
      </c>
      <c r="J181" s="847"/>
      <c r="K181" s="816" t="s">
        <v>653</v>
      </c>
      <c r="L181" s="505"/>
      <c r="M181" s="500" t="s">
        <v>653</v>
      </c>
      <c r="N181" s="506" t="s">
        <v>653</v>
      </c>
      <c r="O181" s="506" t="s">
        <v>653</v>
      </c>
      <c r="P181" s="496" t="s">
        <v>653</v>
      </c>
      <c r="Q181" s="497" t="s">
        <v>653</v>
      </c>
      <c r="R181" s="507" t="s">
        <v>653</v>
      </c>
      <c r="S181" s="505"/>
      <c r="T181" s="500" t="s">
        <v>653</v>
      </c>
      <c r="U181" s="506" t="s">
        <v>653</v>
      </c>
      <c r="V181" s="506" t="s">
        <v>653</v>
      </c>
      <c r="W181" s="496" t="s">
        <v>653</v>
      </c>
      <c r="X181" s="497" t="s">
        <v>653</v>
      </c>
      <c r="Y181" s="507" t="s">
        <v>653</v>
      </c>
    </row>
    <row r="182" spans="1:25">
      <c r="A182" s="502">
        <f t="shared" si="2"/>
        <v>-136</v>
      </c>
      <c r="B182" s="809" t="s">
        <v>653</v>
      </c>
      <c r="C182" s="504"/>
      <c r="D182" s="817" t="s">
        <v>653</v>
      </c>
      <c r="E182" s="815" t="s">
        <v>653</v>
      </c>
      <c r="F182" s="1076"/>
      <c r="G182" s="815" t="s">
        <v>653</v>
      </c>
      <c r="H182" s="812" t="s">
        <v>653</v>
      </c>
      <c r="I182" s="813" t="s">
        <v>653</v>
      </c>
      <c r="J182" s="847"/>
      <c r="K182" s="816" t="s">
        <v>653</v>
      </c>
      <c r="L182" s="505"/>
      <c r="M182" s="500" t="s">
        <v>653</v>
      </c>
      <c r="N182" s="506" t="s">
        <v>653</v>
      </c>
      <c r="O182" s="506" t="s">
        <v>653</v>
      </c>
      <c r="P182" s="496" t="s">
        <v>653</v>
      </c>
      <c r="Q182" s="497" t="s">
        <v>653</v>
      </c>
      <c r="R182" s="507" t="s">
        <v>653</v>
      </c>
      <c r="S182" s="505"/>
      <c r="T182" s="500" t="s">
        <v>653</v>
      </c>
      <c r="U182" s="506" t="s">
        <v>653</v>
      </c>
      <c r="V182" s="506" t="s">
        <v>653</v>
      </c>
      <c r="W182" s="496" t="s">
        <v>653</v>
      </c>
      <c r="X182" s="497" t="s">
        <v>653</v>
      </c>
      <c r="Y182" s="507" t="s">
        <v>653</v>
      </c>
    </row>
    <row r="183" spans="1:25">
      <c r="A183" s="502">
        <f t="shared" si="2"/>
        <v>-137</v>
      </c>
      <c r="B183" s="809" t="s">
        <v>653</v>
      </c>
      <c r="C183" s="504"/>
      <c r="D183" s="817" t="s">
        <v>653</v>
      </c>
      <c r="E183" s="815" t="s">
        <v>653</v>
      </c>
      <c r="F183" s="1076"/>
      <c r="G183" s="815" t="s">
        <v>653</v>
      </c>
      <c r="H183" s="812" t="s">
        <v>653</v>
      </c>
      <c r="I183" s="813" t="s">
        <v>653</v>
      </c>
      <c r="J183" s="847"/>
      <c r="K183" s="816" t="s">
        <v>653</v>
      </c>
      <c r="L183" s="505"/>
      <c r="M183" s="500" t="s">
        <v>653</v>
      </c>
      <c r="N183" s="506" t="s">
        <v>653</v>
      </c>
      <c r="O183" s="506" t="s">
        <v>653</v>
      </c>
      <c r="P183" s="496" t="s">
        <v>653</v>
      </c>
      <c r="Q183" s="497" t="s">
        <v>653</v>
      </c>
      <c r="R183" s="507" t="s">
        <v>653</v>
      </c>
      <c r="S183" s="505"/>
      <c r="T183" s="500" t="s">
        <v>653</v>
      </c>
      <c r="U183" s="506" t="s">
        <v>653</v>
      </c>
      <c r="V183" s="506" t="s">
        <v>653</v>
      </c>
      <c r="W183" s="496" t="s">
        <v>653</v>
      </c>
      <c r="X183" s="497" t="s">
        <v>653</v>
      </c>
      <c r="Y183" s="507" t="s">
        <v>653</v>
      </c>
    </row>
    <row r="184" spans="1:25">
      <c r="A184" s="502">
        <f t="shared" si="2"/>
        <v>-138</v>
      </c>
      <c r="B184" s="809" t="s">
        <v>653</v>
      </c>
      <c r="C184" s="504"/>
      <c r="D184" s="817" t="s">
        <v>653</v>
      </c>
      <c r="E184" s="815" t="s">
        <v>653</v>
      </c>
      <c r="F184" s="1076"/>
      <c r="G184" s="815" t="s">
        <v>653</v>
      </c>
      <c r="H184" s="812" t="s">
        <v>653</v>
      </c>
      <c r="I184" s="813" t="s">
        <v>653</v>
      </c>
      <c r="J184" s="847"/>
      <c r="K184" s="816" t="s">
        <v>653</v>
      </c>
      <c r="L184" s="505"/>
      <c r="M184" s="500" t="s">
        <v>653</v>
      </c>
      <c r="N184" s="506" t="s">
        <v>653</v>
      </c>
      <c r="O184" s="506" t="s">
        <v>653</v>
      </c>
      <c r="P184" s="496" t="s">
        <v>653</v>
      </c>
      <c r="Q184" s="497" t="s">
        <v>653</v>
      </c>
      <c r="R184" s="507" t="s">
        <v>653</v>
      </c>
      <c r="S184" s="505"/>
      <c r="T184" s="500" t="s">
        <v>653</v>
      </c>
      <c r="U184" s="506" t="s">
        <v>653</v>
      </c>
      <c r="V184" s="506" t="s">
        <v>653</v>
      </c>
      <c r="W184" s="496" t="s">
        <v>653</v>
      </c>
      <c r="X184" s="497" t="s">
        <v>653</v>
      </c>
      <c r="Y184" s="507" t="s">
        <v>653</v>
      </c>
    </row>
    <row r="185" spans="1:25">
      <c r="A185" s="502">
        <f t="shared" si="2"/>
        <v>-139</v>
      </c>
      <c r="B185" s="809" t="s">
        <v>653</v>
      </c>
      <c r="C185" s="504"/>
      <c r="D185" s="817" t="s">
        <v>653</v>
      </c>
      <c r="E185" s="815" t="s">
        <v>653</v>
      </c>
      <c r="F185" s="1076"/>
      <c r="G185" s="815" t="s">
        <v>653</v>
      </c>
      <c r="H185" s="812" t="s">
        <v>653</v>
      </c>
      <c r="I185" s="813" t="s">
        <v>653</v>
      </c>
      <c r="J185" s="847"/>
      <c r="K185" s="816" t="s">
        <v>653</v>
      </c>
      <c r="L185" s="505"/>
      <c r="M185" s="500" t="s">
        <v>653</v>
      </c>
      <c r="N185" s="506" t="s">
        <v>653</v>
      </c>
      <c r="O185" s="506" t="s">
        <v>653</v>
      </c>
      <c r="P185" s="496" t="s">
        <v>653</v>
      </c>
      <c r="Q185" s="497" t="s">
        <v>653</v>
      </c>
      <c r="R185" s="507" t="s">
        <v>653</v>
      </c>
      <c r="S185" s="505"/>
      <c r="T185" s="500" t="s">
        <v>653</v>
      </c>
      <c r="U185" s="506" t="s">
        <v>653</v>
      </c>
      <c r="V185" s="506" t="s">
        <v>653</v>
      </c>
      <c r="W185" s="496" t="s">
        <v>653</v>
      </c>
      <c r="X185" s="497" t="s">
        <v>653</v>
      </c>
      <c r="Y185" s="507" t="s">
        <v>653</v>
      </c>
    </row>
    <row r="186" spans="1:25">
      <c r="A186" s="502">
        <f t="shared" si="2"/>
        <v>-140</v>
      </c>
      <c r="B186" s="809" t="s">
        <v>653</v>
      </c>
      <c r="C186" s="504"/>
      <c r="D186" s="817" t="s">
        <v>653</v>
      </c>
      <c r="E186" s="815" t="s">
        <v>653</v>
      </c>
      <c r="F186" s="1076"/>
      <c r="G186" s="815" t="s">
        <v>653</v>
      </c>
      <c r="H186" s="812" t="s">
        <v>653</v>
      </c>
      <c r="I186" s="813" t="s">
        <v>653</v>
      </c>
      <c r="J186" s="847"/>
      <c r="K186" s="816" t="s">
        <v>653</v>
      </c>
      <c r="L186" s="505"/>
      <c r="M186" s="500" t="s">
        <v>653</v>
      </c>
      <c r="N186" s="506" t="s">
        <v>653</v>
      </c>
      <c r="O186" s="506" t="s">
        <v>653</v>
      </c>
      <c r="P186" s="496" t="s">
        <v>653</v>
      </c>
      <c r="Q186" s="497" t="s">
        <v>653</v>
      </c>
      <c r="R186" s="507" t="s">
        <v>653</v>
      </c>
      <c r="S186" s="505"/>
      <c r="T186" s="500" t="s">
        <v>653</v>
      </c>
      <c r="U186" s="506" t="s">
        <v>653</v>
      </c>
      <c r="V186" s="506" t="s">
        <v>653</v>
      </c>
      <c r="W186" s="496" t="s">
        <v>653</v>
      </c>
      <c r="X186" s="497" t="s">
        <v>653</v>
      </c>
      <c r="Y186" s="507" t="s">
        <v>653</v>
      </c>
    </row>
    <row r="187" spans="1:25">
      <c r="A187" s="502">
        <f t="shared" si="2"/>
        <v>-141</v>
      </c>
      <c r="B187" s="809" t="s">
        <v>653</v>
      </c>
      <c r="C187" s="504"/>
      <c r="D187" s="817" t="s">
        <v>653</v>
      </c>
      <c r="E187" s="815" t="s">
        <v>653</v>
      </c>
      <c r="F187" s="1076"/>
      <c r="G187" s="815" t="s">
        <v>653</v>
      </c>
      <c r="H187" s="812" t="s">
        <v>653</v>
      </c>
      <c r="I187" s="813" t="s">
        <v>653</v>
      </c>
      <c r="J187" s="847"/>
      <c r="K187" s="816" t="s">
        <v>653</v>
      </c>
      <c r="L187" s="505"/>
      <c r="M187" s="500" t="s">
        <v>653</v>
      </c>
      <c r="N187" s="506" t="s">
        <v>653</v>
      </c>
      <c r="O187" s="506" t="s">
        <v>653</v>
      </c>
      <c r="P187" s="496" t="s">
        <v>653</v>
      </c>
      <c r="Q187" s="497" t="s">
        <v>653</v>
      </c>
      <c r="R187" s="507" t="s">
        <v>653</v>
      </c>
      <c r="S187" s="505"/>
      <c r="T187" s="500" t="s">
        <v>653</v>
      </c>
      <c r="U187" s="506" t="s">
        <v>653</v>
      </c>
      <c r="V187" s="506" t="s">
        <v>653</v>
      </c>
      <c r="W187" s="496" t="s">
        <v>653</v>
      </c>
      <c r="X187" s="497" t="s">
        <v>653</v>
      </c>
      <c r="Y187" s="507" t="s">
        <v>653</v>
      </c>
    </row>
    <row r="188" spans="1:25">
      <c r="A188" s="502">
        <f t="shared" si="2"/>
        <v>-142</v>
      </c>
      <c r="B188" s="809" t="s">
        <v>653</v>
      </c>
      <c r="C188" s="504"/>
      <c r="D188" s="817" t="s">
        <v>653</v>
      </c>
      <c r="E188" s="815" t="s">
        <v>653</v>
      </c>
      <c r="F188" s="1076"/>
      <c r="G188" s="815" t="s">
        <v>653</v>
      </c>
      <c r="H188" s="812" t="s">
        <v>653</v>
      </c>
      <c r="I188" s="813" t="s">
        <v>653</v>
      </c>
      <c r="J188" s="847"/>
      <c r="K188" s="816" t="s">
        <v>653</v>
      </c>
      <c r="L188" s="505"/>
      <c r="M188" s="500" t="s">
        <v>653</v>
      </c>
      <c r="N188" s="506" t="s">
        <v>653</v>
      </c>
      <c r="O188" s="506" t="s">
        <v>653</v>
      </c>
      <c r="P188" s="496" t="s">
        <v>653</v>
      </c>
      <c r="Q188" s="497" t="s">
        <v>653</v>
      </c>
      <c r="R188" s="507" t="s">
        <v>653</v>
      </c>
      <c r="S188" s="505"/>
      <c r="T188" s="500" t="s">
        <v>653</v>
      </c>
      <c r="U188" s="506" t="s">
        <v>653</v>
      </c>
      <c r="V188" s="506" t="s">
        <v>653</v>
      </c>
      <c r="W188" s="496" t="s">
        <v>653</v>
      </c>
      <c r="X188" s="497" t="s">
        <v>653</v>
      </c>
      <c r="Y188" s="507" t="s">
        <v>653</v>
      </c>
    </row>
    <row r="189" spans="1:25">
      <c r="A189" s="502">
        <f t="shared" si="2"/>
        <v>-143</v>
      </c>
      <c r="B189" s="809" t="s">
        <v>653</v>
      </c>
      <c r="C189" s="504"/>
      <c r="D189" s="817" t="s">
        <v>653</v>
      </c>
      <c r="E189" s="815" t="s">
        <v>653</v>
      </c>
      <c r="F189" s="1076"/>
      <c r="G189" s="815" t="s">
        <v>653</v>
      </c>
      <c r="H189" s="812" t="s">
        <v>653</v>
      </c>
      <c r="I189" s="813" t="s">
        <v>653</v>
      </c>
      <c r="J189" s="847"/>
      <c r="K189" s="816" t="s">
        <v>653</v>
      </c>
      <c r="L189" s="505"/>
      <c r="M189" s="500" t="s">
        <v>653</v>
      </c>
      <c r="N189" s="506" t="s">
        <v>653</v>
      </c>
      <c r="O189" s="506" t="s">
        <v>653</v>
      </c>
      <c r="P189" s="496" t="s">
        <v>653</v>
      </c>
      <c r="Q189" s="497" t="s">
        <v>653</v>
      </c>
      <c r="R189" s="507" t="s">
        <v>653</v>
      </c>
      <c r="S189" s="505"/>
      <c r="T189" s="500" t="s">
        <v>653</v>
      </c>
      <c r="U189" s="506" t="s">
        <v>653</v>
      </c>
      <c r="V189" s="506" t="s">
        <v>653</v>
      </c>
      <c r="W189" s="496" t="s">
        <v>653</v>
      </c>
      <c r="X189" s="497" t="s">
        <v>653</v>
      </c>
      <c r="Y189" s="507" t="s">
        <v>653</v>
      </c>
    </row>
    <row r="190" spans="1:25">
      <c r="A190" s="502">
        <f t="shared" si="2"/>
        <v>-144</v>
      </c>
      <c r="B190" s="809" t="s">
        <v>653</v>
      </c>
      <c r="C190" s="504"/>
      <c r="D190" s="817" t="s">
        <v>653</v>
      </c>
      <c r="E190" s="815" t="s">
        <v>653</v>
      </c>
      <c r="F190" s="1076"/>
      <c r="G190" s="815" t="s">
        <v>653</v>
      </c>
      <c r="H190" s="812" t="s">
        <v>653</v>
      </c>
      <c r="I190" s="813" t="s">
        <v>653</v>
      </c>
      <c r="J190" s="847"/>
      <c r="K190" s="816" t="s">
        <v>653</v>
      </c>
      <c r="L190" s="505"/>
      <c r="M190" s="500" t="s">
        <v>653</v>
      </c>
      <c r="N190" s="506" t="s">
        <v>653</v>
      </c>
      <c r="O190" s="506" t="s">
        <v>653</v>
      </c>
      <c r="P190" s="496" t="s">
        <v>653</v>
      </c>
      <c r="Q190" s="497" t="s">
        <v>653</v>
      </c>
      <c r="R190" s="507" t="s">
        <v>653</v>
      </c>
      <c r="S190" s="505"/>
      <c r="T190" s="500" t="s">
        <v>653</v>
      </c>
      <c r="U190" s="506" t="s">
        <v>653</v>
      </c>
      <c r="V190" s="506" t="s">
        <v>653</v>
      </c>
      <c r="W190" s="496" t="s">
        <v>653</v>
      </c>
      <c r="X190" s="497" t="s">
        <v>653</v>
      </c>
      <c r="Y190" s="507" t="s">
        <v>653</v>
      </c>
    </row>
    <row r="191" spans="1:25">
      <c r="A191" s="502">
        <f t="shared" si="2"/>
        <v>-145</v>
      </c>
      <c r="B191" s="809" t="s">
        <v>653</v>
      </c>
      <c r="C191" s="504"/>
      <c r="D191" s="817" t="s">
        <v>653</v>
      </c>
      <c r="E191" s="815" t="s">
        <v>653</v>
      </c>
      <c r="F191" s="1076"/>
      <c r="G191" s="815" t="s">
        <v>653</v>
      </c>
      <c r="H191" s="812" t="s">
        <v>653</v>
      </c>
      <c r="I191" s="813" t="s">
        <v>653</v>
      </c>
      <c r="J191" s="847"/>
      <c r="K191" s="816" t="s">
        <v>653</v>
      </c>
      <c r="L191" s="505"/>
      <c r="M191" s="500" t="s">
        <v>653</v>
      </c>
      <c r="N191" s="506" t="s">
        <v>653</v>
      </c>
      <c r="O191" s="506" t="s">
        <v>653</v>
      </c>
      <c r="P191" s="496" t="s">
        <v>653</v>
      </c>
      <c r="Q191" s="497" t="s">
        <v>653</v>
      </c>
      <c r="R191" s="507" t="s">
        <v>653</v>
      </c>
      <c r="S191" s="505"/>
      <c r="T191" s="500" t="s">
        <v>653</v>
      </c>
      <c r="U191" s="506" t="s">
        <v>653</v>
      </c>
      <c r="V191" s="506" t="s">
        <v>653</v>
      </c>
      <c r="W191" s="496" t="s">
        <v>653</v>
      </c>
      <c r="X191" s="497" t="s">
        <v>653</v>
      </c>
      <c r="Y191" s="507" t="s">
        <v>653</v>
      </c>
    </row>
    <row r="192" spans="1:25">
      <c r="A192" s="502">
        <f t="shared" si="2"/>
        <v>-146</v>
      </c>
      <c r="B192" s="809" t="s">
        <v>653</v>
      </c>
      <c r="C192" s="504"/>
      <c r="D192" s="817" t="s">
        <v>653</v>
      </c>
      <c r="E192" s="815" t="s">
        <v>653</v>
      </c>
      <c r="F192" s="1076"/>
      <c r="G192" s="815" t="s">
        <v>653</v>
      </c>
      <c r="H192" s="812" t="s">
        <v>653</v>
      </c>
      <c r="I192" s="813" t="s">
        <v>653</v>
      </c>
      <c r="J192" s="847"/>
      <c r="K192" s="816" t="s">
        <v>653</v>
      </c>
      <c r="L192" s="505"/>
      <c r="M192" s="500" t="s">
        <v>653</v>
      </c>
      <c r="N192" s="506" t="s">
        <v>653</v>
      </c>
      <c r="O192" s="506" t="s">
        <v>653</v>
      </c>
      <c r="P192" s="496" t="s">
        <v>653</v>
      </c>
      <c r="Q192" s="497" t="s">
        <v>653</v>
      </c>
      <c r="R192" s="507" t="s">
        <v>653</v>
      </c>
      <c r="S192" s="505"/>
      <c r="T192" s="500" t="s">
        <v>653</v>
      </c>
      <c r="U192" s="506" t="s">
        <v>653</v>
      </c>
      <c r="V192" s="506" t="s">
        <v>653</v>
      </c>
      <c r="W192" s="496" t="s">
        <v>653</v>
      </c>
      <c r="X192" s="497" t="s">
        <v>653</v>
      </c>
      <c r="Y192" s="507" t="s">
        <v>653</v>
      </c>
    </row>
    <row r="193" spans="1:25">
      <c r="A193" s="502">
        <f t="shared" si="2"/>
        <v>-147</v>
      </c>
      <c r="B193" s="809" t="s">
        <v>653</v>
      </c>
      <c r="C193" s="504"/>
      <c r="D193" s="817" t="s">
        <v>653</v>
      </c>
      <c r="E193" s="815" t="s">
        <v>653</v>
      </c>
      <c r="F193" s="1076"/>
      <c r="G193" s="815" t="s">
        <v>653</v>
      </c>
      <c r="H193" s="812" t="s">
        <v>653</v>
      </c>
      <c r="I193" s="813" t="s">
        <v>653</v>
      </c>
      <c r="J193" s="847"/>
      <c r="K193" s="816" t="s">
        <v>653</v>
      </c>
      <c r="L193" s="505"/>
      <c r="M193" s="500" t="s">
        <v>653</v>
      </c>
      <c r="N193" s="506" t="s">
        <v>653</v>
      </c>
      <c r="O193" s="506" t="s">
        <v>653</v>
      </c>
      <c r="P193" s="496" t="s">
        <v>653</v>
      </c>
      <c r="Q193" s="497" t="s">
        <v>653</v>
      </c>
      <c r="R193" s="507" t="s">
        <v>653</v>
      </c>
      <c r="S193" s="505"/>
      <c r="T193" s="500" t="s">
        <v>653</v>
      </c>
      <c r="U193" s="506" t="s">
        <v>653</v>
      </c>
      <c r="V193" s="506" t="s">
        <v>653</v>
      </c>
      <c r="W193" s="496" t="s">
        <v>653</v>
      </c>
      <c r="X193" s="497" t="s">
        <v>653</v>
      </c>
      <c r="Y193" s="507" t="s">
        <v>653</v>
      </c>
    </row>
    <row r="194" spans="1:25">
      <c r="A194" s="502">
        <f t="shared" si="2"/>
        <v>-148</v>
      </c>
      <c r="B194" s="809" t="s">
        <v>653</v>
      </c>
      <c r="C194" s="504"/>
      <c r="D194" s="817" t="s">
        <v>653</v>
      </c>
      <c r="E194" s="815" t="s">
        <v>653</v>
      </c>
      <c r="F194" s="1076"/>
      <c r="G194" s="815" t="s">
        <v>653</v>
      </c>
      <c r="H194" s="812" t="s">
        <v>653</v>
      </c>
      <c r="I194" s="813" t="s">
        <v>653</v>
      </c>
      <c r="J194" s="847"/>
      <c r="K194" s="816" t="s">
        <v>653</v>
      </c>
      <c r="L194" s="505"/>
      <c r="M194" s="500" t="s">
        <v>653</v>
      </c>
      <c r="N194" s="506" t="s">
        <v>653</v>
      </c>
      <c r="O194" s="506" t="s">
        <v>653</v>
      </c>
      <c r="P194" s="496" t="s">
        <v>653</v>
      </c>
      <c r="Q194" s="497" t="s">
        <v>653</v>
      </c>
      <c r="R194" s="507" t="s">
        <v>653</v>
      </c>
      <c r="S194" s="505"/>
      <c r="T194" s="500" t="s">
        <v>653</v>
      </c>
      <c r="U194" s="506" t="s">
        <v>653</v>
      </c>
      <c r="V194" s="506" t="s">
        <v>653</v>
      </c>
      <c r="W194" s="496" t="s">
        <v>653</v>
      </c>
      <c r="X194" s="497" t="s">
        <v>653</v>
      </c>
      <c r="Y194" s="507" t="s">
        <v>653</v>
      </c>
    </row>
    <row r="195" spans="1:25">
      <c r="A195" s="502">
        <f t="shared" si="2"/>
        <v>-149</v>
      </c>
      <c r="B195" s="809" t="s">
        <v>653</v>
      </c>
      <c r="C195" s="504"/>
      <c r="D195" s="817" t="s">
        <v>653</v>
      </c>
      <c r="E195" s="815" t="s">
        <v>653</v>
      </c>
      <c r="F195" s="1076"/>
      <c r="G195" s="815" t="s">
        <v>653</v>
      </c>
      <c r="H195" s="812" t="s">
        <v>653</v>
      </c>
      <c r="I195" s="813" t="s">
        <v>653</v>
      </c>
      <c r="J195" s="847"/>
      <c r="K195" s="816" t="s">
        <v>653</v>
      </c>
      <c r="L195" s="505"/>
      <c r="M195" s="500" t="s">
        <v>653</v>
      </c>
      <c r="N195" s="506" t="s">
        <v>653</v>
      </c>
      <c r="O195" s="506" t="s">
        <v>653</v>
      </c>
      <c r="P195" s="496" t="s">
        <v>653</v>
      </c>
      <c r="Q195" s="497" t="s">
        <v>653</v>
      </c>
      <c r="R195" s="507" t="s">
        <v>653</v>
      </c>
      <c r="S195" s="505"/>
      <c r="T195" s="500" t="s">
        <v>653</v>
      </c>
      <c r="U195" s="506" t="s">
        <v>653</v>
      </c>
      <c r="V195" s="506" t="s">
        <v>653</v>
      </c>
      <c r="W195" s="496" t="s">
        <v>653</v>
      </c>
      <c r="X195" s="497" t="s">
        <v>653</v>
      </c>
      <c r="Y195" s="507" t="s">
        <v>653</v>
      </c>
    </row>
    <row r="196" spans="1:25">
      <c r="A196" s="502">
        <f t="shared" si="2"/>
        <v>-150</v>
      </c>
      <c r="B196" s="809" t="s">
        <v>653</v>
      </c>
      <c r="C196" s="504"/>
      <c r="D196" s="817" t="s">
        <v>653</v>
      </c>
      <c r="E196" s="815" t="s">
        <v>653</v>
      </c>
      <c r="F196" s="1076"/>
      <c r="G196" s="815" t="s">
        <v>653</v>
      </c>
      <c r="H196" s="812" t="s">
        <v>653</v>
      </c>
      <c r="I196" s="813" t="s">
        <v>653</v>
      </c>
      <c r="J196" s="847"/>
      <c r="K196" s="816" t="s">
        <v>653</v>
      </c>
      <c r="L196" s="505"/>
      <c r="M196" s="500" t="s">
        <v>653</v>
      </c>
      <c r="N196" s="506" t="s">
        <v>653</v>
      </c>
      <c r="O196" s="506" t="s">
        <v>653</v>
      </c>
      <c r="P196" s="496" t="s">
        <v>653</v>
      </c>
      <c r="Q196" s="497" t="s">
        <v>653</v>
      </c>
      <c r="R196" s="507" t="s">
        <v>653</v>
      </c>
      <c r="S196" s="505"/>
      <c r="T196" s="500" t="s">
        <v>653</v>
      </c>
      <c r="U196" s="506" t="s">
        <v>653</v>
      </c>
      <c r="V196" s="506" t="s">
        <v>653</v>
      </c>
      <c r="W196" s="496" t="s">
        <v>653</v>
      </c>
      <c r="X196" s="497" t="s">
        <v>653</v>
      </c>
      <c r="Y196" s="507" t="s">
        <v>653</v>
      </c>
    </row>
    <row r="197" spans="1:25">
      <c r="A197" s="502">
        <f t="shared" si="2"/>
        <v>-151</v>
      </c>
      <c r="B197" s="809" t="s">
        <v>653</v>
      </c>
      <c r="C197" s="504"/>
      <c r="D197" s="817" t="s">
        <v>653</v>
      </c>
      <c r="E197" s="815" t="s">
        <v>653</v>
      </c>
      <c r="F197" s="1076"/>
      <c r="G197" s="815" t="s">
        <v>653</v>
      </c>
      <c r="H197" s="812" t="s">
        <v>653</v>
      </c>
      <c r="I197" s="813" t="s">
        <v>653</v>
      </c>
      <c r="J197" s="847"/>
      <c r="K197" s="816" t="s">
        <v>653</v>
      </c>
      <c r="L197" s="505"/>
      <c r="M197" s="500" t="s">
        <v>653</v>
      </c>
      <c r="N197" s="506" t="s">
        <v>653</v>
      </c>
      <c r="O197" s="506" t="s">
        <v>653</v>
      </c>
      <c r="P197" s="496" t="s">
        <v>653</v>
      </c>
      <c r="Q197" s="497" t="s">
        <v>653</v>
      </c>
      <c r="R197" s="507" t="s">
        <v>653</v>
      </c>
      <c r="S197" s="505"/>
      <c r="T197" s="500" t="s">
        <v>653</v>
      </c>
      <c r="U197" s="506" t="s">
        <v>653</v>
      </c>
      <c r="V197" s="506" t="s">
        <v>653</v>
      </c>
      <c r="W197" s="496" t="s">
        <v>653</v>
      </c>
      <c r="X197" s="497" t="s">
        <v>653</v>
      </c>
      <c r="Y197" s="507" t="s">
        <v>653</v>
      </c>
    </row>
    <row r="198" spans="1:25">
      <c r="A198" s="502">
        <f t="shared" si="2"/>
        <v>-152</v>
      </c>
      <c r="B198" s="809" t="s">
        <v>653</v>
      </c>
      <c r="C198" s="504"/>
      <c r="D198" s="817" t="s">
        <v>653</v>
      </c>
      <c r="E198" s="815" t="s">
        <v>653</v>
      </c>
      <c r="F198" s="1076"/>
      <c r="G198" s="815" t="s">
        <v>653</v>
      </c>
      <c r="H198" s="812" t="s">
        <v>653</v>
      </c>
      <c r="I198" s="813" t="s">
        <v>653</v>
      </c>
      <c r="J198" s="847"/>
      <c r="K198" s="816" t="s">
        <v>653</v>
      </c>
      <c r="L198" s="505"/>
      <c r="M198" s="500" t="s">
        <v>653</v>
      </c>
      <c r="N198" s="506" t="s">
        <v>653</v>
      </c>
      <c r="O198" s="506" t="s">
        <v>653</v>
      </c>
      <c r="P198" s="496" t="s">
        <v>653</v>
      </c>
      <c r="Q198" s="497" t="s">
        <v>653</v>
      </c>
      <c r="R198" s="507" t="s">
        <v>653</v>
      </c>
      <c r="S198" s="505"/>
      <c r="T198" s="500" t="s">
        <v>653</v>
      </c>
      <c r="U198" s="506" t="s">
        <v>653</v>
      </c>
      <c r="V198" s="506" t="s">
        <v>653</v>
      </c>
      <c r="W198" s="496" t="s">
        <v>653</v>
      </c>
      <c r="X198" s="497" t="s">
        <v>653</v>
      </c>
      <c r="Y198" s="507" t="s">
        <v>653</v>
      </c>
    </row>
    <row r="199" spans="1:25">
      <c r="A199" s="502">
        <f t="shared" si="2"/>
        <v>-153</v>
      </c>
      <c r="B199" s="809" t="s">
        <v>653</v>
      </c>
      <c r="C199" s="504"/>
      <c r="D199" s="817" t="s">
        <v>653</v>
      </c>
      <c r="E199" s="815" t="s">
        <v>653</v>
      </c>
      <c r="F199" s="1076"/>
      <c r="G199" s="815" t="s">
        <v>653</v>
      </c>
      <c r="H199" s="812" t="s">
        <v>653</v>
      </c>
      <c r="I199" s="813" t="s">
        <v>653</v>
      </c>
      <c r="J199" s="847"/>
      <c r="K199" s="816" t="s">
        <v>653</v>
      </c>
      <c r="L199" s="505"/>
      <c r="M199" s="500" t="s">
        <v>653</v>
      </c>
      <c r="N199" s="506" t="s">
        <v>653</v>
      </c>
      <c r="O199" s="506" t="s">
        <v>653</v>
      </c>
      <c r="P199" s="496" t="s">
        <v>653</v>
      </c>
      <c r="Q199" s="497" t="s">
        <v>653</v>
      </c>
      <c r="R199" s="507" t="s">
        <v>653</v>
      </c>
      <c r="S199" s="505"/>
      <c r="T199" s="500" t="s">
        <v>653</v>
      </c>
      <c r="U199" s="506" t="s">
        <v>653</v>
      </c>
      <c r="V199" s="506" t="s">
        <v>653</v>
      </c>
      <c r="W199" s="496" t="s">
        <v>653</v>
      </c>
      <c r="X199" s="497" t="s">
        <v>653</v>
      </c>
      <c r="Y199" s="507" t="s">
        <v>653</v>
      </c>
    </row>
    <row r="200" spans="1:25">
      <c r="A200" s="502">
        <f t="shared" si="2"/>
        <v>-154</v>
      </c>
      <c r="B200" s="809" t="s">
        <v>653</v>
      </c>
      <c r="C200" s="504"/>
      <c r="D200" s="817" t="s">
        <v>653</v>
      </c>
      <c r="E200" s="815" t="s">
        <v>653</v>
      </c>
      <c r="F200" s="1076"/>
      <c r="G200" s="815" t="s">
        <v>653</v>
      </c>
      <c r="H200" s="812" t="s">
        <v>653</v>
      </c>
      <c r="I200" s="813" t="s">
        <v>653</v>
      </c>
      <c r="J200" s="847"/>
      <c r="K200" s="816" t="s">
        <v>653</v>
      </c>
      <c r="L200" s="505"/>
      <c r="M200" s="500" t="s">
        <v>653</v>
      </c>
      <c r="N200" s="506" t="s">
        <v>653</v>
      </c>
      <c r="O200" s="506" t="s">
        <v>653</v>
      </c>
      <c r="P200" s="496" t="s">
        <v>653</v>
      </c>
      <c r="Q200" s="497" t="s">
        <v>653</v>
      </c>
      <c r="R200" s="507" t="s">
        <v>653</v>
      </c>
      <c r="S200" s="505"/>
      <c r="T200" s="500" t="s">
        <v>653</v>
      </c>
      <c r="U200" s="506" t="s">
        <v>653</v>
      </c>
      <c r="V200" s="506" t="s">
        <v>653</v>
      </c>
      <c r="W200" s="496" t="s">
        <v>653</v>
      </c>
      <c r="X200" s="497" t="s">
        <v>653</v>
      </c>
      <c r="Y200" s="507" t="s">
        <v>653</v>
      </c>
    </row>
    <row r="201" spans="1:25">
      <c r="A201" s="502">
        <f t="shared" si="2"/>
        <v>-155</v>
      </c>
      <c r="B201" s="809" t="s">
        <v>653</v>
      </c>
      <c r="C201" s="504"/>
      <c r="D201" s="817" t="s">
        <v>653</v>
      </c>
      <c r="E201" s="815" t="s">
        <v>653</v>
      </c>
      <c r="F201" s="1076"/>
      <c r="G201" s="815" t="s">
        <v>653</v>
      </c>
      <c r="H201" s="812" t="s">
        <v>653</v>
      </c>
      <c r="I201" s="813" t="s">
        <v>653</v>
      </c>
      <c r="J201" s="847"/>
      <c r="K201" s="816" t="s">
        <v>653</v>
      </c>
      <c r="L201" s="505"/>
      <c r="M201" s="500" t="s">
        <v>653</v>
      </c>
      <c r="N201" s="506" t="s">
        <v>653</v>
      </c>
      <c r="O201" s="506" t="s">
        <v>653</v>
      </c>
      <c r="P201" s="496" t="s">
        <v>653</v>
      </c>
      <c r="Q201" s="497" t="s">
        <v>653</v>
      </c>
      <c r="R201" s="507" t="s">
        <v>653</v>
      </c>
      <c r="S201" s="505"/>
      <c r="T201" s="500" t="s">
        <v>653</v>
      </c>
      <c r="U201" s="506" t="s">
        <v>653</v>
      </c>
      <c r="V201" s="506" t="s">
        <v>653</v>
      </c>
      <c r="W201" s="496" t="s">
        <v>653</v>
      </c>
      <c r="X201" s="497" t="s">
        <v>653</v>
      </c>
      <c r="Y201" s="507" t="s">
        <v>653</v>
      </c>
    </row>
    <row r="202" spans="1:25">
      <c r="A202" s="502">
        <f t="shared" si="2"/>
        <v>-156</v>
      </c>
      <c r="B202" s="809" t="s">
        <v>653</v>
      </c>
      <c r="C202" s="504"/>
      <c r="D202" s="817" t="s">
        <v>653</v>
      </c>
      <c r="E202" s="815" t="s">
        <v>653</v>
      </c>
      <c r="F202" s="1076"/>
      <c r="G202" s="815" t="s">
        <v>653</v>
      </c>
      <c r="H202" s="812" t="s">
        <v>653</v>
      </c>
      <c r="I202" s="813" t="s">
        <v>653</v>
      </c>
      <c r="J202" s="847"/>
      <c r="K202" s="816" t="s">
        <v>653</v>
      </c>
      <c r="L202" s="505"/>
      <c r="M202" s="500" t="s">
        <v>653</v>
      </c>
      <c r="N202" s="506" t="s">
        <v>653</v>
      </c>
      <c r="O202" s="506" t="s">
        <v>653</v>
      </c>
      <c r="P202" s="496" t="s">
        <v>653</v>
      </c>
      <c r="Q202" s="497" t="s">
        <v>653</v>
      </c>
      <c r="R202" s="507" t="s">
        <v>653</v>
      </c>
      <c r="S202" s="505"/>
      <c r="T202" s="500" t="s">
        <v>653</v>
      </c>
      <c r="U202" s="506" t="s">
        <v>653</v>
      </c>
      <c r="V202" s="506" t="s">
        <v>653</v>
      </c>
      <c r="W202" s="496" t="s">
        <v>653</v>
      </c>
      <c r="X202" s="497" t="s">
        <v>653</v>
      </c>
      <c r="Y202" s="507" t="s">
        <v>653</v>
      </c>
    </row>
    <row r="203" spans="1:25">
      <c r="A203" s="502">
        <f t="shared" si="2"/>
        <v>-157</v>
      </c>
      <c r="B203" s="809" t="s">
        <v>653</v>
      </c>
      <c r="C203" s="504"/>
      <c r="D203" s="817" t="s">
        <v>653</v>
      </c>
      <c r="E203" s="815" t="s">
        <v>653</v>
      </c>
      <c r="F203" s="1076"/>
      <c r="G203" s="815" t="s">
        <v>653</v>
      </c>
      <c r="H203" s="812" t="s">
        <v>653</v>
      </c>
      <c r="I203" s="813" t="s">
        <v>653</v>
      </c>
      <c r="J203" s="847"/>
      <c r="K203" s="816" t="s">
        <v>653</v>
      </c>
      <c r="L203" s="505"/>
      <c r="M203" s="500" t="s">
        <v>653</v>
      </c>
      <c r="N203" s="506" t="s">
        <v>653</v>
      </c>
      <c r="O203" s="506" t="s">
        <v>653</v>
      </c>
      <c r="P203" s="496" t="s">
        <v>653</v>
      </c>
      <c r="Q203" s="497" t="s">
        <v>653</v>
      </c>
      <c r="R203" s="507" t="s">
        <v>653</v>
      </c>
      <c r="S203" s="505"/>
      <c r="T203" s="500" t="s">
        <v>653</v>
      </c>
      <c r="U203" s="506" t="s">
        <v>653</v>
      </c>
      <c r="V203" s="506" t="s">
        <v>653</v>
      </c>
      <c r="W203" s="496" t="s">
        <v>653</v>
      </c>
      <c r="X203" s="497" t="s">
        <v>653</v>
      </c>
      <c r="Y203" s="507" t="s">
        <v>653</v>
      </c>
    </row>
    <row r="204" spans="1:25">
      <c r="A204" s="502">
        <f t="shared" si="2"/>
        <v>-158</v>
      </c>
      <c r="B204" s="809" t="s">
        <v>653</v>
      </c>
      <c r="C204" s="504"/>
      <c r="D204" s="817" t="s">
        <v>653</v>
      </c>
      <c r="E204" s="815" t="s">
        <v>653</v>
      </c>
      <c r="F204" s="1076"/>
      <c r="G204" s="815" t="s">
        <v>653</v>
      </c>
      <c r="H204" s="812" t="s">
        <v>653</v>
      </c>
      <c r="I204" s="813" t="s">
        <v>653</v>
      </c>
      <c r="J204" s="847"/>
      <c r="K204" s="816" t="s">
        <v>653</v>
      </c>
      <c r="L204" s="505"/>
      <c r="M204" s="500" t="s">
        <v>653</v>
      </c>
      <c r="N204" s="506" t="s">
        <v>653</v>
      </c>
      <c r="O204" s="506" t="s">
        <v>653</v>
      </c>
      <c r="P204" s="496" t="s">
        <v>653</v>
      </c>
      <c r="Q204" s="497" t="s">
        <v>653</v>
      </c>
      <c r="R204" s="507" t="s">
        <v>653</v>
      </c>
      <c r="S204" s="505"/>
      <c r="T204" s="500" t="s">
        <v>653</v>
      </c>
      <c r="U204" s="506" t="s">
        <v>653</v>
      </c>
      <c r="V204" s="506" t="s">
        <v>653</v>
      </c>
      <c r="W204" s="496" t="s">
        <v>653</v>
      </c>
      <c r="X204" s="497" t="s">
        <v>653</v>
      </c>
      <c r="Y204" s="507" t="s">
        <v>653</v>
      </c>
    </row>
    <row r="205" spans="1:25">
      <c r="A205" s="502">
        <f t="shared" si="2"/>
        <v>-159</v>
      </c>
      <c r="B205" s="809" t="s">
        <v>653</v>
      </c>
      <c r="C205" s="504"/>
      <c r="D205" s="817" t="s">
        <v>653</v>
      </c>
      <c r="E205" s="815" t="s">
        <v>653</v>
      </c>
      <c r="F205" s="1076"/>
      <c r="G205" s="815" t="s">
        <v>653</v>
      </c>
      <c r="H205" s="812" t="s">
        <v>653</v>
      </c>
      <c r="I205" s="813" t="s">
        <v>653</v>
      </c>
      <c r="J205" s="847"/>
      <c r="K205" s="816" t="s">
        <v>653</v>
      </c>
      <c r="L205" s="505"/>
      <c r="M205" s="500" t="s">
        <v>653</v>
      </c>
      <c r="N205" s="506" t="s">
        <v>653</v>
      </c>
      <c r="O205" s="506" t="s">
        <v>653</v>
      </c>
      <c r="P205" s="496" t="s">
        <v>653</v>
      </c>
      <c r="Q205" s="497" t="s">
        <v>653</v>
      </c>
      <c r="R205" s="507" t="s">
        <v>653</v>
      </c>
      <c r="S205" s="505"/>
      <c r="T205" s="500" t="s">
        <v>653</v>
      </c>
      <c r="U205" s="506" t="s">
        <v>653</v>
      </c>
      <c r="V205" s="506" t="s">
        <v>653</v>
      </c>
      <c r="W205" s="496" t="s">
        <v>653</v>
      </c>
      <c r="X205" s="497" t="s">
        <v>653</v>
      </c>
      <c r="Y205" s="507" t="s">
        <v>653</v>
      </c>
    </row>
    <row r="206" spans="1:25">
      <c r="A206" s="502">
        <f t="shared" si="2"/>
        <v>-160</v>
      </c>
      <c r="B206" s="809" t="s">
        <v>653</v>
      </c>
      <c r="C206" s="504"/>
      <c r="D206" s="817" t="s">
        <v>653</v>
      </c>
      <c r="E206" s="815" t="s">
        <v>653</v>
      </c>
      <c r="F206" s="1076"/>
      <c r="G206" s="815" t="s">
        <v>653</v>
      </c>
      <c r="H206" s="812" t="s">
        <v>653</v>
      </c>
      <c r="I206" s="813" t="s">
        <v>653</v>
      </c>
      <c r="J206" s="847"/>
      <c r="K206" s="816" t="s">
        <v>653</v>
      </c>
      <c r="L206" s="505"/>
      <c r="M206" s="500" t="s">
        <v>653</v>
      </c>
      <c r="N206" s="506" t="s">
        <v>653</v>
      </c>
      <c r="O206" s="506" t="s">
        <v>653</v>
      </c>
      <c r="P206" s="496" t="s">
        <v>653</v>
      </c>
      <c r="Q206" s="497" t="s">
        <v>653</v>
      </c>
      <c r="R206" s="507" t="s">
        <v>653</v>
      </c>
      <c r="S206" s="505"/>
      <c r="T206" s="500" t="s">
        <v>653</v>
      </c>
      <c r="U206" s="506" t="s">
        <v>653</v>
      </c>
      <c r="V206" s="506" t="s">
        <v>653</v>
      </c>
      <c r="W206" s="496" t="s">
        <v>653</v>
      </c>
      <c r="X206" s="497" t="s">
        <v>653</v>
      </c>
      <c r="Y206" s="507" t="s">
        <v>653</v>
      </c>
    </row>
    <row r="207" spans="1:25">
      <c r="A207" s="502">
        <f t="shared" si="2"/>
        <v>-161</v>
      </c>
      <c r="B207" s="809" t="s">
        <v>653</v>
      </c>
      <c r="C207" s="504"/>
      <c r="D207" s="817" t="s">
        <v>653</v>
      </c>
      <c r="E207" s="815" t="s">
        <v>653</v>
      </c>
      <c r="F207" s="1076"/>
      <c r="G207" s="815" t="s">
        <v>653</v>
      </c>
      <c r="H207" s="812" t="s">
        <v>653</v>
      </c>
      <c r="I207" s="813" t="s">
        <v>653</v>
      </c>
      <c r="J207" s="847"/>
      <c r="K207" s="816" t="s">
        <v>653</v>
      </c>
      <c r="L207" s="505"/>
      <c r="M207" s="500" t="s">
        <v>653</v>
      </c>
      <c r="N207" s="506" t="s">
        <v>653</v>
      </c>
      <c r="O207" s="506" t="s">
        <v>653</v>
      </c>
      <c r="P207" s="496" t="s">
        <v>653</v>
      </c>
      <c r="Q207" s="497" t="s">
        <v>653</v>
      </c>
      <c r="R207" s="507" t="s">
        <v>653</v>
      </c>
      <c r="S207" s="505"/>
      <c r="T207" s="500" t="s">
        <v>653</v>
      </c>
      <c r="U207" s="506" t="s">
        <v>653</v>
      </c>
      <c r="V207" s="506" t="s">
        <v>653</v>
      </c>
      <c r="W207" s="496" t="s">
        <v>653</v>
      </c>
      <c r="X207" s="497" t="s">
        <v>653</v>
      </c>
      <c r="Y207" s="507" t="s">
        <v>653</v>
      </c>
    </row>
    <row r="208" spans="1:25">
      <c r="A208" s="502">
        <f t="shared" si="2"/>
        <v>-162</v>
      </c>
      <c r="B208" s="809" t="s">
        <v>653</v>
      </c>
      <c r="C208" s="504"/>
      <c r="D208" s="817" t="s">
        <v>653</v>
      </c>
      <c r="E208" s="815" t="s">
        <v>653</v>
      </c>
      <c r="F208" s="1076"/>
      <c r="G208" s="815" t="s">
        <v>653</v>
      </c>
      <c r="H208" s="812" t="s">
        <v>653</v>
      </c>
      <c r="I208" s="813" t="s">
        <v>653</v>
      </c>
      <c r="J208" s="847"/>
      <c r="K208" s="816" t="s">
        <v>653</v>
      </c>
      <c r="L208" s="505"/>
      <c r="M208" s="500" t="s">
        <v>653</v>
      </c>
      <c r="N208" s="506" t="s">
        <v>653</v>
      </c>
      <c r="O208" s="506" t="s">
        <v>653</v>
      </c>
      <c r="P208" s="496" t="s">
        <v>653</v>
      </c>
      <c r="Q208" s="497" t="s">
        <v>653</v>
      </c>
      <c r="R208" s="507" t="s">
        <v>653</v>
      </c>
      <c r="S208" s="505"/>
      <c r="T208" s="500" t="s">
        <v>653</v>
      </c>
      <c r="U208" s="506" t="s">
        <v>653</v>
      </c>
      <c r="V208" s="506" t="s">
        <v>653</v>
      </c>
      <c r="W208" s="496" t="s">
        <v>653</v>
      </c>
      <c r="X208" s="497" t="s">
        <v>653</v>
      </c>
      <c r="Y208" s="507" t="s">
        <v>653</v>
      </c>
    </row>
    <row r="209" spans="1:25">
      <c r="A209" s="502">
        <f t="shared" si="2"/>
        <v>-163</v>
      </c>
      <c r="B209" s="809" t="s">
        <v>653</v>
      </c>
      <c r="C209" s="504"/>
      <c r="D209" s="817" t="s">
        <v>653</v>
      </c>
      <c r="E209" s="815" t="s">
        <v>653</v>
      </c>
      <c r="F209" s="1076"/>
      <c r="G209" s="815" t="s">
        <v>653</v>
      </c>
      <c r="H209" s="812" t="s">
        <v>653</v>
      </c>
      <c r="I209" s="813" t="s">
        <v>653</v>
      </c>
      <c r="J209" s="847"/>
      <c r="K209" s="816" t="s">
        <v>653</v>
      </c>
      <c r="L209" s="505"/>
      <c r="M209" s="500" t="s">
        <v>653</v>
      </c>
      <c r="N209" s="506" t="s">
        <v>653</v>
      </c>
      <c r="O209" s="506" t="s">
        <v>653</v>
      </c>
      <c r="P209" s="496" t="s">
        <v>653</v>
      </c>
      <c r="Q209" s="497" t="s">
        <v>653</v>
      </c>
      <c r="R209" s="507" t="s">
        <v>653</v>
      </c>
      <c r="S209" s="505"/>
      <c r="T209" s="500" t="s">
        <v>653</v>
      </c>
      <c r="U209" s="506" t="s">
        <v>653</v>
      </c>
      <c r="V209" s="506" t="s">
        <v>653</v>
      </c>
      <c r="W209" s="496" t="s">
        <v>653</v>
      </c>
      <c r="X209" s="497" t="s">
        <v>653</v>
      </c>
      <c r="Y209" s="507" t="s">
        <v>653</v>
      </c>
    </row>
    <row r="210" spans="1:25">
      <c r="A210" s="502">
        <f t="shared" si="2"/>
        <v>-164</v>
      </c>
      <c r="B210" s="809" t="s">
        <v>653</v>
      </c>
      <c r="C210" s="504"/>
      <c r="D210" s="817" t="s">
        <v>653</v>
      </c>
      <c r="E210" s="815" t="s">
        <v>653</v>
      </c>
      <c r="F210" s="1076"/>
      <c r="G210" s="815" t="s">
        <v>653</v>
      </c>
      <c r="H210" s="812" t="s">
        <v>653</v>
      </c>
      <c r="I210" s="813" t="s">
        <v>653</v>
      </c>
      <c r="J210" s="847"/>
      <c r="K210" s="816" t="s">
        <v>653</v>
      </c>
      <c r="L210" s="505"/>
      <c r="M210" s="500" t="s">
        <v>653</v>
      </c>
      <c r="N210" s="506" t="s">
        <v>653</v>
      </c>
      <c r="O210" s="506" t="s">
        <v>653</v>
      </c>
      <c r="P210" s="496" t="s">
        <v>653</v>
      </c>
      <c r="Q210" s="497" t="s">
        <v>653</v>
      </c>
      <c r="R210" s="507" t="s">
        <v>653</v>
      </c>
      <c r="S210" s="505"/>
      <c r="T210" s="500" t="s">
        <v>653</v>
      </c>
      <c r="U210" s="506" t="s">
        <v>653</v>
      </c>
      <c r="V210" s="506" t="s">
        <v>653</v>
      </c>
      <c r="W210" s="496" t="s">
        <v>653</v>
      </c>
      <c r="X210" s="497" t="s">
        <v>653</v>
      </c>
      <c r="Y210" s="507" t="s">
        <v>653</v>
      </c>
    </row>
    <row r="211" spans="1:25">
      <c r="A211" s="502">
        <f t="shared" si="2"/>
        <v>-165</v>
      </c>
      <c r="B211" s="809" t="s">
        <v>653</v>
      </c>
      <c r="C211" s="504"/>
      <c r="D211" s="817" t="s">
        <v>653</v>
      </c>
      <c r="E211" s="815" t="s">
        <v>653</v>
      </c>
      <c r="F211" s="1076"/>
      <c r="G211" s="815" t="s">
        <v>653</v>
      </c>
      <c r="H211" s="812" t="s">
        <v>653</v>
      </c>
      <c r="I211" s="813" t="s">
        <v>653</v>
      </c>
      <c r="J211" s="847"/>
      <c r="K211" s="816" t="s">
        <v>653</v>
      </c>
      <c r="L211" s="505"/>
      <c r="M211" s="500" t="s">
        <v>653</v>
      </c>
      <c r="N211" s="506" t="s">
        <v>653</v>
      </c>
      <c r="O211" s="506" t="s">
        <v>653</v>
      </c>
      <c r="P211" s="496" t="s">
        <v>653</v>
      </c>
      <c r="Q211" s="497" t="s">
        <v>653</v>
      </c>
      <c r="R211" s="507" t="s">
        <v>653</v>
      </c>
      <c r="S211" s="505"/>
      <c r="T211" s="500" t="s">
        <v>653</v>
      </c>
      <c r="U211" s="506" t="s">
        <v>653</v>
      </c>
      <c r="V211" s="506" t="s">
        <v>653</v>
      </c>
      <c r="W211" s="496" t="s">
        <v>653</v>
      </c>
      <c r="X211" s="497" t="s">
        <v>653</v>
      </c>
      <c r="Y211" s="507" t="s">
        <v>653</v>
      </c>
    </row>
    <row r="212" spans="1:25">
      <c r="A212" s="502">
        <f t="shared" si="2"/>
        <v>-166</v>
      </c>
      <c r="B212" s="809" t="s">
        <v>653</v>
      </c>
      <c r="C212" s="504"/>
      <c r="D212" s="817" t="s">
        <v>653</v>
      </c>
      <c r="E212" s="815" t="s">
        <v>653</v>
      </c>
      <c r="F212" s="1076"/>
      <c r="G212" s="815" t="s">
        <v>653</v>
      </c>
      <c r="H212" s="812" t="s">
        <v>653</v>
      </c>
      <c r="I212" s="813" t="s">
        <v>653</v>
      </c>
      <c r="J212" s="847"/>
      <c r="K212" s="816" t="s">
        <v>653</v>
      </c>
      <c r="L212" s="505"/>
      <c r="M212" s="500" t="s">
        <v>653</v>
      </c>
      <c r="N212" s="506" t="s">
        <v>653</v>
      </c>
      <c r="O212" s="506" t="s">
        <v>653</v>
      </c>
      <c r="P212" s="496" t="s">
        <v>653</v>
      </c>
      <c r="Q212" s="497" t="s">
        <v>653</v>
      </c>
      <c r="R212" s="507" t="s">
        <v>653</v>
      </c>
      <c r="S212" s="505"/>
      <c r="T212" s="500" t="s">
        <v>653</v>
      </c>
      <c r="U212" s="506" t="s">
        <v>653</v>
      </c>
      <c r="V212" s="506" t="s">
        <v>653</v>
      </c>
      <c r="W212" s="496" t="s">
        <v>653</v>
      </c>
      <c r="X212" s="497" t="s">
        <v>653</v>
      </c>
      <c r="Y212" s="507" t="s">
        <v>653</v>
      </c>
    </row>
    <row r="213" spans="1:25">
      <c r="A213" s="502">
        <f t="shared" si="2"/>
        <v>-167</v>
      </c>
      <c r="B213" s="809" t="s">
        <v>653</v>
      </c>
      <c r="C213" s="504"/>
      <c r="D213" s="817" t="s">
        <v>653</v>
      </c>
      <c r="E213" s="815" t="s">
        <v>653</v>
      </c>
      <c r="F213" s="1076"/>
      <c r="G213" s="815" t="s">
        <v>653</v>
      </c>
      <c r="H213" s="812" t="s">
        <v>653</v>
      </c>
      <c r="I213" s="813" t="s">
        <v>653</v>
      </c>
      <c r="J213" s="847"/>
      <c r="K213" s="816" t="s">
        <v>653</v>
      </c>
      <c r="L213" s="505"/>
      <c r="M213" s="500" t="s">
        <v>653</v>
      </c>
      <c r="N213" s="506" t="s">
        <v>653</v>
      </c>
      <c r="O213" s="506" t="s">
        <v>653</v>
      </c>
      <c r="P213" s="496" t="s">
        <v>653</v>
      </c>
      <c r="Q213" s="497" t="s">
        <v>653</v>
      </c>
      <c r="R213" s="507" t="s">
        <v>653</v>
      </c>
      <c r="S213" s="505"/>
      <c r="T213" s="500" t="s">
        <v>653</v>
      </c>
      <c r="U213" s="506" t="s">
        <v>653</v>
      </c>
      <c r="V213" s="506" t="s">
        <v>653</v>
      </c>
      <c r="W213" s="496" t="s">
        <v>653</v>
      </c>
      <c r="X213" s="497" t="s">
        <v>653</v>
      </c>
      <c r="Y213" s="507" t="s">
        <v>653</v>
      </c>
    </row>
    <row r="214" spans="1:25">
      <c r="A214" s="502">
        <f t="shared" si="2"/>
        <v>-168</v>
      </c>
      <c r="B214" s="809" t="s">
        <v>653</v>
      </c>
      <c r="C214" s="504"/>
      <c r="D214" s="817" t="s">
        <v>653</v>
      </c>
      <c r="E214" s="815" t="s">
        <v>653</v>
      </c>
      <c r="F214" s="1076"/>
      <c r="G214" s="815" t="s">
        <v>653</v>
      </c>
      <c r="H214" s="812" t="s">
        <v>653</v>
      </c>
      <c r="I214" s="813" t="s">
        <v>653</v>
      </c>
      <c r="J214" s="847"/>
      <c r="K214" s="816" t="s">
        <v>653</v>
      </c>
      <c r="L214" s="505"/>
      <c r="M214" s="500" t="s">
        <v>653</v>
      </c>
      <c r="N214" s="506" t="s">
        <v>653</v>
      </c>
      <c r="O214" s="506" t="s">
        <v>653</v>
      </c>
      <c r="P214" s="496" t="s">
        <v>653</v>
      </c>
      <c r="Q214" s="497" t="s">
        <v>653</v>
      </c>
      <c r="R214" s="507" t="s">
        <v>653</v>
      </c>
      <c r="S214" s="505"/>
      <c r="T214" s="500" t="s">
        <v>653</v>
      </c>
      <c r="U214" s="506" t="s">
        <v>653</v>
      </c>
      <c r="V214" s="506" t="s">
        <v>653</v>
      </c>
      <c r="W214" s="496" t="s">
        <v>653</v>
      </c>
      <c r="X214" s="497" t="s">
        <v>653</v>
      </c>
      <c r="Y214" s="507" t="s">
        <v>653</v>
      </c>
    </row>
    <row r="215" spans="1:25">
      <c r="A215" s="502">
        <f t="shared" si="2"/>
        <v>-169</v>
      </c>
      <c r="B215" s="809" t="s">
        <v>653</v>
      </c>
      <c r="C215" s="504"/>
      <c r="D215" s="817" t="s">
        <v>653</v>
      </c>
      <c r="E215" s="815" t="s">
        <v>653</v>
      </c>
      <c r="F215" s="1076"/>
      <c r="G215" s="815" t="s">
        <v>653</v>
      </c>
      <c r="H215" s="812" t="s">
        <v>653</v>
      </c>
      <c r="I215" s="813" t="s">
        <v>653</v>
      </c>
      <c r="J215" s="847"/>
      <c r="K215" s="816" t="s">
        <v>653</v>
      </c>
      <c r="L215" s="505"/>
      <c r="M215" s="500" t="s">
        <v>653</v>
      </c>
      <c r="N215" s="506" t="s">
        <v>653</v>
      </c>
      <c r="O215" s="506" t="s">
        <v>653</v>
      </c>
      <c r="P215" s="496" t="s">
        <v>653</v>
      </c>
      <c r="Q215" s="497" t="s">
        <v>653</v>
      </c>
      <c r="R215" s="507" t="s">
        <v>653</v>
      </c>
      <c r="S215" s="505"/>
      <c r="T215" s="500" t="s">
        <v>653</v>
      </c>
      <c r="U215" s="506" t="s">
        <v>653</v>
      </c>
      <c r="V215" s="506" t="s">
        <v>653</v>
      </c>
      <c r="W215" s="496" t="s">
        <v>653</v>
      </c>
      <c r="X215" s="497" t="s">
        <v>653</v>
      </c>
      <c r="Y215" s="507" t="s">
        <v>653</v>
      </c>
    </row>
    <row r="216" spans="1:25">
      <c r="A216" s="502">
        <f t="shared" si="2"/>
        <v>-170</v>
      </c>
      <c r="B216" s="809" t="s">
        <v>653</v>
      </c>
      <c r="C216" s="504"/>
      <c r="D216" s="817" t="s">
        <v>653</v>
      </c>
      <c r="E216" s="815" t="s">
        <v>653</v>
      </c>
      <c r="F216" s="1076"/>
      <c r="G216" s="815" t="s">
        <v>653</v>
      </c>
      <c r="H216" s="812" t="s">
        <v>653</v>
      </c>
      <c r="I216" s="813" t="s">
        <v>653</v>
      </c>
      <c r="J216" s="847"/>
      <c r="K216" s="816" t="s">
        <v>653</v>
      </c>
      <c r="L216" s="505"/>
      <c r="M216" s="500" t="s">
        <v>653</v>
      </c>
      <c r="N216" s="506" t="s">
        <v>653</v>
      </c>
      <c r="O216" s="506" t="s">
        <v>653</v>
      </c>
      <c r="P216" s="496" t="s">
        <v>653</v>
      </c>
      <c r="Q216" s="497" t="s">
        <v>653</v>
      </c>
      <c r="R216" s="507" t="s">
        <v>653</v>
      </c>
      <c r="S216" s="505"/>
      <c r="T216" s="500" t="s">
        <v>653</v>
      </c>
      <c r="U216" s="506" t="s">
        <v>653</v>
      </c>
      <c r="V216" s="506" t="s">
        <v>653</v>
      </c>
      <c r="W216" s="496" t="s">
        <v>653</v>
      </c>
      <c r="X216" s="497" t="s">
        <v>653</v>
      </c>
      <c r="Y216" s="507" t="s">
        <v>653</v>
      </c>
    </row>
    <row r="217" spans="1:25">
      <c r="A217" s="502">
        <f t="shared" si="2"/>
        <v>-171</v>
      </c>
      <c r="B217" s="492" t="s">
        <v>653</v>
      </c>
      <c r="C217" s="504"/>
      <c r="D217" s="817" t="s">
        <v>653</v>
      </c>
      <c r="E217" s="815" t="s">
        <v>653</v>
      </c>
      <c r="F217" s="1076"/>
      <c r="G217" s="815" t="s">
        <v>653</v>
      </c>
      <c r="H217" s="812" t="s">
        <v>653</v>
      </c>
      <c r="I217" s="813" t="s">
        <v>653</v>
      </c>
      <c r="J217" s="847"/>
      <c r="K217" s="816" t="s">
        <v>653</v>
      </c>
      <c r="L217" s="505"/>
      <c r="M217" s="500" t="s">
        <v>653</v>
      </c>
      <c r="N217" s="506" t="s">
        <v>653</v>
      </c>
      <c r="O217" s="506" t="s">
        <v>653</v>
      </c>
      <c r="P217" s="496" t="s">
        <v>653</v>
      </c>
      <c r="Q217" s="497" t="s">
        <v>653</v>
      </c>
      <c r="R217" s="507" t="s">
        <v>653</v>
      </c>
      <c r="S217" s="505"/>
      <c r="T217" s="500" t="s">
        <v>653</v>
      </c>
      <c r="U217" s="506" t="s">
        <v>653</v>
      </c>
      <c r="V217" s="506" t="s">
        <v>653</v>
      </c>
      <c r="W217" s="496" t="s">
        <v>653</v>
      </c>
      <c r="X217" s="497" t="s">
        <v>653</v>
      </c>
      <c r="Y217" s="507" t="s">
        <v>653</v>
      </c>
    </row>
    <row r="218" spans="1:25">
      <c r="A218" s="502">
        <f t="shared" si="2"/>
        <v>-172</v>
      </c>
      <c r="B218" s="492" t="s">
        <v>653</v>
      </c>
      <c r="C218" s="504"/>
      <c r="D218" s="817" t="s">
        <v>653</v>
      </c>
      <c r="E218" s="815" t="s">
        <v>653</v>
      </c>
      <c r="F218" s="1076"/>
      <c r="G218" s="815" t="s">
        <v>653</v>
      </c>
      <c r="H218" s="812" t="s">
        <v>653</v>
      </c>
      <c r="I218" s="813" t="s">
        <v>653</v>
      </c>
      <c r="J218" s="847"/>
      <c r="K218" s="816" t="s">
        <v>653</v>
      </c>
      <c r="L218" s="505"/>
      <c r="M218" s="500" t="s">
        <v>653</v>
      </c>
      <c r="N218" s="506" t="s">
        <v>653</v>
      </c>
      <c r="O218" s="506" t="s">
        <v>653</v>
      </c>
      <c r="P218" s="496" t="s">
        <v>653</v>
      </c>
      <c r="Q218" s="497" t="s">
        <v>653</v>
      </c>
      <c r="R218" s="507" t="s">
        <v>653</v>
      </c>
      <c r="S218" s="505"/>
      <c r="T218" s="500" t="s">
        <v>653</v>
      </c>
      <c r="U218" s="506" t="s">
        <v>653</v>
      </c>
      <c r="V218" s="506" t="s">
        <v>653</v>
      </c>
      <c r="W218" s="496" t="s">
        <v>653</v>
      </c>
      <c r="X218" s="497" t="s">
        <v>653</v>
      </c>
      <c r="Y218" s="507" t="s">
        <v>653</v>
      </c>
    </row>
    <row r="219" spans="1:25">
      <c r="A219" s="502">
        <f>A218-1</f>
        <v>-173</v>
      </c>
      <c r="B219" s="492" t="s">
        <v>653</v>
      </c>
      <c r="C219" s="504"/>
      <c r="D219" s="817" t="s">
        <v>653</v>
      </c>
      <c r="E219" s="815" t="s">
        <v>653</v>
      </c>
      <c r="F219" s="1076"/>
      <c r="G219" s="815" t="s">
        <v>653</v>
      </c>
      <c r="H219" s="812" t="s">
        <v>653</v>
      </c>
      <c r="I219" s="813" t="s">
        <v>653</v>
      </c>
      <c r="J219" s="847"/>
      <c r="K219" s="816" t="s">
        <v>653</v>
      </c>
      <c r="L219" s="505"/>
      <c r="M219" s="500" t="s">
        <v>653</v>
      </c>
      <c r="N219" s="506" t="s">
        <v>653</v>
      </c>
      <c r="O219" s="506" t="s">
        <v>653</v>
      </c>
      <c r="P219" s="496" t="s">
        <v>653</v>
      </c>
      <c r="Q219" s="497" t="s">
        <v>653</v>
      </c>
      <c r="R219" s="507" t="s">
        <v>653</v>
      </c>
      <c r="S219" s="505"/>
      <c r="T219" s="500" t="s">
        <v>653</v>
      </c>
      <c r="U219" s="506" t="s">
        <v>653</v>
      </c>
      <c r="V219" s="506" t="s">
        <v>653</v>
      </c>
      <c r="W219" s="496" t="s">
        <v>653</v>
      </c>
      <c r="X219" s="497" t="s">
        <v>653</v>
      </c>
      <c r="Y219" s="507" t="s">
        <v>653</v>
      </c>
    </row>
    <row r="220" spans="1:25">
      <c r="A220" s="502">
        <f>A219-1</f>
        <v>-174</v>
      </c>
      <c r="B220" s="509" t="s">
        <v>653</v>
      </c>
      <c r="C220" s="504"/>
      <c r="D220" s="818" t="s">
        <v>653</v>
      </c>
      <c r="E220" s="819" t="s">
        <v>653</v>
      </c>
      <c r="F220" s="1077"/>
      <c r="G220" s="819" t="s">
        <v>653</v>
      </c>
      <c r="H220" s="820" t="s">
        <v>653</v>
      </c>
      <c r="I220" s="821" t="s">
        <v>653</v>
      </c>
      <c r="J220" s="848"/>
      <c r="K220" s="822" t="s">
        <v>653</v>
      </c>
      <c r="L220" s="505"/>
      <c r="M220" s="510" t="s">
        <v>653</v>
      </c>
      <c r="N220" s="511" t="s">
        <v>653</v>
      </c>
      <c r="O220" s="511" t="s">
        <v>653</v>
      </c>
      <c r="P220" s="512" t="s">
        <v>653</v>
      </c>
      <c r="Q220" s="513" t="s">
        <v>653</v>
      </c>
      <c r="R220" s="514" t="s">
        <v>653</v>
      </c>
      <c r="S220" s="505"/>
      <c r="T220" s="510" t="s">
        <v>653</v>
      </c>
      <c r="U220" s="511" t="s">
        <v>653</v>
      </c>
      <c r="V220" s="511" t="s">
        <v>653</v>
      </c>
      <c r="W220" s="512" t="s">
        <v>653</v>
      </c>
      <c r="X220" s="513" t="s">
        <v>653</v>
      </c>
      <c r="Y220" s="514" t="s">
        <v>653</v>
      </c>
    </row>
  </sheetData>
  <mergeCells count="26">
    <mergeCell ref="F22:F23"/>
    <mergeCell ref="Q22:Q23"/>
    <mergeCell ref="R22:R23"/>
    <mergeCell ref="I22:I23"/>
    <mergeCell ref="K22:K23"/>
    <mergeCell ref="M22:M23"/>
    <mergeCell ref="N22:N23"/>
    <mergeCell ref="O22:O23"/>
    <mergeCell ref="P22:P23"/>
    <mergeCell ref="J22:J23"/>
    <mergeCell ref="D18:D19"/>
    <mergeCell ref="B10:Y10"/>
    <mergeCell ref="T21:Y21"/>
    <mergeCell ref="T22:T23"/>
    <mergeCell ref="U22:U23"/>
    <mergeCell ref="V22:V23"/>
    <mergeCell ref="W22:W23"/>
    <mergeCell ref="X22:X23"/>
    <mergeCell ref="Y22:Y23"/>
    <mergeCell ref="B21:B23"/>
    <mergeCell ref="D21:K21"/>
    <mergeCell ref="M21:R21"/>
    <mergeCell ref="D22:D23"/>
    <mergeCell ref="E22:E23"/>
    <mergeCell ref="G22:G23"/>
    <mergeCell ref="H22:H23"/>
  </mergeCells>
  <conditionalFormatting sqref="B25:B220">
    <cfRule type="cellIs" dxfId="48"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zoomScale="80" zoomScaleNormal="80" workbookViewId="0">
      <selection activeCell="G35" sqref="G35"/>
    </sheetView>
  </sheetViews>
  <sheetFormatPr defaultColWidth="21.42578125" defaultRowHeight="12.75"/>
  <cols>
    <col min="1" max="1" width="6.140625" style="396" customWidth="1"/>
    <col min="2" max="2" width="25.85546875" style="396" customWidth="1"/>
    <col min="3" max="3" width="28.140625" style="396" customWidth="1"/>
    <col min="4" max="4" width="25" style="396" customWidth="1"/>
    <col min="5" max="5" width="18.85546875" style="396" customWidth="1"/>
    <col min="6" max="6" width="21.5703125" style="396" bestFit="1" customWidth="1"/>
    <col min="7" max="7" width="15.42578125" style="396" customWidth="1"/>
    <col min="8" max="8" width="25" style="396" bestFit="1" customWidth="1"/>
    <col min="9" max="9" width="19" style="396" customWidth="1"/>
    <col min="10" max="10" width="7.42578125" style="396" customWidth="1"/>
    <col min="11" max="16384" width="21.42578125" style="396"/>
  </cols>
  <sheetData>
    <row r="3" spans="2:9" ht="15" customHeight="1">
      <c r="B3" s="106"/>
      <c r="C3" s="106"/>
      <c r="D3" s="106"/>
      <c r="E3" s="106"/>
      <c r="F3" s="106"/>
      <c r="G3" s="106"/>
    </row>
    <row r="4" spans="2:9" ht="15" customHeight="1">
      <c r="B4" s="106"/>
      <c r="C4" s="106"/>
      <c r="D4" s="626"/>
      <c r="H4" s="101" t="s">
        <v>651</v>
      </c>
      <c r="I4" s="101">
        <f>'00 - Cover'!F14</f>
        <v>46219</v>
      </c>
    </row>
    <row r="5" spans="2:9" ht="15" customHeight="1">
      <c r="B5" s="106"/>
      <c r="C5" s="106"/>
      <c r="D5" s="626"/>
      <c r="H5" s="101" t="s">
        <v>92</v>
      </c>
      <c r="I5" s="101">
        <f>'00 - Cover'!F15</f>
        <v>46224</v>
      </c>
    </row>
    <row r="6" spans="2:9" ht="12.75" customHeight="1">
      <c r="B6" s="106"/>
      <c r="C6" s="106"/>
      <c r="D6" s="626"/>
      <c r="H6" s="101" t="s">
        <v>85</v>
      </c>
      <c r="I6" s="101">
        <f>'00 - Cover'!F16</f>
        <v>46230</v>
      </c>
    </row>
    <row r="7" spans="2:9">
      <c r="B7" s="106"/>
      <c r="C7" s="106"/>
      <c r="D7" s="106"/>
      <c r="E7" s="106"/>
      <c r="F7" s="106"/>
      <c r="G7" s="106"/>
      <c r="H7" s="144"/>
      <c r="I7" s="144"/>
    </row>
    <row r="10" spans="2:9" ht="15.75">
      <c r="B10" s="1209" t="s">
        <v>734</v>
      </c>
      <c r="C10" s="1210"/>
      <c r="D10" s="1210"/>
      <c r="E10" s="1210"/>
      <c r="F10" s="1210"/>
      <c r="G10" s="1210"/>
      <c r="H10" s="1210"/>
      <c r="I10" s="1210"/>
    </row>
    <row r="11" spans="2:9">
      <c r="B11" s="635"/>
      <c r="C11" s="636"/>
      <c r="D11" s="637"/>
      <c r="E11" s="637"/>
      <c r="F11" s="637"/>
      <c r="G11" s="638"/>
      <c r="H11" s="638"/>
      <c r="I11" s="638"/>
    </row>
    <row r="12" spans="2:9">
      <c r="B12" s="635"/>
      <c r="C12" s="636"/>
      <c r="D12" s="637"/>
      <c r="E12" s="637"/>
      <c r="F12" s="637"/>
      <c r="G12" s="638"/>
      <c r="H12" s="1211"/>
      <c r="I12" s="638"/>
    </row>
    <row r="13" spans="2:9">
      <c r="B13" s="635"/>
      <c r="C13" s="636"/>
      <c r="D13" s="637"/>
      <c r="E13" s="637"/>
      <c r="F13" s="637"/>
      <c r="G13" s="638"/>
      <c r="H13" s="1212"/>
      <c r="I13" s="638"/>
    </row>
    <row r="14" spans="2:9" ht="15.75">
      <c r="B14" s="651" t="s">
        <v>679</v>
      </c>
      <c r="C14" s="652"/>
      <c r="D14" s="652"/>
      <c r="E14" s="653"/>
      <c r="F14" s="654"/>
      <c r="G14" s="655"/>
      <c r="H14" s="656"/>
      <c r="I14" s="789" t="s">
        <v>1249</v>
      </c>
    </row>
    <row r="15" spans="2:9">
      <c r="B15" s="1213" t="s">
        <v>728</v>
      </c>
      <c r="C15" s="1213" t="s">
        <v>729</v>
      </c>
      <c r="D15" s="1214" t="s">
        <v>730</v>
      </c>
      <c r="E15" s="1214"/>
      <c r="F15" s="1214"/>
      <c r="G15" s="1214" t="s">
        <v>735</v>
      </c>
      <c r="H15" s="1213" t="s">
        <v>731</v>
      </c>
      <c r="I15" s="1213" t="s">
        <v>815</v>
      </c>
    </row>
    <row r="16" spans="2:9" ht="20.25" customHeight="1">
      <c r="B16" s="1213"/>
      <c r="C16" s="1213"/>
      <c r="D16" s="827" t="s">
        <v>732</v>
      </c>
      <c r="E16" s="827" t="s">
        <v>733</v>
      </c>
      <c r="F16" s="827" t="s">
        <v>170</v>
      </c>
      <c r="G16" s="1215"/>
      <c r="H16" s="1213"/>
      <c r="I16" s="1213"/>
    </row>
    <row r="17" spans="2:60">
      <c r="B17" s="639">
        <v>6835</v>
      </c>
      <c r="C17" s="640">
        <f>'11 - Notes Follow-up'!K25</f>
        <v>95610.826627651797</v>
      </c>
      <c r="D17" s="790">
        <f>'00 - Cover'!F17</f>
        <v>46139</v>
      </c>
      <c r="E17" s="790">
        <f>'00 - Cover'!F16</f>
        <v>46230</v>
      </c>
      <c r="F17" s="641">
        <f>IFERROR(E17-D17,"N/A")</f>
        <v>91</v>
      </c>
      <c r="G17" s="642">
        <v>2.5000000000000001E-3</v>
      </c>
      <c r="H17" s="640">
        <f>IF(E17="NO",0,ROUNDDOWN(C17*G17*F17/360,2))</f>
        <v>60.42</v>
      </c>
      <c r="I17" s="643">
        <f>H17*B17</f>
        <v>412970.7</v>
      </c>
      <c r="K17" s="644"/>
      <c r="L17" s="644"/>
      <c r="M17" s="644"/>
      <c r="N17" s="644"/>
      <c r="O17" s="644"/>
      <c r="P17" s="644"/>
      <c r="Q17" s="644"/>
      <c r="R17" s="644"/>
      <c r="S17" s="644"/>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c r="AR17" s="644"/>
      <c r="AS17" s="644"/>
      <c r="AT17" s="644"/>
      <c r="AU17" s="644"/>
      <c r="AV17" s="644"/>
      <c r="AW17" s="644"/>
      <c r="AX17" s="644"/>
      <c r="AY17" s="644"/>
      <c r="AZ17" s="644"/>
      <c r="BA17" s="644"/>
      <c r="BB17" s="644"/>
      <c r="BC17" s="644"/>
      <c r="BD17" s="644"/>
      <c r="BE17" s="644"/>
      <c r="BF17" s="644"/>
      <c r="BG17" s="644"/>
      <c r="BH17" s="644"/>
    </row>
    <row r="18" spans="2:60">
      <c r="B18" s="638"/>
      <c r="C18" s="645"/>
      <c r="D18" s="638"/>
      <c r="E18" s="638"/>
      <c r="F18" s="638"/>
      <c r="G18" s="638"/>
      <c r="H18" s="638"/>
      <c r="I18" s="850"/>
    </row>
    <row r="19" spans="2:60">
      <c r="B19" s="638"/>
      <c r="C19" s="645"/>
      <c r="D19" s="638"/>
      <c r="E19" s="638"/>
      <c r="F19" s="638"/>
      <c r="G19" s="638"/>
      <c r="H19" s="638"/>
      <c r="I19" s="638"/>
    </row>
    <row r="20" spans="2:60" ht="15.75">
      <c r="B20" s="651" t="s">
        <v>699</v>
      </c>
      <c r="C20" s="652"/>
      <c r="D20" s="652"/>
      <c r="E20" s="653"/>
      <c r="F20" s="654"/>
      <c r="G20" s="655"/>
      <c r="H20" s="656"/>
      <c r="I20" s="789" t="s">
        <v>1249</v>
      </c>
    </row>
    <row r="21" spans="2:60" ht="14.25" customHeight="1">
      <c r="B21" s="1216" t="s">
        <v>728</v>
      </c>
      <c r="C21" s="1216" t="s">
        <v>729</v>
      </c>
      <c r="D21" s="1217" t="s">
        <v>730</v>
      </c>
      <c r="E21" s="1217"/>
      <c r="F21" s="1217"/>
      <c r="G21" s="1217" t="s">
        <v>735</v>
      </c>
      <c r="H21" s="1216" t="s">
        <v>731</v>
      </c>
      <c r="I21" s="1216" t="s">
        <v>816</v>
      </c>
    </row>
    <row r="22" spans="2:60" ht="14.25" customHeight="1">
      <c r="B22" s="1216"/>
      <c r="C22" s="1216"/>
      <c r="D22" s="824" t="s">
        <v>732</v>
      </c>
      <c r="E22" s="824" t="s">
        <v>733</v>
      </c>
      <c r="F22" s="824" t="s">
        <v>170</v>
      </c>
      <c r="G22" s="1218"/>
      <c r="H22" s="1216"/>
      <c r="I22" s="1216"/>
    </row>
    <row r="23" spans="2:60">
      <c r="B23" s="639">
        <v>67585</v>
      </c>
      <c r="C23" s="640">
        <f>'11 - Notes Follow-up'!R25</f>
        <v>1000</v>
      </c>
      <c r="D23" s="790">
        <f>D17</f>
        <v>46139</v>
      </c>
      <c r="E23" s="790">
        <f>'00 - Cover'!F16</f>
        <v>46230</v>
      </c>
      <c r="F23" s="641">
        <f>IFERROR(E23-D23,"N/A")</f>
        <v>91</v>
      </c>
      <c r="G23" s="642">
        <v>0</v>
      </c>
      <c r="H23" s="640">
        <f>IF(E23="NO",0,ROUNDDOWN(C23*G23*F23/360,2))</f>
        <v>0</v>
      </c>
      <c r="I23" s="643">
        <f>H23*B23</f>
        <v>0</v>
      </c>
    </row>
    <row r="24" spans="2:60">
      <c r="B24" s="646"/>
      <c r="C24" s="647"/>
      <c r="D24" s="648"/>
      <c r="E24" s="648"/>
      <c r="F24" s="649"/>
      <c r="G24" s="650"/>
    </row>
    <row r="32" spans="2:60">
      <c r="C32" s="534"/>
      <c r="E32" s="851"/>
    </row>
    <row r="34" spans="4:5">
      <c r="D34" s="849"/>
      <c r="E34" s="849"/>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A2:Y67"/>
  <sheetViews>
    <sheetView showGridLines="0" zoomScale="80" zoomScaleNormal="80" workbookViewId="0">
      <selection activeCell="G9" sqref="G9"/>
    </sheetView>
  </sheetViews>
  <sheetFormatPr defaultColWidth="9.140625" defaultRowHeight="12.75"/>
  <cols>
    <col min="1" max="1" width="11.5703125" style="396" bestFit="1" customWidth="1"/>
    <col min="2" max="2" width="1.85546875" style="396" customWidth="1"/>
    <col min="3" max="3" width="5.85546875" style="396" customWidth="1"/>
    <col min="4" max="4" width="9.140625" style="396"/>
    <col min="5" max="5" width="32.5703125" style="396" customWidth="1"/>
    <col min="6" max="6" width="54.42578125" style="396" customWidth="1"/>
    <col min="7" max="7" width="42.140625" style="396" customWidth="1"/>
    <col min="8" max="8" width="16.5703125" style="396" bestFit="1" customWidth="1"/>
    <col min="9" max="9" width="18.42578125" style="396" customWidth="1"/>
    <col min="10" max="10" width="12.5703125" style="396" bestFit="1" customWidth="1"/>
    <col min="11" max="11" width="34.5703125" style="396" customWidth="1"/>
    <col min="12" max="12" width="19.7109375" style="396" bestFit="1" customWidth="1"/>
    <col min="13" max="13" width="16.5703125" style="396" bestFit="1" customWidth="1"/>
    <col min="14" max="14" width="27.85546875" style="396" bestFit="1" customWidth="1"/>
    <col min="15" max="15" width="26.85546875" style="396" customWidth="1"/>
    <col min="16" max="16" width="8.5703125" style="396" bestFit="1" customWidth="1"/>
    <col min="17" max="17" width="30.28515625" style="396" customWidth="1"/>
    <col min="18" max="18" width="27.7109375" style="396" bestFit="1" customWidth="1"/>
    <col min="19" max="19" width="10.7109375" style="396" bestFit="1" customWidth="1"/>
    <col min="20" max="20" width="10.140625" style="396" bestFit="1" customWidth="1"/>
    <col min="21" max="21" width="5.5703125" style="396" bestFit="1" customWidth="1"/>
    <col min="22" max="22" width="15.7109375" style="396" bestFit="1" customWidth="1"/>
    <col min="23" max="23" width="12.7109375" style="396" customWidth="1"/>
    <col min="24" max="24" width="7" style="396" bestFit="1" customWidth="1"/>
    <col min="25" max="25" width="22.85546875" style="396" bestFit="1" customWidth="1"/>
    <col min="26" max="16384" width="9.140625" style="396"/>
  </cols>
  <sheetData>
    <row r="2" spans="2:25">
      <c r="H2" s="144"/>
      <c r="I2" s="788" t="s">
        <v>651</v>
      </c>
      <c r="J2" s="788">
        <f>'00 - Cover'!F14</f>
        <v>46219</v>
      </c>
    </row>
    <row r="3" spans="2:25">
      <c r="H3" s="144"/>
      <c r="I3" s="788" t="s">
        <v>92</v>
      </c>
      <c r="J3" s="788">
        <f>'00 - Cover'!F15</f>
        <v>46224</v>
      </c>
    </row>
    <row r="4" spans="2:25">
      <c r="H4" s="144"/>
      <c r="I4" s="788" t="s">
        <v>85</v>
      </c>
      <c r="J4" s="788">
        <f>'00 - Cover'!F16</f>
        <v>46230</v>
      </c>
    </row>
    <row r="5" spans="2:25">
      <c r="H5" s="144"/>
      <c r="I5" s="788" t="s">
        <v>2409</v>
      </c>
      <c r="J5" s="788" t="str">
        <f>'00 - Cover'!F20</f>
        <v>Quartely</v>
      </c>
    </row>
    <row r="7" spans="2:25" ht="15.75">
      <c r="B7" s="604"/>
      <c r="C7" s="605" t="s">
        <v>717</v>
      </c>
      <c r="D7" s="605"/>
      <c r="E7" s="605"/>
      <c r="F7" s="605"/>
      <c r="G7" s="605"/>
      <c r="H7" s="605"/>
      <c r="I7" s="605"/>
      <c r="J7" s="605"/>
      <c r="K7" s="605"/>
    </row>
    <row r="10" spans="2:25" ht="15.75">
      <c r="B10" s="517"/>
      <c r="C10" s="1233" t="s">
        <v>1425</v>
      </c>
      <c r="D10" s="1233"/>
      <c r="E10" s="1233"/>
      <c r="F10" s="1233"/>
      <c r="G10" s="1233"/>
      <c r="H10" s="518"/>
      <c r="I10" s="518"/>
      <c r="J10" s="519"/>
      <c r="K10" s="520"/>
    </row>
    <row r="11" spans="2:25" ht="15">
      <c r="B11" s="521"/>
      <c r="C11" s="1234"/>
      <c r="D11" s="1234"/>
      <c r="E11" s="1234"/>
      <c r="F11" s="1234"/>
      <c r="G11" s="1234"/>
      <c r="H11" s="624" t="s">
        <v>6</v>
      </c>
      <c r="I11" s="522" t="s">
        <v>234</v>
      </c>
      <c r="J11" s="523"/>
      <c r="K11" s="520"/>
    </row>
    <row r="12" spans="2:25" ht="15">
      <c r="B12" s="524"/>
      <c r="C12" s="525"/>
      <c r="D12" s="1225" t="s">
        <v>702</v>
      </c>
      <c r="E12" s="1226"/>
      <c r="F12" s="1226"/>
      <c r="G12" s="1227"/>
      <c r="H12" s="526"/>
      <c r="I12" s="359">
        <v>300</v>
      </c>
      <c r="J12" s="523"/>
      <c r="K12" s="520"/>
      <c r="L12" s="528"/>
    </row>
    <row r="13" spans="2:25" ht="30" customHeight="1" thickBot="1">
      <c r="B13" s="524"/>
      <c r="C13" s="525"/>
      <c r="D13" s="529" t="s">
        <v>7</v>
      </c>
      <c r="E13" s="1228" t="s">
        <v>1250</v>
      </c>
      <c r="F13" s="1229"/>
      <c r="G13" s="1230"/>
      <c r="H13" s="530">
        <v>0</v>
      </c>
      <c r="I13" s="531">
        <f>I12+H13</f>
        <v>300</v>
      </c>
      <c r="J13" s="523"/>
      <c r="K13" s="520"/>
      <c r="L13" s="528"/>
      <c r="M13" s="528"/>
    </row>
    <row r="14" spans="2:25" ht="35.1" customHeight="1" thickBot="1">
      <c r="B14" s="524"/>
      <c r="C14" s="525"/>
      <c r="D14" s="1235" t="s">
        <v>7</v>
      </c>
      <c r="E14" s="1241" t="s">
        <v>1251</v>
      </c>
      <c r="F14" s="1242"/>
      <c r="G14" s="891">
        <f>'04 - Monthly Collection'!AS13+'04 - Monthly Collection'!AS14+'04 - Monthly Collection'!AS15</f>
        <v>23349767.919999991</v>
      </c>
      <c r="H14" s="1243">
        <f>+G14+G15</f>
        <v>23357879.329999991</v>
      </c>
      <c r="I14" s="1239">
        <f>I13+H14+H15</f>
        <v>23358179.329999991</v>
      </c>
      <c r="J14" s="527"/>
      <c r="K14" s="879"/>
      <c r="L14" s="1237" t="s">
        <v>1365</v>
      </c>
      <c r="M14" s="1237" t="s">
        <v>1353</v>
      </c>
    </row>
    <row r="15" spans="2:25" ht="35.1" customHeight="1" thickBot="1">
      <c r="B15" s="524"/>
      <c r="C15" s="525"/>
      <c r="D15" s="1236"/>
      <c r="E15" s="876" t="s">
        <v>1355</v>
      </c>
      <c r="F15" s="877"/>
      <c r="G15" s="887">
        <f>+L17</f>
        <v>8111.41</v>
      </c>
      <c r="H15" s="1244"/>
      <c r="I15" s="1240"/>
      <c r="J15" s="527"/>
      <c r="K15" s="879"/>
      <c r="L15" s="1238"/>
      <c r="M15" s="1238"/>
      <c r="P15" s="962" t="s">
        <v>1409</v>
      </c>
      <c r="Q15" s="962" t="s">
        <v>25</v>
      </c>
      <c r="R15" s="962" t="s">
        <v>2345</v>
      </c>
      <c r="S15" s="962" t="s">
        <v>2346</v>
      </c>
      <c r="T15" s="962" t="s">
        <v>2347</v>
      </c>
      <c r="U15" s="962" t="s">
        <v>2348</v>
      </c>
      <c r="V15" s="962" t="s">
        <v>2349</v>
      </c>
      <c r="W15" s="962" t="s">
        <v>1407</v>
      </c>
      <c r="X15" s="962" t="s">
        <v>1390</v>
      </c>
      <c r="Y15" s="962" t="s">
        <v>2350</v>
      </c>
    </row>
    <row r="16" spans="2:25" ht="26.1" customHeight="1" thickBot="1">
      <c r="B16" s="524"/>
      <c r="C16" s="525"/>
      <c r="D16" s="529" t="s">
        <v>7</v>
      </c>
      <c r="E16" s="1228" t="s">
        <v>1252</v>
      </c>
      <c r="F16" s="1229"/>
      <c r="G16" s="1230"/>
      <c r="H16" s="530">
        <v>0</v>
      </c>
      <c r="I16" s="531">
        <f>I14+H16</f>
        <v>23358179.329999991</v>
      </c>
      <c r="J16" s="527"/>
      <c r="K16" s="534"/>
      <c r="L16" s="1238"/>
      <c r="M16" s="1238"/>
      <c r="P16" s="963" t="s">
        <v>1384</v>
      </c>
      <c r="Q16" s="963" t="s">
        <v>1416</v>
      </c>
      <c r="R16" s="963" t="s">
        <v>1412</v>
      </c>
      <c r="S16" s="1033"/>
      <c r="T16" s="1032"/>
      <c r="U16" s="963" t="s">
        <v>2351</v>
      </c>
      <c r="V16" s="963" t="s">
        <v>2352</v>
      </c>
      <c r="W16" s="1004">
        <v>2740.67</v>
      </c>
      <c r="X16" s="963" t="s">
        <v>683</v>
      </c>
      <c r="Y16" s="1084" t="s">
        <v>2618</v>
      </c>
    </row>
    <row r="17" spans="1:25" ht="26.25" customHeight="1" thickBot="1">
      <c r="B17" s="524"/>
      <c r="C17" s="525"/>
      <c r="D17" s="529" t="s">
        <v>7</v>
      </c>
      <c r="E17" s="1228" t="s">
        <v>1253</v>
      </c>
      <c r="F17" s="1229"/>
      <c r="G17" s="1230"/>
      <c r="H17" s="530">
        <v>0</v>
      </c>
      <c r="I17" s="531">
        <f>I16+H17</f>
        <v>23358179.329999991</v>
      </c>
      <c r="J17" s="527"/>
      <c r="K17" s="881"/>
      <c r="L17" s="882">
        <f>SUM(W16:W19)</f>
        <v>8111.41</v>
      </c>
      <c r="M17" s="882">
        <f>SUM(W20:W22)</f>
        <v>24058.71</v>
      </c>
      <c r="P17" s="963" t="s">
        <v>1384</v>
      </c>
      <c r="Q17" s="963" t="s">
        <v>1416</v>
      </c>
      <c r="R17" s="963" t="s">
        <v>1412</v>
      </c>
      <c r="S17" s="1033"/>
      <c r="T17" s="1032"/>
      <c r="U17" s="963" t="s">
        <v>2351</v>
      </c>
      <c r="V17" s="963" t="s">
        <v>2352</v>
      </c>
      <c r="W17" s="1004">
        <v>2106.27</v>
      </c>
      <c r="X17" s="963" t="s">
        <v>683</v>
      </c>
      <c r="Y17" s="1084" t="s">
        <v>2619</v>
      </c>
    </row>
    <row r="18" spans="1:25" ht="26.25" customHeight="1">
      <c r="B18" s="524"/>
      <c r="C18" s="525"/>
      <c r="D18" s="529" t="s">
        <v>7</v>
      </c>
      <c r="E18" s="1228" t="s">
        <v>1254</v>
      </c>
      <c r="F18" s="1229"/>
      <c r="G18" s="1230"/>
      <c r="H18" s="530">
        <f>'03 - Monthly Asset Follow up'!N17+'03 - Monthly Asset Follow up'!AN17+'03 - Monthly Asset Follow up'!AQ17+'03 - Monthly Asset Follow up'!BM17+'03 - Monthly Asset Follow up'!CM17+'03 - Monthly Asset Follow up'!CP17</f>
        <v>0</v>
      </c>
      <c r="I18" s="531">
        <f>I17+H18</f>
        <v>23358179.329999991</v>
      </c>
      <c r="J18" s="527"/>
      <c r="K18" s="520"/>
      <c r="M18" s="1237" t="s">
        <v>1356</v>
      </c>
      <c r="P18" s="963" t="s">
        <v>1384</v>
      </c>
      <c r="Q18" s="963" t="s">
        <v>1416</v>
      </c>
      <c r="R18" s="963" t="s">
        <v>1412</v>
      </c>
      <c r="S18" s="1033"/>
      <c r="T18" s="1032"/>
      <c r="U18" s="963" t="s">
        <v>2351</v>
      </c>
      <c r="V18" s="963" t="s">
        <v>2352</v>
      </c>
      <c r="W18" s="1004">
        <v>3264.47</v>
      </c>
      <c r="X18" s="963" t="s">
        <v>683</v>
      </c>
      <c r="Y18" s="1084" t="s">
        <v>2620</v>
      </c>
    </row>
    <row r="19" spans="1:25" ht="26.25" customHeight="1" thickBot="1">
      <c r="B19" s="524"/>
      <c r="C19" s="525"/>
      <c r="D19" s="529" t="s">
        <v>7</v>
      </c>
      <c r="E19" s="1228" t="s">
        <v>1255</v>
      </c>
      <c r="F19" s="1229"/>
      <c r="G19" s="1230"/>
      <c r="H19" s="530">
        <f>H61</f>
        <v>9826558.7100000009</v>
      </c>
      <c r="I19" s="531">
        <f>I18+H19</f>
        <v>33184738.039999992</v>
      </c>
      <c r="J19" s="527"/>
      <c r="K19" s="883"/>
      <c r="M19" s="1238"/>
      <c r="P19" s="963"/>
      <c r="Q19" s="963"/>
      <c r="R19" s="963"/>
      <c r="S19" s="1032"/>
      <c r="T19" s="1032"/>
      <c r="U19" s="963"/>
      <c r="V19" s="963"/>
      <c r="W19" s="1004"/>
      <c r="X19" s="963"/>
      <c r="Y19" s="1032"/>
    </row>
    <row r="20" spans="1:25" ht="26.45" customHeight="1" thickBot="1">
      <c r="B20" s="524"/>
      <c r="C20" s="525"/>
      <c r="D20" s="529" t="s">
        <v>7</v>
      </c>
      <c r="E20" s="1228" t="s">
        <v>1256</v>
      </c>
      <c r="F20" s="1229"/>
      <c r="G20" s="1230"/>
      <c r="H20" s="530">
        <v>0</v>
      </c>
      <c r="I20" s="531">
        <f>I19+H20</f>
        <v>33184738.039999992</v>
      </c>
      <c r="J20" s="527"/>
      <c r="K20" s="886"/>
      <c r="M20" s="882">
        <v>300</v>
      </c>
      <c r="P20" s="964" t="s">
        <v>1384</v>
      </c>
      <c r="Q20" s="964" t="s">
        <v>1419</v>
      </c>
      <c r="R20" s="964" t="s">
        <v>1415</v>
      </c>
      <c r="S20" s="1033"/>
      <c r="T20" s="1032"/>
      <c r="U20" s="964" t="s">
        <v>2351</v>
      </c>
      <c r="V20" s="964" t="s">
        <v>2352</v>
      </c>
      <c r="W20" s="1005">
        <v>7626.47</v>
      </c>
      <c r="X20" s="964" t="s">
        <v>683</v>
      </c>
      <c r="Y20" s="1084" t="str">
        <f>Y16</f>
        <v>Agios Mai</v>
      </c>
    </row>
    <row r="21" spans="1:25" ht="15">
      <c r="B21" s="524"/>
      <c r="C21" s="525"/>
      <c r="D21" s="532" t="s">
        <v>16</v>
      </c>
      <c r="E21" s="1219" t="s">
        <v>1257</v>
      </c>
      <c r="F21" s="1220"/>
      <c r="G21" s="1221"/>
      <c r="H21" s="185">
        <v>0</v>
      </c>
      <c r="I21" s="531">
        <f t="shared" ref="I21:I26" si="0">I20-H21</f>
        <v>33184738.039999992</v>
      </c>
      <c r="J21" s="533"/>
      <c r="K21" s="893"/>
      <c r="P21" s="964" t="s">
        <v>1384</v>
      </c>
      <c r="Q21" s="964" t="s">
        <v>1419</v>
      </c>
      <c r="R21" s="964" t="s">
        <v>1415</v>
      </c>
      <c r="S21" s="1033"/>
      <c r="T21" s="1032"/>
      <c r="U21" s="964" t="s">
        <v>2351</v>
      </c>
      <c r="V21" s="964" t="s">
        <v>2352</v>
      </c>
      <c r="W21" s="1005">
        <v>7859.3</v>
      </c>
      <c r="X21" s="964" t="s">
        <v>683</v>
      </c>
      <c r="Y21" s="1084" t="str">
        <f>Y17</f>
        <v>Agios Juin</v>
      </c>
    </row>
    <row r="22" spans="1:25" ht="15" customHeight="1">
      <c r="B22" s="524"/>
      <c r="C22" s="525"/>
      <c r="D22" s="532" t="s">
        <v>16</v>
      </c>
      <c r="E22" s="1219" t="s">
        <v>1258</v>
      </c>
      <c r="F22" s="1220"/>
      <c r="G22" s="1221"/>
      <c r="H22" s="185">
        <v>0</v>
      </c>
      <c r="I22" s="531">
        <f t="shared" si="0"/>
        <v>33184738.039999992</v>
      </c>
      <c r="J22" s="890"/>
      <c r="K22" s="880"/>
      <c r="M22" s="528"/>
      <c r="N22" s="851"/>
      <c r="P22" s="964" t="s">
        <v>1384</v>
      </c>
      <c r="Q22" s="964" t="s">
        <v>1419</v>
      </c>
      <c r="R22" s="964" t="s">
        <v>1415</v>
      </c>
      <c r="S22" s="1033"/>
      <c r="T22" s="1032"/>
      <c r="U22" s="964" t="s">
        <v>2351</v>
      </c>
      <c r="V22" s="964" t="s">
        <v>2352</v>
      </c>
      <c r="W22" s="1005">
        <v>8572.94</v>
      </c>
      <c r="X22" s="964" t="s">
        <v>683</v>
      </c>
      <c r="Y22" s="1084" t="str">
        <f>Y18</f>
        <v>Agios Juillet</v>
      </c>
    </row>
    <row r="23" spans="1:25" ht="33.6" customHeight="1">
      <c r="B23" s="524"/>
      <c r="C23" s="525"/>
      <c r="D23" s="532" t="s">
        <v>16</v>
      </c>
      <c r="E23" s="1219" t="s">
        <v>1259</v>
      </c>
      <c r="F23" s="1220"/>
      <c r="G23" s="1221"/>
      <c r="H23" s="185">
        <v>0</v>
      </c>
      <c r="I23" s="531">
        <f t="shared" si="0"/>
        <v>33184738.039999992</v>
      </c>
      <c r="J23" s="533"/>
      <c r="K23" s="872"/>
      <c r="M23" s="528"/>
      <c r="P23" s="964" t="s">
        <v>1384</v>
      </c>
      <c r="Q23" s="964" t="s">
        <v>1417</v>
      </c>
      <c r="R23" s="964" t="s">
        <v>1413</v>
      </c>
      <c r="S23" s="964"/>
      <c r="T23" s="964"/>
      <c r="U23" s="964" t="s">
        <v>2351</v>
      </c>
      <c r="V23" s="964" t="s">
        <v>2352</v>
      </c>
      <c r="W23" s="1005">
        <v>0</v>
      </c>
      <c r="X23" s="964" t="s">
        <v>683</v>
      </c>
      <c r="Y23" s="1084" t="s">
        <v>2615</v>
      </c>
    </row>
    <row r="24" spans="1:25" ht="33.6" customHeight="1">
      <c r="B24" s="524"/>
      <c r="C24" s="525"/>
      <c r="D24" s="532" t="s">
        <v>16</v>
      </c>
      <c r="E24" s="1222" t="s">
        <v>1260</v>
      </c>
      <c r="F24" s="1223"/>
      <c r="G24" s="1224"/>
      <c r="H24" s="185">
        <f>'15 - Priority of Payments'!I17-'15 - Priority of Payments'!K17+'15 - Priority of Payments'!K12-'15 - Priority of Payments'!I18</f>
        <v>0</v>
      </c>
      <c r="I24" s="531">
        <f t="shared" si="0"/>
        <v>33184738.039999992</v>
      </c>
      <c r="J24" s="533"/>
      <c r="K24" s="880"/>
      <c r="L24" s="396" t="s">
        <v>2431</v>
      </c>
      <c r="M24" s="528">
        <v>39322293.93</v>
      </c>
    </row>
    <row r="25" spans="1:25" ht="33.6" customHeight="1">
      <c r="A25" s="534"/>
      <c r="B25" s="524"/>
      <c r="C25" s="525"/>
      <c r="D25" s="532" t="s">
        <v>16</v>
      </c>
      <c r="E25" s="1222" t="s">
        <v>2433</v>
      </c>
      <c r="F25" s="1223"/>
      <c r="G25" s="1224"/>
      <c r="H25" s="185">
        <f>+'13 - Issuer Account'!M26</f>
        <v>21458261.34999999</v>
      </c>
      <c r="I25" s="531">
        <f t="shared" si="0"/>
        <v>11726476.690000001</v>
      </c>
      <c r="J25" s="533"/>
      <c r="K25" s="880"/>
      <c r="L25" s="396" t="s">
        <v>2447</v>
      </c>
      <c r="M25" s="528">
        <f>'11 - Notes Follow-up'!F24</f>
        <v>21458261.34999999</v>
      </c>
    </row>
    <row r="26" spans="1:25" ht="47.1" customHeight="1">
      <c r="B26" s="524"/>
      <c r="C26" s="525"/>
      <c r="D26" s="532" t="s">
        <v>16</v>
      </c>
      <c r="E26" s="1222" t="s">
        <v>1261</v>
      </c>
      <c r="F26" s="1223"/>
      <c r="G26" s="1224"/>
      <c r="H26" s="185">
        <f>+I25-300</f>
        <v>11726176.690000001</v>
      </c>
      <c r="I26" s="531">
        <f t="shared" si="0"/>
        <v>300</v>
      </c>
      <c r="J26" s="533"/>
      <c r="K26" s="534"/>
      <c r="L26" s="1103" t="s">
        <v>696</v>
      </c>
      <c r="M26" s="528">
        <f>+'15 - Priority of Payments'!I17+'15 - Priority of Payments'!K12-'15 - Priority of Payments'!K17</f>
        <v>21458261.34999999</v>
      </c>
    </row>
    <row r="27" spans="1:25" ht="15">
      <c r="B27" s="524"/>
      <c r="C27" s="525"/>
      <c r="D27" s="1225"/>
      <c r="E27" s="1226"/>
      <c r="F27" s="1226"/>
      <c r="G27" s="1227"/>
      <c r="H27" s="526"/>
      <c r="I27" s="359">
        <f>I26</f>
        <v>300</v>
      </c>
      <c r="J27" s="533"/>
      <c r="K27" s="535"/>
      <c r="L27" s="396" t="s">
        <v>2432</v>
      </c>
      <c r="M27" s="851">
        <f>+M24-M26+M25</f>
        <v>39322293.93</v>
      </c>
    </row>
    <row r="28" spans="1:25" ht="15">
      <c r="B28" s="536"/>
      <c r="C28" s="537"/>
      <c r="D28" s="537"/>
      <c r="E28" s="537"/>
      <c r="F28" s="537"/>
      <c r="G28" s="537"/>
      <c r="H28" s="537"/>
      <c r="I28" s="538"/>
      <c r="J28" s="539"/>
      <c r="K28" s="520"/>
      <c r="L28" s="528"/>
      <c r="M28" s="528"/>
    </row>
    <row r="29" spans="1:25" ht="15">
      <c r="K29" s="878"/>
      <c r="L29" s="528"/>
      <c r="M29" s="528"/>
    </row>
    <row r="30" spans="1:25" ht="15">
      <c r="K30" s="878"/>
      <c r="L30" s="528"/>
      <c r="M30" s="528"/>
    </row>
    <row r="31" spans="1:25" ht="15.75">
      <c r="B31" s="540"/>
      <c r="C31" s="1231" t="s">
        <v>1424</v>
      </c>
      <c r="D31" s="1231"/>
      <c r="E31" s="1231"/>
      <c r="F31" s="1231"/>
      <c r="G31" s="1231"/>
      <c r="H31" s="541"/>
      <c r="I31" s="541"/>
      <c r="J31" s="542"/>
      <c r="K31" s="520"/>
      <c r="L31" s="528"/>
      <c r="M31" s="528"/>
    </row>
    <row r="32" spans="1:25" ht="15">
      <c r="B32" s="543"/>
      <c r="C32" s="1232"/>
      <c r="D32" s="1232"/>
      <c r="E32" s="1232"/>
      <c r="F32" s="1232"/>
      <c r="G32" s="1232"/>
      <c r="H32" s="624" t="s">
        <v>6</v>
      </c>
      <c r="I32" s="522" t="s">
        <v>234</v>
      </c>
      <c r="J32" s="544"/>
      <c r="K32" s="520"/>
      <c r="L32" s="528"/>
      <c r="M32" s="528"/>
    </row>
    <row r="33" spans="2:13" ht="15">
      <c r="B33" s="545"/>
      <c r="C33" s="546"/>
      <c r="D33" s="1225" t="s">
        <v>702</v>
      </c>
      <c r="E33" s="1226"/>
      <c r="F33" s="1226"/>
      <c r="G33" s="1227"/>
      <c r="H33" s="526"/>
      <c r="I33" s="359">
        <v>0</v>
      </c>
      <c r="J33" s="547"/>
      <c r="K33" s="520"/>
      <c r="L33" s="528"/>
    </row>
    <row r="34" spans="2:13" ht="33.6" customHeight="1">
      <c r="B34" s="545"/>
      <c r="C34" s="546"/>
      <c r="D34" s="529" t="s">
        <v>7</v>
      </c>
      <c r="E34" s="1228" t="s">
        <v>1262</v>
      </c>
      <c r="F34" s="1229"/>
      <c r="G34" s="1230"/>
      <c r="H34" s="1110">
        <f>'15 - Priority of Payments'!I15+'15 - Priority of Payments'!K17</f>
        <v>19913830.979999989</v>
      </c>
      <c r="I34" s="531">
        <f>I33+H34</f>
        <v>19913830.979999989</v>
      </c>
      <c r="J34" s="547"/>
      <c r="K34" s="520"/>
      <c r="L34" s="528"/>
      <c r="M34" s="528"/>
    </row>
    <row r="35" spans="2:13" ht="27" customHeight="1">
      <c r="B35" s="545"/>
      <c r="C35" s="546"/>
      <c r="D35" s="529" t="s">
        <v>7</v>
      </c>
      <c r="E35" s="1228" t="s">
        <v>1263</v>
      </c>
      <c r="F35" s="1229"/>
      <c r="G35" s="1230"/>
      <c r="H35" s="530">
        <f>'10 -Principal Deficiency Ledger'!C12</f>
        <v>1544430.37</v>
      </c>
      <c r="I35" s="531">
        <f>I34+H35</f>
        <v>21458261.34999999</v>
      </c>
      <c r="J35" s="870"/>
      <c r="K35" s="871"/>
      <c r="L35" s="528"/>
      <c r="M35" s="528"/>
    </row>
    <row r="36" spans="2:13" ht="27" customHeight="1">
      <c r="B36" s="545"/>
      <c r="C36" s="546"/>
      <c r="D36" s="532" t="s">
        <v>16</v>
      </c>
      <c r="E36" s="1219" t="s">
        <v>2428</v>
      </c>
      <c r="F36" s="1220"/>
      <c r="G36" s="1221"/>
      <c r="H36" s="185">
        <f>'15 - Priority of Payments'!K17</f>
        <v>0</v>
      </c>
      <c r="I36" s="531">
        <f>I35-H36</f>
        <v>21458261.34999999</v>
      </c>
      <c r="J36" s="870"/>
      <c r="K36" s="871"/>
      <c r="L36" s="528"/>
      <c r="M36" s="528"/>
    </row>
    <row r="37" spans="2:13" ht="35.450000000000003" customHeight="1">
      <c r="B37" s="545"/>
      <c r="C37" s="546"/>
      <c r="D37" s="532" t="s">
        <v>16</v>
      </c>
      <c r="E37" s="1219" t="s">
        <v>720</v>
      </c>
      <c r="F37" s="1220"/>
      <c r="G37" s="1221"/>
      <c r="H37" s="185">
        <f>SUM('15 - Priority of Payments'!J24:J27)</f>
        <v>21458261.34999999</v>
      </c>
      <c r="I37" s="531">
        <f>I36-H37</f>
        <v>0</v>
      </c>
      <c r="J37" s="548"/>
      <c r="K37" s="520"/>
      <c r="L37" s="528"/>
      <c r="M37" s="528"/>
    </row>
    <row r="38" spans="2:13" ht="15">
      <c r="B38" s="545"/>
      <c r="C38" s="546"/>
      <c r="D38" s="1225"/>
      <c r="E38" s="1226"/>
      <c r="F38" s="1226"/>
      <c r="G38" s="1227"/>
      <c r="H38" s="526"/>
      <c r="I38" s="791">
        <f>I37</f>
        <v>0</v>
      </c>
      <c r="J38" s="548"/>
      <c r="K38" s="840"/>
      <c r="L38" s="528"/>
    </row>
    <row r="39" spans="2:13" ht="15">
      <c r="B39" s="549"/>
      <c r="C39" s="550"/>
      <c r="D39" s="550"/>
      <c r="E39" s="550"/>
      <c r="F39" s="550"/>
      <c r="G39" s="550"/>
      <c r="H39" s="550"/>
      <c r="I39" s="551"/>
      <c r="J39" s="552"/>
      <c r="K39" s="520"/>
      <c r="L39" s="528"/>
      <c r="M39" s="528"/>
    </row>
    <row r="40" spans="2:13" ht="15">
      <c r="K40" s="520"/>
      <c r="L40" s="528"/>
      <c r="M40" s="528"/>
    </row>
    <row r="41" spans="2:13" ht="15">
      <c r="K41" s="520"/>
      <c r="L41" s="528"/>
      <c r="M41" s="528"/>
    </row>
    <row r="42" spans="2:13" ht="15">
      <c r="K42" s="520"/>
      <c r="L42" s="528"/>
      <c r="M42" s="528"/>
    </row>
    <row r="43" spans="2:13" ht="15.75">
      <c r="B43" s="517"/>
      <c r="C43" s="1233" t="s">
        <v>1423</v>
      </c>
      <c r="D43" s="1233"/>
      <c r="E43" s="1233"/>
      <c r="F43" s="1233"/>
      <c r="G43" s="1233"/>
      <c r="H43" s="518"/>
      <c r="I43" s="518"/>
      <c r="J43" s="519"/>
      <c r="K43" s="520"/>
      <c r="L43" s="528"/>
      <c r="M43" s="528"/>
    </row>
    <row r="44" spans="2:13" ht="15">
      <c r="B44" s="521"/>
      <c r="C44" s="1234"/>
      <c r="D44" s="1234"/>
      <c r="E44" s="1234"/>
      <c r="F44" s="1234"/>
      <c r="G44" s="1234"/>
      <c r="H44" s="624" t="s">
        <v>6</v>
      </c>
      <c r="I44" s="522" t="s">
        <v>234</v>
      </c>
      <c r="J44" s="523"/>
      <c r="K44" s="520"/>
      <c r="L44" s="528"/>
      <c r="M44" s="528"/>
    </row>
    <row r="45" spans="2:13" ht="15">
      <c r="B45" s="524"/>
      <c r="C45" s="525"/>
      <c r="D45" s="1225" t="s">
        <v>702</v>
      </c>
      <c r="E45" s="1226"/>
      <c r="F45" s="1226"/>
      <c r="G45" s="1227"/>
      <c r="H45" s="526"/>
      <c r="I45" s="359">
        <v>0</v>
      </c>
      <c r="J45" s="527"/>
      <c r="K45" s="520"/>
      <c r="L45" s="528"/>
    </row>
    <row r="46" spans="2:13" ht="57.6" customHeight="1">
      <c r="B46" s="524"/>
      <c r="C46" s="525"/>
      <c r="D46" s="529" t="s">
        <v>7</v>
      </c>
      <c r="E46" s="1228" t="s">
        <v>1264</v>
      </c>
      <c r="F46" s="1229"/>
      <c r="G46" s="1230"/>
      <c r="H46" s="530">
        <f>+I19-H24-L17-M17-H21-H25-M20</f>
        <v>11694006.57</v>
      </c>
      <c r="I46" s="531">
        <f>I45+H46</f>
        <v>11694006.57</v>
      </c>
      <c r="J46" s="527"/>
      <c r="K46" s="878"/>
      <c r="M46" s="528"/>
    </row>
    <row r="47" spans="2:13" ht="23.1" customHeight="1">
      <c r="B47" s="524"/>
      <c r="C47" s="525"/>
      <c r="D47" s="529" t="s">
        <v>7</v>
      </c>
      <c r="E47" s="1228" t="s">
        <v>1265</v>
      </c>
      <c r="F47" s="1229"/>
      <c r="G47" s="1230"/>
      <c r="H47" s="530">
        <f>'10 -Principal Deficiency Ledger'!E12</f>
        <v>0</v>
      </c>
      <c r="I47" s="531">
        <f>I46+H47</f>
        <v>11694006.57</v>
      </c>
      <c r="J47" s="527"/>
      <c r="K47" s="520"/>
      <c r="M47" s="528"/>
    </row>
    <row r="48" spans="2:13" ht="27.6" customHeight="1">
      <c r="B48" s="524"/>
      <c r="C48" s="525"/>
      <c r="D48" s="529" t="s">
        <v>7</v>
      </c>
      <c r="E48" s="1228" t="s">
        <v>1354</v>
      </c>
      <c r="F48" s="1229"/>
      <c r="G48" s="1230"/>
      <c r="H48" s="530">
        <f>+L17+M17+W23</f>
        <v>32170.12</v>
      </c>
      <c r="I48" s="531">
        <f>I47+H48</f>
        <v>11726176.689999999</v>
      </c>
      <c r="J48" s="533"/>
      <c r="K48" s="884"/>
      <c r="M48" s="528"/>
    </row>
    <row r="49" spans="2:16" ht="32.450000000000003" customHeight="1">
      <c r="B49" s="524"/>
      <c r="C49" s="525"/>
      <c r="D49" s="532" t="s">
        <v>16</v>
      </c>
      <c r="E49" s="1222" t="s">
        <v>721</v>
      </c>
      <c r="F49" s="1223"/>
      <c r="G49" s="1224"/>
      <c r="H49" s="185">
        <f>+I48</f>
        <v>11726176.689999999</v>
      </c>
      <c r="I49" s="531">
        <f>I48-H49</f>
        <v>0</v>
      </c>
      <c r="J49" s="533"/>
      <c r="K49" s="878"/>
      <c r="L49" s="534"/>
      <c r="M49" s="528"/>
    </row>
    <row r="50" spans="2:16" ht="15">
      <c r="B50" s="524"/>
      <c r="C50" s="525"/>
      <c r="D50" s="1225"/>
      <c r="E50" s="1226"/>
      <c r="F50" s="1226"/>
      <c r="G50" s="1227"/>
      <c r="H50" s="526"/>
      <c r="I50" s="791">
        <f>+I49</f>
        <v>0</v>
      </c>
      <c r="J50" s="533"/>
      <c r="K50" s="535"/>
    </row>
    <row r="51" spans="2:16" ht="15">
      <c r="B51" s="536"/>
      <c r="C51" s="537"/>
      <c r="D51" s="537"/>
      <c r="E51" s="537"/>
      <c r="F51" s="537"/>
      <c r="G51" s="537"/>
      <c r="H51" s="537"/>
      <c r="I51" s="538"/>
      <c r="J51" s="539"/>
      <c r="K51" s="520"/>
      <c r="M51" s="528"/>
    </row>
    <row r="52" spans="2:16" ht="15">
      <c r="K52" s="520"/>
      <c r="M52" s="528"/>
    </row>
    <row r="53" spans="2:16" ht="15">
      <c r="K53" s="520"/>
      <c r="M53" s="528"/>
    </row>
    <row r="54" spans="2:16" ht="15.75">
      <c r="B54" s="540"/>
      <c r="C54" s="1231" t="s">
        <v>1422</v>
      </c>
      <c r="D54" s="1231"/>
      <c r="E54" s="1231"/>
      <c r="F54" s="1231"/>
      <c r="G54" s="1231"/>
      <c r="H54" s="541"/>
      <c r="I54" s="541"/>
      <c r="J54" s="542"/>
      <c r="K54" s="520"/>
      <c r="M54" s="528"/>
    </row>
    <row r="55" spans="2:16" ht="15">
      <c r="B55" s="543"/>
      <c r="C55" s="1232"/>
      <c r="D55" s="1232"/>
      <c r="E55" s="1232"/>
      <c r="F55" s="1232"/>
      <c r="G55" s="1232"/>
      <c r="H55" s="624" t="s">
        <v>6</v>
      </c>
      <c r="I55" s="522" t="s">
        <v>234</v>
      </c>
      <c r="J55" s="544"/>
      <c r="K55" s="862"/>
      <c r="L55" s="534"/>
      <c r="M55" s="528"/>
    </row>
    <row r="56" spans="2:16" ht="15">
      <c r="B56" s="545"/>
      <c r="C56" s="546"/>
      <c r="D56" s="1225" t="s">
        <v>702</v>
      </c>
      <c r="E56" s="1226"/>
      <c r="F56" s="1226"/>
      <c r="G56" s="1227"/>
      <c r="H56" s="526"/>
      <c r="I56" s="1055">
        <v>9802500</v>
      </c>
      <c r="J56" s="547"/>
      <c r="K56" s="520"/>
    </row>
    <row r="57" spans="2:16" ht="15">
      <c r="B57" s="545"/>
      <c r="C57" s="546"/>
      <c r="D57" s="529" t="s">
        <v>7</v>
      </c>
      <c r="E57" s="1228" t="s">
        <v>1309</v>
      </c>
      <c r="F57" s="1229"/>
      <c r="G57" s="1230"/>
      <c r="H57" s="530">
        <f>+M17</f>
        <v>24058.71</v>
      </c>
      <c r="I57" s="531">
        <f>I56+H57</f>
        <v>9826558.7100000009</v>
      </c>
      <c r="J57" s="547"/>
      <c r="K57" s="883"/>
    </row>
    <row r="58" spans="2:16" ht="42" customHeight="1">
      <c r="B58" s="545"/>
      <c r="C58" s="546"/>
      <c r="D58" s="529" t="s">
        <v>7</v>
      </c>
      <c r="E58" s="1228" t="s">
        <v>1266</v>
      </c>
      <c r="F58" s="1229"/>
      <c r="G58" s="1230"/>
      <c r="H58" s="530">
        <f>O67</f>
        <v>9802500</v>
      </c>
      <c r="I58" s="531">
        <f>I57+H58</f>
        <v>19629058.710000001</v>
      </c>
      <c r="J58" s="547"/>
      <c r="K58" s="878"/>
      <c r="M58" s="528"/>
    </row>
    <row r="59" spans="2:16" ht="44.1" customHeight="1">
      <c r="B59" s="545"/>
      <c r="C59" s="546"/>
      <c r="D59" s="529" t="s">
        <v>7</v>
      </c>
      <c r="E59" s="1228" t="s">
        <v>1267</v>
      </c>
      <c r="F59" s="1229"/>
      <c r="G59" s="1230"/>
      <c r="H59" s="530">
        <v>0</v>
      </c>
      <c r="I59" s="531">
        <f>I58+H59</f>
        <v>19629058.710000001</v>
      </c>
      <c r="J59" s="548"/>
      <c r="M59" s="528"/>
      <c r="N59"/>
      <c r="O59"/>
    </row>
    <row r="60" spans="2:16" ht="44.1" customHeight="1">
      <c r="B60" s="545"/>
      <c r="C60" s="546"/>
      <c r="D60" s="532" t="s">
        <v>16</v>
      </c>
      <c r="E60" s="874" t="s">
        <v>1312</v>
      </c>
      <c r="F60" s="875"/>
      <c r="G60" s="873"/>
      <c r="H60" s="185">
        <v>0</v>
      </c>
      <c r="I60" s="531">
        <f>+I59-H60</f>
        <v>19629058.710000001</v>
      </c>
      <c r="J60" s="548"/>
      <c r="K60" s="851"/>
      <c r="M60" s="528"/>
      <c r="N60"/>
      <c r="O60"/>
    </row>
    <row r="61" spans="2:16" ht="33.950000000000003" customHeight="1">
      <c r="B61" s="545"/>
      <c r="C61" s="546"/>
      <c r="D61" s="532" t="s">
        <v>16</v>
      </c>
      <c r="E61" s="1222" t="s">
        <v>1268</v>
      </c>
      <c r="F61" s="1223"/>
      <c r="G61" s="1224"/>
      <c r="H61" s="185">
        <f>I60-H58</f>
        <v>9826558.7100000009</v>
      </c>
      <c r="I61" s="531">
        <f>I60-H61</f>
        <v>9802500</v>
      </c>
      <c r="J61" s="548"/>
      <c r="K61" s="878"/>
      <c r="M61" s="528"/>
      <c r="N61"/>
      <c r="O61" s="846" t="s">
        <v>1312</v>
      </c>
      <c r="P61" s="534"/>
    </row>
    <row r="62" spans="2:16" ht="39">
      <c r="B62" s="545"/>
      <c r="C62" s="546"/>
      <c r="D62" s="532" t="s">
        <v>16</v>
      </c>
      <c r="E62" s="1222" t="s">
        <v>1269</v>
      </c>
      <c r="F62" s="1223"/>
      <c r="G62" s="1224"/>
      <c r="H62" s="185">
        <v>0</v>
      </c>
      <c r="I62" s="531">
        <f>I61-H62</f>
        <v>9802500</v>
      </c>
      <c r="J62" s="548"/>
      <c r="K62" s="535"/>
      <c r="M62" s="528"/>
      <c r="N62" s="841" t="s">
        <v>1320</v>
      </c>
      <c r="O62" s="842">
        <f>'11 - Notes Follow-up'!D24</f>
        <v>653500000</v>
      </c>
      <c r="P62" s="534"/>
    </row>
    <row r="63" spans="2:16" ht="15">
      <c r="B63" s="545"/>
      <c r="C63" s="546"/>
      <c r="D63" s="1225"/>
      <c r="E63" s="1226"/>
      <c r="F63" s="1226"/>
      <c r="G63" s="1227"/>
      <c r="H63" s="526"/>
      <c r="I63" s="791">
        <f>I62</f>
        <v>9802500</v>
      </c>
      <c r="J63" s="548"/>
      <c r="K63" s="535"/>
      <c r="L63" s="534"/>
      <c r="N63" s="841" t="s">
        <v>1310</v>
      </c>
      <c r="O63" s="842">
        <v>3500000</v>
      </c>
    </row>
    <row r="64" spans="2:16">
      <c r="B64" s="549"/>
      <c r="C64" s="550"/>
      <c r="D64" s="550"/>
      <c r="E64" s="550"/>
      <c r="F64" s="550"/>
      <c r="G64" s="550"/>
      <c r="H64" s="550"/>
      <c r="I64" s="551"/>
      <c r="J64" s="552"/>
      <c r="N64" s="841" t="s">
        <v>1321</v>
      </c>
      <c r="O64" s="842">
        <f>'11 - Notes Follow-up'!D24</f>
        <v>653500000</v>
      </c>
    </row>
    <row r="65" spans="11:17">
      <c r="K65" s="534"/>
      <c r="N65" s="841" t="s">
        <v>1311</v>
      </c>
      <c r="O65" s="843">
        <v>1.4999999999999999E-2</v>
      </c>
    </row>
    <row r="66" spans="11:17">
      <c r="N66" s="841" t="s">
        <v>1323</v>
      </c>
      <c r="O66" s="842">
        <f>MAX(O63,O64*O65)</f>
        <v>9802500</v>
      </c>
    </row>
    <row r="67" spans="11:17" ht="25.5">
      <c r="N67" s="844" t="s">
        <v>1322</v>
      </c>
      <c r="O67" s="845">
        <f>MIN(O66,O62)</f>
        <v>9802500</v>
      </c>
      <c r="Q67" s="1034">
        <f>I56-O67</f>
        <v>0</v>
      </c>
    </row>
  </sheetData>
  <mergeCells count="44">
    <mergeCell ref="M18:M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7:G47"/>
    <mergeCell ref="E34:G34"/>
    <mergeCell ref="E35:G35"/>
    <mergeCell ref="E37:G37"/>
    <mergeCell ref="E21:G21"/>
    <mergeCell ref="E26:G26"/>
    <mergeCell ref="D27:G27"/>
    <mergeCell ref="C31:G32"/>
    <mergeCell ref="D33:G33"/>
    <mergeCell ref="D38:G38"/>
    <mergeCell ref="C43:G44"/>
    <mergeCell ref="D45:G45"/>
    <mergeCell ref="E46:G46"/>
    <mergeCell ref="E22:G22"/>
    <mergeCell ref="E23:G23"/>
    <mergeCell ref="E24:G24"/>
    <mergeCell ref="D63:G63"/>
    <mergeCell ref="E48:G48"/>
    <mergeCell ref="E49:G49"/>
    <mergeCell ref="D50:G50"/>
    <mergeCell ref="C54:G55"/>
    <mergeCell ref="D56:G56"/>
    <mergeCell ref="E58:G58"/>
    <mergeCell ref="E59:G59"/>
    <mergeCell ref="E61:G61"/>
    <mergeCell ref="E62:G62"/>
    <mergeCell ref="E57:G57"/>
    <mergeCell ref="E36:G36"/>
    <mergeCell ref="E25:G25"/>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3"/>
  <sheetViews>
    <sheetView showGridLines="0" zoomScale="80" zoomScaleNormal="80" workbookViewId="0">
      <selection activeCell="C40" sqref="C40"/>
    </sheetView>
  </sheetViews>
  <sheetFormatPr defaultColWidth="11.5703125" defaultRowHeight="12.75"/>
  <cols>
    <col min="1" max="1" width="3" customWidth="1"/>
    <col min="2" max="2" width="2.5703125" customWidth="1"/>
    <col min="3" max="3" width="123.7109375" customWidth="1"/>
    <col min="4" max="4" width="15.5703125" style="1" bestFit="1" customWidth="1"/>
    <col min="5" max="5" width="19" style="1" customWidth="1"/>
    <col min="6" max="6" width="28.140625" style="1" customWidth="1"/>
    <col min="7" max="7" width="19.85546875" style="1" bestFit="1" customWidth="1"/>
    <col min="8" max="8" width="19.85546875" customWidth="1"/>
    <col min="9" max="9" width="51.42578125" style="1" customWidth="1"/>
    <col min="10" max="10" width="19.5703125" style="157" customWidth="1"/>
    <col min="11" max="11" width="12.42578125" customWidth="1"/>
    <col min="12" max="12" width="2.5703125" customWidth="1"/>
    <col min="13" max="13" width="31.42578125" customWidth="1"/>
    <col min="14" max="14" width="12.85546875" bestFit="1" customWidth="1"/>
  </cols>
  <sheetData>
    <row r="2" spans="3:16">
      <c r="J2" s="898"/>
      <c r="K2" s="1"/>
      <c r="L2" s="1"/>
      <c r="M2" s="1"/>
    </row>
    <row r="3" spans="3:16" ht="15">
      <c r="I3"/>
      <c r="J3" s="899"/>
      <c r="K3" s="144"/>
    </row>
    <row r="4" spans="3:16">
      <c r="I4" s="788" t="s">
        <v>651</v>
      </c>
      <c r="J4" s="788">
        <f>'00 - Cover'!F14</f>
        <v>46219</v>
      </c>
      <c r="K4" s="144"/>
      <c r="P4" s="215"/>
    </row>
    <row r="5" spans="3:16">
      <c r="I5" s="788" t="s">
        <v>92</v>
      </c>
      <c r="J5" s="788">
        <f>'00 - Cover'!F15</f>
        <v>46224</v>
      </c>
      <c r="K5" s="144"/>
      <c r="P5" s="215"/>
    </row>
    <row r="6" spans="3:16">
      <c r="I6" s="788" t="s">
        <v>85</v>
      </c>
      <c r="J6" s="788">
        <f>'00 - Cover'!F16</f>
        <v>46230</v>
      </c>
      <c r="K6" s="1"/>
      <c r="L6" s="1"/>
      <c r="M6" s="1"/>
      <c r="P6" s="215"/>
    </row>
    <row r="7" spans="3:16">
      <c r="D7" s="365"/>
      <c r="K7" s="1"/>
      <c r="L7" s="1"/>
      <c r="M7" s="1"/>
      <c r="P7" s="215"/>
    </row>
    <row r="8" spans="3:16">
      <c r="I8" s="1245" t="s">
        <v>1299</v>
      </c>
      <c r="J8" s="1246"/>
      <c r="P8" s="215"/>
    </row>
    <row r="9" spans="3:16">
      <c r="I9" s="788" t="s">
        <v>90</v>
      </c>
      <c r="J9" s="788">
        <f>'12 - Notes Interest'!D17</f>
        <v>46139</v>
      </c>
      <c r="P9" s="215"/>
    </row>
    <row r="10" spans="3:16">
      <c r="I10" s="788" t="s">
        <v>85</v>
      </c>
      <c r="J10" s="788">
        <f>J6</f>
        <v>46230</v>
      </c>
      <c r="P10" s="215"/>
    </row>
    <row r="11" spans="3:16">
      <c r="I11" s="788" t="s">
        <v>170</v>
      </c>
      <c r="J11" s="1361">
        <f>IF(J10="NO","N/A",J10-J9)</f>
        <v>91</v>
      </c>
      <c r="P11" s="215"/>
    </row>
    <row r="12" spans="3:16" ht="18" customHeight="1">
      <c r="I12" s="288"/>
      <c r="J12" s="900"/>
      <c r="P12" s="215"/>
    </row>
    <row r="13" spans="3:16" ht="15">
      <c r="C13" s="1249" t="s">
        <v>212</v>
      </c>
      <c r="D13" s="1250"/>
      <c r="E13" s="1250"/>
      <c r="F13" s="1250"/>
      <c r="G13" s="1250"/>
      <c r="H13" s="1250"/>
      <c r="I13" s="1250"/>
      <c r="J13" s="1250"/>
      <c r="K13" s="1250"/>
      <c r="P13" s="215"/>
    </row>
    <row r="14" spans="3:16">
      <c r="C14" s="117"/>
      <c r="D14" s="117"/>
      <c r="E14" s="256"/>
      <c r="F14" s="117"/>
      <c r="G14" s="117"/>
      <c r="H14" s="117"/>
      <c r="I14" s="117"/>
      <c r="J14" s="901"/>
      <c r="K14" s="117"/>
      <c r="P14" s="215"/>
    </row>
    <row r="15" spans="3:16" ht="13.5" thickBot="1">
      <c r="C15" s="117"/>
      <c r="D15" s="117"/>
      <c r="E15" s="256"/>
      <c r="F15" s="117"/>
      <c r="G15" s="117"/>
      <c r="H15" s="117"/>
      <c r="I15" s="117"/>
      <c r="J15" s="901"/>
      <c r="K15" s="117"/>
      <c r="P15" s="215"/>
    </row>
    <row r="16" spans="3:16" ht="13.5" thickBot="1">
      <c r="C16" s="569" t="s">
        <v>108</v>
      </c>
      <c r="D16" s="570" t="s">
        <v>109</v>
      </c>
      <c r="E16" s="570" t="s">
        <v>110</v>
      </c>
      <c r="F16" s="571" t="s">
        <v>111</v>
      </c>
      <c r="G16" s="572" t="s">
        <v>112</v>
      </c>
      <c r="H16" s="571" t="s">
        <v>113</v>
      </c>
      <c r="I16" s="573" t="s">
        <v>114</v>
      </c>
      <c r="J16" s="902" t="s">
        <v>115</v>
      </c>
      <c r="K16" s="574" t="s">
        <v>116</v>
      </c>
      <c r="M16" s="215"/>
      <c r="P16" s="215"/>
    </row>
    <row r="17" spans="3:16">
      <c r="C17" s="257" t="s">
        <v>117</v>
      </c>
      <c r="D17" s="1251" t="s">
        <v>2299</v>
      </c>
      <c r="E17" s="266"/>
      <c r="F17" s="267"/>
      <c r="G17" s="268"/>
      <c r="H17" s="286"/>
      <c r="I17" s="576"/>
      <c r="J17" s="270"/>
      <c r="K17" s="270"/>
      <c r="P17" s="215"/>
    </row>
    <row r="18" spans="3:16">
      <c r="C18" s="262" t="s">
        <v>150</v>
      </c>
      <c r="D18" s="1252"/>
      <c r="E18" s="263">
        <v>55000</v>
      </c>
      <c r="F18" s="259">
        <v>1</v>
      </c>
      <c r="G18" s="260">
        <f>(E18*(1+H18))-E18</f>
        <v>0</v>
      </c>
      <c r="H18" s="283">
        <v>0</v>
      </c>
      <c r="I18" s="575" t="s">
        <v>162</v>
      </c>
      <c r="J18" s="261">
        <f>ROUND((E18+G18),2)*0</f>
        <v>0</v>
      </c>
      <c r="K18" s="261"/>
      <c r="M18" s="3"/>
      <c r="P18" s="215"/>
    </row>
    <row r="19" spans="3:16">
      <c r="C19" s="265" t="s">
        <v>118</v>
      </c>
      <c r="D19" s="1252"/>
      <c r="E19" s="266"/>
      <c r="F19" s="267"/>
      <c r="G19" s="268"/>
      <c r="H19" s="286"/>
      <c r="I19" s="576"/>
      <c r="J19" s="270"/>
      <c r="K19" s="270"/>
      <c r="M19" s="3"/>
      <c r="P19" s="215"/>
    </row>
    <row r="20" spans="3:16">
      <c r="C20" s="264" t="s">
        <v>151</v>
      </c>
      <c r="D20" s="1252"/>
      <c r="E20" s="258">
        <v>60000</v>
      </c>
      <c r="F20" s="259">
        <v>1</v>
      </c>
      <c r="G20" s="260">
        <f t="shared" ref="G20:G27" si="0">(E20*(1+H20))-E20</f>
        <v>0</v>
      </c>
      <c r="H20" s="283">
        <v>0</v>
      </c>
      <c r="I20" s="575" t="s">
        <v>219</v>
      </c>
      <c r="J20" s="261">
        <f>IF(J11="N/A",0,ROUND((E20+G20)*$J$11/365,2))</f>
        <v>14958.9</v>
      </c>
      <c r="K20" s="261"/>
      <c r="M20" s="3"/>
      <c r="P20" s="215"/>
    </row>
    <row r="21" spans="3:16">
      <c r="C21" s="264" t="s">
        <v>2424</v>
      </c>
      <c r="D21" s="1252"/>
      <c r="E21" s="1083">
        <v>1500</v>
      </c>
      <c r="F21" s="259">
        <v>1</v>
      </c>
      <c r="G21" s="260">
        <v>0</v>
      </c>
      <c r="H21" s="283">
        <v>0</v>
      </c>
      <c r="I21" s="575" t="s">
        <v>1327</v>
      </c>
      <c r="J21" s="261">
        <f>+E21</f>
        <v>1500</v>
      </c>
      <c r="K21" s="261"/>
      <c r="M21" s="3"/>
      <c r="P21" s="215"/>
    </row>
    <row r="22" spans="3:16">
      <c r="C22" s="264" t="s">
        <v>1317</v>
      </c>
      <c r="D22" s="1252"/>
      <c r="E22" s="258">
        <v>50</v>
      </c>
      <c r="F22" s="259">
        <v>1</v>
      </c>
      <c r="G22" s="260">
        <f t="shared" si="0"/>
        <v>0</v>
      </c>
      <c r="H22" s="283">
        <v>0</v>
      </c>
      <c r="I22" s="575" t="s">
        <v>1291</v>
      </c>
      <c r="J22" s="261"/>
      <c r="K22" s="261"/>
      <c r="M22" s="3"/>
      <c r="P22" s="215"/>
    </row>
    <row r="23" spans="3:16">
      <c r="C23" s="274" t="s">
        <v>2426</v>
      </c>
      <c r="D23" s="1252"/>
      <c r="E23" s="258">
        <v>500</v>
      </c>
      <c r="F23" s="283"/>
      <c r="G23" s="1114"/>
      <c r="H23" s="283"/>
      <c r="I23" s="575"/>
      <c r="J23" s="261"/>
      <c r="K23" s="261"/>
      <c r="M23" s="3"/>
      <c r="P23" s="215"/>
    </row>
    <row r="24" spans="3:16">
      <c r="C24" s="264" t="s">
        <v>152</v>
      </c>
      <c r="D24" s="1252"/>
      <c r="E24" s="258">
        <v>0</v>
      </c>
      <c r="F24" s="259">
        <v>1</v>
      </c>
      <c r="G24" s="260">
        <f t="shared" si="0"/>
        <v>0</v>
      </c>
      <c r="H24" s="283">
        <v>0</v>
      </c>
      <c r="I24" s="575" t="s">
        <v>220</v>
      </c>
      <c r="J24" s="261">
        <f t="shared" ref="J24:J33" si="1">ROUND((E24+G24),2)</f>
        <v>0</v>
      </c>
      <c r="K24" s="261"/>
      <c r="M24" s="3"/>
      <c r="P24" s="215"/>
    </row>
    <row r="25" spans="3:16">
      <c r="C25" s="264" t="s">
        <v>153</v>
      </c>
      <c r="D25" s="1252"/>
      <c r="E25" s="258">
        <v>0</v>
      </c>
      <c r="F25" s="259">
        <v>1</v>
      </c>
      <c r="G25" s="260">
        <f t="shared" si="0"/>
        <v>0</v>
      </c>
      <c r="H25" s="283">
        <v>0</v>
      </c>
      <c r="I25" s="575" t="s">
        <v>221</v>
      </c>
      <c r="J25" s="261">
        <f t="shared" si="1"/>
        <v>0</v>
      </c>
      <c r="K25" s="261"/>
      <c r="M25" s="3"/>
      <c r="P25" s="215"/>
    </row>
    <row r="26" spans="3:16">
      <c r="C26" s="264" t="s">
        <v>154</v>
      </c>
      <c r="D26" s="1252"/>
      <c r="E26" s="258">
        <v>0</v>
      </c>
      <c r="F26" s="259">
        <v>1</v>
      </c>
      <c r="G26" s="260">
        <f t="shared" si="0"/>
        <v>0</v>
      </c>
      <c r="H26" s="283">
        <v>0</v>
      </c>
      <c r="I26" s="575" t="s">
        <v>222</v>
      </c>
      <c r="J26" s="261">
        <f t="shared" si="1"/>
        <v>0</v>
      </c>
      <c r="K26" s="261"/>
      <c r="M26" s="3"/>
      <c r="P26" s="215"/>
    </row>
    <row r="27" spans="3:16">
      <c r="C27" s="264" t="s">
        <v>155</v>
      </c>
      <c r="D27" s="1252"/>
      <c r="E27" s="258">
        <v>0</v>
      </c>
      <c r="F27" s="259">
        <v>1</v>
      </c>
      <c r="G27" s="260">
        <f t="shared" si="0"/>
        <v>0</v>
      </c>
      <c r="H27" s="283">
        <v>0</v>
      </c>
      <c r="I27" s="575" t="s">
        <v>159</v>
      </c>
      <c r="J27" s="261">
        <f t="shared" si="1"/>
        <v>0</v>
      </c>
      <c r="K27" s="261"/>
      <c r="M27" s="3"/>
      <c r="P27" s="215"/>
    </row>
    <row r="28" spans="3:16">
      <c r="C28" s="264" t="s">
        <v>156</v>
      </c>
      <c r="D28" s="1252"/>
      <c r="E28" s="258"/>
      <c r="F28" s="259">
        <v>1</v>
      </c>
      <c r="G28" s="260">
        <f t="shared" ref="G28:G36" si="2">(E28*(1+H28))-E28</f>
        <v>0</v>
      </c>
      <c r="H28" s="283">
        <v>0</v>
      </c>
      <c r="I28" s="575" t="s">
        <v>223</v>
      </c>
      <c r="J28" s="261">
        <f t="shared" si="1"/>
        <v>0</v>
      </c>
      <c r="K28" s="261"/>
      <c r="P28" s="215"/>
    </row>
    <row r="29" spans="3:16">
      <c r="C29" s="264" t="s">
        <v>167</v>
      </c>
      <c r="D29" s="1252"/>
      <c r="E29" s="258">
        <v>15000</v>
      </c>
      <c r="F29" s="259">
        <v>1</v>
      </c>
      <c r="G29" s="260">
        <f t="shared" si="2"/>
        <v>0</v>
      </c>
      <c r="H29" s="283">
        <v>0</v>
      </c>
      <c r="I29" s="575" t="s">
        <v>224</v>
      </c>
      <c r="J29" s="261">
        <f>ROUND((E29+G29),2)*0</f>
        <v>0</v>
      </c>
      <c r="K29" s="261"/>
      <c r="P29" s="215"/>
    </row>
    <row r="30" spans="3:16">
      <c r="C30" s="264" t="s">
        <v>168</v>
      </c>
      <c r="D30" s="1252"/>
      <c r="E30" s="258">
        <v>10000</v>
      </c>
      <c r="F30" s="259">
        <v>1</v>
      </c>
      <c r="G30" s="260">
        <f t="shared" si="2"/>
        <v>0</v>
      </c>
      <c r="H30" s="283">
        <v>0</v>
      </c>
      <c r="I30" s="575" t="s">
        <v>224</v>
      </c>
      <c r="J30" s="261">
        <f>ROUND((E30+G30),2)*0</f>
        <v>0</v>
      </c>
      <c r="K30" s="261"/>
      <c r="P30" s="215"/>
    </row>
    <row r="31" spans="3:16">
      <c r="C31" s="264" t="s">
        <v>169</v>
      </c>
      <c r="D31" s="1252"/>
      <c r="E31" s="258">
        <v>8000</v>
      </c>
      <c r="F31" s="259">
        <v>1</v>
      </c>
      <c r="G31" s="260">
        <f t="shared" si="2"/>
        <v>0</v>
      </c>
      <c r="H31" s="283">
        <v>0</v>
      </c>
      <c r="I31" s="575" t="s">
        <v>224</v>
      </c>
      <c r="J31" s="261">
        <f>ROUND((E31+G31),2)*0</f>
        <v>0</v>
      </c>
      <c r="K31" s="261"/>
      <c r="P31" s="215"/>
    </row>
    <row r="32" spans="3:16">
      <c r="C32" s="264" t="s">
        <v>157</v>
      </c>
      <c r="D32" s="1252"/>
      <c r="E32" s="258">
        <v>0</v>
      </c>
      <c r="F32" s="259">
        <v>1</v>
      </c>
      <c r="G32" s="260">
        <f t="shared" si="2"/>
        <v>0</v>
      </c>
      <c r="H32" s="283">
        <v>0</v>
      </c>
      <c r="I32" s="575" t="s">
        <v>225</v>
      </c>
      <c r="J32" s="261">
        <f t="shared" si="1"/>
        <v>0</v>
      </c>
      <c r="K32" s="261"/>
      <c r="P32" s="215"/>
    </row>
    <row r="33" spans="3:16">
      <c r="C33" s="264" t="s">
        <v>158</v>
      </c>
      <c r="D33" s="1252"/>
      <c r="E33" s="258">
        <v>0</v>
      </c>
      <c r="F33" s="259">
        <v>1</v>
      </c>
      <c r="G33" s="260">
        <f t="shared" si="2"/>
        <v>0</v>
      </c>
      <c r="H33" s="283">
        <v>0</v>
      </c>
      <c r="I33" s="575" t="s">
        <v>225</v>
      </c>
      <c r="J33" s="261">
        <f t="shared" si="1"/>
        <v>0</v>
      </c>
      <c r="K33" s="261"/>
      <c r="P33" s="215"/>
    </row>
    <row r="34" spans="3:16">
      <c r="C34" s="264" t="s">
        <v>1293</v>
      </c>
      <c r="D34" s="1252"/>
      <c r="E34" s="258">
        <v>1000</v>
      </c>
      <c r="F34" s="259">
        <v>1</v>
      </c>
      <c r="G34" s="260">
        <f t="shared" si="2"/>
        <v>0</v>
      </c>
      <c r="H34" s="283">
        <v>0</v>
      </c>
      <c r="I34" s="575" t="s">
        <v>226</v>
      </c>
      <c r="J34" s="261">
        <f>ROUND((E34+G34),2)</f>
        <v>1000</v>
      </c>
      <c r="K34" s="261"/>
      <c r="P34" s="215"/>
    </row>
    <row r="35" spans="3:16">
      <c r="C35" s="265" t="s">
        <v>119</v>
      </c>
      <c r="D35" s="1252"/>
      <c r="E35" s="266"/>
      <c r="F35" s="267"/>
      <c r="G35" s="268"/>
      <c r="H35" s="286"/>
      <c r="I35" s="269"/>
      <c r="J35" s="270"/>
      <c r="K35" s="270"/>
      <c r="P35" s="215"/>
    </row>
    <row r="36" spans="3:16">
      <c r="C36" s="271" t="s">
        <v>160</v>
      </c>
      <c r="D36" s="1252"/>
      <c r="E36" s="287">
        <v>721085300</v>
      </c>
      <c r="F36" s="272">
        <v>7.9999999999999996E-6</v>
      </c>
      <c r="G36" s="260">
        <f t="shared" si="2"/>
        <v>0</v>
      </c>
      <c r="H36" s="283">
        <v>0</v>
      </c>
      <c r="I36" s="575" t="s">
        <v>1318</v>
      </c>
      <c r="J36" s="261">
        <f>ROUND((E36*F36),2)</f>
        <v>5768.68</v>
      </c>
      <c r="K36" s="261"/>
      <c r="P36" s="215"/>
    </row>
    <row r="37" spans="3:16">
      <c r="C37" s="273" t="s">
        <v>120</v>
      </c>
      <c r="D37" s="1247" t="s">
        <v>723</v>
      </c>
      <c r="E37" s="266"/>
      <c r="F37" s="267"/>
      <c r="G37" s="268"/>
      <c r="H37" s="286"/>
      <c r="I37" s="269"/>
      <c r="J37" s="270"/>
      <c r="K37" s="270"/>
      <c r="P37" s="215"/>
    </row>
    <row r="38" spans="3:16" ht="12.75" customHeight="1">
      <c r="C38" s="274" t="s">
        <v>711</v>
      </c>
      <c r="D38" s="1248"/>
      <c r="E38" s="275">
        <v>25000</v>
      </c>
      <c r="F38" s="259">
        <v>1</v>
      </c>
      <c r="G38" s="260">
        <f t="shared" ref="G38:G44" si="3">(E38*(1+H38))-E38</f>
        <v>5000</v>
      </c>
      <c r="H38" s="283">
        <v>0.2</v>
      </c>
      <c r="I38" s="575" t="s">
        <v>162</v>
      </c>
      <c r="J38" s="261">
        <f>ROUND((E38+G38),2)*0</f>
        <v>0</v>
      </c>
      <c r="K38" s="261"/>
      <c r="P38" s="215"/>
    </row>
    <row r="39" spans="3:16">
      <c r="C39" s="274" t="s">
        <v>161</v>
      </c>
      <c r="D39" s="1248"/>
      <c r="E39" s="275">
        <v>23000</v>
      </c>
      <c r="F39" s="259">
        <v>1</v>
      </c>
      <c r="G39" s="260">
        <f t="shared" si="3"/>
        <v>4600</v>
      </c>
      <c r="H39" s="259">
        <v>0.2</v>
      </c>
      <c r="I39" s="575" t="s">
        <v>712</v>
      </c>
      <c r="J39" s="261">
        <f>IF(J11="N/A",0,ROUND((E39+G39)*J11/365,2))</f>
        <v>6881.1</v>
      </c>
      <c r="K39" s="261"/>
      <c r="P39" s="215"/>
    </row>
    <row r="40" spans="3:16">
      <c r="C40" s="274" t="s">
        <v>1325</v>
      </c>
      <c r="D40" s="1248"/>
      <c r="E40" s="275">
        <f>'03 - Monthly Asset Follow up'!C19</f>
        <v>758870860.54000068</v>
      </c>
      <c r="F40" s="259">
        <v>1</v>
      </c>
      <c r="G40" s="260">
        <f>J40/6</f>
        <v>498.63000000000005</v>
      </c>
      <c r="H40" s="259">
        <v>0.2</v>
      </c>
      <c r="I40" s="575" t="s">
        <v>712</v>
      </c>
      <c r="J40" s="261">
        <f>IF(J11="N/A",0,ROUND((MIN(E40,250000000)*0.004%*1.2)*J11/365,2))</f>
        <v>2991.78</v>
      </c>
      <c r="K40" s="261"/>
      <c r="P40" s="215"/>
    </row>
    <row r="41" spans="3:16">
      <c r="C41" s="274" t="s">
        <v>1324</v>
      </c>
      <c r="D41" s="1248"/>
      <c r="E41" s="275">
        <f>E40</f>
        <v>758870860.54000068</v>
      </c>
      <c r="F41" s="259">
        <v>1</v>
      </c>
      <c r="G41" s="260">
        <f>J41/6</f>
        <v>507.47666666666669</v>
      </c>
      <c r="H41" s="259">
        <v>0.2</v>
      </c>
      <c r="I41" s="575" t="s">
        <v>712</v>
      </c>
      <c r="J41" s="261">
        <f>IF(J11="N/A",0,ROUND((IF(E41&lt;250000000,0,(E41-250000000)*0.002%)*J11/365)*1.2,2))</f>
        <v>3044.86</v>
      </c>
      <c r="K41" s="261"/>
      <c r="P41" s="215"/>
    </row>
    <row r="42" spans="3:16">
      <c r="C42" s="274" t="s">
        <v>1332</v>
      </c>
      <c r="D42" s="1248"/>
      <c r="E42" s="258">
        <v>5000</v>
      </c>
      <c r="F42" s="259">
        <v>1</v>
      </c>
      <c r="G42" s="260">
        <f t="shared" si="3"/>
        <v>1000</v>
      </c>
      <c r="H42" s="259">
        <v>0.2</v>
      </c>
      <c r="I42" s="575" t="s">
        <v>713</v>
      </c>
      <c r="J42" s="261">
        <v>0</v>
      </c>
      <c r="K42" s="261"/>
    </row>
    <row r="43" spans="3:16">
      <c r="C43" s="274" t="s">
        <v>1333</v>
      </c>
      <c r="D43" s="1248"/>
      <c r="E43" s="258">
        <v>900</v>
      </c>
      <c r="F43" s="259">
        <v>1</v>
      </c>
      <c r="G43" s="260">
        <f t="shared" si="3"/>
        <v>180</v>
      </c>
      <c r="H43" s="259">
        <v>0.2</v>
      </c>
      <c r="I43" s="575" t="s">
        <v>1326</v>
      </c>
      <c r="J43" s="1085">
        <f>IF('17 - Calendar'!D9=6,E43+G43,0)</f>
        <v>0</v>
      </c>
      <c r="K43" s="261"/>
    </row>
    <row r="44" spans="3:16">
      <c r="C44" s="274" t="s">
        <v>1334</v>
      </c>
      <c r="D44" s="340"/>
      <c r="E44" s="258">
        <v>10000</v>
      </c>
      <c r="F44" s="259">
        <v>1</v>
      </c>
      <c r="G44" s="260">
        <f t="shared" si="3"/>
        <v>2000</v>
      </c>
      <c r="H44" s="259">
        <v>0.2</v>
      </c>
      <c r="I44" s="575" t="s">
        <v>1327</v>
      </c>
      <c r="J44" s="261">
        <v>0</v>
      </c>
      <c r="K44" s="261"/>
    </row>
    <row r="45" spans="3:16">
      <c r="C45" s="274" t="s">
        <v>1335</v>
      </c>
      <c r="D45" s="340"/>
      <c r="E45" s="258">
        <v>1000</v>
      </c>
      <c r="F45" s="259">
        <v>1</v>
      </c>
      <c r="G45" s="260">
        <f>(E45*(1+H45))-E45</f>
        <v>200</v>
      </c>
      <c r="H45" s="259">
        <v>0.2</v>
      </c>
      <c r="I45" s="575" t="s">
        <v>1327</v>
      </c>
      <c r="J45" s="261">
        <v>0</v>
      </c>
      <c r="K45" s="261"/>
    </row>
    <row r="46" spans="3:16" ht="25.5">
      <c r="C46" s="865" t="s">
        <v>1336</v>
      </c>
      <c r="D46" s="340"/>
      <c r="E46" s="258">
        <v>15000</v>
      </c>
      <c r="F46" s="259">
        <v>1</v>
      </c>
      <c r="G46" s="260">
        <f>(E46*(1+H46))-E46</f>
        <v>3000</v>
      </c>
      <c r="H46" s="259">
        <v>0.2</v>
      </c>
      <c r="I46" s="575" t="s">
        <v>1327</v>
      </c>
      <c r="J46" s="261">
        <v>0</v>
      </c>
      <c r="K46" s="261"/>
    </row>
    <row r="47" spans="3:16" ht="38.25">
      <c r="C47" s="865" t="s">
        <v>1337</v>
      </c>
      <c r="D47" s="340"/>
      <c r="E47" s="258">
        <v>0</v>
      </c>
      <c r="F47" s="259">
        <v>1</v>
      </c>
      <c r="G47" s="260">
        <f>(E47*(1+H47))-E47</f>
        <v>0</v>
      </c>
      <c r="H47" s="259">
        <v>0.2</v>
      </c>
      <c r="I47" s="575" t="s">
        <v>1327</v>
      </c>
      <c r="J47" s="261">
        <v>0</v>
      </c>
      <c r="K47" s="261"/>
    </row>
    <row r="48" spans="3:16" ht="51">
      <c r="C48" s="865" t="s">
        <v>1328</v>
      </c>
      <c r="D48" s="340"/>
      <c r="E48" s="258">
        <v>0</v>
      </c>
      <c r="F48" s="259">
        <v>1</v>
      </c>
      <c r="G48" s="260">
        <f>(E48*(1+H48))-E48</f>
        <v>0</v>
      </c>
      <c r="H48" s="259">
        <v>0.2</v>
      </c>
      <c r="I48" s="575" t="s">
        <v>712</v>
      </c>
      <c r="J48" s="261">
        <f>IF(J11="N/A",0,ROUND((E48+G48),2)*$J$11/366)</f>
        <v>0</v>
      </c>
      <c r="K48" s="261"/>
    </row>
    <row r="49" spans="3:16">
      <c r="C49" s="265" t="s">
        <v>1341</v>
      </c>
      <c r="D49" s="340"/>
      <c r="E49" s="266"/>
      <c r="F49" s="267"/>
      <c r="G49" s="268"/>
      <c r="H49" s="286"/>
      <c r="I49" s="576"/>
      <c r="J49" s="270"/>
      <c r="K49" s="270"/>
    </row>
    <row r="50" spans="3:16">
      <c r="C50" s="865" t="s">
        <v>1342</v>
      </c>
      <c r="D50" s="340"/>
      <c r="E50" s="258">
        <v>2000</v>
      </c>
      <c r="F50" s="259">
        <v>1</v>
      </c>
      <c r="G50" s="260">
        <f>(E50*(1+H50))-E50</f>
        <v>400</v>
      </c>
      <c r="H50" s="259">
        <v>0.2</v>
      </c>
      <c r="I50" s="575" t="s">
        <v>712</v>
      </c>
      <c r="J50" s="261">
        <f>IF(J11="N/A",0,ROUND((E50+G50),2)*$J$11/365)</f>
        <v>598.35616438356169</v>
      </c>
      <c r="K50" s="261"/>
    </row>
    <row r="51" spans="3:16">
      <c r="C51" s="265" t="s">
        <v>1343</v>
      </c>
      <c r="D51" s="340"/>
      <c r="E51" s="266"/>
      <c r="F51" s="267"/>
      <c r="G51" s="268"/>
      <c r="H51" s="286"/>
      <c r="I51" s="576"/>
      <c r="J51" s="270"/>
      <c r="K51" s="270"/>
    </row>
    <row r="52" spans="3:16">
      <c r="C52" s="865" t="s">
        <v>1345</v>
      </c>
      <c r="D52" s="340"/>
      <c r="E52" s="258">
        <v>350</v>
      </c>
      <c r="F52" s="259">
        <v>1</v>
      </c>
      <c r="G52" s="260">
        <f>(E52*(1+H52))-E52</f>
        <v>70</v>
      </c>
      <c r="H52" s="259">
        <v>0.2</v>
      </c>
      <c r="I52" s="575" t="s">
        <v>712</v>
      </c>
      <c r="J52" s="261">
        <f>ROUND((E52+G52),2)</f>
        <v>420</v>
      </c>
      <c r="K52" s="261"/>
    </row>
    <row r="53" spans="3:16">
      <c r="C53" s="865" t="s">
        <v>1346</v>
      </c>
      <c r="D53" s="340"/>
      <c r="E53" s="258">
        <v>250</v>
      </c>
      <c r="F53" s="259">
        <v>1</v>
      </c>
      <c r="G53" s="260">
        <f>(E53*(1+H53))-E53</f>
        <v>50</v>
      </c>
      <c r="H53" s="259">
        <v>0.2</v>
      </c>
      <c r="I53" s="575" t="s">
        <v>712</v>
      </c>
      <c r="J53" s="261">
        <f>ROUND((E53+G53),2)</f>
        <v>300</v>
      </c>
      <c r="K53" s="261"/>
    </row>
    <row r="54" spans="3:16">
      <c r="C54" s="865" t="s">
        <v>1347</v>
      </c>
      <c r="D54" s="340"/>
      <c r="E54" s="258">
        <v>350</v>
      </c>
      <c r="F54" s="259">
        <v>1</v>
      </c>
      <c r="G54" s="260">
        <f>(E54*(1+H54))-E54</f>
        <v>70</v>
      </c>
      <c r="H54" s="259">
        <v>0.2</v>
      </c>
      <c r="I54" s="575" t="s">
        <v>712</v>
      </c>
      <c r="J54" s="261">
        <f>ROUND((E54+G54),2)</f>
        <v>420</v>
      </c>
      <c r="K54" s="261"/>
    </row>
    <row r="55" spans="3:16">
      <c r="C55" s="865" t="s">
        <v>1348</v>
      </c>
      <c r="D55" s="340"/>
      <c r="E55" s="258">
        <v>250</v>
      </c>
      <c r="F55" s="259">
        <v>1</v>
      </c>
      <c r="G55" s="260">
        <f>(E55*(1+H55))-E55</f>
        <v>50</v>
      </c>
      <c r="H55" s="259">
        <v>0.2</v>
      </c>
      <c r="I55" s="575" t="s">
        <v>712</v>
      </c>
      <c r="J55" s="261">
        <f>ROUND((E55+G55),2)</f>
        <v>300</v>
      </c>
      <c r="K55" s="261"/>
    </row>
    <row r="56" spans="3:16">
      <c r="C56" s="265" t="s">
        <v>1344</v>
      </c>
      <c r="D56" s="340"/>
      <c r="E56" s="258"/>
      <c r="F56" s="259"/>
      <c r="G56" s="866"/>
      <c r="H56" s="259"/>
      <c r="I56" s="575"/>
      <c r="J56" s="261"/>
      <c r="K56" s="261"/>
    </row>
    <row r="57" spans="3:16">
      <c r="C57" s="865" t="s">
        <v>1342</v>
      </c>
      <c r="D57" s="340"/>
      <c r="E57" s="258">
        <v>1500</v>
      </c>
      <c r="F57" s="259">
        <v>1</v>
      </c>
      <c r="G57" s="260">
        <f>(E57*(1+H57))-E57</f>
        <v>300</v>
      </c>
      <c r="H57" s="259">
        <v>0.2</v>
      </c>
      <c r="I57" s="575" t="s">
        <v>712</v>
      </c>
      <c r="J57" s="261">
        <f>IF(J11="N/A",0,ROUND((E57+G57),2)*J11/365)</f>
        <v>448.76712328767121</v>
      </c>
      <c r="K57" s="261"/>
    </row>
    <row r="58" spans="3:16">
      <c r="C58" s="265" t="s">
        <v>703</v>
      </c>
      <c r="D58" s="1253" t="s">
        <v>723</v>
      </c>
      <c r="E58" s="266"/>
      <c r="F58" s="267"/>
      <c r="G58" s="268"/>
      <c r="H58" s="286"/>
      <c r="I58" s="576"/>
      <c r="J58" s="270"/>
      <c r="K58" s="270"/>
      <c r="P58" s="215"/>
    </row>
    <row r="59" spans="3:16">
      <c r="C59" s="271" t="s">
        <v>1292</v>
      </c>
      <c r="D59" s="1254"/>
      <c r="E59" s="258">
        <v>1000</v>
      </c>
      <c r="F59" s="272">
        <v>7.9999999999999996E-6</v>
      </c>
      <c r="G59" s="260">
        <f>(E59*(1+H59))-E59</f>
        <v>200</v>
      </c>
      <c r="H59" s="283">
        <v>0.2</v>
      </c>
      <c r="I59" s="575" t="s">
        <v>1290</v>
      </c>
      <c r="J59" s="261">
        <v>0</v>
      </c>
      <c r="K59" s="261"/>
      <c r="P59" s="215"/>
    </row>
    <row r="60" spans="3:16">
      <c r="C60" s="271" t="s">
        <v>1289</v>
      </c>
      <c r="D60" s="1254"/>
      <c r="E60" s="258">
        <v>1000</v>
      </c>
      <c r="F60" s="272">
        <v>1</v>
      </c>
      <c r="G60" s="260">
        <f>(E60*(1+H60))-E60</f>
        <v>200</v>
      </c>
      <c r="H60" s="283">
        <v>0.2</v>
      </c>
      <c r="I60" s="575" t="s">
        <v>712</v>
      </c>
      <c r="J60" s="261">
        <f>IF(J11="N/A",0,ROUND((E60+G60),2)*J11/365)</f>
        <v>299.17808219178085</v>
      </c>
      <c r="K60" s="261"/>
      <c r="P60" s="215"/>
    </row>
    <row r="61" spans="3:16">
      <c r="C61" s="271" t="s">
        <v>1330</v>
      </c>
      <c r="D61" s="1255"/>
      <c r="E61" s="258">
        <v>1000</v>
      </c>
      <c r="F61" s="272">
        <v>1</v>
      </c>
      <c r="G61" s="260">
        <f>(E61*(1+H61))-E61</f>
        <v>200</v>
      </c>
      <c r="H61" s="283">
        <v>0.2</v>
      </c>
      <c r="I61" s="575" t="s">
        <v>1329</v>
      </c>
      <c r="J61" s="1102">
        <f>ROUND((E61+G61),2)*0</f>
        <v>0</v>
      </c>
      <c r="K61" s="261"/>
      <c r="P61" s="215"/>
    </row>
    <row r="62" spans="3:16">
      <c r="C62" s="273" t="s">
        <v>164</v>
      </c>
      <c r="D62" s="1247" t="s">
        <v>248</v>
      </c>
      <c r="E62" s="266"/>
      <c r="F62" s="267"/>
      <c r="G62" s="268"/>
      <c r="H62" s="286"/>
      <c r="I62" s="576"/>
      <c r="J62" s="270"/>
      <c r="K62" s="270"/>
    </row>
    <row r="63" spans="3:16" ht="41.45" customHeight="1">
      <c r="C63" s="865" t="s">
        <v>1338</v>
      </c>
      <c r="D63" s="1248"/>
      <c r="E63" s="1035" cm="1">
        <f t="array" ref="E63">F63*AVERAGE('08 - Delinquent Home Loans Stat'!L12:L14+'08 - Delinquent Home Loans Stat'!M12:M14)/4</f>
        <v>1783.0335899999998</v>
      </c>
      <c r="F63" s="259">
        <v>2E-3</v>
      </c>
      <c r="G63" s="260">
        <f>IFERROR(E63*F63/12*H63,0)</f>
        <v>0</v>
      </c>
      <c r="H63" s="283">
        <v>0</v>
      </c>
      <c r="I63" s="575" t="s">
        <v>712</v>
      </c>
      <c r="J63" s="828">
        <f>IFERROR(ROUND((E63+G63),2),0)</f>
        <v>1783.03</v>
      </c>
      <c r="K63" s="261"/>
    </row>
    <row r="64" spans="3:16" ht="45" customHeight="1">
      <c r="C64" s="865" t="s">
        <v>1339</v>
      </c>
      <c r="D64" s="1248"/>
      <c r="E64" s="275" cm="1">
        <f t="array" ref="E64">F64*AVERAGE('08 - Delinquent Home Loans Stat'!N12:N14+'08 - Delinquent Home Loans Stat'!O12:O14)/4</f>
        <v>90.677593333333334</v>
      </c>
      <c r="F64" s="259">
        <v>2E-3</v>
      </c>
      <c r="G64" s="260">
        <f>IFERROR(E64*H64,0)</f>
        <v>18.135518666666666</v>
      </c>
      <c r="H64" s="283">
        <v>0.2</v>
      </c>
      <c r="I64" s="575" t="s">
        <v>712</v>
      </c>
      <c r="J64" s="828">
        <f>IFERROR(ROUND((E64+G64),2),0)</f>
        <v>108.81</v>
      </c>
      <c r="K64" s="261"/>
    </row>
    <row r="65" spans="3:13">
      <c r="C65" s="273" t="s">
        <v>1295</v>
      </c>
      <c r="D65" s="1247" t="s">
        <v>1296</v>
      </c>
      <c r="E65" s="266"/>
      <c r="F65" s="267"/>
      <c r="G65" s="268"/>
      <c r="H65" s="286"/>
      <c r="I65" s="576"/>
      <c r="J65" s="270"/>
      <c r="K65" s="270"/>
    </row>
    <row r="66" spans="3:13">
      <c r="C66" s="274" t="s">
        <v>1298</v>
      </c>
      <c r="D66" s="1248"/>
      <c r="E66" s="275">
        <v>2500</v>
      </c>
      <c r="F66" s="283">
        <v>1</v>
      </c>
      <c r="G66" s="260">
        <f>E66*F66/12*H66</f>
        <v>41.666666666666671</v>
      </c>
      <c r="H66" s="259">
        <v>0.2</v>
      </c>
      <c r="I66" s="575" t="s">
        <v>227</v>
      </c>
      <c r="J66" s="828">
        <f>ROUND((E66+G66),2)*0</f>
        <v>0</v>
      </c>
      <c r="K66" s="261"/>
    </row>
    <row r="67" spans="3:13">
      <c r="C67" s="274" t="s">
        <v>1297</v>
      </c>
      <c r="D67" s="1248"/>
      <c r="E67" s="275">
        <v>6606</v>
      </c>
      <c r="F67" s="283">
        <v>1</v>
      </c>
      <c r="G67" s="260">
        <f>E67*F67*H67</f>
        <v>1321.2</v>
      </c>
      <c r="H67" s="259">
        <v>0.2</v>
      </c>
      <c r="I67" s="575" t="s">
        <v>227</v>
      </c>
      <c r="J67" s="828">
        <f>ROUND((E67+G67),2)*0</f>
        <v>0</v>
      </c>
      <c r="K67" s="261"/>
    </row>
    <row r="68" spans="3:13">
      <c r="C68" s="274" t="s">
        <v>1349</v>
      </c>
      <c r="D68" s="1256"/>
      <c r="E68" s="275">
        <v>275</v>
      </c>
      <c r="F68" s="283">
        <v>1</v>
      </c>
      <c r="G68" s="260">
        <f>E68*F68*H68</f>
        <v>55</v>
      </c>
      <c r="H68" s="259">
        <v>0.2</v>
      </c>
      <c r="I68" s="575" t="s">
        <v>227</v>
      </c>
      <c r="J68" s="828">
        <f>ROUND((E68+G68),2)*0</f>
        <v>0</v>
      </c>
      <c r="K68" s="261"/>
    </row>
    <row r="69" spans="3:13">
      <c r="C69" s="273" t="s">
        <v>1350</v>
      </c>
      <c r="D69" s="1247" t="s">
        <v>1350</v>
      </c>
      <c r="E69" s="266"/>
      <c r="F69" s="267"/>
      <c r="G69" s="268"/>
      <c r="H69" s="286"/>
      <c r="I69" s="576"/>
      <c r="J69" s="270"/>
      <c r="K69" s="270"/>
    </row>
    <row r="70" spans="3:13">
      <c r="C70" s="274" t="s">
        <v>1351</v>
      </c>
      <c r="D70" s="1256"/>
      <c r="E70" s="275">
        <v>20000</v>
      </c>
      <c r="F70" s="283">
        <v>0</v>
      </c>
      <c r="G70" s="260">
        <f>E70*F70*H70</f>
        <v>0</v>
      </c>
      <c r="H70" s="259">
        <v>0.2</v>
      </c>
      <c r="I70" s="575" t="s">
        <v>227</v>
      </c>
      <c r="J70" s="828">
        <f>ROUND((E70+G70),2)*F70</f>
        <v>0</v>
      </c>
      <c r="K70" s="261"/>
    </row>
    <row r="71" spans="3:13">
      <c r="C71" s="273" t="s">
        <v>684</v>
      </c>
      <c r="D71" s="1247" t="s">
        <v>1294</v>
      </c>
      <c r="E71" s="266"/>
      <c r="F71" s="267"/>
      <c r="G71" s="268"/>
      <c r="H71" s="286"/>
      <c r="I71" s="576"/>
      <c r="J71" s="270"/>
      <c r="K71" s="270"/>
    </row>
    <row r="72" spans="3:13">
      <c r="C72" s="274" t="s">
        <v>1340</v>
      </c>
      <c r="D72" s="1248"/>
      <c r="E72" s="275">
        <f>IF('17 - Calendar'!D9&lt;=4,53500,IF('17 - Calendar'!D9&lt;=8,54500,IF('17 - Calendar'!D9&lt;=12,55750,IF('17 - Calendar'!D9&lt;=16,57000,IF('17 - Calendar'!D9&lt;=20,58250,IF('17 - Calendar'!D9&lt;=24,59500,IF('17 - Calendar'!D9&lt;=28,61000,0)))))))</f>
        <v>54500</v>
      </c>
      <c r="F72" s="259">
        <v>0</v>
      </c>
      <c r="G72" s="260">
        <f>E72*F72*H72</f>
        <v>0</v>
      </c>
      <c r="H72" s="259">
        <v>0.2</v>
      </c>
      <c r="I72" s="575" t="s">
        <v>227</v>
      </c>
      <c r="J72" s="261">
        <v>0</v>
      </c>
      <c r="K72" s="261"/>
    </row>
    <row r="73" spans="3:13" ht="12.6" customHeight="1">
      <c r="C73" s="278" t="s">
        <v>121</v>
      </c>
      <c r="D73" s="1247" t="s">
        <v>166</v>
      </c>
      <c r="E73" s="266"/>
      <c r="F73" s="267"/>
      <c r="G73" s="276"/>
      <c r="H73" s="286"/>
      <c r="I73" s="576"/>
      <c r="J73" s="270"/>
      <c r="K73" s="270"/>
    </row>
    <row r="74" spans="3:13">
      <c r="C74" s="264" t="s">
        <v>163</v>
      </c>
      <c r="D74" s="1248"/>
      <c r="E74" s="277">
        <v>4094</v>
      </c>
      <c r="F74" s="259">
        <v>1</v>
      </c>
      <c r="G74" s="260">
        <f>(E74*(1+H74))-E74</f>
        <v>818.80000000000018</v>
      </c>
      <c r="H74" s="259">
        <v>0.2</v>
      </c>
      <c r="I74" s="575" t="s">
        <v>227</v>
      </c>
      <c r="J74" s="1102">
        <f>ROUND((E74+G74),2)*0</f>
        <v>0</v>
      </c>
      <c r="K74" s="261"/>
    </row>
    <row r="75" spans="3:13" ht="13.5" thickBot="1">
      <c r="C75" s="285" t="s">
        <v>161</v>
      </c>
      <c r="D75" s="1248"/>
      <c r="E75" s="277">
        <v>7950</v>
      </c>
      <c r="F75" s="259">
        <v>1</v>
      </c>
      <c r="G75" s="260">
        <f>(E75*(1+H75))-E75</f>
        <v>1590</v>
      </c>
      <c r="H75" s="259">
        <v>0.2</v>
      </c>
      <c r="I75" s="575" t="s">
        <v>227</v>
      </c>
      <c r="J75" s="261"/>
      <c r="K75" s="261"/>
    </row>
    <row r="76" spans="3:13" ht="15.75" thickBot="1">
      <c r="C76" s="577" t="s">
        <v>122</v>
      </c>
      <c r="D76" s="279"/>
      <c r="E76" s="280"/>
      <c r="F76" s="281"/>
      <c r="G76" s="281"/>
      <c r="H76" s="281"/>
      <c r="I76" s="281"/>
      <c r="J76" s="282">
        <f>IF(J11="N/A",0,SUM(J17:J75))</f>
        <v>40823.461369863013</v>
      </c>
      <c r="K76" s="282"/>
    </row>
    <row r="77" spans="3:13">
      <c r="M77" s="3"/>
    </row>
    <row r="78" spans="3:13">
      <c r="E78" s="364"/>
      <c r="F78" s="365"/>
      <c r="M78" s="3"/>
    </row>
    <row r="82" spans="9:9">
      <c r="I82" s="358"/>
    </row>
    <row r="83" spans="9:9">
      <c r="I83" s="358"/>
    </row>
  </sheetData>
  <mergeCells count="10">
    <mergeCell ref="I8:J8"/>
    <mergeCell ref="D73:D75"/>
    <mergeCell ref="C13:K13"/>
    <mergeCell ref="D17:D36"/>
    <mergeCell ref="D37:D43"/>
    <mergeCell ref="D62:D64"/>
    <mergeCell ref="D71:D72"/>
    <mergeCell ref="D58:D61"/>
    <mergeCell ref="D65:D68"/>
    <mergeCell ref="D69:D70"/>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P95"/>
  <sheetViews>
    <sheetView showGridLines="0" zoomScale="80" zoomScaleNormal="80" workbookViewId="0">
      <selection activeCell="I45" sqref="I45:I56"/>
    </sheetView>
  </sheetViews>
  <sheetFormatPr defaultColWidth="11.42578125" defaultRowHeight="15" outlineLevelRow="1"/>
  <cols>
    <col min="1" max="1" width="1.85546875" style="105" customWidth="1"/>
    <col min="2" max="2" width="2.85546875" style="105" customWidth="1"/>
    <col min="3" max="3" width="5" style="105" customWidth="1"/>
    <col min="4" max="4" width="7.42578125" style="105" customWidth="1"/>
    <col min="5" max="5" width="8.140625" style="105" customWidth="1"/>
    <col min="6" max="6" width="11.42578125" style="105"/>
    <col min="7" max="7" width="34.42578125" style="105" customWidth="1"/>
    <col min="8" max="8" width="75" style="105" customWidth="1"/>
    <col min="9" max="9" width="19.5703125" style="105" customWidth="1"/>
    <col min="10" max="10" width="60.7109375" style="105" customWidth="1"/>
    <col min="11" max="11" width="18" style="105" customWidth="1"/>
    <col min="12" max="12" width="20" style="105" customWidth="1"/>
    <col min="13" max="14" width="19" style="105" bestFit="1" customWidth="1"/>
    <col min="15" max="15" width="28.85546875" style="105" customWidth="1"/>
    <col min="16" max="16" width="11.42578125" style="105"/>
    <col min="17" max="17" width="4.5703125" style="105" customWidth="1"/>
    <col min="18" max="16384" width="11.42578125" style="105"/>
  </cols>
  <sheetData>
    <row r="1" spans="1:16">
      <c r="A1" s="104"/>
      <c r="B1" s="104"/>
      <c r="C1" s="104"/>
      <c r="D1" s="104"/>
      <c r="E1" s="104"/>
      <c r="F1" s="104"/>
      <c r="G1" s="104"/>
      <c r="H1" s="104"/>
      <c r="I1" s="104"/>
      <c r="J1" s="104"/>
      <c r="K1" s="104"/>
      <c r="L1" s="104"/>
      <c r="M1" s="104"/>
    </row>
    <row r="2" spans="1:16">
      <c r="A2" s="106"/>
      <c r="B2" s="104"/>
      <c r="C2" s="106"/>
      <c r="D2" s="106"/>
      <c r="E2" s="106"/>
      <c r="F2" s="106"/>
      <c r="G2" s="106"/>
      <c r="H2" s="106"/>
      <c r="I2" s="106"/>
      <c r="J2" s="106"/>
      <c r="K2" s="106"/>
      <c r="L2" s="106"/>
      <c r="M2" s="106"/>
    </row>
    <row r="3" spans="1:16">
      <c r="A3" s="106"/>
      <c r="B3" s="104"/>
      <c r="C3" s="106"/>
      <c r="D3" s="106"/>
      <c r="E3" s="106"/>
      <c r="F3" s="1138"/>
      <c r="G3" s="1138"/>
      <c r="H3" s="1138"/>
      <c r="I3" s="106"/>
      <c r="J3" s="333"/>
      <c r="K3" s="788" t="s">
        <v>651</v>
      </c>
      <c r="L3" s="788">
        <f>'00 - Cover'!F14</f>
        <v>46219</v>
      </c>
    </row>
    <row r="4" spans="1:16">
      <c r="A4" s="106"/>
      <c r="B4" s="104"/>
      <c r="C4" s="106"/>
      <c r="D4" s="106"/>
      <c r="E4" s="106"/>
      <c r="F4" s="1138"/>
      <c r="G4" s="1138"/>
      <c r="H4" s="1138"/>
      <c r="I4" s="106"/>
      <c r="J4" s="333"/>
      <c r="K4" s="788" t="s">
        <v>92</v>
      </c>
      <c r="L4" s="788">
        <f>'00 - Cover'!F15</f>
        <v>46224</v>
      </c>
    </row>
    <row r="5" spans="1:16">
      <c r="A5" s="106"/>
      <c r="B5" s="104"/>
      <c r="C5" s="106"/>
      <c r="D5" s="106"/>
      <c r="E5" s="106"/>
      <c r="F5" s="1138"/>
      <c r="G5" s="1138"/>
      <c r="H5" s="1138"/>
      <c r="I5" s="106"/>
      <c r="J5" s="333"/>
      <c r="K5" s="788" t="s">
        <v>85</v>
      </c>
      <c r="L5" s="788">
        <f>'00 - Cover'!F16</f>
        <v>46230</v>
      </c>
    </row>
    <row r="6" spans="1:16">
      <c r="A6" s="106"/>
      <c r="B6" s="104"/>
      <c r="C6" s="106"/>
      <c r="D6" s="106"/>
      <c r="E6" s="106"/>
      <c r="F6" s="1138"/>
      <c r="G6" s="1138"/>
      <c r="H6" s="1138"/>
      <c r="I6" s="106"/>
      <c r="J6" s="106"/>
      <c r="K6" s="107"/>
      <c r="L6" s="108"/>
      <c r="M6" s="106"/>
    </row>
    <row r="7" spans="1:16">
      <c r="A7" s="106"/>
      <c r="B7" s="104"/>
      <c r="C7" s="106"/>
      <c r="D7" s="106"/>
      <c r="E7" s="106"/>
      <c r="F7" s="106"/>
      <c r="G7" s="106"/>
      <c r="H7" s="106"/>
      <c r="I7" s="106"/>
      <c r="J7" s="107"/>
      <c r="K7" s="107"/>
      <c r="L7" s="108"/>
      <c r="M7" s="106"/>
    </row>
    <row r="8" spans="1:16">
      <c r="A8" s="106"/>
      <c r="B8" s="104"/>
      <c r="C8" s="106"/>
      <c r="D8" s="106"/>
      <c r="E8" s="106"/>
      <c r="F8" s="106"/>
      <c r="G8" s="106"/>
      <c r="H8" s="106"/>
      <c r="I8" s="106"/>
      <c r="J8" s="107"/>
      <c r="K8" s="107"/>
      <c r="L8" s="108"/>
      <c r="M8" s="106"/>
    </row>
    <row r="9" spans="1:16" ht="15.75">
      <c r="A9" s="106"/>
      <c r="B9" s="561" t="s">
        <v>215</v>
      </c>
      <c r="C9" s="562"/>
      <c r="D9" s="563"/>
      <c r="E9" s="563"/>
      <c r="F9" s="563"/>
      <c r="G9" s="563"/>
      <c r="H9" s="563"/>
      <c r="I9" s="606"/>
      <c r="J9" s="607"/>
      <c r="K9" s="607"/>
      <c r="L9" s="608"/>
      <c r="M9" s="609"/>
    </row>
    <row r="10" spans="1:16">
      <c r="A10" s="106"/>
      <c r="B10" s="106"/>
      <c r="C10" s="106"/>
      <c r="D10" s="106"/>
      <c r="E10" s="106"/>
      <c r="F10" s="106"/>
      <c r="G10" s="106"/>
      <c r="H10" s="106"/>
      <c r="I10" s="106"/>
      <c r="J10" s="107"/>
      <c r="K10" s="107"/>
      <c r="L10" s="108"/>
      <c r="M10" s="106"/>
    </row>
    <row r="11" spans="1:16" ht="39">
      <c r="A11" s="106"/>
      <c r="B11" s="106"/>
      <c r="C11" s="106"/>
      <c r="D11" s="106"/>
      <c r="E11" s="106"/>
      <c r="F11" s="106"/>
      <c r="G11" s="106"/>
      <c r="H11" s="832" t="s">
        <v>1305</v>
      </c>
      <c r="I11" s="961">
        <f>SUM('04 - Monthly Collection'!E13:F15)</f>
        <v>14487160.70999999</v>
      </c>
      <c r="J11" s="107"/>
      <c r="K11" s="107"/>
      <c r="L11" s="108"/>
      <c r="M11" s="106"/>
    </row>
    <row r="12" spans="1:16" ht="39">
      <c r="A12" s="106"/>
      <c r="B12" s="106"/>
      <c r="C12" s="106"/>
      <c r="D12" s="106"/>
      <c r="E12" s="106"/>
      <c r="F12" s="106"/>
      <c r="G12" s="106"/>
      <c r="H12" s="832" t="s">
        <v>1306</v>
      </c>
      <c r="I12" s="961">
        <f>SUM('04 - Monthly Collection'!G13:G15)</f>
        <v>5426670.2699999996</v>
      </c>
      <c r="J12" s="829" t="s">
        <v>2430</v>
      </c>
      <c r="K12" s="835">
        <f>'03 - Monthly Asset Follow up'!O17</f>
        <v>0</v>
      </c>
      <c r="L12" s="108"/>
      <c r="M12" s="106"/>
    </row>
    <row r="13" spans="1:16" ht="39">
      <c r="A13" s="106"/>
      <c r="B13" s="106"/>
      <c r="C13" s="106"/>
      <c r="D13" s="106"/>
      <c r="E13" s="106"/>
      <c r="F13" s="106"/>
      <c r="G13" s="106"/>
      <c r="H13" s="832" t="s">
        <v>1315</v>
      </c>
      <c r="I13" s="961">
        <v>0</v>
      </c>
      <c r="J13" s="107"/>
      <c r="K13" s="107"/>
      <c r="L13" s="108"/>
      <c r="M13" s="106"/>
    </row>
    <row r="14" spans="1:16">
      <c r="A14" s="106"/>
      <c r="B14" s="106"/>
      <c r="C14" s="106"/>
      <c r="D14" s="106"/>
      <c r="E14" s="106"/>
      <c r="F14" s="106"/>
      <c r="G14" s="106"/>
      <c r="H14" s="832" t="s">
        <v>1316</v>
      </c>
      <c r="I14" s="961">
        <v>0</v>
      </c>
      <c r="J14" s="885"/>
      <c r="K14" s="107"/>
      <c r="L14" s="108"/>
      <c r="M14" s="106"/>
    </row>
    <row r="15" spans="1:16">
      <c r="A15" s="106"/>
      <c r="B15" s="106"/>
      <c r="C15" s="106"/>
      <c r="D15" s="106"/>
      <c r="E15" s="106"/>
      <c r="H15" s="833" t="s">
        <v>1303</v>
      </c>
      <c r="I15" s="892">
        <f>SUM(I11:I14)</f>
        <v>19913830.979999989</v>
      </c>
      <c r="K15" s="107"/>
      <c r="L15" s="108"/>
      <c r="M15" s="106"/>
      <c r="O15" s="1111" t="s">
        <v>2601</v>
      </c>
      <c r="P15" s="1111">
        <v>0</v>
      </c>
    </row>
    <row r="16" spans="1:16">
      <c r="A16" s="106"/>
      <c r="B16" s="106"/>
      <c r="C16" s="106"/>
      <c r="D16" s="106"/>
      <c r="E16" s="106"/>
      <c r="F16" s="106"/>
      <c r="G16" s="106"/>
      <c r="H16" s="833" t="s">
        <v>1304</v>
      </c>
      <c r="I16" s="892">
        <f>I53+I50</f>
        <v>1544430.37</v>
      </c>
      <c r="J16" s="107"/>
      <c r="K16" s="107"/>
      <c r="L16" s="108"/>
      <c r="M16" s="106"/>
      <c r="O16" s="1113" t="s">
        <v>2610</v>
      </c>
      <c r="P16" s="1111">
        <v>0</v>
      </c>
    </row>
    <row r="17" spans="1:16">
      <c r="A17" s="106"/>
      <c r="B17" s="106"/>
      <c r="C17" s="106"/>
      <c r="D17" s="106"/>
      <c r="E17" s="106"/>
      <c r="H17" s="829" t="s">
        <v>774</v>
      </c>
      <c r="I17" s="835">
        <f>I15+I16</f>
        <v>21458261.34999999</v>
      </c>
      <c r="J17" s="829" t="s">
        <v>2428</v>
      </c>
      <c r="K17" s="1101">
        <v>0</v>
      </c>
      <c r="L17" s="108"/>
      <c r="M17" s="106"/>
      <c r="O17" s="1111" t="s">
        <v>2602</v>
      </c>
      <c r="P17" s="1111">
        <v>0</v>
      </c>
    </row>
    <row r="18" spans="1:16">
      <c r="A18" s="106"/>
      <c r="B18" s="106"/>
      <c r="C18" s="106"/>
      <c r="D18" s="106"/>
      <c r="E18" s="106"/>
      <c r="F18" s="106"/>
      <c r="G18" s="106"/>
      <c r="H18" s="1088" t="s">
        <v>2435</v>
      </c>
      <c r="I18" s="1087">
        <f>+'13 - Issuer Account'!M26</f>
        <v>21458261.34999999</v>
      </c>
      <c r="J18" s="107"/>
      <c r="K18" s="885"/>
      <c r="L18" s="108"/>
      <c r="M18" s="106"/>
      <c r="O18" s="1111" t="s">
        <v>2603</v>
      </c>
      <c r="P18" s="1111">
        <v>0</v>
      </c>
    </row>
    <row r="19" spans="1:16" ht="15.75" thickBot="1">
      <c r="A19" s="104"/>
      <c r="B19" s="104"/>
      <c r="C19" s="104"/>
      <c r="D19" s="104"/>
      <c r="E19" s="104"/>
      <c r="F19" s="104"/>
      <c r="G19" s="104"/>
      <c r="H19" s="104"/>
      <c r="I19" s="104"/>
      <c r="J19" s="1094"/>
      <c r="K19" s="104"/>
      <c r="L19" s="109"/>
      <c r="M19" s="104"/>
    </row>
    <row r="20" spans="1:16" ht="15.75" customHeight="1">
      <c r="A20" s="104"/>
      <c r="B20" s="188"/>
      <c r="C20" s="1260" t="s">
        <v>768</v>
      </c>
      <c r="D20" s="1260"/>
      <c r="E20" s="1260"/>
      <c r="F20" s="1260"/>
      <c r="G20" s="1260"/>
      <c r="H20" s="1260"/>
      <c r="I20" s="1261"/>
      <c r="J20" s="206"/>
      <c r="K20" s="206"/>
      <c r="L20" s="206"/>
      <c r="M20" s="201"/>
    </row>
    <row r="21" spans="1:16">
      <c r="A21" s="110"/>
      <c r="B21" s="189"/>
      <c r="C21" s="1262"/>
      <c r="D21" s="1262"/>
      <c r="E21" s="1262"/>
      <c r="F21" s="1262"/>
      <c r="G21" s="1262"/>
      <c r="H21" s="1262"/>
      <c r="I21" s="1263"/>
      <c r="J21" s="111" t="s">
        <v>6</v>
      </c>
      <c r="K21" s="111"/>
      <c r="L21" s="111" t="s">
        <v>234</v>
      </c>
      <c r="M21" s="202"/>
    </row>
    <row r="22" spans="1:16">
      <c r="A22" s="104"/>
      <c r="B22" s="190"/>
      <c r="C22" s="193"/>
      <c r="D22" s="1264" t="s">
        <v>98</v>
      </c>
      <c r="E22" s="1265"/>
      <c r="F22" s="1265"/>
      <c r="G22" s="1265"/>
      <c r="H22" s="1266"/>
      <c r="I22" s="629" t="s">
        <v>99</v>
      </c>
      <c r="J22" s="629" t="s">
        <v>100</v>
      </c>
      <c r="K22" s="629" t="s">
        <v>116</v>
      </c>
      <c r="L22" s="830">
        <v>0</v>
      </c>
      <c r="M22" s="203"/>
    </row>
    <row r="23" spans="1:16">
      <c r="A23" s="104"/>
      <c r="B23" s="190"/>
      <c r="C23" s="193"/>
      <c r="D23" s="113"/>
      <c r="E23" s="114" t="s">
        <v>7</v>
      </c>
      <c r="F23" s="1228" t="s">
        <v>774</v>
      </c>
      <c r="G23" s="1229"/>
      <c r="H23" s="1230"/>
      <c r="I23" s="183">
        <f>I17</f>
        <v>21458261.34999999</v>
      </c>
      <c r="J23" s="183">
        <f>I23</f>
        <v>21458261.34999999</v>
      </c>
      <c r="K23" s="823"/>
      <c r="L23" s="184">
        <f>L22+J23</f>
        <v>21458261.34999999</v>
      </c>
      <c r="M23" s="203"/>
      <c r="N23" s="167"/>
    </row>
    <row r="24" spans="1:16">
      <c r="A24" s="104"/>
      <c r="B24" s="190"/>
      <c r="C24" s="193"/>
      <c r="D24" s="115" t="s">
        <v>8</v>
      </c>
      <c r="E24" s="116" t="s">
        <v>16</v>
      </c>
      <c r="F24" s="1219" t="s">
        <v>770</v>
      </c>
      <c r="G24" s="1220"/>
      <c r="H24" s="1221"/>
      <c r="I24" s="185">
        <f>'10 -Principal Deficiency Ledger'!E12</f>
        <v>0</v>
      </c>
      <c r="J24" s="185">
        <f>IF(I24=0,0,MIN(I24,L23))</f>
        <v>0</v>
      </c>
      <c r="K24" s="185">
        <f>MAX(I24-J24,0)</f>
        <v>0</v>
      </c>
      <c r="L24" s="184">
        <f>L23-J24</f>
        <v>21458261.34999999</v>
      </c>
      <c r="M24" s="204"/>
    </row>
    <row r="25" spans="1:16" ht="31.5" customHeight="1">
      <c r="A25" s="104"/>
      <c r="B25" s="190"/>
      <c r="C25" s="193"/>
      <c r="D25" s="115" t="s">
        <v>9</v>
      </c>
      <c r="E25" s="116" t="s">
        <v>16</v>
      </c>
      <c r="F25" s="1222" t="s">
        <v>771</v>
      </c>
      <c r="G25" s="1223"/>
      <c r="H25" s="1224"/>
      <c r="I25" s="185">
        <f>'11 - Notes Follow-up'!G24</f>
        <v>21458261.34999999</v>
      </c>
      <c r="J25" s="185">
        <f>IF(I25=0,0,MIN(I25,L24))</f>
        <v>21458261.34999999</v>
      </c>
      <c r="K25" s="185">
        <f>MAX(I25-J25,0)</f>
        <v>0</v>
      </c>
      <c r="L25" s="184">
        <f>L24-J25</f>
        <v>0</v>
      </c>
      <c r="M25" s="204"/>
    </row>
    <row r="26" spans="1:16" ht="36" customHeight="1">
      <c r="A26" s="104"/>
      <c r="B26" s="190"/>
      <c r="C26" s="193"/>
      <c r="D26" s="115" t="s">
        <v>10</v>
      </c>
      <c r="E26" s="116" t="s">
        <v>16</v>
      </c>
      <c r="F26" s="1222" t="s">
        <v>772</v>
      </c>
      <c r="G26" s="1223"/>
      <c r="H26" s="1224"/>
      <c r="I26" s="185">
        <f>'11 - Notes Follow-up'!O24</f>
        <v>0</v>
      </c>
      <c r="J26" s="185">
        <f>IF(I26=0,0,MIN(I26,L25))</f>
        <v>0</v>
      </c>
      <c r="K26" s="185">
        <f>MAX(I26-J26,0)</f>
        <v>0</v>
      </c>
      <c r="L26" s="184">
        <f>L25-J26</f>
        <v>0</v>
      </c>
      <c r="M26" s="204"/>
    </row>
    <row r="27" spans="1:16" ht="26.25" customHeight="1">
      <c r="A27" s="104"/>
      <c r="B27" s="190"/>
      <c r="C27" s="193"/>
      <c r="D27" s="115" t="s">
        <v>11</v>
      </c>
      <c r="E27" s="116" t="s">
        <v>16</v>
      </c>
      <c r="F27" s="1219" t="s">
        <v>773</v>
      </c>
      <c r="G27" s="1220"/>
      <c r="H27" s="1221"/>
      <c r="I27" s="185">
        <f>IF(L5='00 - Cover'!F19,'15 - Priority of Payments'!L26,0)</f>
        <v>0</v>
      </c>
      <c r="J27" s="185">
        <f>IF(I27=0,0,MIN(I27,L26))</f>
        <v>0</v>
      </c>
      <c r="K27" s="185">
        <f>MAX(I27-J27,0)</f>
        <v>0</v>
      </c>
      <c r="L27" s="184">
        <f>L26-J27</f>
        <v>0</v>
      </c>
      <c r="M27" s="204"/>
      <c r="N27" s="160"/>
    </row>
    <row r="28" spans="1:16">
      <c r="A28" s="112"/>
      <c r="B28" s="191"/>
      <c r="C28" s="194"/>
      <c r="D28" s="1257"/>
      <c r="E28" s="1258"/>
      <c r="F28" s="1258"/>
      <c r="G28" s="1258"/>
      <c r="H28" s="1258"/>
      <c r="I28" s="1258"/>
      <c r="J28" s="1259"/>
      <c r="K28" s="630"/>
      <c r="L28" s="186">
        <f>L27</f>
        <v>0</v>
      </c>
      <c r="M28" s="205"/>
    </row>
    <row r="29" spans="1:16" ht="15.75" thickBot="1">
      <c r="A29" s="104"/>
      <c r="B29" s="192"/>
      <c r="C29" s="195"/>
      <c r="D29" s="196"/>
      <c r="E29" s="197"/>
      <c r="F29" s="198"/>
      <c r="G29" s="198"/>
      <c r="H29" s="195"/>
      <c r="I29" s="195"/>
      <c r="J29" s="195"/>
      <c r="K29" s="195"/>
      <c r="L29" s="199"/>
      <c r="M29" s="200"/>
    </row>
    <row r="33" spans="2:13">
      <c r="H33" s="831" t="s">
        <v>1307</v>
      </c>
      <c r="I33" s="834">
        <f>+'13 - Issuer Account'!I19-'13 - Issuer Account'!M17-'13 - Issuer Account'!L17-'13 - Issuer Account'!W23-'13 - Issuer Account'!M20</f>
        <v>33152267.919999991</v>
      </c>
      <c r="J33" s="852"/>
      <c r="K33" s="852"/>
      <c r="L33" s="852"/>
    </row>
    <row r="34" spans="2:13">
      <c r="H34" s="831" t="s">
        <v>1314</v>
      </c>
      <c r="I34" s="834">
        <f>I15</f>
        <v>19913830.979999989</v>
      </c>
      <c r="J34" s="852"/>
      <c r="K34" s="5"/>
      <c r="L34" s="852"/>
    </row>
    <row r="35" spans="2:13">
      <c r="H35" s="831" t="s">
        <v>1308</v>
      </c>
      <c r="I35" s="834">
        <v>0</v>
      </c>
      <c r="J35" s="852"/>
      <c r="L35" s="852"/>
    </row>
    <row r="36" spans="2:13">
      <c r="H36" s="831" t="s">
        <v>1309</v>
      </c>
      <c r="I36" s="1003">
        <f>+'13 - Issuer Account'!L17+'13 - Issuer Account'!M17+'13 - Issuer Account'!W23</f>
        <v>32170.12</v>
      </c>
      <c r="L36" s="852"/>
    </row>
    <row r="37" spans="2:13">
      <c r="H37" s="829" t="s">
        <v>775</v>
      </c>
      <c r="I37" s="835">
        <f>I33-I34+I35+I36</f>
        <v>13270607.060000001</v>
      </c>
      <c r="J37" s="852"/>
      <c r="K37" s="852"/>
      <c r="L37" s="852"/>
      <c r="M37" s="852"/>
    </row>
    <row r="38" spans="2:13">
      <c r="J38" s="852"/>
      <c r="K38" s="852"/>
      <c r="L38" s="852"/>
    </row>
    <row r="40" spans="2:13" ht="15.75" thickBot="1">
      <c r="L40" s="167"/>
    </row>
    <row r="41" spans="2:13" ht="15.75">
      <c r="B41" s="188"/>
      <c r="C41" s="1260" t="s">
        <v>769</v>
      </c>
      <c r="D41" s="1260"/>
      <c r="E41" s="1260"/>
      <c r="F41" s="1260"/>
      <c r="G41" s="1260"/>
      <c r="H41" s="1260"/>
      <c r="I41" s="1261"/>
      <c r="J41" s="206"/>
      <c r="K41" s="206"/>
      <c r="L41" s="206"/>
      <c r="M41" s="201"/>
    </row>
    <row r="42" spans="2:13">
      <c r="B42" s="189"/>
      <c r="C42" s="1262"/>
      <c r="D42" s="1262"/>
      <c r="E42" s="1262"/>
      <c r="F42" s="1262"/>
      <c r="G42" s="1262"/>
      <c r="H42" s="1262"/>
      <c r="I42" s="1263"/>
      <c r="J42" s="111" t="s">
        <v>6</v>
      </c>
      <c r="K42" s="111"/>
      <c r="L42" s="111" t="s">
        <v>234</v>
      </c>
      <c r="M42" s="202"/>
    </row>
    <row r="43" spans="2:13">
      <c r="B43" s="190"/>
      <c r="C43" s="193"/>
      <c r="D43" s="1264" t="s">
        <v>98</v>
      </c>
      <c r="E43" s="1265"/>
      <c r="F43" s="1265"/>
      <c r="G43" s="1265"/>
      <c r="H43" s="1266"/>
      <c r="I43" s="629" t="s">
        <v>99</v>
      </c>
      <c r="J43" s="629" t="s">
        <v>100</v>
      </c>
      <c r="K43" s="629" t="s">
        <v>116</v>
      </c>
      <c r="L43" s="830">
        <v>0</v>
      </c>
      <c r="M43" s="203"/>
    </row>
    <row r="44" spans="2:13">
      <c r="B44" s="190"/>
      <c r="C44" s="193"/>
      <c r="D44" s="113"/>
      <c r="E44" s="114" t="s">
        <v>7</v>
      </c>
      <c r="F44" s="1228" t="s">
        <v>775</v>
      </c>
      <c r="G44" s="1229"/>
      <c r="H44" s="1230"/>
      <c r="I44" s="183">
        <f>I37</f>
        <v>13270607.060000001</v>
      </c>
      <c r="J44" s="183">
        <f>I44</f>
        <v>13270607.060000001</v>
      </c>
      <c r="K44" s="823"/>
      <c r="L44" s="184">
        <f>J44+L43</f>
        <v>13270607.060000001</v>
      </c>
      <c r="M44" s="203"/>
    </row>
    <row r="45" spans="2:13">
      <c r="B45" s="190"/>
      <c r="C45" s="193"/>
      <c r="D45" s="115" t="s">
        <v>8</v>
      </c>
      <c r="E45" s="116" t="s">
        <v>16</v>
      </c>
      <c r="F45" s="1219" t="s">
        <v>776</v>
      </c>
      <c r="G45" s="1220"/>
      <c r="H45" s="1221"/>
      <c r="I45" s="185">
        <v>0</v>
      </c>
      <c r="J45" s="185">
        <f>IF(I45=0,0,MIN(I45,L44))</f>
        <v>0</v>
      </c>
      <c r="K45" s="185">
        <f>MAX(I45-J45,0)</f>
        <v>0</v>
      </c>
      <c r="L45" s="184">
        <f>L44-J45</f>
        <v>13270607.060000001</v>
      </c>
      <c r="M45" s="204"/>
    </row>
    <row r="46" spans="2:13">
      <c r="B46" s="190"/>
      <c r="C46" s="193"/>
      <c r="D46" s="115" t="s">
        <v>9</v>
      </c>
      <c r="E46" s="116" t="s">
        <v>16</v>
      </c>
      <c r="F46" s="1222" t="s">
        <v>777</v>
      </c>
      <c r="G46" s="1223"/>
      <c r="H46" s="1224"/>
      <c r="I46" s="185">
        <f>'14 - Fees'!J63+'14 - Fees'!J64</f>
        <v>1891.84</v>
      </c>
      <c r="J46" s="185">
        <f t="shared" ref="J46:J56" si="0">IF(I46=0,0,MIN(I46,L45))</f>
        <v>1891.84</v>
      </c>
      <c r="K46" s="185">
        <f t="shared" ref="K46:K56" si="1">MAX(I46-J46,0)</f>
        <v>0</v>
      </c>
      <c r="L46" s="184">
        <f t="shared" ref="L46:L56" si="2">L45-J46</f>
        <v>13268715.220000001</v>
      </c>
      <c r="M46" s="204"/>
    </row>
    <row r="47" spans="2:13">
      <c r="B47" s="190"/>
      <c r="C47" s="193"/>
      <c r="D47" s="115" t="s">
        <v>10</v>
      </c>
      <c r="E47" s="116" t="s">
        <v>16</v>
      </c>
      <c r="F47" s="1219" t="s">
        <v>778</v>
      </c>
      <c r="G47" s="1220"/>
      <c r="H47" s="1221"/>
      <c r="I47" s="185">
        <v>0</v>
      </c>
      <c r="J47" s="185">
        <f t="shared" si="0"/>
        <v>0</v>
      </c>
      <c r="K47" s="185">
        <f t="shared" si="1"/>
        <v>0</v>
      </c>
      <c r="L47" s="184">
        <f t="shared" si="2"/>
        <v>13268715.220000001</v>
      </c>
      <c r="M47" s="204"/>
    </row>
    <row r="48" spans="2:13" ht="24" customHeight="1">
      <c r="B48" s="190"/>
      <c r="C48" s="193"/>
      <c r="D48" s="115" t="s">
        <v>11</v>
      </c>
      <c r="E48" s="116" t="s">
        <v>16</v>
      </c>
      <c r="F48" s="1219" t="s">
        <v>779</v>
      </c>
      <c r="G48" s="1220"/>
      <c r="H48" s="1221"/>
      <c r="I48" s="185">
        <f>'14 - Fees'!J76-'14 - Fees'!J63-'14 - Fees'!J64</f>
        <v>38931.621369863016</v>
      </c>
      <c r="J48" s="185">
        <f t="shared" si="0"/>
        <v>38931.621369863016</v>
      </c>
      <c r="K48" s="185">
        <f t="shared" si="1"/>
        <v>0</v>
      </c>
      <c r="L48" s="184">
        <f t="shared" si="2"/>
        <v>13229783.598630138</v>
      </c>
      <c r="M48" s="204"/>
    </row>
    <row r="49" spans="1:13" ht="25.5" customHeight="1">
      <c r="B49" s="190"/>
      <c r="C49" s="193"/>
      <c r="D49" s="115" t="s">
        <v>12</v>
      </c>
      <c r="E49" s="116" t="s">
        <v>16</v>
      </c>
      <c r="F49" s="1219" t="s">
        <v>780</v>
      </c>
      <c r="G49" s="1220"/>
      <c r="H49" s="1221"/>
      <c r="I49" s="185">
        <f>'12 - Notes Interest'!I17</f>
        <v>412970.7</v>
      </c>
      <c r="J49" s="185">
        <f t="shared" si="0"/>
        <v>412970.7</v>
      </c>
      <c r="K49" s="185">
        <f t="shared" si="1"/>
        <v>0</v>
      </c>
      <c r="L49" s="184">
        <f t="shared" si="2"/>
        <v>12816812.898630138</v>
      </c>
      <c r="M49" s="204"/>
    </row>
    <row r="50" spans="1:13">
      <c r="B50" s="190"/>
      <c r="C50" s="193"/>
      <c r="D50" s="115" t="s">
        <v>13</v>
      </c>
      <c r="E50" s="116" t="s">
        <v>16</v>
      </c>
      <c r="F50" s="1219" t="s">
        <v>781</v>
      </c>
      <c r="G50" s="1220"/>
      <c r="H50" s="1221"/>
      <c r="I50" s="185">
        <v>0</v>
      </c>
      <c r="J50" s="185">
        <f t="shared" si="0"/>
        <v>0</v>
      </c>
      <c r="K50" s="185">
        <f t="shared" si="1"/>
        <v>0</v>
      </c>
      <c r="L50" s="184">
        <f t="shared" si="2"/>
        <v>12816812.898630138</v>
      </c>
      <c r="M50" s="204"/>
    </row>
    <row r="51" spans="1:13" ht="28.5" customHeight="1">
      <c r="B51" s="190"/>
      <c r="C51" s="193"/>
      <c r="D51" s="115" t="s">
        <v>14</v>
      </c>
      <c r="E51" s="116" t="s">
        <v>16</v>
      </c>
      <c r="F51" s="1219" t="s">
        <v>782</v>
      </c>
      <c r="G51" s="1220"/>
      <c r="H51" s="1221"/>
      <c r="I51" s="185">
        <f>+'13 - Issuer Account'!O67</f>
        <v>9802500</v>
      </c>
      <c r="J51" s="185">
        <f t="shared" si="0"/>
        <v>9802500</v>
      </c>
      <c r="K51" s="185">
        <f t="shared" si="1"/>
        <v>0</v>
      </c>
      <c r="L51" s="184">
        <f t="shared" si="2"/>
        <v>3014312.8986301385</v>
      </c>
      <c r="M51" s="204"/>
    </row>
    <row r="52" spans="1:13" ht="24" customHeight="1">
      <c r="B52" s="190"/>
      <c r="C52" s="193"/>
      <c r="D52" s="115" t="s">
        <v>15</v>
      </c>
      <c r="E52" s="116" t="s">
        <v>16</v>
      </c>
      <c r="F52" s="1219" t="s">
        <v>783</v>
      </c>
      <c r="G52" s="1220"/>
      <c r="H52" s="1221"/>
      <c r="I52" s="185">
        <f>'12 - Notes Interest'!I23</f>
        <v>0</v>
      </c>
      <c r="J52" s="185">
        <f t="shared" si="0"/>
        <v>0</v>
      </c>
      <c r="K52" s="185">
        <f t="shared" si="1"/>
        <v>0</v>
      </c>
      <c r="L52" s="184">
        <f t="shared" si="2"/>
        <v>3014312.8986301385</v>
      </c>
      <c r="M52" s="204"/>
    </row>
    <row r="53" spans="1:13" ht="24" customHeight="1">
      <c r="B53" s="190"/>
      <c r="C53" s="193"/>
      <c r="D53" s="115" t="s">
        <v>149</v>
      </c>
      <c r="E53" s="116" t="s">
        <v>16</v>
      </c>
      <c r="F53" s="1219" t="s">
        <v>787</v>
      </c>
      <c r="G53" s="1220"/>
      <c r="H53" s="1221"/>
      <c r="I53" s="185">
        <f>MIN(L52,'10 -Principal Deficiency Ledger'!D12)</f>
        <v>1544430.37</v>
      </c>
      <c r="J53" s="185">
        <f t="shared" si="0"/>
        <v>1544430.37</v>
      </c>
      <c r="K53" s="185">
        <f t="shared" si="1"/>
        <v>0</v>
      </c>
      <c r="L53" s="184">
        <f t="shared" si="2"/>
        <v>1469882.5286301384</v>
      </c>
      <c r="M53" s="204"/>
    </row>
    <row r="54" spans="1:13" ht="37.5" customHeight="1">
      <c r="B54" s="190"/>
      <c r="C54" s="193"/>
      <c r="D54" s="115" t="s">
        <v>784</v>
      </c>
      <c r="E54" s="116" t="s">
        <v>16</v>
      </c>
      <c r="F54" s="1219" t="s">
        <v>2357</v>
      </c>
      <c r="G54" s="1220"/>
      <c r="H54" s="1221"/>
      <c r="I54" s="185">
        <f>IF(+'13 - Issuer Account'!I56-'13 - Issuer Account'!H58&gt;0,'13 - Issuer Account'!I56-'13 - Issuer Account'!H58,0)</f>
        <v>0</v>
      </c>
      <c r="J54" s="185">
        <f t="shared" si="0"/>
        <v>0</v>
      </c>
      <c r="K54" s="185">
        <f t="shared" si="1"/>
        <v>0</v>
      </c>
      <c r="L54" s="184">
        <f t="shared" si="2"/>
        <v>1469882.5286301384</v>
      </c>
      <c r="M54" s="204"/>
    </row>
    <row r="55" spans="1:13" ht="31.5" customHeight="1">
      <c r="B55" s="190"/>
      <c r="C55" s="193"/>
      <c r="D55" s="115" t="s">
        <v>785</v>
      </c>
      <c r="E55" s="116" t="s">
        <v>16</v>
      </c>
      <c r="F55" s="1219" t="s">
        <v>788</v>
      </c>
      <c r="G55" s="1220"/>
      <c r="H55" s="1221"/>
      <c r="I55" s="185">
        <v>0</v>
      </c>
      <c r="J55" s="185">
        <f t="shared" si="0"/>
        <v>0</v>
      </c>
      <c r="K55" s="185">
        <f t="shared" si="1"/>
        <v>0</v>
      </c>
      <c r="L55" s="184">
        <f t="shared" si="2"/>
        <v>1469882.5286301384</v>
      </c>
      <c r="M55" s="204"/>
    </row>
    <row r="56" spans="1:13" ht="24" customHeight="1">
      <c r="B56" s="190"/>
      <c r="C56" s="193"/>
      <c r="D56" s="115" t="s">
        <v>786</v>
      </c>
      <c r="E56" s="116" t="s">
        <v>16</v>
      </c>
      <c r="F56" s="1219" t="s">
        <v>789</v>
      </c>
      <c r="G56" s="1220"/>
      <c r="H56" s="1221"/>
      <c r="I56" s="185">
        <f>L55</f>
        <v>1469882.5286301384</v>
      </c>
      <c r="J56" s="185">
        <f t="shared" si="0"/>
        <v>1469882.5286301384</v>
      </c>
      <c r="K56" s="185">
        <f t="shared" si="1"/>
        <v>0</v>
      </c>
      <c r="L56" s="184">
        <f t="shared" si="2"/>
        <v>0</v>
      </c>
      <c r="M56" s="204"/>
    </row>
    <row r="57" spans="1:13">
      <c r="B57" s="191"/>
      <c r="C57" s="194"/>
      <c r="D57" s="1257"/>
      <c r="E57" s="1258"/>
      <c r="F57" s="1258"/>
      <c r="G57" s="1258"/>
      <c r="H57" s="1258"/>
      <c r="I57" s="1258"/>
      <c r="J57" s="1259"/>
      <c r="K57" s="630"/>
      <c r="L57" s="186">
        <f>L56</f>
        <v>0</v>
      </c>
      <c r="M57" s="205"/>
    </row>
    <row r="58" spans="1:13" ht="15.75" thickBot="1">
      <c r="B58" s="192"/>
      <c r="C58" s="195"/>
      <c r="D58" s="196"/>
      <c r="E58" s="197"/>
      <c r="F58" s="198"/>
      <c r="G58" s="198"/>
      <c r="H58" s="195"/>
      <c r="I58" s="195"/>
      <c r="J58" s="195"/>
      <c r="K58" s="195"/>
      <c r="L58" s="199"/>
      <c r="M58" s="200"/>
    </row>
    <row r="59" spans="1:13">
      <c r="L59" s="167"/>
    </row>
    <row r="60" spans="1:13">
      <c r="L60" s="167"/>
    </row>
    <row r="61" spans="1:13">
      <c r="L61" s="167"/>
    </row>
    <row r="62" spans="1:13" ht="15.75" hidden="1" outlineLevel="1" thickBot="1">
      <c r="L62" s="167"/>
    </row>
    <row r="63" spans="1:13" ht="15.75" hidden="1" customHeight="1" outlineLevel="1">
      <c r="A63" s="104"/>
      <c r="B63" s="188"/>
      <c r="C63" s="1260" t="s">
        <v>790</v>
      </c>
      <c r="D63" s="1260"/>
      <c r="E63" s="1260"/>
      <c r="F63" s="1260"/>
      <c r="G63" s="1260"/>
      <c r="H63" s="1260"/>
      <c r="I63" s="1261"/>
      <c r="J63" s="206"/>
      <c r="K63" s="206"/>
      <c r="L63" s="206"/>
      <c r="M63" s="201"/>
    </row>
    <row r="64" spans="1:13" hidden="1" outlineLevel="1">
      <c r="A64" s="110"/>
      <c r="B64" s="189"/>
      <c r="C64" s="1262"/>
      <c r="D64" s="1262"/>
      <c r="E64" s="1262"/>
      <c r="F64" s="1262"/>
      <c r="G64" s="1262"/>
      <c r="H64" s="1262"/>
      <c r="I64" s="1263"/>
      <c r="J64" s="111" t="s">
        <v>6</v>
      </c>
      <c r="K64" s="111"/>
      <c r="L64" s="111"/>
      <c r="M64" s="202"/>
    </row>
    <row r="65" spans="1:14" hidden="1" outlineLevel="1">
      <c r="A65" s="104"/>
      <c r="B65" s="190"/>
      <c r="C65" s="193"/>
      <c r="D65" s="1264" t="s">
        <v>98</v>
      </c>
      <c r="E65" s="1265"/>
      <c r="F65" s="1265"/>
      <c r="G65" s="1265"/>
      <c r="H65" s="1266"/>
      <c r="I65" s="629" t="s">
        <v>99</v>
      </c>
      <c r="J65" s="629" t="s">
        <v>100</v>
      </c>
      <c r="K65" s="629" t="s">
        <v>116</v>
      </c>
      <c r="L65" s="187" t="s">
        <v>234</v>
      </c>
      <c r="M65" s="203"/>
    </row>
    <row r="66" spans="1:14" hidden="1" outlineLevel="1">
      <c r="A66" s="104"/>
      <c r="B66" s="190"/>
      <c r="C66" s="193"/>
      <c r="D66" s="113"/>
      <c r="E66" s="114" t="s">
        <v>7</v>
      </c>
      <c r="F66" s="1228" t="s">
        <v>791</v>
      </c>
      <c r="G66" s="1229"/>
      <c r="H66" s="1230"/>
      <c r="I66" s="183"/>
      <c r="J66" s="183"/>
      <c r="K66" s="183"/>
      <c r="L66" s="184"/>
      <c r="M66" s="203"/>
      <c r="N66" s="167"/>
    </row>
    <row r="67" spans="1:14" hidden="1" outlineLevel="1">
      <c r="A67" s="104"/>
      <c r="B67" s="190"/>
      <c r="C67" s="193"/>
      <c r="D67" s="115" t="s">
        <v>8</v>
      </c>
      <c r="E67" s="116" t="s">
        <v>16</v>
      </c>
      <c r="F67" s="1219" t="s">
        <v>792</v>
      </c>
      <c r="G67" s="1220"/>
      <c r="H67" s="1221"/>
      <c r="I67" s="183"/>
      <c r="J67" s="183"/>
      <c r="K67" s="183"/>
      <c r="L67" s="184"/>
      <c r="M67" s="203"/>
      <c r="N67" s="167"/>
    </row>
    <row r="68" spans="1:14" hidden="1" outlineLevel="1">
      <c r="A68" s="104"/>
      <c r="B68" s="190"/>
      <c r="C68" s="193"/>
      <c r="D68" s="115" t="s">
        <v>9</v>
      </c>
      <c r="E68" s="116" t="s">
        <v>16</v>
      </c>
      <c r="F68" s="1219" t="s">
        <v>777</v>
      </c>
      <c r="G68" s="1220"/>
      <c r="H68" s="1221"/>
      <c r="I68" s="183"/>
      <c r="J68" s="183"/>
      <c r="K68" s="183"/>
      <c r="L68" s="184"/>
      <c r="M68" s="203"/>
      <c r="N68" s="167"/>
    </row>
    <row r="69" spans="1:14" hidden="1" outlineLevel="1">
      <c r="A69" s="104"/>
      <c r="B69" s="190"/>
      <c r="C69" s="193"/>
      <c r="D69" s="115" t="s">
        <v>10</v>
      </c>
      <c r="E69" s="116" t="s">
        <v>16</v>
      </c>
      <c r="F69" s="1219" t="s">
        <v>778</v>
      </c>
      <c r="G69" s="1220"/>
      <c r="H69" s="1221"/>
      <c r="I69" s="183"/>
      <c r="J69" s="183"/>
      <c r="K69" s="183"/>
      <c r="L69" s="184"/>
      <c r="M69" s="203"/>
      <c r="N69" s="167"/>
    </row>
    <row r="70" spans="1:14" ht="29.25" hidden="1" customHeight="1" outlineLevel="1">
      <c r="A70" s="104"/>
      <c r="B70" s="190"/>
      <c r="C70" s="193"/>
      <c r="D70" s="115" t="s">
        <v>11</v>
      </c>
      <c r="E70" s="116" t="s">
        <v>16</v>
      </c>
      <c r="F70" s="1219" t="s">
        <v>779</v>
      </c>
      <c r="G70" s="1220"/>
      <c r="H70" s="1221"/>
      <c r="I70" s="183"/>
      <c r="J70" s="183"/>
      <c r="K70" s="183"/>
      <c r="L70" s="184"/>
      <c r="M70" s="203"/>
      <c r="N70" s="167"/>
    </row>
    <row r="71" spans="1:14" ht="27" hidden="1" customHeight="1" outlineLevel="1">
      <c r="A71" s="104"/>
      <c r="B71" s="190"/>
      <c r="C71" s="193"/>
      <c r="D71" s="115" t="s">
        <v>12</v>
      </c>
      <c r="E71" s="116" t="s">
        <v>16</v>
      </c>
      <c r="F71" s="1219" t="s">
        <v>793</v>
      </c>
      <c r="G71" s="1220"/>
      <c r="H71" s="1221"/>
      <c r="I71" s="183"/>
      <c r="J71" s="183"/>
      <c r="K71" s="183"/>
      <c r="L71" s="184"/>
      <c r="M71" s="203"/>
      <c r="N71" s="167"/>
    </row>
    <row r="72" spans="1:14" ht="29.25" hidden="1" customHeight="1" outlineLevel="1">
      <c r="A72" s="104"/>
      <c r="B72" s="190"/>
      <c r="C72" s="193"/>
      <c r="D72" s="115" t="s">
        <v>13</v>
      </c>
      <c r="E72" s="116" t="s">
        <v>16</v>
      </c>
      <c r="F72" s="1219" t="s">
        <v>794</v>
      </c>
      <c r="G72" s="1220"/>
      <c r="H72" s="1221"/>
      <c r="I72" s="183"/>
      <c r="J72" s="183"/>
      <c r="K72" s="183"/>
      <c r="L72" s="184"/>
      <c r="M72" s="203"/>
      <c r="N72" s="167"/>
    </row>
    <row r="73" spans="1:14" hidden="1" outlineLevel="1">
      <c r="A73" s="104"/>
      <c r="B73" s="190"/>
      <c r="C73" s="193"/>
      <c r="D73" s="115" t="s">
        <v>14</v>
      </c>
      <c r="E73" s="116" t="s">
        <v>16</v>
      </c>
      <c r="F73" s="1219" t="s">
        <v>795</v>
      </c>
      <c r="G73" s="1220"/>
      <c r="H73" s="1221"/>
      <c r="I73" s="183"/>
      <c r="J73" s="183"/>
      <c r="K73" s="183"/>
      <c r="L73" s="184"/>
      <c r="M73" s="203"/>
      <c r="N73" s="167"/>
    </row>
    <row r="74" spans="1:14" ht="28.5" hidden="1" customHeight="1" outlineLevel="1">
      <c r="A74" s="104"/>
      <c r="B74" s="190"/>
      <c r="C74" s="193"/>
      <c r="D74" s="115" t="s">
        <v>15</v>
      </c>
      <c r="E74" s="116" t="s">
        <v>16</v>
      </c>
      <c r="F74" s="1219" t="s">
        <v>796</v>
      </c>
      <c r="G74" s="1220"/>
      <c r="H74" s="1221"/>
      <c r="I74" s="183"/>
      <c r="J74" s="183"/>
      <c r="K74" s="183"/>
      <c r="L74" s="184"/>
      <c r="M74" s="203"/>
      <c r="N74" s="167"/>
    </row>
    <row r="75" spans="1:14" hidden="1" outlineLevel="1">
      <c r="A75" s="104"/>
      <c r="B75" s="190"/>
      <c r="C75" s="193"/>
      <c r="D75" s="115" t="s">
        <v>149</v>
      </c>
      <c r="E75" s="116" t="s">
        <v>16</v>
      </c>
      <c r="F75" s="1219" t="s">
        <v>797</v>
      </c>
      <c r="G75" s="1220"/>
      <c r="H75" s="1221"/>
      <c r="I75" s="183"/>
      <c r="J75" s="183"/>
      <c r="K75" s="183"/>
      <c r="L75" s="184"/>
      <c r="M75" s="203"/>
      <c r="N75" s="167"/>
    </row>
    <row r="76" spans="1:14" ht="38.25" hidden="1" customHeight="1" outlineLevel="1">
      <c r="A76" s="104"/>
      <c r="B76" s="190"/>
      <c r="C76" s="193"/>
      <c r="D76" s="115" t="s">
        <v>784</v>
      </c>
      <c r="E76" s="116" t="s">
        <v>16</v>
      </c>
      <c r="F76" s="1219" t="s">
        <v>798</v>
      </c>
      <c r="G76" s="1220"/>
      <c r="H76" s="1221"/>
      <c r="I76" s="185"/>
      <c r="J76" s="185"/>
      <c r="K76" s="185"/>
      <c r="L76" s="184"/>
      <c r="M76" s="204"/>
    </row>
    <row r="77" spans="1:14" ht="25.5" hidden="1" customHeight="1" outlineLevel="1">
      <c r="A77" s="104"/>
      <c r="B77" s="190"/>
      <c r="C77" s="193"/>
      <c r="D77" s="115" t="s">
        <v>785</v>
      </c>
      <c r="E77" s="116" t="s">
        <v>16</v>
      </c>
      <c r="F77" s="1219" t="s">
        <v>799</v>
      </c>
      <c r="G77" s="1220"/>
      <c r="H77" s="1221"/>
      <c r="I77" s="185"/>
      <c r="J77" s="185"/>
      <c r="K77" s="185"/>
      <c r="L77" s="184"/>
      <c r="M77" s="204"/>
    </row>
    <row r="78" spans="1:14" ht="25.5" hidden="1" customHeight="1" outlineLevel="1">
      <c r="A78" s="104"/>
      <c r="B78" s="190"/>
      <c r="C78" s="193"/>
      <c r="D78" s="115" t="s">
        <v>786</v>
      </c>
      <c r="E78" s="116" t="s">
        <v>16</v>
      </c>
      <c r="F78" s="1219" t="s">
        <v>800</v>
      </c>
      <c r="G78" s="1220"/>
      <c r="H78" s="1221"/>
      <c r="I78" s="185"/>
      <c r="J78" s="185"/>
      <c r="K78" s="185"/>
      <c r="L78" s="184"/>
      <c r="M78" s="204"/>
    </row>
    <row r="79" spans="1:14" hidden="1" outlineLevel="1">
      <c r="A79" s="112"/>
      <c r="B79" s="191"/>
      <c r="C79" s="194"/>
      <c r="D79" s="1257"/>
      <c r="E79" s="1258"/>
      <c r="F79" s="1258"/>
      <c r="G79" s="1258"/>
      <c r="H79" s="1258"/>
      <c r="I79" s="1258"/>
      <c r="J79" s="1259"/>
      <c r="K79" s="630"/>
      <c r="L79" s="186"/>
      <c r="M79" s="205"/>
    </row>
    <row r="80" spans="1:14" ht="15.75" hidden="1" outlineLevel="1" thickBot="1">
      <c r="A80" s="104"/>
      <c r="B80" s="192"/>
      <c r="C80" s="195"/>
      <c r="D80" s="196"/>
      <c r="E80" s="197"/>
      <c r="F80" s="198"/>
      <c r="G80" s="198"/>
      <c r="H80" s="195"/>
      <c r="I80" s="195"/>
      <c r="J80" s="195"/>
      <c r="K80" s="195"/>
      <c r="L80" s="199"/>
      <c r="M80" s="200"/>
    </row>
    <row r="81" spans="1:14" hidden="1" outlineLevel="1"/>
    <row r="82" spans="1:14" s="553" customFormat="1" collapsed="1">
      <c r="F82" s="554"/>
      <c r="G82" s="554"/>
      <c r="H82" s="554"/>
      <c r="I82" s="554"/>
      <c r="J82" s="554"/>
      <c r="K82" s="554"/>
      <c r="L82" s="555"/>
      <c r="M82" s="556"/>
    </row>
    <row r="83" spans="1:14" ht="15.75" hidden="1" outlineLevel="1" thickBot="1">
      <c r="L83" s="167"/>
    </row>
    <row r="84" spans="1:14" ht="15.75" hidden="1" customHeight="1" outlineLevel="1">
      <c r="A84" s="104"/>
      <c r="B84" s="188"/>
      <c r="C84" s="1260" t="s">
        <v>705</v>
      </c>
      <c r="D84" s="1260"/>
      <c r="E84" s="1260"/>
      <c r="F84" s="1260"/>
      <c r="G84" s="1260"/>
      <c r="H84" s="1260"/>
      <c r="I84" s="1261"/>
      <c r="J84" s="206"/>
      <c r="K84" s="206"/>
      <c r="L84" s="206"/>
      <c r="M84" s="201"/>
    </row>
    <row r="85" spans="1:14" hidden="1" outlineLevel="1">
      <c r="A85" s="110"/>
      <c r="B85" s="189"/>
      <c r="C85" s="1262"/>
      <c r="D85" s="1262"/>
      <c r="E85" s="1262"/>
      <c r="F85" s="1262"/>
      <c r="G85" s="1262"/>
      <c r="H85" s="1262"/>
      <c r="I85" s="1263"/>
      <c r="J85" s="111" t="s">
        <v>6</v>
      </c>
      <c r="K85" s="111"/>
      <c r="L85" s="111"/>
      <c r="M85" s="202"/>
    </row>
    <row r="86" spans="1:14" hidden="1" outlineLevel="1">
      <c r="A86" s="104"/>
      <c r="B86" s="190"/>
      <c r="C86" s="193"/>
      <c r="D86" s="1264" t="s">
        <v>98</v>
      </c>
      <c r="E86" s="1265"/>
      <c r="F86" s="1265"/>
      <c r="G86" s="1265"/>
      <c r="H86" s="1266"/>
      <c r="I86" s="629" t="s">
        <v>99</v>
      </c>
      <c r="J86" s="629" t="s">
        <v>100</v>
      </c>
      <c r="K86" s="629" t="s">
        <v>116</v>
      </c>
      <c r="L86" s="187" t="s">
        <v>234</v>
      </c>
      <c r="M86" s="203"/>
    </row>
    <row r="87" spans="1:14" hidden="1" outlineLevel="1">
      <c r="A87" s="104"/>
      <c r="B87" s="190"/>
      <c r="C87" s="193"/>
      <c r="D87" s="113"/>
      <c r="E87" s="114" t="s">
        <v>7</v>
      </c>
      <c r="F87" s="1228"/>
      <c r="G87" s="1229"/>
      <c r="H87" s="1230"/>
      <c r="I87" s="183"/>
      <c r="J87" s="183"/>
      <c r="K87" s="183"/>
      <c r="L87" s="184"/>
      <c r="M87" s="203"/>
      <c r="N87" s="167"/>
    </row>
    <row r="88" spans="1:14" ht="25.5" hidden="1" customHeight="1" outlineLevel="1">
      <c r="A88" s="104"/>
      <c r="B88" s="190"/>
      <c r="C88" s="193"/>
      <c r="D88" s="115" t="s">
        <v>8</v>
      </c>
      <c r="E88" s="116" t="s">
        <v>16</v>
      </c>
      <c r="F88" s="1219" t="s">
        <v>706</v>
      </c>
      <c r="G88" s="1220"/>
      <c r="H88" s="1221"/>
      <c r="I88" s="185"/>
      <c r="J88" s="185"/>
      <c r="K88" s="185"/>
      <c r="L88" s="184"/>
      <c r="M88" s="204"/>
    </row>
    <row r="89" spans="1:14" ht="25.5" hidden="1" customHeight="1" outlineLevel="1">
      <c r="A89" s="104"/>
      <c r="B89" s="190"/>
      <c r="C89" s="193"/>
      <c r="D89" s="115" t="s">
        <v>9</v>
      </c>
      <c r="E89" s="116" t="s">
        <v>16</v>
      </c>
      <c r="F89" s="1219" t="s">
        <v>707</v>
      </c>
      <c r="G89" s="1220"/>
      <c r="H89" s="1221"/>
      <c r="I89" s="185"/>
      <c r="J89" s="185"/>
      <c r="K89" s="185"/>
      <c r="L89" s="184"/>
      <c r="M89" s="204"/>
    </row>
    <row r="90" spans="1:14" ht="25.5" hidden="1" customHeight="1" outlineLevel="1">
      <c r="A90" s="104"/>
      <c r="B90" s="190"/>
      <c r="C90" s="193"/>
      <c r="D90" s="115" t="s">
        <v>10</v>
      </c>
      <c r="E90" s="116" t="s">
        <v>16</v>
      </c>
      <c r="F90" s="1219" t="s">
        <v>708</v>
      </c>
      <c r="G90" s="1220"/>
      <c r="H90" s="1221"/>
      <c r="I90" s="185"/>
      <c r="J90" s="185"/>
      <c r="K90" s="185"/>
      <c r="L90" s="184"/>
      <c r="M90" s="204"/>
    </row>
    <row r="91" spans="1:14" ht="45.6" hidden="1" customHeight="1" outlineLevel="1">
      <c r="A91" s="104"/>
      <c r="B91" s="190"/>
      <c r="C91" s="193"/>
      <c r="D91" s="115" t="s">
        <v>11</v>
      </c>
      <c r="E91" s="116" t="s">
        <v>16</v>
      </c>
      <c r="F91" s="1219" t="s">
        <v>709</v>
      </c>
      <c r="G91" s="1220"/>
      <c r="H91" s="1221"/>
      <c r="I91" s="185"/>
      <c r="J91" s="185"/>
      <c r="K91" s="185"/>
      <c r="L91" s="184"/>
      <c r="M91" s="204"/>
      <c r="N91" s="160"/>
    </row>
    <row r="92" spans="1:14" hidden="1" outlineLevel="1">
      <c r="A92" s="112"/>
      <c r="B92" s="191"/>
      <c r="C92" s="194"/>
      <c r="D92" s="1257"/>
      <c r="E92" s="1258"/>
      <c r="F92" s="1258"/>
      <c r="G92" s="1258"/>
      <c r="H92" s="1258"/>
      <c r="I92" s="1258"/>
      <c r="J92" s="1259"/>
      <c r="K92" s="630"/>
      <c r="L92" s="186"/>
      <c r="M92" s="205"/>
    </row>
    <row r="93" spans="1:14" ht="15.75" hidden="1" outlineLevel="1" thickBot="1">
      <c r="A93" s="104"/>
      <c r="B93" s="192"/>
      <c r="C93" s="195"/>
      <c r="D93" s="196"/>
      <c r="E93" s="197"/>
      <c r="F93" s="198"/>
      <c r="G93" s="198"/>
      <c r="H93" s="195"/>
      <c r="I93" s="195"/>
      <c r="J93" s="195"/>
      <c r="K93" s="195"/>
      <c r="L93" s="199"/>
      <c r="M93" s="200"/>
    </row>
    <row r="94" spans="1:14" hidden="1" outlineLevel="1"/>
    <row r="95" spans="1:14" s="553" customFormat="1" collapsed="1">
      <c r="F95" s="554"/>
      <c r="G95" s="554"/>
      <c r="H95" s="554"/>
      <c r="I95" s="554"/>
      <c r="J95" s="554"/>
      <c r="K95" s="554"/>
      <c r="L95" s="555"/>
      <c r="M95" s="556"/>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7" type="noConversion"/>
  <conditionalFormatting sqref="L83">
    <cfRule type="cellIs" dxfId="47" priority="3" operator="equal">
      <formula>"KO"</formula>
    </cfRule>
    <cfRule type="cellIs" dxfId="46" priority="4" operator="equal">
      <formula>"OK"</formula>
    </cfRule>
  </conditionalFormatting>
  <conditionalFormatting sqref="N23 L40 L59:L62">
    <cfRule type="cellIs" dxfId="45" priority="31" operator="equal">
      <formula>"KO"</formula>
    </cfRule>
    <cfRule type="cellIs" dxfId="44" priority="34" operator="equal">
      <formula>"OK"</formula>
    </cfRule>
  </conditionalFormatting>
  <conditionalFormatting sqref="N66:N75">
    <cfRule type="cellIs" dxfId="43" priority="5" operator="equal">
      <formula>"KO"</formula>
    </cfRule>
    <cfRule type="cellIs" dxfId="42" priority="6" operator="equal">
      <formula>"OK"</formula>
    </cfRule>
  </conditionalFormatting>
  <conditionalFormatting sqref="N87">
    <cfRule type="cellIs" dxfId="41" priority="1" operator="equal">
      <formula>"KO"</formula>
    </cfRule>
    <cfRule type="cellIs" dxfId="40"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zoomScale="80" zoomScaleNormal="100" zoomScaleSheetLayoutView="80" workbookViewId="0">
      <selection activeCell="K18" sqref="K18"/>
    </sheetView>
  </sheetViews>
  <sheetFormatPr defaultColWidth="9.140625" defaultRowHeight="12.75"/>
  <cols>
    <col min="1" max="1" width="3.42578125" customWidth="1"/>
    <col min="2" max="2" width="15.85546875" bestFit="1" customWidth="1"/>
    <col min="3" max="3" width="1.5703125" customWidth="1"/>
    <col min="4" max="4" width="18.140625" customWidth="1"/>
    <col min="5" max="5" width="41.42578125" customWidth="1"/>
    <col min="6" max="6" width="22.5703125" customWidth="1"/>
    <col min="7" max="7" width="13.140625" bestFit="1" customWidth="1"/>
    <col min="8" max="8" width="3.85546875" customWidth="1"/>
    <col min="9" max="9" width="27.5703125" customWidth="1"/>
    <col min="10" max="10" width="18.5703125" customWidth="1"/>
    <col min="11" max="11" width="22.5703125" customWidth="1"/>
    <col min="12" max="12" width="16.42578125" bestFit="1" customWidth="1"/>
    <col min="13" max="14" width="17.85546875" bestFit="1" customWidth="1"/>
    <col min="15" max="15" width="20.7109375" customWidth="1"/>
    <col min="16" max="16" width="17.85546875" bestFit="1" customWidth="1"/>
    <col min="17" max="17" width="16.7109375" bestFit="1" customWidth="1"/>
  </cols>
  <sheetData>
    <row r="1" spans="1:17">
      <c r="A1" s="157"/>
    </row>
    <row r="4" spans="1:17" ht="15">
      <c r="J4" s="333"/>
      <c r="K4" s="144"/>
    </row>
    <row r="5" spans="1:17" ht="15">
      <c r="J5" s="333"/>
      <c r="K5" s="144"/>
    </row>
    <row r="6" spans="1:17" ht="15">
      <c r="J6" s="333"/>
      <c r="K6" s="144"/>
    </row>
    <row r="8" spans="1:17">
      <c r="G8" s="5"/>
    </row>
    <row r="9" spans="1:17" ht="13.5" thickBot="1"/>
    <row r="10" spans="1:17" ht="16.5" customHeight="1" thickBot="1">
      <c r="C10" s="612" t="s">
        <v>216</v>
      </c>
      <c r="D10" s="613"/>
      <c r="E10" s="614"/>
      <c r="F10" s="614"/>
      <c r="G10" s="614"/>
      <c r="H10" s="614"/>
      <c r="I10" s="614"/>
      <c r="J10" s="614"/>
      <c r="K10" s="615"/>
    </row>
    <row r="11" spans="1:17" ht="18">
      <c r="C11" s="118"/>
      <c r="D11" s="119"/>
      <c r="E11" s="118"/>
      <c r="F11" s="118"/>
      <c r="G11" s="118"/>
      <c r="H11" s="118"/>
      <c r="I11" s="118"/>
      <c r="J11" s="118"/>
      <c r="K11" s="118"/>
      <c r="N11" s="4" t="s">
        <v>2412</v>
      </c>
      <c r="O11" s="5">
        <v>7208.65</v>
      </c>
    </row>
    <row r="12" spans="1:17" ht="15">
      <c r="C12" s="1267" t="s">
        <v>86</v>
      </c>
      <c r="D12" s="1268"/>
      <c r="E12" s="1268"/>
      <c r="F12" s="1269"/>
      <c r="G12" s="120"/>
      <c r="H12" s="1270" t="s">
        <v>87</v>
      </c>
      <c r="I12" s="1271" t="s">
        <v>17</v>
      </c>
      <c r="J12" s="1271"/>
      <c r="K12" s="1272" t="s">
        <v>1</v>
      </c>
      <c r="N12" s="4" t="s">
        <v>2413</v>
      </c>
      <c r="O12" s="3">
        <f>F16</f>
        <v>71780.569999999978</v>
      </c>
    </row>
    <row r="13" spans="1:17" ht="15">
      <c r="C13" s="131"/>
      <c r="D13" s="132"/>
      <c r="E13" s="133"/>
      <c r="F13" s="134"/>
      <c r="G13" s="121"/>
      <c r="H13" s="859"/>
      <c r="I13" s="459" t="s">
        <v>679</v>
      </c>
      <c r="J13" s="126"/>
      <c r="K13" s="853">
        <f>'11 - Notes Follow-up'!H24</f>
        <v>653500000</v>
      </c>
      <c r="L13" s="3"/>
      <c r="M13" s="3"/>
      <c r="N13" s="1036" t="s">
        <v>2367</v>
      </c>
      <c r="O13" s="3">
        <f>O12-O11</f>
        <v>64571.919999999976</v>
      </c>
    </row>
    <row r="14" spans="1:17" ht="15">
      <c r="B14" s="3"/>
      <c r="C14" s="135"/>
      <c r="D14" s="801" t="s">
        <v>680</v>
      </c>
      <c r="E14" s="122"/>
      <c r="F14" s="136">
        <f>'03 - Monthly Asset Follow up'!P17+'03 - Monthly Asset Follow up'!AT17+'03 - Monthly Asset Follow up'!BO17+'03 - Monthly Asset Follow up'!CS17</f>
        <v>769905616.74000049</v>
      </c>
      <c r="G14" s="121"/>
      <c r="H14" s="860"/>
      <c r="I14" s="802"/>
      <c r="J14" s="854"/>
      <c r="K14" s="855"/>
      <c r="M14" s="3"/>
      <c r="N14" s="3"/>
    </row>
    <row r="15" spans="1:17" ht="15">
      <c r="B15" s="3"/>
      <c r="C15" s="1027"/>
      <c r="D15" s="801" t="s">
        <v>2366</v>
      </c>
      <c r="E15" s="1028"/>
      <c r="F15" s="1029">
        <f>-'03 - Monthly Asset Follow up'!BO17-'03 - Monthly Asset Follow up'!CS17</f>
        <v>-3108443.18</v>
      </c>
      <c r="G15" s="121"/>
      <c r="H15" s="860"/>
      <c r="I15" s="802"/>
      <c r="J15" s="854"/>
      <c r="K15" s="855"/>
      <c r="M15" s="3"/>
      <c r="N15" s="3"/>
    </row>
    <row r="16" spans="1:17" ht="15">
      <c r="C16" s="135"/>
      <c r="D16" s="801" t="str">
        <f>+'03 - Monthly Asset Follow up'!H14</f>
        <v>Recapitalization into the principal outstanding balance</v>
      </c>
      <c r="E16" s="869"/>
      <c r="F16" s="868">
        <f>SUM('03 - Monthly Asset Follow up'!H17:J87)</f>
        <v>71780.569999999978</v>
      </c>
      <c r="G16" s="158"/>
      <c r="H16" s="860"/>
      <c r="I16" s="802" t="s">
        <v>699</v>
      </c>
      <c r="J16" s="854"/>
      <c r="K16" s="855">
        <f>'11 - Notes Follow-up'!P24</f>
        <v>67585000</v>
      </c>
      <c r="L16" s="5"/>
      <c r="M16" s="3"/>
      <c r="N16" s="3"/>
      <c r="P16" s="157"/>
      <c r="Q16" s="3"/>
    </row>
    <row r="17" spans="2:14" ht="15">
      <c r="C17" s="137"/>
      <c r="D17" s="801"/>
      <c r="E17" s="122"/>
      <c r="F17" s="136"/>
      <c r="G17" s="158"/>
      <c r="H17" s="860"/>
      <c r="I17" s="802"/>
      <c r="J17" s="854"/>
      <c r="K17" s="867"/>
      <c r="L17" s="3"/>
      <c r="M17" s="3"/>
    </row>
    <row r="18" spans="2:14" ht="15">
      <c r="C18" s="137"/>
      <c r="D18" s="801"/>
      <c r="E18" s="122"/>
      <c r="F18" s="136"/>
      <c r="G18" s="158"/>
      <c r="H18" s="860"/>
      <c r="I18" s="802" t="s">
        <v>1352</v>
      </c>
      <c r="J18" s="854"/>
      <c r="K18" s="855">
        <f>F24-SUM(K13:K16)-SUM(K19:K23)</f>
        <v>5326797.0400005355</v>
      </c>
      <c r="L18" s="4"/>
      <c r="M18" s="3"/>
      <c r="N18" s="3"/>
    </row>
    <row r="19" spans="2:14" ht="15">
      <c r="C19" s="137"/>
      <c r="D19" s="801" t="s">
        <v>228</v>
      </c>
      <c r="E19" s="122"/>
      <c r="F19" s="136">
        <f>'13 - Issuer Account'!I27</f>
        <v>300</v>
      </c>
      <c r="G19" s="121"/>
      <c r="H19" s="860"/>
      <c r="I19" s="802" t="s">
        <v>2425</v>
      </c>
      <c r="J19" s="854"/>
      <c r="K19" s="855">
        <f>'13 - Issuer Account'!M27+'15 - Priority of Payments'!K12</f>
        <v>39322293.93</v>
      </c>
      <c r="M19" s="3"/>
    </row>
    <row r="20" spans="2:14" ht="15">
      <c r="C20" s="137"/>
      <c r="D20" s="460" t="s">
        <v>682</v>
      </c>
      <c r="E20" s="122"/>
      <c r="F20" s="136">
        <f>'13 - Issuer Account'!I38</f>
        <v>0</v>
      </c>
      <c r="G20" s="121"/>
      <c r="H20" s="861"/>
      <c r="I20" s="802" t="s">
        <v>246</v>
      </c>
      <c r="J20" s="856"/>
      <c r="K20" s="855">
        <f>'11 - Notes Follow-up'!W24</f>
        <v>300</v>
      </c>
      <c r="M20" s="5"/>
    </row>
    <row r="21" spans="2:14" ht="15">
      <c r="B21" s="3"/>
      <c r="C21" s="138"/>
      <c r="D21" s="801" t="s">
        <v>229</v>
      </c>
      <c r="E21" s="123"/>
      <c r="F21" s="136">
        <f>'13 - Issuer Account'!I63</f>
        <v>9802500</v>
      </c>
      <c r="G21" s="124"/>
      <c r="H21" s="861"/>
      <c r="J21" s="127"/>
      <c r="K21" s="127"/>
    </row>
    <row r="22" spans="2:14" ht="15">
      <c r="C22" s="138"/>
      <c r="D22" s="801" t="s">
        <v>681</v>
      </c>
      <c r="E22" s="123"/>
      <c r="F22" s="136">
        <f>'13 - Issuer Account'!I50</f>
        <v>0</v>
      </c>
      <c r="G22" s="124"/>
      <c r="H22" s="861"/>
      <c r="I22" s="802" t="s">
        <v>1319</v>
      </c>
      <c r="J22" s="856"/>
      <c r="K22" s="855">
        <f>'13 - Issuer Account'!I63</f>
        <v>9802500</v>
      </c>
    </row>
    <row r="23" spans="2:14" ht="15.75">
      <c r="C23" s="142"/>
      <c r="D23" s="139"/>
      <c r="E23" s="140"/>
      <c r="F23" s="141"/>
      <c r="G23" s="125"/>
      <c r="H23" s="128"/>
      <c r="I23" s="802" t="s">
        <v>2429</v>
      </c>
      <c r="J23" s="857"/>
      <c r="K23" s="858">
        <f>SUM('03 - Monthly Asset Follow up'!E17:E19)</f>
        <v>1063082.5900000001</v>
      </c>
    </row>
    <row r="24" spans="2:14" ht="15.75">
      <c r="D24" s="143" t="s">
        <v>2</v>
      </c>
      <c r="E24" s="143"/>
      <c r="F24" s="803">
        <f>F14+F20+F21+F19+F22+F15</f>
        <v>776599973.56000054</v>
      </c>
      <c r="G24" s="118"/>
      <c r="H24" s="129"/>
      <c r="I24" s="130" t="s">
        <v>2</v>
      </c>
      <c r="J24" s="130"/>
      <c r="K24" s="804">
        <f>K13+K16+K20+K22+K18+K19+K23</f>
        <v>776599973.56000054</v>
      </c>
      <c r="L24" s="1030">
        <f>K24-F24</f>
        <v>0</v>
      </c>
    </row>
    <row r="25" spans="2:14">
      <c r="I25" s="3"/>
      <c r="J25" s="3"/>
      <c r="K25" s="3"/>
      <c r="L25" s="5"/>
      <c r="N25" s="3"/>
    </row>
    <row r="26" spans="2:14">
      <c r="F26" s="3"/>
      <c r="I26" s="3"/>
      <c r="K26" s="3"/>
      <c r="L26" s="5"/>
    </row>
    <row r="27" spans="2:14">
      <c r="G27" s="3"/>
      <c r="I27" s="3"/>
    </row>
    <row r="28" spans="2:14">
      <c r="F28" s="3"/>
      <c r="K28" s="3"/>
    </row>
    <row r="33" spans="9:10">
      <c r="I33" s="157"/>
      <c r="J33" s="3"/>
    </row>
    <row r="34" spans="9:10">
      <c r="J34" s="3"/>
    </row>
    <row r="36" spans="9:10">
      <c r="J36" s="3"/>
    </row>
    <row r="37" spans="9:10">
      <c r="J37" s="3"/>
    </row>
  </sheetData>
  <mergeCells count="2">
    <mergeCell ref="C12:F12"/>
    <mergeCell ref="H12:K12"/>
  </mergeCells>
  <phoneticPr fontId="117" type="noConversion"/>
  <pageMargins left="0.7" right="0.7" top="0.75" bottom="0.75" header="0.3" footer="0.3"/>
  <pageSetup scale="45"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A30" zoomScale="80" zoomScaleNormal="80" workbookViewId="0">
      <selection activeCell="G66" sqref="G66"/>
    </sheetView>
  </sheetViews>
  <sheetFormatPr defaultColWidth="11.42578125" defaultRowHeight="15"/>
  <cols>
    <col min="1" max="1" width="11.42578125" style="8"/>
    <col min="2" max="2" width="30.42578125" style="8" bestFit="1" customWidth="1"/>
    <col min="3" max="3" width="3" style="8" customWidth="1"/>
    <col min="4" max="4" width="34.5703125" style="8" customWidth="1"/>
    <col min="5" max="5" width="34" style="8" customWidth="1"/>
    <col min="6" max="6" width="24.42578125" style="8" bestFit="1" customWidth="1"/>
    <col min="7" max="7" width="25.140625" style="8" customWidth="1"/>
    <col min="8" max="8" width="30.5703125" style="8" customWidth="1"/>
    <col min="9" max="9" width="31.140625" style="8" customWidth="1"/>
    <col min="10" max="10" width="24.85546875" style="8" customWidth="1"/>
    <col min="11" max="11" width="25.140625" style="9" customWidth="1"/>
    <col min="12" max="12" width="25.140625" style="8" customWidth="1"/>
    <col min="13" max="16384" width="11.42578125" style="8"/>
  </cols>
  <sheetData>
    <row r="1" spans="2:11" ht="21.75" customHeight="1">
      <c r="K1" s="8"/>
    </row>
    <row r="2" spans="2:11">
      <c r="K2" s="8"/>
    </row>
    <row r="3" spans="2:11">
      <c r="K3" s="8"/>
    </row>
    <row r="4" spans="2:11">
      <c r="K4" s="8"/>
    </row>
    <row r="5" spans="2:11">
      <c r="K5" s="8"/>
    </row>
    <row r="7" spans="2:11">
      <c r="B7" s="1193" t="s">
        <v>213</v>
      </c>
      <c r="C7" s="1193"/>
      <c r="D7" s="1193"/>
      <c r="E7" s="1193"/>
      <c r="F7" s="1193"/>
      <c r="G7" s="1193"/>
      <c r="H7" s="1193"/>
      <c r="I7" s="1193"/>
      <c r="J7" s="9"/>
    </row>
    <row r="8" spans="2:11" ht="15.75" thickBot="1"/>
    <row r="9" spans="2:11" ht="15.75" thickBot="1">
      <c r="B9" s="328" t="s">
        <v>128</v>
      </c>
      <c r="D9" s="328">
        <v>7</v>
      </c>
    </row>
    <row r="11" spans="2:11" ht="15.75" thickBot="1"/>
    <row r="12" spans="2:11" ht="63" customHeight="1" thickTop="1" thickBot="1">
      <c r="B12" s="620" t="s">
        <v>133</v>
      </c>
      <c r="C12" s="325"/>
      <c r="D12" s="1278"/>
      <c r="E12" s="1279"/>
    </row>
    <row r="13" spans="2:11" ht="16.5" customHeight="1" thickTop="1" thickBot="1">
      <c r="B13" s="326"/>
      <c r="C13" s="326"/>
      <c r="D13" s="326"/>
      <c r="E13" s="326"/>
      <c r="F13" s="291"/>
    </row>
    <row r="14" spans="2:11" ht="15" customHeight="1">
      <c r="B14" s="616" t="s">
        <v>662</v>
      </c>
      <c r="C14" s="327"/>
      <c r="D14" s="1275" t="s">
        <v>663</v>
      </c>
      <c r="E14" s="1275"/>
      <c r="K14" s="8"/>
    </row>
    <row r="15" spans="2:11" ht="15" customHeight="1">
      <c r="B15" s="617" t="s">
        <v>667</v>
      </c>
      <c r="C15" s="327"/>
      <c r="D15" s="1280" t="s">
        <v>668</v>
      </c>
      <c r="E15" s="1280"/>
      <c r="K15" s="8"/>
    </row>
    <row r="16" spans="2:11">
      <c r="B16" s="618" t="s">
        <v>130</v>
      </c>
      <c r="C16" s="325"/>
      <c r="D16" s="1276">
        <v>45268</v>
      </c>
      <c r="E16" s="1277"/>
      <c r="K16" s="289"/>
    </row>
    <row r="17" spans="1:13">
      <c r="B17" s="618" t="s">
        <v>129</v>
      </c>
      <c r="C17" s="326"/>
      <c r="D17" s="1276">
        <v>45268</v>
      </c>
      <c r="E17" s="1277"/>
      <c r="K17" s="289"/>
    </row>
    <row r="18" spans="1:13" ht="72" customHeight="1">
      <c r="B18" s="618" t="s">
        <v>661</v>
      </c>
      <c r="C18" s="326"/>
      <c r="D18" s="1283" t="s">
        <v>664</v>
      </c>
      <c r="E18" s="1284"/>
      <c r="F18" s="290"/>
      <c r="K18" s="8"/>
    </row>
    <row r="19" spans="1:13" ht="72" customHeight="1">
      <c r="B19" s="618" t="s">
        <v>665</v>
      </c>
      <c r="C19" s="326"/>
      <c r="D19" s="1283" t="s">
        <v>664</v>
      </c>
      <c r="E19" s="1284"/>
      <c r="F19" s="290"/>
      <c r="K19" s="8"/>
    </row>
    <row r="20" spans="1:13" ht="92.25" customHeight="1">
      <c r="B20" s="618" t="s">
        <v>131</v>
      </c>
      <c r="C20" s="326"/>
      <c r="D20" s="1283" t="s">
        <v>655</v>
      </c>
      <c r="E20" s="1284"/>
      <c r="F20" s="290"/>
      <c r="K20" s="8"/>
    </row>
    <row r="21" spans="1:13" ht="45.75" customHeight="1">
      <c r="B21" s="618" t="s">
        <v>651</v>
      </c>
      <c r="C21" s="326"/>
      <c r="D21" s="1283" t="s">
        <v>1270</v>
      </c>
      <c r="E21" s="1284"/>
      <c r="F21" s="290"/>
      <c r="K21" s="8"/>
    </row>
    <row r="22" spans="1:13" ht="45.75" customHeight="1">
      <c r="B22" s="618" t="s">
        <v>92</v>
      </c>
      <c r="C22" s="326"/>
      <c r="D22" s="1283" t="s">
        <v>1271</v>
      </c>
      <c r="E22" s="1284"/>
      <c r="F22" s="290"/>
    </row>
    <row r="23" spans="1:13" ht="45.75" customHeight="1">
      <c r="B23" s="618" t="s">
        <v>669</v>
      </c>
      <c r="C23" s="326"/>
      <c r="D23" s="1283" t="s">
        <v>716</v>
      </c>
      <c r="E23" s="1284"/>
      <c r="F23" s="290"/>
    </row>
    <row r="24" spans="1:13" ht="45.75" customHeight="1">
      <c r="B24" s="618" t="s">
        <v>670</v>
      </c>
      <c r="C24" s="326"/>
      <c r="D24" s="1283" t="s">
        <v>1272</v>
      </c>
      <c r="E24" s="1284"/>
      <c r="F24" s="290"/>
    </row>
    <row r="25" spans="1:13" ht="45.75" customHeight="1">
      <c r="B25" s="618" t="s">
        <v>652</v>
      </c>
      <c r="C25" s="326"/>
      <c r="D25" s="1283" t="s">
        <v>660</v>
      </c>
      <c r="E25" s="1284"/>
      <c r="F25" s="290"/>
    </row>
    <row r="26" spans="1:13" ht="45.75" customHeight="1" thickBot="1">
      <c r="B26" s="618" t="s">
        <v>85</v>
      </c>
      <c r="C26" s="326"/>
      <c r="D26" s="1283" t="s">
        <v>654</v>
      </c>
      <c r="E26" s="1284"/>
      <c r="F26" s="290"/>
      <c r="K26" s="8"/>
    </row>
    <row r="27" spans="1:13" ht="45.6" customHeight="1">
      <c r="B27" s="618" t="s">
        <v>666</v>
      </c>
      <c r="C27" s="326"/>
      <c r="D27" s="1283" t="s">
        <v>1273</v>
      </c>
      <c r="E27" s="1284"/>
      <c r="F27" s="458"/>
      <c r="G27" s="792" t="s">
        <v>673</v>
      </c>
      <c r="H27" s="1273" t="s">
        <v>1274</v>
      </c>
      <c r="I27" s="1274"/>
      <c r="K27" s="8"/>
    </row>
    <row r="28" spans="1:13" ht="45.6" customHeight="1">
      <c r="B28" s="618" t="s">
        <v>671</v>
      </c>
      <c r="C28" s="326"/>
      <c r="D28" s="1283" t="s">
        <v>1275</v>
      </c>
      <c r="E28" s="1284"/>
      <c r="F28" s="457"/>
      <c r="G28" s="793" t="s">
        <v>674</v>
      </c>
      <c r="H28" s="805" t="s">
        <v>1276</v>
      </c>
      <c r="I28" s="806"/>
      <c r="K28" s="8"/>
    </row>
    <row r="29" spans="1:13" ht="45.6" customHeight="1">
      <c r="B29" s="618" t="s">
        <v>672</v>
      </c>
      <c r="C29" s="326"/>
      <c r="D29" s="1283" t="s">
        <v>1277</v>
      </c>
      <c r="E29" s="1284"/>
      <c r="F29" s="457"/>
      <c r="G29" s="793" t="s">
        <v>675</v>
      </c>
      <c r="H29" s="805" t="s">
        <v>676</v>
      </c>
      <c r="I29" s="806"/>
      <c r="K29" s="8"/>
    </row>
    <row r="30" spans="1:13" ht="45.75" customHeight="1" thickBot="1">
      <c r="B30" s="619" t="s">
        <v>171</v>
      </c>
      <c r="C30" s="326"/>
      <c r="D30" s="1281" t="s">
        <v>1278</v>
      </c>
      <c r="E30" s="1282"/>
      <c r="G30" s="794" t="s">
        <v>677</v>
      </c>
      <c r="H30" s="807" t="s">
        <v>678</v>
      </c>
      <c r="I30" s="808"/>
      <c r="K30" s="8"/>
    </row>
    <row r="31" spans="1:13" ht="45.75" customHeight="1">
      <c r="H31" s="631"/>
      <c r="K31" s="8"/>
    </row>
    <row r="32" spans="1:13" s="9" customFormat="1" ht="15.75" thickBot="1">
      <c r="A32" s="8"/>
      <c r="B32" s="8"/>
      <c r="C32" s="8"/>
      <c r="D32" s="8"/>
      <c r="E32" s="8"/>
      <c r="F32" s="8"/>
      <c r="G32" s="632"/>
      <c r="H32" s="8"/>
      <c r="I32" s="8"/>
      <c r="J32" s="8"/>
      <c r="K32" s="8"/>
      <c r="M32" s="8"/>
    </row>
    <row r="33" spans="1:13" s="9" customFormat="1" ht="25.5" customHeight="1" thickBot="1">
      <c r="A33" s="8"/>
      <c r="B33" s="320" t="s">
        <v>101</v>
      </c>
      <c r="D33" s="621" t="s">
        <v>658</v>
      </c>
      <c r="E33" s="622" t="s">
        <v>659</v>
      </c>
      <c r="F33" s="621" t="s">
        <v>656</v>
      </c>
      <c r="G33" s="622" t="s">
        <v>657</v>
      </c>
      <c r="H33" s="622" t="s">
        <v>651</v>
      </c>
      <c r="I33" s="623" t="s">
        <v>92</v>
      </c>
      <c r="J33" s="623" t="s">
        <v>652</v>
      </c>
      <c r="K33" s="621" t="s">
        <v>85</v>
      </c>
      <c r="L33" s="621" t="s">
        <v>2407</v>
      </c>
      <c r="M33" s="8"/>
    </row>
    <row r="34" spans="1:13" s="9" customFormat="1">
      <c r="A34" s="8"/>
      <c r="B34" s="319"/>
      <c r="D34" s="456"/>
      <c r="E34" s="292"/>
      <c r="F34" s="292"/>
      <c r="G34" s="292">
        <v>45230</v>
      </c>
      <c r="H34" s="292"/>
      <c r="I34" s="292"/>
      <c r="J34" s="292"/>
      <c r="K34" s="10"/>
      <c r="L34" s="10" t="str">
        <f>IF(K34="","Monthly","Quartely")</f>
        <v>Monthly</v>
      </c>
      <c r="M34" s="8"/>
    </row>
    <row r="35" spans="1:13" s="9" customFormat="1">
      <c r="A35" s="8"/>
      <c r="B35" s="319"/>
      <c r="D35" s="284"/>
      <c r="E35" s="292"/>
      <c r="F35" s="292">
        <v>45231</v>
      </c>
      <c r="G35" s="292">
        <v>45260</v>
      </c>
      <c r="H35" s="292"/>
      <c r="I35" s="292"/>
      <c r="J35" s="292"/>
      <c r="K35" s="10"/>
      <c r="L35" s="10" t="str">
        <f t="shared" ref="L35:L98" si="0">IF(K35="","Monthly","Quartely")</f>
        <v>Monthly</v>
      </c>
      <c r="M35" s="8"/>
    </row>
    <row r="36" spans="1:13" s="9" customFormat="1">
      <c r="A36" s="8"/>
      <c r="B36" s="319"/>
      <c r="D36" s="284"/>
      <c r="E36" s="292"/>
      <c r="F36" s="292">
        <v>45261</v>
      </c>
      <c r="G36" s="292">
        <v>45291</v>
      </c>
      <c r="H36" s="292">
        <v>45306</v>
      </c>
      <c r="I36" s="292"/>
      <c r="J36" s="292"/>
      <c r="K36" s="10"/>
      <c r="L36" s="10" t="str">
        <f t="shared" si="0"/>
        <v>Monthly</v>
      </c>
      <c r="M36" s="8"/>
    </row>
    <row r="37" spans="1:13" s="9" customFormat="1">
      <c r="A37" s="8"/>
      <c r="B37" s="319"/>
      <c r="D37" s="284"/>
      <c r="E37" s="292"/>
      <c r="F37" s="292">
        <v>45292</v>
      </c>
      <c r="G37" s="292">
        <v>45322</v>
      </c>
      <c r="H37" s="292">
        <v>45336</v>
      </c>
      <c r="I37" s="292"/>
      <c r="J37" s="292"/>
      <c r="K37" s="10"/>
      <c r="L37" s="10" t="str">
        <f t="shared" si="0"/>
        <v>Monthly</v>
      </c>
      <c r="M37" s="8"/>
    </row>
    <row r="38" spans="1:13" s="9" customFormat="1">
      <c r="A38" s="8"/>
      <c r="B38" s="319"/>
      <c r="D38" s="284"/>
      <c r="E38" s="292"/>
      <c r="F38" s="292">
        <v>45323</v>
      </c>
      <c r="G38" s="292">
        <v>45351</v>
      </c>
      <c r="H38" s="292">
        <v>45365</v>
      </c>
      <c r="I38" s="292"/>
      <c r="J38" s="292"/>
      <c r="K38" s="10"/>
      <c r="L38" s="10" t="str">
        <f t="shared" si="0"/>
        <v>Monthly</v>
      </c>
      <c r="M38" s="8"/>
    </row>
    <row r="39" spans="1:13" s="9" customFormat="1">
      <c r="A39" s="8"/>
      <c r="B39" s="319">
        <v>1</v>
      </c>
      <c r="D39" s="456">
        <v>45268</v>
      </c>
      <c r="E39" s="292">
        <v>45382</v>
      </c>
      <c r="F39" s="292">
        <v>45352</v>
      </c>
      <c r="G39" s="292">
        <v>45382</v>
      </c>
      <c r="H39" s="292">
        <v>45397</v>
      </c>
      <c r="I39" s="292">
        <v>45401</v>
      </c>
      <c r="J39" s="292">
        <v>45405</v>
      </c>
      <c r="K39" s="10">
        <v>45407</v>
      </c>
      <c r="L39" s="10" t="str">
        <f t="shared" si="0"/>
        <v>Quartely</v>
      </c>
      <c r="M39" s="8"/>
    </row>
    <row r="40" spans="1:13" s="9" customFormat="1">
      <c r="A40" s="8"/>
      <c r="B40" s="319"/>
      <c r="D40" s="284" t="s">
        <v>653</v>
      </c>
      <c r="E40" s="292"/>
      <c r="F40" s="292">
        <v>45383</v>
      </c>
      <c r="G40" s="292">
        <v>45412</v>
      </c>
      <c r="H40" s="292">
        <v>45429</v>
      </c>
      <c r="I40" s="292" t="s">
        <v>653</v>
      </c>
      <c r="J40" s="292"/>
      <c r="K40" s="10" t="s">
        <v>653</v>
      </c>
      <c r="L40" s="10" t="str">
        <f t="shared" si="0"/>
        <v>Monthly</v>
      </c>
      <c r="M40" s="8"/>
    </row>
    <row r="41" spans="1:13" s="9" customFormat="1">
      <c r="A41" s="8"/>
      <c r="B41" s="319"/>
      <c r="D41" s="284" t="s">
        <v>653</v>
      </c>
      <c r="E41" s="292"/>
      <c r="F41" s="292">
        <v>45413</v>
      </c>
      <c r="G41" s="292">
        <v>45443</v>
      </c>
      <c r="H41" s="292">
        <v>45457</v>
      </c>
      <c r="I41" s="292" t="s">
        <v>653</v>
      </c>
      <c r="J41" s="292"/>
      <c r="K41" s="10" t="s">
        <v>653</v>
      </c>
      <c r="L41" s="10" t="str">
        <f t="shared" si="0"/>
        <v>Monthly</v>
      </c>
      <c r="M41" s="8"/>
    </row>
    <row r="42" spans="1:13" s="9" customFormat="1">
      <c r="A42" s="8"/>
      <c r="B42" s="319">
        <v>2</v>
      </c>
      <c r="D42" s="284">
        <v>45383</v>
      </c>
      <c r="E42" s="292">
        <v>45473</v>
      </c>
      <c r="F42" s="292">
        <v>45444</v>
      </c>
      <c r="G42" s="292">
        <v>45473</v>
      </c>
      <c r="H42" s="292">
        <v>45488</v>
      </c>
      <c r="I42" s="292">
        <v>45491</v>
      </c>
      <c r="J42" s="292">
        <v>45496</v>
      </c>
      <c r="K42" s="10">
        <v>45498</v>
      </c>
      <c r="L42" s="10" t="str">
        <f t="shared" si="0"/>
        <v>Quartely</v>
      </c>
      <c r="M42" s="8"/>
    </row>
    <row r="43" spans="1:13" s="9" customFormat="1">
      <c r="A43" s="8"/>
      <c r="B43" s="319"/>
      <c r="D43" s="284"/>
      <c r="E43" s="292" t="s">
        <v>653</v>
      </c>
      <c r="F43" s="292">
        <v>45474</v>
      </c>
      <c r="G43" s="292">
        <v>45504</v>
      </c>
      <c r="H43" s="292">
        <v>45520</v>
      </c>
      <c r="I43" s="292" t="s">
        <v>653</v>
      </c>
      <c r="J43" s="292"/>
      <c r="K43" s="10" t="s">
        <v>653</v>
      </c>
      <c r="L43" s="10" t="str">
        <f t="shared" si="0"/>
        <v>Monthly</v>
      </c>
      <c r="M43" s="8"/>
    </row>
    <row r="44" spans="1:13" s="9" customFormat="1">
      <c r="A44" s="8"/>
      <c r="B44" s="319"/>
      <c r="D44" s="284"/>
      <c r="E44" s="292" t="s">
        <v>653</v>
      </c>
      <c r="F44" s="292">
        <v>45505</v>
      </c>
      <c r="G44" s="292">
        <v>45535</v>
      </c>
      <c r="H44" s="292">
        <v>45548</v>
      </c>
      <c r="I44" s="292" t="s">
        <v>653</v>
      </c>
      <c r="J44" s="292"/>
      <c r="K44" s="10" t="s">
        <v>653</v>
      </c>
      <c r="L44" s="10" t="str">
        <f t="shared" si="0"/>
        <v>Monthly</v>
      </c>
      <c r="M44" s="8"/>
    </row>
    <row r="45" spans="1:13" s="9" customFormat="1">
      <c r="A45" s="8"/>
      <c r="B45" s="319">
        <v>3</v>
      </c>
      <c r="D45" s="284">
        <v>45474</v>
      </c>
      <c r="E45" s="292">
        <v>45565</v>
      </c>
      <c r="F45" s="292">
        <v>45536</v>
      </c>
      <c r="G45" s="292">
        <v>45565</v>
      </c>
      <c r="H45" s="292">
        <v>45580</v>
      </c>
      <c r="I45" s="292">
        <v>45583</v>
      </c>
      <c r="J45" s="292">
        <v>45588</v>
      </c>
      <c r="K45" s="10">
        <v>45590</v>
      </c>
      <c r="L45" s="10" t="str">
        <f t="shared" si="0"/>
        <v>Quartely</v>
      </c>
      <c r="M45" s="8"/>
    </row>
    <row r="46" spans="1:13" s="9" customFormat="1">
      <c r="A46" s="8"/>
      <c r="B46" s="319"/>
      <c r="D46" s="284"/>
      <c r="E46" s="292" t="s">
        <v>653</v>
      </c>
      <c r="F46" s="292">
        <v>45566</v>
      </c>
      <c r="G46" s="292">
        <v>45596</v>
      </c>
      <c r="H46" s="292">
        <v>45614</v>
      </c>
      <c r="I46" s="292" t="s">
        <v>653</v>
      </c>
      <c r="J46" s="292"/>
      <c r="K46" s="10" t="s">
        <v>653</v>
      </c>
      <c r="L46" s="10" t="str">
        <f t="shared" si="0"/>
        <v>Monthly</v>
      </c>
      <c r="M46" s="8"/>
    </row>
    <row r="47" spans="1:13" s="9" customFormat="1">
      <c r="A47" s="8"/>
      <c r="B47" s="319"/>
      <c r="D47" s="284"/>
      <c r="E47" s="292" t="s">
        <v>653</v>
      </c>
      <c r="F47" s="292">
        <v>45597</v>
      </c>
      <c r="G47" s="292">
        <v>45626</v>
      </c>
      <c r="H47" s="292">
        <v>45639</v>
      </c>
      <c r="I47" s="292" t="s">
        <v>653</v>
      </c>
      <c r="J47" s="292"/>
      <c r="K47" s="10" t="s">
        <v>653</v>
      </c>
      <c r="L47" s="10" t="str">
        <f t="shared" si="0"/>
        <v>Monthly</v>
      </c>
      <c r="M47" s="8"/>
    </row>
    <row r="48" spans="1:13" s="9" customFormat="1">
      <c r="A48" s="8"/>
      <c r="B48" s="319">
        <v>4</v>
      </c>
      <c r="D48" s="284">
        <v>45566</v>
      </c>
      <c r="E48" s="292">
        <v>45657</v>
      </c>
      <c r="F48" s="292">
        <v>45627</v>
      </c>
      <c r="G48" s="292">
        <v>45657</v>
      </c>
      <c r="H48" s="292">
        <v>45672</v>
      </c>
      <c r="I48" s="292">
        <v>45678</v>
      </c>
      <c r="J48" s="292">
        <v>45680</v>
      </c>
      <c r="K48" s="10">
        <v>45684</v>
      </c>
      <c r="L48" s="10" t="str">
        <f t="shared" si="0"/>
        <v>Quartely</v>
      </c>
      <c r="M48" s="8"/>
    </row>
    <row r="49" spans="1:12" s="9" customFormat="1">
      <c r="A49" s="8"/>
      <c r="B49" s="319"/>
      <c r="D49" s="284"/>
      <c r="E49" s="292" t="s">
        <v>653</v>
      </c>
      <c r="F49" s="292">
        <v>45658</v>
      </c>
      <c r="G49" s="292">
        <v>45688</v>
      </c>
      <c r="H49" s="292">
        <v>45702</v>
      </c>
      <c r="I49" s="292" t="s">
        <v>653</v>
      </c>
      <c r="J49" s="292"/>
      <c r="K49" s="10" t="s">
        <v>653</v>
      </c>
      <c r="L49" s="10" t="str">
        <f t="shared" si="0"/>
        <v>Monthly</v>
      </c>
    </row>
    <row r="50" spans="1:12" s="9" customFormat="1">
      <c r="A50" s="8"/>
      <c r="B50" s="319"/>
      <c r="D50" s="284"/>
      <c r="E50" s="292" t="s">
        <v>653</v>
      </c>
      <c r="F50" s="292">
        <v>45689</v>
      </c>
      <c r="G50" s="292">
        <v>45716</v>
      </c>
      <c r="H50" s="292">
        <v>45730</v>
      </c>
      <c r="I50" s="292" t="s">
        <v>653</v>
      </c>
      <c r="J50" s="292"/>
      <c r="K50" s="10" t="s">
        <v>653</v>
      </c>
      <c r="L50" s="10" t="str">
        <f t="shared" si="0"/>
        <v>Monthly</v>
      </c>
    </row>
    <row r="51" spans="1:12" s="9" customFormat="1">
      <c r="A51" s="8"/>
      <c r="B51" s="319">
        <v>5</v>
      </c>
      <c r="D51" s="284">
        <v>45658</v>
      </c>
      <c r="E51" s="292">
        <v>45747</v>
      </c>
      <c r="F51" s="292">
        <v>45717</v>
      </c>
      <c r="G51" s="292">
        <v>45747</v>
      </c>
      <c r="H51" s="292">
        <v>45762</v>
      </c>
      <c r="I51" s="292">
        <v>45769</v>
      </c>
      <c r="J51" s="292">
        <v>45770</v>
      </c>
      <c r="K51" s="10">
        <v>45772</v>
      </c>
      <c r="L51" s="10" t="str">
        <f t="shared" si="0"/>
        <v>Quartely</v>
      </c>
    </row>
    <row r="52" spans="1:12" s="9" customFormat="1">
      <c r="A52" s="8"/>
      <c r="B52" s="319"/>
      <c r="D52" s="284"/>
      <c r="E52" s="292" t="s">
        <v>653</v>
      </c>
      <c r="F52" s="292">
        <v>45748</v>
      </c>
      <c r="G52" s="292">
        <v>45777</v>
      </c>
      <c r="H52" s="292">
        <v>45793</v>
      </c>
      <c r="I52" s="292" t="s">
        <v>653</v>
      </c>
      <c r="J52" s="292"/>
      <c r="K52" s="10" t="s">
        <v>653</v>
      </c>
      <c r="L52" s="10" t="str">
        <f t="shared" si="0"/>
        <v>Monthly</v>
      </c>
    </row>
    <row r="53" spans="1:12" s="9" customFormat="1">
      <c r="A53" s="8"/>
      <c r="B53" s="319"/>
      <c r="D53" s="284"/>
      <c r="E53" s="292" t="s">
        <v>653</v>
      </c>
      <c r="F53" s="292">
        <v>45778</v>
      </c>
      <c r="G53" s="292">
        <v>45808</v>
      </c>
      <c r="H53" s="292">
        <v>45824</v>
      </c>
      <c r="I53" s="292" t="s">
        <v>653</v>
      </c>
      <c r="J53" s="292"/>
      <c r="K53" s="10" t="s">
        <v>653</v>
      </c>
      <c r="L53" s="10" t="str">
        <f t="shared" si="0"/>
        <v>Monthly</v>
      </c>
    </row>
    <row r="54" spans="1:12" s="9" customFormat="1">
      <c r="A54" s="8"/>
      <c r="B54" s="319">
        <v>6</v>
      </c>
      <c r="D54" s="284">
        <v>45748</v>
      </c>
      <c r="E54" s="292">
        <v>45838</v>
      </c>
      <c r="F54" s="292">
        <v>45809</v>
      </c>
      <c r="G54" s="292">
        <v>45838</v>
      </c>
      <c r="H54" s="292">
        <v>45854</v>
      </c>
      <c r="I54" s="292">
        <v>45859</v>
      </c>
      <c r="J54" s="292">
        <v>45861</v>
      </c>
      <c r="K54" s="10">
        <v>45863</v>
      </c>
      <c r="L54" s="10" t="str">
        <f t="shared" si="0"/>
        <v>Quartely</v>
      </c>
    </row>
    <row r="55" spans="1:12" s="9" customFormat="1">
      <c r="A55" s="8"/>
      <c r="B55" s="319"/>
      <c r="D55" s="284"/>
      <c r="E55" s="292" t="s">
        <v>653</v>
      </c>
      <c r="F55" s="292">
        <v>45839</v>
      </c>
      <c r="G55" s="292">
        <v>45869</v>
      </c>
      <c r="H55" s="292">
        <v>45887</v>
      </c>
      <c r="I55" s="292" t="s">
        <v>653</v>
      </c>
      <c r="J55" s="292"/>
      <c r="K55" s="10" t="s">
        <v>653</v>
      </c>
      <c r="L55" s="10" t="str">
        <f t="shared" si="0"/>
        <v>Monthly</v>
      </c>
    </row>
    <row r="56" spans="1:12" s="9" customFormat="1">
      <c r="A56" s="8"/>
      <c r="B56" s="319"/>
      <c r="D56" s="284"/>
      <c r="E56" s="292" t="s">
        <v>653</v>
      </c>
      <c r="F56" s="292">
        <v>45870</v>
      </c>
      <c r="G56" s="292">
        <v>45900</v>
      </c>
      <c r="H56" s="292">
        <v>45915</v>
      </c>
      <c r="I56" s="292" t="s">
        <v>653</v>
      </c>
      <c r="J56" s="292"/>
      <c r="K56" s="10" t="s">
        <v>653</v>
      </c>
      <c r="L56" s="10" t="str">
        <f t="shared" si="0"/>
        <v>Monthly</v>
      </c>
    </row>
    <row r="57" spans="1:12" s="9" customFormat="1">
      <c r="A57" s="8"/>
      <c r="B57" s="319">
        <v>7</v>
      </c>
      <c r="D57" s="284">
        <v>45839</v>
      </c>
      <c r="E57" s="292">
        <v>45930</v>
      </c>
      <c r="F57" s="292">
        <v>45901</v>
      </c>
      <c r="G57" s="292">
        <v>45930</v>
      </c>
      <c r="H57" s="292">
        <v>45945</v>
      </c>
      <c r="I57" s="292">
        <v>45950</v>
      </c>
      <c r="J57" s="292">
        <v>45953</v>
      </c>
      <c r="K57" s="10">
        <v>45957</v>
      </c>
      <c r="L57" s="10" t="str">
        <f t="shared" si="0"/>
        <v>Quartely</v>
      </c>
    </row>
    <row r="58" spans="1:12" s="9" customFormat="1">
      <c r="A58" s="8"/>
      <c r="B58" s="319"/>
      <c r="D58" s="284"/>
      <c r="E58" s="292" t="s">
        <v>653</v>
      </c>
      <c r="F58" s="292">
        <v>45931</v>
      </c>
      <c r="G58" s="292">
        <v>45961</v>
      </c>
      <c r="H58" s="292">
        <v>45978</v>
      </c>
      <c r="I58" s="292" t="s">
        <v>653</v>
      </c>
      <c r="J58" s="292"/>
      <c r="K58" s="10" t="s">
        <v>653</v>
      </c>
      <c r="L58" s="10" t="str">
        <f t="shared" si="0"/>
        <v>Monthly</v>
      </c>
    </row>
    <row r="59" spans="1:12" s="9" customFormat="1">
      <c r="A59" s="8"/>
      <c r="B59" s="319"/>
      <c r="D59" s="284"/>
      <c r="E59" s="292" t="s">
        <v>653</v>
      </c>
      <c r="F59" s="292">
        <v>45962</v>
      </c>
      <c r="G59" s="292">
        <v>45991</v>
      </c>
      <c r="H59" s="292">
        <v>46006</v>
      </c>
      <c r="I59" s="292" t="s">
        <v>653</v>
      </c>
      <c r="J59" s="292"/>
      <c r="K59" s="10" t="s">
        <v>653</v>
      </c>
      <c r="L59" s="10" t="str">
        <f t="shared" si="0"/>
        <v>Monthly</v>
      </c>
    </row>
    <row r="60" spans="1:12" s="9" customFormat="1">
      <c r="A60" s="8"/>
      <c r="B60" s="319">
        <v>8</v>
      </c>
      <c r="D60" s="284">
        <v>45931</v>
      </c>
      <c r="E60" s="292">
        <v>46022</v>
      </c>
      <c r="F60" s="292">
        <v>45992</v>
      </c>
      <c r="G60" s="292">
        <v>46022</v>
      </c>
      <c r="H60" s="292">
        <v>46037</v>
      </c>
      <c r="I60" s="292">
        <v>46043</v>
      </c>
      <c r="J60" s="292">
        <v>46045</v>
      </c>
      <c r="K60" s="10">
        <v>46049</v>
      </c>
      <c r="L60" s="10" t="str">
        <f t="shared" si="0"/>
        <v>Quartely</v>
      </c>
    </row>
    <row r="61" spans="1:12" s="9" customFormat="1">
      <c r="A61" s="8"/>
      <c r="B61" s="319"/>
      <c r="D61" s="284"/>
      <c r="E61" s="292" t="s">
        <v>653</v>
      </c>
      <c r="F61" s="292">
        <v>46023</v>
      </c>
      <c r="G61" s="292">
        <v>46053</v>
      </c>
      <c r="H61" s="292">
        <v>46066</v>
      </c>
      <c r="I61" s="292" t="s">
        <v>653</v>
      </c>
      <c r="J61" s="292"/>
      <c r="K61" s="10" t="s">
        <v>653</v>
      </c>
      <c r="L61" s="10" t="str">
        <f t="shared" si="0"/>
        <v>Monthly</v>
      </c>
    </row>
    <row r="62" spans="1:12" s="9" customFormat="1">
      <c r="A62" s="8"/>
      <c r="B62" s="319"/>
      <c r="D62" s="284"/>
      <c r="E62" s="292" t="s">
        <v>653</v>
      </c>
      <c r="F62" s="292">
        <v>46054</v>
      </c>
      <c r="G62" s="292">
        <v>46081</v>
      </c>
      <c r="H62" s="292">
        <v>46094</v>
      </c>
      <c r="I62" s="292" t="s">
        <v>653</v>
      </c>
      <c r="J62" s="292"/>
      <c r="K62" s="10" t="s">
        <v>653</v>
      </c>
      <c r="L62" s="10" t="str">
        <f t="shared" si="0"/>
        <v>Monthly</v>
      </c>
    </row>
    <row r="63" spans="1:12" s="9" customFormat="1">
      <c r="A63" s="8"/>
      <c r="B63" s="319">
        <v>9</v>
      </c>
      <c r="D63" s="284">
        <v>46023</v>
      </c>
      <c r="E63" s="292">
        <v>46112</v>
      </c>
      <c r="F63" s="292">
        <v>46082</v>
      </c>
      <c r="G63" s="292">
        <v>46112</v>
      </c>
      <c r="H63" s="292">
        <v>46129</v>
      </c>
      <c r="I63" s="292">
        <v>46134</v>
      </c>
      <c r="J63" s="292">
        <v>46135</v>
      </c>
      <c r="K63" s="10">
        <v>46139</v>
      </c>
      <c r="L63" s="10" t="str">
        <f t="shared" si="0"/>
        <v>Quartely</v>
      </c>
    </row>
    <row r="64" spans="1:12" s="9" customFormat="1">
      <c r="A64" s="8"/>
      <c r="B64" s="319"/>
      <c r="D64" s="284"/>
      <c r="E64" s="292" t="s">
        <v>653</v>
      </c>
      <c r="F64" s="292">
        <v>46113</v>
      </c>
      <c r="G64" s="292">
        <v>46142</v>
      </c>
      <c r="H64" s="292">
        <v>46161</v>
      </c>
      <c r="I64" s="292" t="s">
        <v>653</v>
      </c>
      <c r="J64" s="292"/>
      <c r="K64" s="10" t="s">
        <v>653</v>
      </c>
      <c r="L64" s="10" t="str">
        <f t="shared" si="0"/>
        <v>Monthly</v>
      </c>
    </row>
    <row r="65" spans="1:12" s="9" customFormat="1">
      <c r="A65" s="8"/>
      <c r="B65" s="319"/>
      <c r="D65" s="284"/>
      <c r="E65" s="292" t="s">
        <v>653</v>
      </c>
      <c r="F65" s="292">
        <v>46143</v>
      </c>
      <c r="G65" s="292">
        <v>46173</v>
      </c>
      <c r="H65" s="292">
        <v>46188</v>
      </c>
      <c r="I65" s="292" t="s">
        <v>653</v>
      </c>
      <c r="J65" s="292"/>
      <c r="K65" s="10" t="s">
        <v>653</v>
      </c>
      <c r="L65" s="10" t="str">
        <f t="shared" si="0"/>
        <v>Monthly</v>
      </c>
    </row>
    <row r="66" spans="1:12" s="9" customFormat="1">
      <c r="A66" s="8"/>
      <c r="B66" s="319">
        <v>10</v>
      </c>
      <c r="D66" s="284">
        <v>46113</v>
      </c>
      <c r="E66" s="292">
        <v>46203</v>
      </c>
      <c r="F66" s="292">
        <v>46174</v>
      </c>
      <c r="G66" s="292">
        <v>46203</v>
      </c>
      <c r="H66" s="292">
        <v>46219</v>
      </c>
      <c r="I66" s="292">
        <v>46224</v>
      </c>
      <c r="J66" s="292">
        <v>46226</v>
      </c>
      <c r="K66" s="10">
        <v>46230</v>
      </c>
      <c r="L66" s="10" t="str">
        <f t="shared" si="0"/>
        <v>Quartely</v>
      </c>
    </row>
    <row r="67" spans="1:12" s="9" customFormat="1">
      <c r="A67" s="8"/>
      <c r="B67" s="319"/>
      <c r="D67" s="284"/>
      <c r="E67" s="292" t="s">
        <v>653</v>
      </c>
      <c r="F67" s="292">
        <v>46204</v>
      </c>
      <c r="G67" s="292">
        <v>46234</v>
      </c>
      <c r="H67" s="292">
        <v>46248</v>
      </c>
      <c r="I67" s="292" t="s">
        <v>653</v>
      </c>
      <c r="J67" s="292"/>
      <c r="K67" s="10" t="s">
        <v>653</v>
      </c>
      <c r="L67" s="10" t="str">
        <f t="shared" si="0"/>
        <v>Monthly</v>
      </c>
    </row>
    <row r="68" spans="1:12" s="9" customFormat="1">
      <c r="A68" s="8"/>
      <c r="B68" s="319"/>
      <c r="D68" s="284"/>
      <c r="E68" s="292" t="s">
        <v>653</v>
      </c>
      <c r="F68" s="292">
        <v>46235</v>
      </c>
      <c r="G68" s="292">
        <v>46265</v>
      </c>
      <c r="H68" s="292">
        <v>46280</v>
      </c>
      <c r="I68" s="292" t="s">
        <v>653</v>
      </c>
      <c r="J68" s="292"/>
      <c r="K68" s="10" t="s">
        <v>653</v>
      </c>
      <c r="L68" s="10" t="str">
        <f t="shared" si="0"/>
        <v>Monthly</v>
      </c>
    </row>
    <row r="69" spans="1:12" s="9" customFormat="1">
      <c r="A69" s="8"/>
      <c r="B69" s="319">
        <v>11</v>
      </c>
      <c r="D69" s="284">
        <v>46204</v>
      </c>
      <c r="E69" s="292">
        <v>46295</v>
      </c>
      <c r="F69" s="292">
        <v>46266</v>
      </c>
      <c r="G69" s="292">
        <v>46295</v>
      </c>
      <c r="H69" s="292">
        <v>46310</v>
      </c>
      <c r="I69" s="292">
        <v>46315</v>
      </c>
      <c r="J69" s="292">
        <v>46318</v>
      </c>
      <c r="K69" s="10">
        <v>46322</v>
      </c>
      <c r="L69" s="10" t="str">
        <f t="shared" si="0"/>
        <v>Quartely</v>
      </c>
    </row>
    <row r="70" spans="1:12" s="9" customFormat="1">
      <c r="A70" s="8"/>
      <c r="B70" s="319"/>
      <c r="D70" s="284"/>
      <c r="E70" s="292" t="s">
        <v>653</v>
      </c>
      <c r="F70" s="292">
        <v>46296</v>
      </c>
      <c r="G70" s="292">
        <v>46326</v>
      </c>
      <c r="H70" s="292">
        <v>46342</v>
      </c>
      <c r="I70" s="292" t="s">
        <v>653</v>
      </c>
      <c r="J70" s="292"/>
      <c r="K70" s="10" t="s">
        <v>653</v>
      </c>
      <c r="L70" s="10" t="str">
        <f t="shared" si="0"/>
        <v>Monthly</v>
      </c>
    </row>
    <row r="71" spans="1:12" s="9" customFormat="1">
      <c r="A71" s="8"/>
      <c r="B71" s="319"/>
      <c r="D71" s="284"/>
      <c r="E71" s="292" t="s">
        <v>653</v>
      </c>
      <c r="F71" s="292">
        <v>46327</v>
      </c>
      <c r="G71" s="292">
        <v>46356</v>
      </c>
      <c r="H71" s="292">
        <v>46371</v>
      </c>
      <c r="I71" s="292" t="s">
        <v>653</v>
      </c>
      <c r="J71" s="292"/>
      <c r="K71" s="10" t="s">
        <v>653</v>
      </c>
      <c r="L71" s="10" t="str">
        <f t="shared" si="0"/>
        <v>Monthly</v>
      </c>
    </row>
    <row r="72" spans="1:12" s="9" customFormat="1">
      <c r="A72" s="8"/>
      <c r="B72" s="319">
        <v>12</v>
      </c>
      <c r="D72" s="284">
        <v>46296</v>
      </c>
      <c r="E72" s="292">
        <v>46387</v>
      </c>
      <c r="F72" s="292">
        <v>46357</v>
      </c>
      <c r="G72" s="292">
        <v>46387</v>
      </c>
      <c r="H72" s="292">
        <v>46402</v>
      </c>
      <c r="I72" s="292">
        <v>46408</v>
      </c>
      <c r="J72" s="292">
        <v>46412</v>
      </c>
      <c r="K72" s="10">
        <v>46414</v>
      </c>
      <c r="L72" s="10" t="str">
        <f t="shared" si="0"/>
        <v>Quartely</v>
      </c>
    </row>
    <row r="73" spans="1:12" s="9" customFormat="1">
      <c r="A73" s="8"/>
      <c r="B73" s="319"/>
      <c r="D73" s="284"/>
      <c r="E73" s="292" t="s">
        <v>653</v>
      </c>
      <c r="F73" s="292">
        <v>46388</v>
      </c>
      <c r="G73" s="292">
        <v>46418</v>
      </c>
      <c r="H73" s="292">
        <v>46433</v>
      </c>
      <c r="I73" s="292" t="s">
        <v>653</v>
      </c>
      <c r="J73" s="292"/>
      <c r="K73" s="10" t="s">
        <v>653</v>
      </c>
      <c r="L73" s="10" t="str">
        <f t="shared" si="0"/>
        <v>Monthly</v>
      </c>
    </row>
    <row r="74" spans="1:12" s="9" customFormat="1">
      <c r="A74" s="8"/>
      <c r="B74" s="319"/>
      <c r="D74" s="284"/>
      <c r="E74" s="292" t="s">
        <v>653</v>
      </c>
      <c r="F74" s="292">
        <v>46419</v>
      </c>
      <c r="G74" s="292">
        <v>46446</v>
      </c>
      <c r="H74" s="292">
        <v>46461</v>
      </c>
      <c r="I74" s="292" t="s">
        <v>653</v>
      </c>
      <c r="J74" s="292"/>
      <c r="K74" s="10" t="s">
        <v>653</v>
      </c>
      <c r="L74" s="10" t="str">
        <f t="shared" si="0"/>
        <v>Monthly</v>
      </c>
    </row>
    <row r="75" spans="1:12" s="9" customFormat="1">
      <c r="A75" s="8"/>
      <c r="B75" s="319">
        <v>13</v>
      </c>
      <c r="D75" s="284">
        <v>46388</v>
      </c>
      <c r="E75" s="292">
        <v>46477</v>
      </c>
      <c r="F75" s="292">
        <v>46447</v>
      </c>
      <c r="G75" s="292">
        <v>46477</v>
      </c>
      <c r="H75" s="292">
        <v>46492</v>
      </c>
      <c r="I75" s="292">
        <v>46497</v>
      </c>
      <c r="J75" s="292">
        <v>46500</v>
      </c>
      <c r="K75" s="10">
        <v>46504</v>
      </c>
      <c r="L75" s="10" t="str">
        <f t="shared" si="0"/>
        <v>Quartely</v>
      </c>
    </row>
    <row r="76" spans="1:12">
      <c r="B76" s="319"/>
      <c r="D76" s="284"/>
      <c r="E76" s="292" t="s">
        <v>653</v>
      </c>
      <c r="F76" s="292">
        <v>46478</v>
      </c>
      <c r="G76" s="292">
        <v>46507</v>
      </c>
      <c r="H76" s="292">
        <v>46525</v>
      </c>
      <c r="I76" s="292" t="s">
        <v>653</v>
      </c>
      <c r="J76" s="292"/>
      <c r="K76" s="10" t="s">
        <v>653</v>
      </c>
      <c r="L76" s="10" t="str">
        <f t="shared" si="0"/>
        <v>Monthly</v>
      </c>
    </row>
    <row r="77" spans="1:12">
      <c r="B77" s="319"/>
      <c r="D77" s="284"/>
      <c r="E77" s="292" t="s">
        <v>653</v>
      </c>
      <c r="F77" s="292">
        <v>46508</v>
      </c>
      <c r="G77" s="292">
        <v>46538</v>
      </c>
      <c r="H77" s="292">
        <v>46553</v>
      </c>
      <c r="I77" s="292" t="s">
        <v>653</v>
      </c>
      <c r="J77" s="292"/>
      <c r="K77" s="10" t="s">
        <v>653</v>
      </c>
      <c r="L77" s="10" t="str">
        <f t="shared" si="0"/>
        <v>Monthly</v>
      </c>
    </row>
    <row r="78" spans="1:12">
      <c r="B78" s="319">
        <v>14</v>
      </c>
      <c r="D78" s="284">
        <v>46478</v>
      </c>
      <c r="E78" s="292">
        <v>46568</v>
      </c>
      <c r="F78" s="292">
        <v>46539</v>
      </c>
      <c r="G78" s="292">
        <v>46568</v>
      </c>
      <c r="H78" s="292">
        <v>46584</v>
      </c>
      <c r="I78" s="292">
        <v>46589</v>
      </c>
      <c r="J78" s="292">
        <v>46591</v>
      </c>
      <c r="K78" s="10">
        <v>46595</v>
      </c>
      <c r="L78" s="10" t="str">
        <f t="shared" si="0"/>
        <v>Quartely</v>
      </c>
    </row>
    <row r="79" spans="1:12">
      <c r="B79" s="319"/>
      <c r="D79" s="284"/>
      <c r="E79" s="292" t="s">
        <v>653</v>
      </c>
      <c r="F79" s="292">
        <v>46569</v>
      </c>
      <c r="G79" s="292">
        <v>46599</v>
      </c>
      <c r="H79" s="292">
        <v>46612</v>
      </c>
      <c r="I79" s="292" t="s">
        <v>653</v>
      </c>
      <c r="J79" s="292"/>
      <c r="K79" s="10" t="s">
        <v>653</v>
      </c>
      <c r="L79" s="10" t="str">
        <f t="shared" si="0"/>
        <v>Monthly</v>
      </c>
    </row>
    <row r="80" spans="1:12">
      <c r="B80" s="319"/>
      <c r="D80" s="284"/>
      <c r="E80" s="292" t="s">
        <v>653</v>
      </c>
      <c r="F80" s="292">
        <v>46600</v>
      </c>
      <c r="G80" s="292">
        <v>46630</v>
      </c>
      <c r="H80" s="292">
        <v>46645</v>
      </c>
      <c r="I80" s="292" t="s">
        <v>653</v>
      </c>
      <c r="J80" s="292"/>
      <c r="K80" s="10" t="s">
        <v>653</v>
      </c>
      <c r="L80" s="10" t="str">
        <f t="shared" si="0"/>
        <v>Monthly</v>
      </c>
    </row>
    <row r="81" spans="2:12">
      <c r="B81" s="319">
        <v>15</v>
      </c>
      <c r="D81" s="284">
        <v>46569</v>
      </c>
      <c r="E81" s="292">
        <v>46660</v>
      </c>
      <c r="F81" s="292">
        <v>46631</v>
      </c>
      <c r="G81" s="292">
        <v>46660</v>
      </c>
      <c r="H81" s="292">
        <v>46675</v>
      </c>
      <c r="I81" s="292">
        <v>46680</v>
      </c>
      <c r="J81" s="292">
        <v>46685</v>
      </c>
      <c r="K81" s="10">
        <v>46687</v>
      </c>
      <c r="L81" s="10" t="str">
        <f t="shared" si="0"/>
        <v>Quartely</v>
      </c>
    </row>
    <row r="82" spans="2:12">
      <c r="B82" s="319"/>
      <c r="D82" s="284"/>
      <c r="E82" s="292" t="s">
        <v>653</v>
      </c>
      <c r="F82" s="292">
        <v>46661</v>
      </c>
      <c r="G82" s="292">
        <v>46691</v>
      </c>
      <c r="H82" s="292">
        <v>46707</v>
      </c>
      <c r="I82" s="292" t="s">
        <v>653</v>
      </c>
      <c r="J82" s="292"/>
      <c r="K82" s="10" t="s">
        <v>653</v>
      </c>
      <c r="L82" s="10" t="str">
        <f t="shared" si="0"/>
        <v>Monthly</v>
      </c>
    </row>
    <row r="83" spans="2:12">
      <c r="B83" s="319"/>
      <c r="D83" s="284"/>
      <c r="E83" s="292" t="s">
        <v>653</v>
      </c>
      <c r="F83" s="292">
        <v>46692</v>
      </c>
      <c r="G83" s="292">
        <v>46721</v>
      </c>
      <c r="H83" s="292">
        <v>46736</v>
      </c>
      <c r="I83" s="292" t="s">
        <v>653</v>
      </c>
      <c r="J83" s="292"/>
      <c r="K83" s="10" t="s">
        <v>653</v>
      </c>
      <c r="L83" s="10" t="str">
        <f t="shared" si="0"/>
        <v>Monthly</v>
      </c>
    </row>
    <row r="84" spans="2:12">
      <c r="B84" s="319">
        <v>16</v>
      </c>
      <c r="D84" s="284">
        <v>46661</v>
      </c>
      <c r="E84" s="292">
        <v>46752</v>
      </c>
      <c r="F84" s="292">
        <v>46722</v>
      </c>
      <c r="G84" s="292">
        <v>46752</v>
      </c>
      <c r="H84" s="292">
        <v>46766</v>
      </c>
      <c r="I84" s="292">
        <v>46772</v>
      </c>
      <c r="J84" s="292">
        <v>46776</v>
      </c>
      <c r="K84" s="10">
        <v>46778</v>
      </c>
      <c r="L84" s="10" t="str">
        <f t="shared" si="0"/>
        <v>Quartely</v>
      </c>
    </row>
    <row r="85" spans="2:12">
      <c r="B85" s="319"/>
      <c r="D85" s="284"/>
      <c r="E85" s="292" t="s">
        <v>653</v>
      </c>
      <c r="F85" s="292">
        <v>46753</v>
      </c>
      <c r="G85" s="292">
        <v>46783</v>
      </c>
      <c r="H85" s="292">
        <v>46798</v>
      </c>
      <c r="I85" s="292" t="s">
        <v>653</v>
      </c>
      <c r="J85" s="292"/>
      <c r="K85" s="10" t="s">
        <v>653</v>
      </c>
      <c r="L85" s="10" t="str">
        <f t="shared" si="0"/>
        <v>Monthly</v>
      </c>
    </row>
    <row r="86" spans="2:12">
      <c r="B86" s="319"/>
      <c r="D86" s="284"/>
      <c r="E86" s="292" t="s">
        <v>653</v>
      </c>
      <c r="F86" s="292">
        <v>46784</v>
      </c>
      <c r="G86" s="292">
        <v>46812</v>
      </c>
      <c r="H86" s="292">
        <v>46827</v>
      </c>
      <c r="I86" s="292" t="s">
        <v>653</v>
      </c>
      <c r="J86" s="292"/>
      <c r="K86" s="10" t="s">
        <v>653</v>
      </c>
      <c r="L86" s="10" t="str">
        <f t="shared" si="0"/>
        <v>Monthly</v>
      </c>
    </row>
    <row r="87" spans="2:12">
      <c r="B87" s="319">
        <v>17</v>
      </c>
      <c r="D87" s="284">
        <v>46753</v>
      </c>
      <c r="E87" s="292">
        <v>46843</v>
      </c>
      <c r="F87" s="292">
        <v>46813</v>
      </c>
      <c r="G87" s="292">
        <v>46843</v>
      </c>
      <c r="H87" s="292">
        <v>46861</v>
      </c>
      <c r="I87" s="292">
        <v>46867</v>
      </c>
      <c r="J87" s="292">
        <v>46867</v>
      </c>
      <c r="K87" s="10">
        <v>46869</v>
      </c>
      <c r="L87" s="10" t="str">
        <f t="shared" si="0"/>
        <v>Quartely</v>
      </c>
    </row>
    <row r="88" spans="2:12">
      <c r="B88" s="319"/>
      <c r="D88" s="284"/>
      <c r="E88" s="292" t="s">
        <v>653</v>
      </c>
      <c r="F88" s="292">
        <v>46844</v>
      </c>
      <c r="G88" s="292">
        <v>46873</v>
      </c>
      <c r="H88" s="292">
        <v>46889</v>
      </c>
      <c r="I88" s="292" t="s">
        <v>653</v>
      </c>
      <c r="J88" s="292"/>
      <c r="K88" s="10" t="s">
        <v>653</v>
      </c>
      <c r="L88" s="10" t="str">
        <f t="shared" si="0"/>
        <v>Monthly</v>
      </c>
    </row>
    <row r="89" spans="2:12">
      <c r="B89" s="319"/>
      <c r="D89" s="284"/>
      <c r="E89" s="292" t="s">
        <v>653</v>
      </c>
      <c r="F89" s="292">
        <v>46874</v>
      </c>
      <c r="G89" s="292">
        <v>46904</v>
      </c>
      <c r="H89" s="292">
        <v>46920</v>
      </c>
      <c r="I89" s="292" t="s">
        <v>653</v>
      </c>
      <c r="J89" s="292"/>
      <c r="K89" s="10" t="s">
        <v>653</v>
      </c>
      <c r="L89" s="10" t="str">
        <f t="shared" si="0"/>
        <v>Monthly</v>
      </c>
    </row>
    <row r="90" spans="2:12">
      <c r="B90" s="319">
        <v>18</v>
      </c>
      <c r="D90" s="284">
        <v>46844</v>
      </c>
      <c r="E90" s="292">
        <v>46934</v>
      </c>
      <c r="F90" s="292">
        <v>46905</v>
      </c>
      <c r="G90" s="292">
        <v>46934</v>
      </c>
      <c r="H90" s="292">
        <v>46951</v>
      </c>
      <c r="I90" s="292">
        <v>46955</v>
      </c>
      <c r="J90" s="292">
        <v>46958</v>
      </c>
      <c r="K90" s="10">
        <v>46960</v>
      </c>
      <c r="L90" s="10" t="str">
        <f t="shared" si="0"/>
        <v>Quartely</v>
      </c>
    </row>
    <row r="91" spans="2:12">
      <c r="B91" s="319"/>
      <c r="D91" s="284"/>
      <c r="E91" s="292" t="s">
        <v>653</v>
      </c>
      <c r="F91" s="292">
        <v>46935</v>
      </c>
      <c r="G91" s="292">
        <v>46965</v>
      </c>
      <c r="H91" s="292">
        <v>46981</v>
      </c>
      <c r="I91" s="292" t="s">
        <v>653</v>
      </c>
      <c r="J91" s="292"/>
      <c r="K91" s="10" t="s">
        <v>653</v>
      </c>
      <c r="L91" s="10" t="str">
        <f t="shared" si="0"/>
        <v>Monthly</v>
      </c>
    </row>
    <row r="92" spans="2:12">
      <c r="B92" s="319"/>
      <c r="D92" s="284"/>
      <c r="E92" s="292" t="s">
        <v>653</v>
      </c>
      <c r="F92" s="292">
        <v>46966</v>
      </c>
      <c r="G92" s="292">
        <v>46996</v>
      </c>
      <c r="H92" s="292">
        <v>47011</v>
      </c>
      <c r="I92" s="292" t="s">
        <v>653</v>
      </c>
      <c r="J92" s="292"/>
      <c r="K92" s="10" t="s">
        <v>653</v>
      </c>
      <c r="L92" s="10" t="str">
        <f t="shared" si="0"/>
        <v>Monthly</v>
      </c>
    </row>
    <row r="93" spans="2:12">
      <c r="B93" s="319">
        <v>19</v>
      </c>
      <c r="D93" s="284">
        <v>46935</v>
      </c>
      <c r="E93" s="292">
        <v>47026</v>
      </c>
      <c r="F93" s="292">
        <v>46997</v>
      </c>
      <c r="G93" s="292">
        <v>47026</v>
      </c>
      <c r="H93" s="292">
        <v>47039</v>
      </c>
      <c r="I93" s="292">
        <v>47045</v>
      </c>
      <c r="J93" s="292">
        <v>47049</v>
      </c>
      <c r="K93" s="10">
        <v>47051</v>
      </c>
      <c r="L93" s="10" t="str">
        <f t="shared" si="0"/>
        <v>Quartely</v>
      </c>
    </row>
    <row r="94" spans="2:12">
      <c r="B94" s="319"/>
      <c r="D94" s="284"/>
      <c r="E94" s="292" t="s">
        <v>653</v>
      </c>
      <c r="F94" s="292">
        <v>47027</v>
      </c>
      <c r="G94" s="292">
        <v>47057</v>
      </c>
      <c r="H94" s="292">
        <v>47072</v>
      </c>
      <c r="I94" s="292" t="s">
        <v>653</v>
      </c>
      <c r="J94" s="292"/>
      <c r="K94" s="10" t="s">
        <v>653</v>
      </c>
      <c r="L94" s="10" t="str">
        <f t="shared" si="0"/>
        <v>Monthly</v>
      </c>
    </row>
    <row r="95" spans="2:12">
      <c r="B95" s="319"/>
      <c r="D95" s="284"/>
      <c r="E95" s="292" t="s">
        <v>653</v>
      </c>
      <c r="F95" s="292">
        <v>47058</v>
      </c>
      <c r="G95" s="292">
        <v>47087</v>
      </c>
      <c r="H95" s="292">
        <v>47102</v>
      </c>
      <c r="I95" s="292" t="s">
        <v>653</v>
      </c>
      <c r="J95" s="292"/>
      <c r="K95" s="10" t="s">
        <v>653</v>
      </c>
      <c r="L95" s="10" t="str">
        <f t="shared" si="0"/>
        <v>Monthly</v>
      </c>
    </row>
    <row r="96" spans="2:12">
      <c r="B96" s="319">
        <v>20</v>
      </c>
      <c r="D96" s="284">
        <v>47027</v>
      </c>
      <c r="E96" s="292">
        <v>47118</v>
      </c>
      <c r="F96" s="292">
        <v>47088</v>
      </c>
      <c r="G96" s="292">
        <v>47118</v>
      </c>
      <c r="H96" s="292">
        <v>47133</v>
      </c>
      <c r="I96" s="292">
        <v>47137</v>
      </c>
      <c r="J96" s="292">
        <v>47141</v>
      </c>
      <c r="K96" s="10">
        <v>47143</v>
      </c>
      <c r="L96" s="10" t="str">
        <f t="shared" si="0"/>
        <v>Quartely</v>
      </c>
    </row>
    <row r="97" spans="2:12">
      <c r="B97" s="319"/>
      <c r="D97" s="284"/>
      <c r="E97" s="292" t="s">
        <v>653</v>
      </c>
      <c r="F97" s="292">
        <v>47119</v>
      </c>
      <c r="G97" s="292">
        <v>47149</v>
      </c>
      <c r="H97" s="292">
        <v>47164</v>
      </c>
      <c r="I97" s="292" t="s">
        <v>653</v>
      </c>
      <c r="J97" s="292"/>
      <c r="K97" s="10" t="s">
        <v>653</v>
      </c>
      <c r="L97" s="10" t="str">
        <f t="shared" si="0"/>
        <v>Monthly</v>
      </c>
    </row>
    <row r="98" spans="2:12">
      <c r="B98" s="319"/>
      <c r="D98" s="284"/>
      <c r="E98" s="292" t="s">
        <v>653</v>
      </c>
      <c r="F98" s="292">
        <v>47150</v>
      </c>
      <c r="G98" s="292">
        <v>47177</v>
      </c>
      <c r="H98" s="292">
        <v>47192</v>
      </c>
      <c r="I98" s="292" t="s">
        <v>653</v>
      </c>
      <c r="J98" s="292"/>
      <c r="K98" s="10" t="s">
        <v>653</v>
      </c>
      <c r="L98" s="10" t="str">
        <f t="shared" si="0"/>
        <v>Monthly</v>
      </c>
    </row>
    <row r="99" spans="2:12">
      <c r="B99" s="319">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c r="B100" s="319"/>
      <c r="D100" s="284"/>
      <c r="E100" s="292" t="s">
        <v>653</v>
      </c>
      <c r="F100" s="292">
        <v>47209</v>
      </c>
      <c r="G100" s="292">
        <v>47238</v>
      </c>
      <c r="H100" s="292">
        <v>47255</v>
      </c>
      <c r="I100" s="292" t="s">
        <v>653</v>
      </c>
      <c r="J100" s="292"/>
      <c r="K100" s="10" t="s">
        <v>653</v>
      </c>
      <c r="L100" s="10" t="str">
        <f t="shared" si="1"/>
        <v>Monthly</v>
      </c>
    </row>
    <row r="101" spans="2:12">
      <c r="B101" s="319"/>
      <c r="D101" s="284"/>
      <c r="E101" s="292" t="s">
        <v>653</v>
      </c>
      <c r="F101" s="292">
        <v>47239</v>
      </c>
      <c r="G101" s="292">
        <v>47269</v>
      </c>
      <c r="H101" s="292">
        <v>47284</v>
      </c>
      <c r="I101" s="292" t="s">
        <v>653</v>
      </c>
      <c r="J101" s="292"/>
      <c r="K101" s="10" t="s">
        <v>653</v>
      </c>
      <c r="L101" s="10" t="str">
        <f t="shared" si="1"/>
        <v>Monthly</v>
      </c>
    </row>
    <row r="102" spans="2:12">
      <c r="B102" s="319">
        <v>22</v>
      </c>
      <c r="D102" s="284">
        <v>47209</v>
      </c>
      <c r="E102" s="292">
        <v>47299</v>
      </c>
      <c r="F102" s="292">
        <v>47270</v>
      </c>
      <c r="G102" s="292">
        <v>47299</v>
      </c>
      <c r="H102" s="292">
        <v>47312</v>
      </c>
      <c r="I102" s="292">
        <v>47318</v>
      </c>
      <c r="J102" s="292">
        <v>47322</v>
      </c>
      <c r="K102" s="10">
        <v>47324</v>
      </c>
      <c r="L102" s="10" t="str">
        <f t="shared" si="1"/>
        <v>Quartely</v>
      </c>
    </row>
    <row r="103" spans="2:12">
      <c r="B103" s="319"/>
      <c r="D103" s="284"/>
      <c r="E103" s="292" t="s">
        <v>653</v>
      </c>
      <c r="F103" s="292">
        <v>47300</v>
      </c>
      <c r="G103" s="292">
        <v>47330</v>
      </c>
      <c r="H103" s="292">
        <v>47346</v>
      </c>
      <c r="I103" s="292" t="s">
        <v>653</v>
      </c>
      <c r="J103" s="292"/>
      <c r="K103" s="10" t="s">
        <v>653</v>
      </c>
      <c r="L103" s="10" t="str">
        <f t="shared" si="1"/>
        <v>Monthly</v>
      </c>
    </row>
    <row r="104" spans="2:12">
      <c r="B104" s="319"/>
      <c r="D104" s="284"/>
      <c r="E104" s="292" t="s">
        <v>653</v>
      </c>
      <c r="F104" s="292">
        <v>47331</v>
      </c>
      <c r="G104" s="292">
        <v>47361</v>
      </c>
      <c r="H104" s="292">
        <v>47375</v>
      </c>
      <c r="I104" s="292" t="s">
        <v>653</v>
      </c>
      <c r="J104" s="292"/>
      <c r="K104" s="10" t="s">
        <v>653</v>
      </c>
      <c r="L104" s="10" t="str">
        <f t="shared" si="1"/>
        <v>Monthly</v>
      </c>
    </row>
    <row r="105" spans="2:12">
      <c r="B105" s="319">
        <v>23</v>
      </c>
      <c r="D105" s="284">
        <v>47300</v>
      </c>
      <c r="E105" s="292">
        <v>47391</v>
      </c>
      <c r="F105" s="292">
        <v>47362</v>
      </c>
      <c r="G105" s="292">
        <v>47391</v>
      </c>
      <c r="H105" s="292">
        <v>47406</v>
      </c>
      <c r="I105" s="292">
        <v>47409</v>
      </c>
      <c r="J105" s="292">
        <v>47414</v>
      </c>
      <c r="K105" s="10">
        <v>47416</v>
      </c>
      <c r="L105" s="10" t="str">
        <f t="shared" si="1"/>
        <v>Quartely</v>
      </c>
    </row>
    <row r="106" spans="2:12">
      <c r="B106" s="319"/>
      <c r="D106" s="284"/>
      <c r="E106" s="292" t="s">
        <v>653</v>
      </c>
      <c r="F106" s="292">
        <v>47392</v>
      </c>
      <c r="G106" s="292">
        <v>47422</v>
      </c>
      <c r="H106" s="292">
        <v>47437</v>
      </c>
      <c r="I106" s="292" t="s">
        <v>653</v>
      </c>
      <c r="J106" s="292"/>
      <c r="K106" s="10" t="s">
        <v>653</v>
      </c>
      <c r="L106" s="10" t="str">
        <f t="shared" si="1"/>
        <v>Monthly</v>
      </c>
    </row>
    <row r="107" spans="2:12">
      <c r="B107" s="319"/>
      <c r="D107" s="284"/>
      <c r="E107" s="292" t="s">
        <v>653</v>
      </c>
      <c r="F107" s="292">
        <v>47423</v>
      </c>
      <c r="G107" s="292">
        <v>47452</v>
      </c>
      <c r="H107" s="292">
        <v>47466</v>
      </c>
      <c r="I107" s="292" t="s">
        <v>653</v>
      </c>
      <c r="J107" s="292"/>
      <c r="K107" s="10" t="s">
        <v>653</v>
      </c>
      <c r="L107" s="10" t="str">
        <f t="shared" si="1"/>
        <v>Monthly</v>
      </c>
    </row>
    <row r="108" spans="2:12">
      <c r="B108" s="319">
        <v>24</v>
      </c>
      <c r="D108" s="284">
        <v>47392</v>
      </c>
      <c r="E108" s="292">
        <v>47483</v>
      </c>
      <c r="F108" s="292">
        <v>47453</v>
      </c>
      <c r="G108" s="292">
        <v>47483</v>
      </c>
      <c r="H108" s="292">
        <v>47498</v>
      </c>
      <c r="I108" s="292">
        <v>47504</v>
      </c>
      <c r="J108" s="292">
        <v>47506</v>
      </c>
      <c r="K108" s="10">
        <v>47508</v>
      </c>
      <c r="L108" s="10" t="str">
        <f t="shared" si="1"/>
        <v>Quartely</v>
      </c>
    </row>
    <row r="109" spans="2:12">
      <c r="B109" s="319"/>
      <c r="D109" s="284"/>
      <c r="E109" s="292" t="s">
        <v>653</v>
      </c>
      <c r="F109" s="292">
        <v>47484</v>
      </c>
      <c r="G109" s="292">
        <v>47514</v>
      </c>
      <c r="H109" s="292">
        <v>47529</v>
      </c>
      <c r="I109" s="292" t="s">
        <v>653</v>
      </c>
      <c r="J109" s="292"/>
      <c r="K109" s="10" t="s">
        <v>653</v>
      </c>
      <c r="L109" s="10" t="str">
        <f t="shared" si="1"/>
        <v>Monthly</v>
      </c>
    </row>
    <row r="110" spans="2:12">
      <c r="B110" s="319"/>
      <c r="D110" s="284"/>
      <c r="E110" s="292" t="s">
        <v>653</v>
      </c>
      <c r="F110" s="292">
        <v>47515</v>
      </c>
      <c r="G110" s="292">
        <v>47542</v>
      </c>
      <c r="H110" s="292">
        <v>47557</v>
      </c>
      <c r="I110" s="292" t="s">
        <v>653</v>
      </c>
      <c r="J110" s="292"/>
      <c r="K110" s="10" t="s">
        <v>653</v>
      </c>
      <c r="L110" s="10" t="str">
        <f t="shared" si="1"/>
        <v>Monthly</v>
      </c>
    </row>
    <row r="111" spans="2:12">
      <c r="B111" s="319">
        <v>25</v>
      </c>
      <c r="D111" s="284">
        <v>47484</v>
      </c>
      <c r="E111" s="292">
        <v>47573</v>
      </c>
      <c r="F111" s="292">
        <v>47543</v>
      </c>
      <c r="G111" s="292">
        <v>47573</v>
      </c>
      <c r="H111" s="292">
        <v>47588</v>
      </c>
      <c r="I111" s="292">
        <v>47591</v>
      </c>
      <c r="J111" s="292">
        <v>47596</v>
      </c>
      <c r="K111" s="10">
        <v>47598</v>
      </c>
      <c r="L111" s="10" t="str">
        <f t="shared" si="1"/>
        <v>Quartely</v>
      </c>
    </row>
    <row r="112" spans="2:12">
      <c r="B112" s="319" t="s">
        <v>653</v>
      </c>
      <c r="D112" s="284"/>
      <c r="E112" s="292" t="s">
        <v>653</v>
      </c>
      <c r="F112" s="292">
        <v>47574</v>
      </c>
      <c r="G112" s="292">
        <v>47603</v>
      </c>
      <c r="H112" s="292">
        <v>47619</v>
      </c>
      <c r="I112" s="292" t="s">
        <v>653</v>
      </c>
      <c r="J112" s="292"/>
      <c r="K112" s="10" t="s">
        <v>653</v>
      </c>
      <c r="L112" s="10" t="str">
        <f t="shared" si="1"/>
        <v>Monthly</v>
      </c>
    </row>
    <row r="113" spans="2:12">
      <c r="B113" s="319" t="s">
        <v>653</v>
      </c>
      <c r="D113" s="284"/>
      <c r="E113" s="292" t="s">
        <v>653</v>
      </c>
      <c r="F113" s="292">
        <v>47604</v>
      </c>
      <c r="G113" s="292">
        <v>47634</v>
      </c>
      <c r="H113" s="292">
        <v>47651</v>
      </c>
      <c r="I113" s="292" t="s">
        <v>653</v>
      </c>
      <c r="J113" s="292"/>
      <c r="K113" s="10" t="s">
        <v>653</v>
      </c>
      <c r="L113" s="10" t="str">
        <f t="shared" si="1"/>
        <v>Monthly</v>
      </c>
    </row>
    <row r="114" spans="2:12">
      <c r="B114" s="319">
        <v>26</v>
      </c>
      <c r="D114" s="284">
        <v>47574</v>
      </c>
      <c r="E114" s="292">
        <v>47664</v>
      </c>
      <c r="F114" s="292">
        <v>47635</v>
      </c>
      <c r="G114" s="292">
        <v>47664</v>
      </c>
      <c r="H114" s="292">
        <v>47679</v>
      </c>
      <c r="I114" s="292">
        <v>47682</v>
      </c>
      <c r="J114" s="292">
        <v>47687</v>
      </c>
      <c r="K114" s="10">
        <v>47689</v>
      </c>
      <c r="L114" s="10" t="str">
        <f t="shared" si="1"/>
        <v>Quartely</v>
      </c>
    </row>
    <row r="115" spans="2:12">
      <c r="B115" s="319" t="s">
        <v>653</v>
      </c>
      <c r="D115" s="284"/>
      <c r="E115" s="292" t="s">
        <v>653</v>
      </c>
      <c r="F115" s="292">
        <v>47665</v>
      </c>
      <c r="G115" s="292">
        <v>47695</v>
      </c>
      <c r="H115" s="292">
        <v>47711</v>
      </c>
      <c r="I115" s="292" t="s">
        <v>653</v>
      </c>
      <c r="J115" s="292"/>
      <c r="K115" s="10" t="s">
        <v>653</v>
      </c>
      <c r="L115" s="10" t="str">
        <f t="shared" si="1"/>
        <v>Monthly</v>
      </c>
    </row>
    <row r="116" spans="2:12">
      <c r="B116" s="319" t="s">
        <v>653</v>
      </c>
      <c r="D116" s="284"/>
      <c r="E116" s="292" t="s">
        <v>653</v>
      </c>
      <c r="F116" s="292">
        <v>47696</v>
      </c>
      <c r="G116" s="292">
        <v>47726</v>
      </c>
      <c r="H116" s="292">
        <v>47739</v>
      </c>
      <c r="I116" s="292" t="s">
        <v>653</v>
      </c>
      <c r="J116" s="292"/>
      <c r="K116" s="10" t="s">
        <v>653</v>
      </c>
      <c r="L116" s="10" t="str">
        <f t="shared" si="1"/>
        <v>Monthly</v>
      </c>
    </row>
    <row r="117" spans="2:12">
      <c r="B117" s="319">
        <v>27</v>
      </c>
      <c r="D117" s="284">
        <v>47665</v>
      </c>
      <c r="E117" s="292">
        <v>47756</v>
      </c>
      <c r="F117" s="292">
        <v>47727</v>
      </c>
      <c r="G117" s="292">
        <v>47756</v>
      </c>
      <c r="H117" s="292">
        <v>47771</v>
      </c>
      <c r="I117" s="292">
        <v>47774</v>
      </c>
      <c r="J117" s="292">
        <v>47779</v>
      </c>
      <c r="K117" s="10">
        <v>47781</v>
      </c>
      <c r="L117" s="10" t="str">
        <f t="shared" si="1"/>
        <v>Quartely</v>
      </c>
    </row>
    <row r="118" spans="2:12">
      <c r="B118" s="319" t="s">
        <v>653</v>
      </c>
      <c r="D118" s="284"/>
      <c r="E118" s="292" t="s">
        <v>653</v>
      </c>
      <c r="F118" s="292">
        <v>47757</v>
      </c>
      <c r="G118" s="292">
        <v>47787</v>
      </c>
      <c r="H118" s="292">
        <v>47805</v>
      </c>
      <c r="I118" s="292" t="s">
        <v>653</v>
      </c>
      <c r="J118" s="292"/>
      <c r="K118" s="10" t="s">
        <v>653</v>
      </c>
      <c r="L118" s="10" t="str">
        <f t="shared" si="1"/>
        <v>Monthly</v>
      </c>
    </row>
    <row r="119" spans="2:12">
      <c r="B119" s="319" t="s">
        <v>653</v>
      </c>
      <c r="D119" s="284"/>
      <c r="E119" s="292" t="s">
        <v>653</v>
      </c>
      <c r="F119" s="292">
        <v>47788</v>
      </c>
      <c r="G119" s="292">
        <v>47817</v>
      </c>
      <c r="H119" s="292">
        <v>47830</v>
      </c>
      <c r="I119" s="292" t="s">
        <v>653</v>
      </c>
      <c r="J119" s="292"/>
      <c r="K119" s="10" t="s">
        <v>653</v>
      </c>
      <c r="L119" s="10" t="str">
        <f t="shared" si="1"/>
        <v>Monthly</v>
      </c>
    </row>
    <row r="120" spans="2:12">
      <c r="B120" s="319">
        <v>28</v>
      </c>
      <c r="D120" s="284">
        <v>47757</v>
      </c>
      <c r="E120" s="292">
        <v>47848</v>
      </c>
      <c r="F120" s="292">
        <v>47818</v>
      </c>
      <c r="G120" s="292">
        <v>47848</v>
      </c>
      <c r="H120" s="292">
        <v>47863</v>
      </c>
      <c r="I120" s="292">
        <v>47869</v>
      </c>
      <c r="J120" s="292">
        <v>47871</v>
      </c>
      <c r="K120" s="10">
        <v>47875</v>
      </c>
      <c r="L120" s="10" t="str">
        <f t="shared" si="1"/>
        <v>Quartely</v>
      </c>
    </row>
    <row r="121" spans="2:12">
      <c r="B121" s="319" t="s">
        <v>653</v>
      </c>
      <c r="D121" s="284"/>
      <c r="E121" s="292" t="s">
        <v>653</v>
      </c>
      <c r="F121" s="292">
        <v>47849</v>
      </c>
      <c r="G121" s="292">
        <v>47879</v>
      </c>
      <c r="H121" s="292">
        <v>47893</v>
      </c>
      <c r="I121" s="292" t="s">
        <v>653</v>
      </c>
      <c r="J121" s="292"/>
      <c r="K121" s="10" t="s">
        <v>653</v>
      </c>
      <c r="L121" s="10" t="str">
        <f t="shared" si="1"/>
        <v>Monthly</v>
      </c>
    </row>
    <row r="122" spans="2:12">
      <c r="B122" s="319" t="s">
        <v>653</v>
      </c>
      <c r="D122" s="284"/>
      <c r="E122" s="292" t="s">
        <v>653</v>
      </c>
      <c r="F122" s="292">
        <v>47880</v>
      </c>
      <c r="G122" s="292">
        <v>47907</v>
      </c>
      <c r="H122" s="292">
        <v>47921</v>
      </c>
      <c r="I122" s="292" t="s">
        <v>653</v>
      </c>
      <c r="J122" s="292"/>
      <c r="K122" s="10" t="s">
        <v>653</v>
      </c>
      <c r="L122" s="10" t="str">
        <f t="shared" si="1"/>
        <v>Monthly</v>
      </c>
    </row>
    <row r="123" spans="2:12">
      <c r="B123" s="319">
        <v>29</v>
      </c>
      <c r="D123" s="284">
        <v>47849</v>
      </c>
      <c r="E123" s="292">
        <v>47938</v>
      </c>
      <c r="F123" s="292">
        <v>47908</v>
      </c>
      <c r="G123" s="292">
        <v>47938</v>
      </c>
      <c r="H123" s="292">
        <v>47955</v>
      </c>
      <c r="I123" s="292">
        <v>47960</v>
      </c>
      <c r="J123" s="292">
        <v>47961</v>
      </c>
      <c r="K123" s="10">
        <v>47963</v>
      </c>
      <c r="L123" s="10" t="str">
        <f t="shared" si="1"/>
        <v>Quartely</v>
      </c>
    </row>
    <row r="124" spans="2:12">
      <c r="B124" s="319" t="s">
        <v>653</v>
      </c>
      <c r="D124" s="284"/>
      <c r="E124" s="292" t="s">
        <v>653</v>
      </c>
      <c r="F124" s="292">
        <v>47939</v>
      </c>
      <c r="G124" s="292">
        <v>47968</v>
      </c>
      <c r="H124" s="292">
        <v>47984</v>
      </c>
      <c r="I124" s="292" t="s">
        <v>653</v>
      </c>
      <c r="J124" s="292"/>
      <c r="K124" s="10" t="s">
        <v>653</v>
      </c>
      <c r="L124" s="10" t="str">
        <f t="shared" si="1"/>
        <v>Monthly</v>
      </c>
    </row>
    <row r="125" spans="2:12">
      <c r="B125" s="319" t="s">
        <v>653</v>
      </c>
      <c r="D125" s="284"/>
      <c r="E125" s="292" t="s">
        <v>653</v>
      </c>
      <c r="F125" s="292">
        <v>47969</v>
      </c>
      <c r="G125" s="292">
        <v>47999</v>
      </c>
      <c r="H125" s="292">
        <v>48015</v>
      </c>
      <c r="I125" s="292" t="s">
        <v>653</v>
      </c>
      <c r="J125" s="292"/>
      <c r="K125" s="10" t="s">
        <v>653</v>
      </c>
      <c r="L125" s="10" t="str">
        <f t="shared" si="1"/>
        <v>Monthly</v>
      </c>
    </row>
    <row r="126" spans="2:12">
      <c r="B126" s="319">
        <v>30</v>
      </c>
      <c r="D126" s="284">
        <v>47939</v>
      </c>
      <c r="E126" s="292">
        <v>48029</v>
      </c>
      <c r="F126" s="292">
        <v>48000</v>
      </c>
      <c r="G126" s="292">
        <v>48029</v>
      </c>
      <c r="H126" s="292">
        <v>48045</v>
      </c>
      <c r="I126" s="292">
        <v>48050</v>
      </c>
      <c r="J126" s="292">
        <v>48052</v>
      </c>
      <c r="K126" s="10">
        <v>48054</v>
      </c>
      <c r="L126" s="10" t="str">
        <f t="shared" si="1"/>
        <v>Quartely</v>
      </c>
    </row>
    <row r="127" spans="2:12">
      <c r="B127" s="319" t="s">
        <v>653</v>
      </c>
      <c r="D127" s="284"/>
      <c r="E127" s="292" t="s">
        <v>653</v>
      </c>
      <c r="F127" s="292">
        <v>48030</v>
      </c>
      <c r="G127" s="292">
        <v>48060</v>
      </c>
      <c r="H127" s="292">
        <v>48078</v>
      </c>
      <c r="I127" s="292" t="s">
        <v>653</v>
      </c>
      <c r="J127" s="292"/>
      <c r="K127" s="10" t="s">
        <v>653</v>
      </c>
      <c r="L127" s="10" t="str">
        <f t="shared" si="1"/>
        <v>Monthly</v>
      </c>
    </row>
    <row r="128" spans="2:12">
      <c r="B128" s="319" t="s">
        <v>653</v>
      </c>
      <c r="D128" s="284"/>
      <c r="E128" s="292" t="s">
        <v>653</v>
      </c>
      <c r="F128" s="292">
        <v>48061</v>
      </c>
      <c r="G128" s="292">
        <v>48091</v>
      </c>
      <c r="H128" s="292">
        <v>48106</v>
      </c>
      <c r="I128" s="292" t="s">
        <v>653</v>
      </c>
      <c r="J128" s="292"/>
      <c r="K128" s="10" t="s">
        <v>653</v>
      </c>
      <c r="L128" s="10" t="str">
        <f t="shared" si="1"/>
        <v>Monthly</v>
      </c>
    </row>
    <row r="129" spans="2:12">
      <c r="B129" s="319">
        <v>31</v>
      </c>
      <c r="D129" s="284">
        <v>48030</v>
      </c>
      <c r="E129" s="292">
        <v>48121</v>
      </c>
      <c r="F129" s="292">
        <v>48092</v>
      </c>
      <c r="G129" s="292">
        <v>48121</v>
      </c>
      <c r="H129" s="292">
        <v>48136</v>
      </c>
      <c r="I129" s="292">
        <v>48141</v>
      </c>
      <c r="J129" s="292">
        <v>48144</v>
      </c>
      <c r="K129" s="10">
        <v>48148</v>
      </c>
      <c r="L129" s="10" t="str">
        <f t="shared" si="1"/>
        <v>Quartely</v>
      </c>
    </row>
    <row r="130" spans="2:12">
      <c r="B130" s="319" t="s">
        <v>653</v>
      </c>
      <c r="D130" s="284"/>
      <c r="E130" s="292" t="s">
        <v>653</v>
      </c>
      <c r="F130" s="292">
        <v>48122</v>
      </c>
      <c r="G130" s="292">
        <v>48152</v>
      </c>
      <c r="H130" s="292">
        <v>48169</v>
      </c>
      <c r="I130" s="292" t="s">
        <v>653</v>
      </c>
      <c r="J130" s="292"/>
      <c r="K130" s="10" t="s">
        <v>653</v>
      </c>
      <c r="L130" s="10" t="str">
        <f t="shared" si="1"/>
        <v>Monthly</v>
      </c>
    </row>
    <row r="131" spans="2:12">
      <c r="B131" s="319" t="s">
        <v>653</v>
      </c>
      <c r="D131" s="284"/>
      <c r="E131" s="292" t="s">
        <v>653</v>
      </c>
      <c r="F131" s="292">
        <v>48153</v>
      </c>
      <c r="G131" s="292">
        <v>48182</v>
      </c>
      <c r="H131" s="292">
        <v>48197</v>
      </c>
      <c r="I131" s="292" t="s">
        <v>653</v>
      </c>
      <c r="J131" s="292"/>
      <c r="K131" s="10" t="s">
        <v>653</v>
      </c>
      <c r="L131" s="10" t="str">
        <f t="shared" si="1"/>
        <v>Monthly</v>
      </c>
    </row>
    <row r="132" spans="2:12">
      <c r="B132" s="319">
        <v>32</v>
      </c>
      <c r="D132" s="284">
        <v>48122</v>
      </c>
      <c r="E132" s="292">
        <v>48213</v>
      </c>
      <c r="F132" s="292">
        <v>48183</v>
      </c>
      <c r="G132" s="292">
        <v>48213</v>
      </c>
      <c r="H132" s="292">
        <v>48228</v>
      </c>
      <c r="I132" s="292">
        <v>48234</v>
      </c>
      <c r="J132" s="292">
        <v>48236</v>
      </c>
      <c r="K132" s="10">
        <v>48240</v>
      </c>
      <c r="L132" s="10" t="str">
        <f t="shared" si="1"/>
        <v>Quartely</v>
      </c>
    </row>
    <row r="133" spans="2:12">
      <c r="B133" s="319" t="s">
        <v>653</v>
      </c>
      <c r="D133" s="284"/>
      <c r="E133" s="292" t="s">
        <v>653</v>
      </c>
      <c r="F133" s="292">
        <v>48214</v>
      </c>
      <c r="G133" s="292">
        <v>48244</v>
      </c>
      <c r="H133" s="292">
        <v>48257</v>
      </c>
      <c r="I133" s="292" t="s">
        <v>653</v>
      </c>
      <c r="J133" s="292"/>
      <c r="K133" s="10" t="s">
        <v>653</v>
      </c>
      <c r="L133" s="10" t="str">
        <f t="shared" si="1"/>
        <v>Monthly</v>
      </c>
    </row>
    <row r="134" spans="2:12">
      <c r="B134" s="319" t="s">
        <v>653</v>
      </c>
      <c r="D134" s="284"/>
      <c r="E134" s="292" t="s">
        <v>653</v>
      </c>
      <c r="F134" s="292">
        <v>48245</v>
      </c>
      <c r="G134" s="292">
        <v>48273</v>
      </c>
      <c r="H134" s="292">
        <v>48288</v>
      </c>
      <c r="I134" s="292" t="s">
        <v>653</v>
      </c>
      <c r="J134" s="292"/>
      <c r="K134" s="10" t="s">
        <v>653</v>
      </c>
      <c r="L134" s="10" t="str">
        <f t="shared" si="1"/>
        <v>Monthly</v>
      </c>
    </row>
    <row r="135" spans="2:12">
      <c r="B135" s="319">
        <v>33</v>
      </c>
      <c r="D135" s="284">
        <v>48214</v>
      </c>
      <c r="E135" s="292">
        <v>48304</v>
      </c>
      <c r="F135" s="292">
        <v>48274</v>
      </c>
      <c r="G135" s="292">
        <v>48304</v>
      </c>
      <c r="H135" s="292">
        <v>48319</v>
      </c>
      <c r="I135" s="292">
        <v>48324</v>
      </c>
      <c r="J135" s="292">
        <v>48327</v>
      </c>
      <c r="K135" s="10">
        <v>48331</v>
      </c>
      <c r="L135" s="10" t="str">
        <f t="shared" si="1"/>
        <v>Quartely</v>
      </c>
    </row>
    <row r="136" spans="2:12">
      <c r="B136" s="319" t="s">
        <v>653</v>
      </c>
      <c r="D136" s="284"/>
      <c r="E136" s="292" t="s">
        <v>653</v>
      </c>
      <c r="F136" s="292">
        <v>48305</v>
      </c>
      <c r="G136" s="292">
        <v>48334</v>
      </c>
      <c r="H136" s="292">
        <v>48352</v>
      </c>
      <c r="I136" s="292" t="s">
        <v>653</v>
      </c>
      <c r="J136" s="292"/>
      <c r="K136" s="10" t="s">
        <v>653</v>
      </c>
      <c r="L136" s="10" t="str">
        <f t="shared" si="1"/>
        <v>Monthly</v>
      </c>
    </row>
    <row r="137" spans="2:12">
      <c r="B137" s="319" t="s">
        <v>653</v>
      </c>
      <c r="D137" s="284"/>
      <c r="E137" s="292" t="s">
        <v>653</v>
      </c>
      <c r="F137" s="292">
        <v>48335</v>
      </c>
      <c r="G137" s="292">
        <v>48365</v>
      </c>
      <c r="H137" s="292">
        <v>48380</v>
      </c>
      <c r="I137" s="292" t="s">
        <v>653</v>
      </c>
      <c r="J137" s="292"/>
      <c r="K137" s="10" t="s">
        <v>653</v>
      </c>
      <c r="L137" s="10" t="str">
        <f t="shared" si="1"/>
        <v>Monthly</v>
      </c>
    </row>
    <row r="138" spans="2:12">
      <c r="B138" s="319">
        <v>34</v>
      </c>
      <c r="D138" s="284">
        <v>48305</v>
      </c>
      <c r="E138" s="292">
        <v>48395</v>
      </c>
      <c r="F138" s="292">
        <v>48366</v>
      </c>
      <c r="G138" s="292">
        <v>48395</v>
      </c>
      <c r="H138" s="292">
        <v>48411</v>
      </c>
      <c r="I138" s="292">
        <v>48416</v>
      </c>
      <c r="J138" s="292">
        <v>48418</v>
      </c>
      <c r="K138" s="10">
        <v>48422</v>
      </c>
      <c r="L138" s="10" t="str">
        <f t="shared" si="1"/>
        <v>Quartely</v>
      </c>
    </row>
    <row r="139" spans="2:12">
      <c r="B139" s="319" t="s">
        <v>653</v>
      </c>
      <c r="D139" s="284"/>
      <c r="E139" s="292" t="s">
        <v>653</v>
      </c>
      <c r="F139" s="292">
        <v>48396</v>
      </c>
      <c r="G139" s="292">
        <v>48426</v>
      </c>
      <c r="H139" s="292">
        <v>48439</v>
      </c>
      <c r="I139" s="292" t="s">
        <v>653</v>
      </c>
      <c r="J139" s="292"/>
      <c r="K139" s="10" t="s">
        <v>653</v>
      </c>
      <c r="L139" s="10" t="str">
        <f t="shared" si="1"/>
        <v>Monthly</v>
      </c>
    </row>
    <row r="140" spans="2:12">
      <c r="B140" s="319" t="s">
        <v>653</v>
      </c>
      <c r="D140" s="284"/>
      <c r="E140" s="292" t="s">
        <v>653</v>
      </c>
      <c r="F140" s="292">
        <v>48427</v>
      </c>
      <c r="G140" s="292">
        <v>48457</v>
      </c>
      <c r="H140" s="292">
        <v>48472</v>
      </c>
      <c r="I140" s="292" t="s">
        <v>653</v>
      </c>
      <c r="J140" s="292"/>
      <c r="K140" s="10" t="s">
        <v>653</v>
      </c>
      <c r="L140" s="10" t="str">
        <f t="shared" si="1"/>
        <v>Monthly</v>
      </c>
    </row>
    <row r="141" spans="2:12">
      <c r="B141" s="319">
        <v>35</v>
      </c>
      <c r="D141" s="284">
        <v>48396</v>
      </c>
      <c r="E141" s="292">
        <v>48487</v>
      </c>
      <c r="F141" s="292">
        <v>48458</v>
      </c>
      <c r="G141" s="292">
        <v>48487</v>
      </c>
      <c r="H141" s="292">
        <v>48502</v>
      </c>
      <c r="I141" s="292">
        <v>48507</v>
      </c>
      <c r="J141" s="292">
        <v>48512</v>
      </c>
      <c r="K141" s="10">
        <v>48514</v>
      </c>
      <c r="L141" s="10" t="str">
        <f t="shared" si="1"/>
        <v>Quartely</v>
      </c>
    </row>
    <row r="142" spans="2:12">
      <c r="B142" s="319" t="s">
        <v>653</v>
      </c>
      <c r="D142" s="284"/>
      <c r="E142" s="292" t="s">
        <v>653</v>
      </c>
      <c r="F142" s="292">
        <v>48488</v>
      </c>
      <c r="G142" s="292">
        <v>48518</v>
      </c>
      <c r="H142" s="292">
        <v>48534</v>
      </c>
      <c r="I142" s="292" t="s">
        <v>653</v>
      </c>
      <c r="J142" s="292"/>
      <c r="K142" s="10" t="s">
        <v>653</v>
      </c>
      <c r="L142" s="10" t="str">
        <f t="shared" si="1"/>
        <v>Monthly</v>
      </c>
    </row>
    <row r="143" spans="2:12">
      <c r="B143" s="319" t="s">
        <v>653</v>
      </c>
      <c r="D143" s="284"/>
      <c r="E143" s="292" t="s">
        <v>653</v>
      </c>
      <c r="F143" s="292">
        <v>48519</v>
      </c>
      <c r="G143" s="292">
        <v>48548</v>
      </c>
      <c r="H143" s="292">
        <v>48563</v>
      </c>
      <c r="I143" s="292" t="s">
        <v>653</v>
      </c>
      <c r="J143" s="292"/>
      <c r="K143" s="10" t="s">
        <v>653</v>
      </c>
      <c r="L143" s="10" t="str">
        <f t="shared" si="1"/>
        <v>Monthly</v>
      </c>
    </row>
    <row r="144" spans="2:12">
      <c r="B144" s="319">
        <v>36</v>
      </c>
      <c r="D144" s="284">
        <v>48488</v>
      </c>
      <c r="E144" s="292">
        <v>48579</v>
      </c>
      <c r="F144" s="292">
        <v>48549</v>
      </c>
      <c r="G144" s="292">
        <v>48579</v>
      </c>
      <c r="H144" s="292">
        <v>48593</v>
      </c>
      <c r="I144" s="292">
        <v>48599</v>
      </c>
      <c r="J144" s="292">
        <v>48603</v>
      </c>
      <c r="K144" s="10">
        <v>48605</v>
      </c>
      <c r="L144" s="10" t="str">
        <f t="shared" si="1"/>
        <v>Quartely</v>
      </c>
    </row>
    <row r="145" spans="2:12">
      <c r="B145" s="319" t="s">
        <v>653</v>
      </c>
      <c r="D145" s="284"/>
      <c r="E145" s="292" t="s">
        <v>653</v>
      </c>
      <c r="F145" s="292">
        <v>48580</v>
      </c>
      <c r="G145" s="292">
        <v>48610</v>
      </c>
      <c r="H145" s="292">
        <v>48625</v>
      </c>
      <c r="I145" s="292" t="s">
        <v>653</v>
      </c>
      <c r="J145" s="292"/>
      <c r="K145" s="10" t="s">
        <v>653</v>
      </c>
      <c r="L145" s="10" t="str">
        <f t="shared" si="1"/>
        <v>Monthly</v>
      </c>
    </row>
    <row r="146" spans="2:12">
      <c r="B146" s="319" t="s">
        <v>653</v>
      </c>
      <c r="D146" s="284"/>
      <c r="E146" s="292" t="s">
        <v>653</v>
      </c>
      <c r="F146" s="292">
        <v>48611</v>
      </c>
      <c r="G146" s="292">
        <v>48638</v>
      </c>
      <c r="H146" s="292">
        <v>48653</v>
      </c>
      <c r="I146" s="292" t="s">
        <v>653</v>
      </c>
      <c r="J146" s="292"/>
      <c r="K146" s="10" t="s">
        <v>653</v>
      </c>
      <c r="L146" s="10" t="str">
        <f t="shared" si="1"/>
        <v>Monthly</v>
      </c>
    </row>
    <row r="147" spans="2:12">
      <c r="B147" s="319">
        <v>37</v>
      </c>
      <c r="D147" s="284">
        <v>48580</v>
      </c>
      <c r="E147" s="292">
        <v>48669</v>
      </c>
      <c r="F147" s="292">
        <v>48639</v>
      </c>
      <c r="G147" s="292">
        <v>48669</v>
      </c>
      <c r="H147" s="292">
        <v>48688</v>
      </c>
      <c r="I147" s="292">
        <v>48691</v>
      </c>
      <c r="J147" s="292">
        <v>48694</v>
      </c>
      <c r="K147" s="10">
        <v>48696</v>
      </c>
      <c r="L147" s="10" t="str">
        <f t="shared" si="1"/>
        <v>Quartely</v>
      </c>
    </row>
    <row r="148" spans="2:12">
      <c r="B148" s="319" t="s">
        <v>653</v>
      </c>
      <c r="D148" s="284"/>
      <c r="E148" s="292" t="s">
        <v>653</v>
      </c>
      <c r="F148" s="292">
        <v>48670</v>
      </c>
      <c r="G148" s="292">
        <v>48699</v>
      </c>
      <c r="H148" s="292">
        <v>48712</v>
      </c>
      <c r="I148" s="292" t="s">
        <v>653</v>
      </c>
      <c r="J148" s="292"/>
      <c r="K148" s="10" t="s">
        <v>653</v>
      </c>
      <c r="L148" s="10" t="str">
        <f t="shared" si="1"/>
        <v>Monthly</v>
      </c>
    </row>
    <row r="149" spans="2:12">
      <c r="B149" s="319" t="s">
        <v>653</v>
      </c>
      <c r="D149" s="284"/>
      <c r="E149" s="292" t="s">
        <v>653</v>
      </c>
      <c r="F149" s="292">
        <v>48700</v>
      </c>
      <c r="G149" s="292">
        <v>48730</v>
      </c>
      <c r="H149" s="292">
        <v>48746</v>
      </c>
      <c r="I149" s="292" t="s">
        <v>653</v>
      </c>
      <c r="J149" s="292"/>
      <c r="K149" s="10" t="s">
        <v>653</v>
      </c>
      <c r="L149" s="10" t="str">
        <f t="shared" si="1"/>
        <v>Monthly</v>
      </c>
    </row>
    <row r="150" spans="2:12">
      <c r="B150" s="319">
        <v>38</v>
      </c>
      <c r="D150" s="284">
        <v>48670</v>
      </c>
      <c r="E150" s="292">
        <v>48760</v>
      </c>
      <c r="F150" s="292">
        <v>48731</v>
      </c>
      <c r="G150" s="292">
        <v>48760</v>
      </c>
      <c r="H150" s="292">
        <v>48778</v>
      </c>
      <c r="I150" s="292">
        <v>48781</v>
      </c>
      <c r="J150" s="292">
        <v>48785</v>
      </c>
      <c r="K150" s="10">
        <v>48787</v>
      </c>
      <c r="L150" s="10" t="str">
        <f t="shared" si="1"/>
        <v>Quartely</v>
      </c>
    </row>
    <row r="151" spans="2:12">
      <c r="B151" s="319" t="s">
        <v>653</v>
      </c>
      <c r="D151" s="284"/>
      <c r="E151" s="292" t="s">
        <v>653</v>
      </c>
      <c r="F151" s="292">
        <v>48761</v>
      </c>
      <c r="G151" s="292">
        <v>48791</v>
      </c>
      <c r="H151" s="292">
        <v>48807</v>
      </c>
      <c r="I151" s="292" t="s">
        <v>653</v>
      </c>
      <c r="J151" s="292"/>
      <c r="K151" s="10" t="s">
        <v>653</v>
      </c>
      <c r="L151" s="10" t="str">
        <f t="shared" si="1"/>
        <v>Monthly</v>
      </c>
    </row>
    <row r="152" spans="2:12">
      <c r="B152" s="319" t="s">
        <v>653</v>
      </c>
      <c r="D152" s="284"/>
      <c r="E152" s="292" t="s">
        <v>653</v>
      </c>
      <c r="F152" s="292">
        <v>48792</v>
      </c>
      <c r="G152" s="292">
        <v>48822</v>
      </c>
      <c r="H152" s="292">
        <v>48837</v>
      </c>
      <c r="I152" s="292" t="s">
        <v>653</v>
      </c>
      <c r="J152" s="292"/>
      <c r="K152" s="10" t="s">
        <v>653</v>
      </c>
      <c r="L152" s="10" t="str">
        <f t="shared" si="1"/>
        <v>Monthly</v>
      </c>
    </row>
    <row r="153" spans="2:12">
      <c r="B153" s="319">
        <v>39</v>
      </c>
      <c r="D153" s="284">
        <v>48761</v>
      </c>
      <c r="E153" s="292">
        <v>48852</v>
      </c>
      <c r="F153" s="292">
        <v>48823</v>
      </c>
      <c r="G153" s="292">
        <v>48852</v>
      </c>
      <c r="H153" s="292">
        <v>48866</v>
      </c>
      <c r="I153" s="292">
        <v>48872</v>
      </c>
      <c r="J153" s="292">
        <v>48876</v>
      </c>
      <c r="K153" s="10">
        <v>48878</v>
      </c>
      <c r="L153" s="10" t="str">
        <f t="shared" si="1"/>
        <v>Quartely</v>
      </c>
    </row>
    <row r="154" spans="2:12">
      <c r="B154" s="319" t="s">
        <v>653</v>
      </c>
      <c r="D154" s="284"/>
      <c r="E154" s="292" t="s">
        <v>653</v>
      </c>
      <c r="F154" s="292">
        <v>48853</v>
      </c>
      <c r="G154" s="292">
        <v>48883</v>
      </c>
      <c r="H154" s="292">
        <v>48899</v>
      </c>
      <c r="I154" s="292" t="s">
        <v>653</v>
      </c>
      <c r="J154" s="292"/>
      <c r="K154" s="10" t="s">
        <v>653</v>
      </c>
      <c r="L154" s="10" t="str">
        <f t="shared" si="1"/>
        <v>Monthly</v>
      </c>
    </row>
    <row r="155" spans="2:12">
      <c r="B155" s="319" t="s">
        <v>653</v>
      </c>
      <c r="D155" s="284"/>
      <c r="E155" s="292" t="s">
        <v>653</v>
      </c>
      <c r="F155" s="292">
        <v>48884</v>
      </c>
      <c r="G155" s="292">
        <v>48913</v>
      </c>
      <c r="H155" s="292">
        <v>48928</v>
      </c>
      <c r="I155" s="292" t="s">
        <v>653</v>
      </c>
      <c r="J155" s="292"/>
      <c r="K155" s="10" t="s">
        <v>653</v>
      </c>
      <c r="L155" s="10" t="str">
        <f t="shared" si="1"/>
        <v>Monthly</v>
      </c>
    </row>
    <row r="156" spans="2:12">
      <c r="B156" s="319">
        <v>40</v>
      </c>
      <c r="D156" s="284">
        <v>48853</v>
      </c>
      <c r="E156" s="292">
        <v>48944</v>
      </c>
      <c r="F156" s="292">
        <v>48914</v>
      </c>
      <c r="G156" s="292">
        <v>48944</v>
      </c>
      <c r="H156" s="292">
        <v>48957</v>
      </c>
      <c r="I156" s="292">
        <v>48963</v>
      </c>
      <c r="J156" s="292">
        <v>48967</v>
      </c>
      <c r="K156" s="10">
        <v>48969</v>
      </c>
      <c r="L156" s="10" t="str">
        <f t="shared" si="1"/>
        <v>Quartely</v>
      </c>
    </row>
    <row r="157" spans="2:12">
      <c r="B157" s="319" t="s">
        <v>653</v>
      </c>
      <c r="D157" s="284"/>
      <c r="E157" s="292" t="s">
        <v>653</v>
      </c>
      <c r="F157" s="292">
        <v>48945</v>
      </c>
      <c r="G157" s="292">
        <v>48975</v>
      </c>
      <c r="H157" s="292">
        <v>48990</v>
      </c>
      <c r="I157" s="292" t="s">
        <v>653</v>
      </c>
      <c r="J157" s="292"/>
      <c r="K157" s="10" t="s">
        <v>653</v>
      </c>
      <c r="L157" s="10" t="str">
        <f t="shared" si="1"/>
        <v>Monthly</v>
      </c>
    </row>
    <row r="158" spans="2:12">
      <c r="B158" s="319" t="s">
        <v>653</v>
      </c>
      <c r="D158" s="284"/>
      <c r="E158" s="292" t="s">
        <v>653</v>
      </c>
      <c r="F158" s="292">
        <v>48976</v>
      </c>
      <c r="G158" s="292">
        <v>49003</v>
      </c>
      <c r="H158" s="292">
        <v>49018</v>
      </c>
      <c r="I158" s="292" t="s">
        <v>653</v>
      </c>
      <c r="J158" s="292"/>
      <c r="K158" s="10" t="s">
        <v>653</v>
      </c>
      <c r="L158" s="10" t="str">
        <f t="shared" si="1"/>
        <v>Monthly</v>
      </c>
    </row>
    <row r="159" spans="2:12">
      <c r="B159" s="319">
        <v>41</v>
      </c>
      <c r="D159" s="284">
        <v>48945</v>
      </c>
      <c r="E159" s="292">
        <v>49034</v>
      </c>
      <c r="F159" s="292">
        <v>49004</v>
      </c>
      <c r="G159" s="292">
        <v>49034</v>
      </c>
      <c r="H159" s="292">
        <v>49052</v>
      </c>
      <c r="I159" s="292">
        <v>49058</v>
      </c>
      <c r="J159" s="292">
        <v>49058</v>
      </c>
      <c r="K159" s="10">
        <v>49060</v>
      </c>
      <c r="L159" s="10" t="str">
        <f t="shared" si="1"/>
        <v>Quartely</v>
      </c>
    </row>
    <row r="160" spans="2:12">
      <c r="B160" s="319" t="s">
        <v>653</v>
      </c>
      <c r="D160" s="284"/>
      <c r="E160" s="292" t="s">
        <v>653</v>
      </c>
      <c r="F160" s="292">
        <v>49035</v>
      </c>
      <c r="G160" s="292">
        <v>49064</v>
      </c>
      <c r="H160" s="292">
        <v>49080</v>
      </c>
      <c r="I160" s="292" t="s">
        <v>653</v>
      </c>
      <c r="J160" s="292"/>
      <c r="K160" s="10" t="s">
        <v>653</v>
      </c>
      <c r="L160" s="10" t="str">
        <f t="shared" si="1"/>
        <v>Monthly</v>
      </c>
    </row>
    <row r="161" spans="2:12">
      <c r="B161" s="319" t="s">
        <v>653</v>
      </c>
      <c r="D161" s="284"/>
      <c r="E161" s="292" t="s">
        <v>653</v>
      </c>
      <c r="F161" s="292">
        <v>49065</v>
      </c>
      <c r="G161" s="292">
        <v>49095</v>
      </c>
      <c r="H161" s="292">
        <v>49110</v>
      </c>
      <c r="I161" s="292" t="s">
        <v>653</v>
      </c>
      <c r="J161" s="292"/>
      <c r="K161" s="10" t="s">
        <v>653</v>
      </c>
      <c r="L161" s="10" t="str">
        <f t="shared" si="1"/>
        <v>Monthly</v>
      </c>
    </row>
    <row r="162" spans="2:12">
      <c r="B162" s="319">
        <v>42</v>
      </c>
      <c r="D162" s="284">
        <v>49035</v>
      </c>
      <c r="E162" s="292">
        <v>49125</v>
      </c>
      <c r="F162" s="292">
        <v>49096</v>
      </c>
      <c r="G162" s="292">
        <v>49125</v>
      </c>
      <c r="H162" s="292">
        <v>49142</v>
      </c>
      <c r="I162" s="292">
        <v>49146</v>
      </c>
      <c r="J162" s="292">
        <v>49149</v>
      </c>
      <c r="K162" s="10">
        <v>49151</v>
      </c>
      <c r="L162" s="10" t="str">
        <f t="shared" si="1"/>
        <v>Quartely</v>
      </c>
    </row>
    <row r="163" spans="2:12">
      <c r="B163" s="319" t="s">
        <v>653</v>
      </c>
      <c r="D163" s="284"/>
      <c r="E163" s="292" t="s">
        <v>653</v>
      </c>
      <c r="F163" s="292">
        <v>49126</v>
      </c>
      <c r="G163" s="292">
        <v>49156</v>
      </c>
      <c r="H163" s="292">
        <v>49172</v>
      </c>
      <c r="I163" s="292" t="s">
        <v>653</v>
      </c>
      <c r="J163" s="292"/>
      <c r="K163" s="10" t="s">
        <v>653</v>
      </c>
      <c r="L163" s="10" t="str">
        <f t="shared" ref="L163:L226" si="2">IF(K163="","Monthly","Quartely")</f>
        <v>Monthly</v>
      </c>
    </row>
    <row r="164" spans="2:12">
      <c r="B164" s="319" t="s">
        <v>653</v>
      </c>
      <c r="D164" s="284"/>
      <c r="E164" s="292" t="s">
        <v>653</v>
      </c>
      <c r="F164" s="292">
        <v>49157</v>
      </c>
      <c r="G164" s="292">
        <v>49187</v>
      </c>
      <c r="H164" s="292">
        <v>49202</v>
      </c>
      <c r="I164" s="292" t="s">
        <v>653</v>
      </c>
      <c r="J164" s="292"/>
      <c r="K164" s="10" t="s">
        <v>653</v>
      </c>
      <c r="L164" s="10" t="str">
        <f t="shared" si="2"/>
        <v>Monthly</v>
      </c>
    </row>
    <row r="165" spans="2:12">
      <c r="B165" s="319">
        <v>43</v>
      </c>
      <c r="D165" s="284">
        <v>49126</v>
      </c>
      <c r="E165" s="292">
        <v>49217</v>
      </c>
      <c r="F165" s="292">
        <v>49188</v>
      </c>
      <c r="G165" s="292">
        <v>49217</v>
      </c>
      <c r="H165" s="292">
        <v>49230</v>
      </c>
      <c r="I165" s="292">
        <v>49236</v>
      </c>
      <c r="J165" s="292">
        <v>49240</v>
      </c>
      <c r="K165" s="10">
        <v>49242</v>
      </c>
      <c r="L165" s="10" t="str">
        <f t="shared" si="2"/>
        <v>Quartely</v>
      </c>
    </row>
    <row r="166" spans="2:12">
      <c r="B166" s="319" t="s">
        <v>653</v>
      </c>
      <c r="D166" s="284"/>
      <c r="E166" s="292" t="s">
        <v>653</v>
      </c>
      <c r="F166" s="292">
        <v>49218</v>
      </c>
      <c r="G166" s="292">
        <v>49248</v>
      </c>
      <c r="H166" s="292">
        <v>49263</v>
      </c>
      <c r="I166" s="292" t="s">
        <v>653</v>
      </c>
      <c r="J166" s="292"/>
      <c r="K166" s="10" t="s">
        <v>653</v>
      </c>
      <c r="L166" s="10" t="str">
        <f t="shared" si="2"/>
        <v>Monthly</v>
      </c>
    </row>
    <row r="167" spans="2:12">
      <c r="B167" s="319" t="s">
        <v>653</v>
      </c>
      <c r="D167" s="284"/>
      <c r="E167" s="292" t="s">
        <v>653</v>
      </c>
      <c r="F167" s="292">
        <v>49249</v>
      </c>
      <c r="G167" s="292">
        <v>49278</v>
      </c>
      <c r="H167" s="292">
        <v>49293</v>
      </c>
      <c r="I167" s="292" t="s">
        <v>653</v>
      </c>
      <c r="J167" s="292"/>
      <c r="K167" s="10" t="s">
        <v>653</v>
      </c>
      <c r="L167" s="10" t="str">
        <f t="shared" si="2"/>
        <v>Monthly</v>
      </c>
    </row>
    <row r="168" spans="2:12">
      <c r="B168" s="319">
        <v>44</v>
      </c>
      <c r="D168" s="284">
        <v>49218</v>
      </c>
      <c r="E168" s="292">
        <v>49309</v>
      </c>
      <c r="F168" s="292">
        <v>49279</v>
      </c>
      <c r="G168" s="292">
        <v>49309</v>
      </c>
      <c r="H168" s="292">
        <v>49324</v>
      </c>
      <c r="I168" s="292">
        <v>49328</v>
      </c>
      <c r="J168" s="292">
        <v>49332</v>
      </c>
      <c r="K168" s="10">
        <v>49334</v>
      </c>
      <c r="L168" s="10" t="str">
        <f t="shared" si="2"/>
        <v>Quartely</v>
      </c>
    </row>
    <row r="169" spans="2:12">
      <c r="B169" s="319" t="s">
        <v>653</v>
      </c>
      <c r="D169" s="284"/>
      <c r="E169" s="292" t="s">
        <v>653</v>
      </c>
      <c r="F169" s="292">
        <v>49310</v>
      </c>
      <c r="G169" s="292">
        <v>49340</v>
      </c>
      <c r="H169" s="292">
        <v>49355</v>
      </c>
      <c r="I169" s="292" t="s">
        <v>653</v>
      </c>
      <c r="J169" s="292"/>
      <c r="K169" s="10" t="s">
        <v>653</v>
      </c>
      <c r="L169" s="10" t="str">
        <f t="shared" si="2"/>
        <v>Monthly</v>
      </c>
    </row>
    <row r="170" spans="2:12">
      <c r="B170" s="319" t="s">
        <v>653</v>
      </c>
      <c r="D170" s="284"/>
      <c r="E170" s="292" t="s">
        <v>653</v>
      </c>
      <c r="F170" s="292">
        <v>49341</v>
      </c>
      <c r="G170" s="292">
        <v>49368</v>
      </c>
      <c r="H170" s="292">
        <v>49383</v>
      </c>
      <c r="I170" s="292" t="s">
        <v>653</v>
      </c>
      <c r="J170" s="292"/>
      <c r="K170" s="10" t="s">
        <v>653</v>
      </c>
      <c r="L170" s="10" t="str">
        <f t="shared" si="2"/>
        <v>Monthly</v>
      </c>
    </row>
    <row r="171" spans="2:12">
      <c r="B171" s="319">
        <v>45</v>
      </c>
      <c r="D171" s="284">
        <v>49310</v>
      </c>
      <c r="E171" s="292">
        <v>49399</v>
      </c>
      <c r="F171" s="292">
        <v>49369</v>
      </c>
      <c r="G171" s="292">
        <v>49399</v>
      </c>
      <c r="H171" s="292">
        <v>49412</v>
      </c>
      <c r="I171" s="292">
        <v>49418</v>
      </c>
      <c r="J171" s="292">
        <v>49422</v>
      </c>
      <c r="K171" s="10">
        <v>49424</v>
      </c>
      <c r="L171" s="10" t="str">
        <f t="shared" si="2"/>
        <v>Quartely</v>
      </c>
    </row>
    <row r="172" spans="2:12">
      <c r="B172" s="319" t="s">
        <v>653</v>
      </c>
      <c r="D172" s="284"/>
      <c r="E172" s="292" t="s">
        <v>653</v>
      </c>
      <c r="F172" s="292">
        <v>49400</v>
      </c>
      <c r="G172" s="292">
        <v>49429</v>
      </c>
      <c r="H172" s="292">
        <v>49447</v>
      </c>
      <c r="I172" s="292" t="s">
        <v>653</v>
      </c>
      <c r="J172" s="292"/>
      <c r="K172" s="10" t="s">
        <v>653</v>
      </c>
      <c r="L172" s="10" t="str">
        <f t="shared" si="2"/>
        <v>Monthly</v>
      </c>
    </row>
    <row r="173" spans="2:12">
      <c r="B173" s="319" t="s">
        <v>653</v>
      </c>
      <c r="D173" s="284"/>
      <c r="E173" s="292" t="s">
        <v>653</v>
      </c>
      <c r="F173" s="292">
        <v>49430</v>
      </c>
      <c r="G173" s="292">
        <v>49460</v>
      </c>
      <c r="H173" s="292">
        <v>49475</v>
      </c>
      <c r="I173" s="292" t="s">
        <v>653</v>
      </c>
      <c r="J173" s="292"/>
      <c r="K173" s="10" t="s">
        <v>653</v>
      </c>
      <c r="L173" s="10" t="str">
        <f t="shared" si="2"/>
        <v>Monthly</v>
      </c>
    </row>
    <row r="174" spans="2:12">
      <c r="B174" s="319">
        <v>46</v>
      </c>
      <c r="D174" s="284">
        <v>49400</v>
      </c>
      <c r="E174" s="292">
        <v>49490</v>
      </c>
      <c r="F174" s="292">
        <v>49461</v>
      </c>
      <c r="G174" s="292">
        <v>49490</v>
      </c>
      <c r="H174" s="292">
        <v>49503</v>
      </c>
      <c r="I174" s="292">
        <v>49509</v>
      </c>
      <c r="J174" s="292">
        <v>49513</v>
      </c>
      <c r="K174" s="10">
        <v>49515</v>
      </c>
      <c r="L174" s="10" t="str">
        <f t="shared" si="2"/>
        <v>Quartely</v>
      </c>
    </row>
    <row r="175" spans="2:12">
      <c r="B175" s="319" t="s">
        <v>653</v>
      </c>
      <c r="D175" s="284"/>
      <c r="E175" s="292" t="s">
        <v>653</v>
      </c>
      <c r="F175" s="292">
        <v>49491</v>
      </c>
      <c r="G175" s="292">
        <v>49521</v>
      </c>
      <c r="H175" s="292">
        <v>49537</v>
      </c>
      <c r="I175" s="292" t="s">
        <v>653</v>
      </c>
      <c r="J175" s="292"/>
      <c r="K175" s="10" t="s">
        <v>653</v>
      </c>
      <c r="L175" s="10" t="str">
        <f t="shared" si="2"/>
        <v>Monthly</v>
      </c>
    </row>
    <row r="176" spans="2:12">
      <c r="B176" s="319" t="s">
        <v>653</v>
      </c>
      <c r="D176" s="284"/>
      <c r="E176" s="292" t="s">
        <v>653</v>
      </c>
      <c r="F176" s="292">
        <v>49522</v>
      </c>
      <c r="G176" s="292">
        <v>49552</v>
      </c>
      <c r="H176" s="292">
        <v>49566</v>
      </c>
      <c r="I176" s="292" t="s">
        <v>653</v>
      </c>
      <c r="J176" s="292"/>
      <c r="K176" s="10" t="s">
        <v>653</v>
      </c>
      <c r="L176" s="10" t="str">
        <f t="shared" si="2"/>
        <v>Monthly</v>
      </c>
    </row>
    <row r="177" spans="2:12">
      <c r="B177" s="319">
        <v>47</v>
      </c>
      <c r="D177" s="284">
        <v>49491</v>
      </c>
      <c r="E177" s="292">
        <v>49582</v>
      </c>
      <c r="F177" s="292">
        <v>49553</v>
      </c>
      <c r="G177" s="292">
        <v>49582</v>
      </c>
      <c r="H177" s="292">
        <v>49597</v>
      </c>
      <c r="I177" s="292">
        <v>49600</v>
      </c>
      <c r="J177" s="292">
        <v>49605</v>
      </c>
      <c r="K177" s="10">
        <v>49607</v>
      </c>
      <c r="L177" s="10" t="str">
        <f t="shared" si="2"/>
        <v>Quartely</v>
      </c>
    </row>
    <row r="178" spans="2:12">
      <c r="B178" s="319" t="s">
        <v>653</v>
      </c>
      <c r="D178" s="284"/>
      <c r="E178" s="292" t="s">
        <v>653</v>
      </c>
      <c r="F178" s="292">
        <v>49583</v>
      </c>
      <c r="G178" s="292">
        <v>49613</v>
      </c>
      <c r="H178" s="292">
        <v>49628</v>
      </c>
      <c r="I178" s="292" t="s">
        <v>653</v>
      </c>
      <c r="J178" s="292"/>
      <c r="K178" s="10" t="s">
        <v>653</v>
      </c>
      <c r="L178" s="10" t="str">
        <f t="shared" si="2"/>
        <v>Monthly</v>
      </c>
    </row>
    <row r="179" spans="2:12">
      <c r="B179" s="319" t="s">
        <v>653</v>
      </c>
      <c r="D179" s="284"/>
      <c r="E179" s="292" t="s">
        <v>653</v>
      </c>
      <c r="F179" s="292">
        <v>49614</v>
      </c>
      <c r="G179" s="292">
        <v>49643</v>
      </c>
      <c r="H179" s="292">
        <v>49657</v>
      </c>
      <c r="I179" s="292" t="s">
        <v>653</v>
      </c>
      <c r="J179" s="292"/>
      <c r="K179" s="10" t="s">
        <v>653</v>
      </c>
      <c r="L179" s="10" t="str">
        <f t="shared" si="2"/>
        <v>Monthly</v>
      </c>
    </row>
    <row r="180" spans="2:12">
      <c r="B180" s="319">
        <v>48</v>
      </c>
      <c r="D180" s="284">
        <v>49583</v>
      </c>
      <c r="E180" s="292">
        <v>49674</v>
      </c>
      <c r="F180" s="292">
        <v>49644</v>
      </c>
      <c r="G180" s="292">
        <v>49674</v>
      </c>
      <c r="H180" s="292">
        <v>49689</v>
      </c>
      <c r="I180" s="292">
        <v>49695</v>
      </c>
      <c r="J180" s="292">
        <v>49697</v>
      </c>
      <c r="K180" s="10">
        <v>49699</v>
      </c>
      <c r="L180" s="10" t="str">
        <f t="shared" si="2"/>
        <v>Quartely</v>
      </c>
    </row>
    <row r="181" spans="2:12">
      <c r="B181" s="319" t="s">
        <v>653</v>
      </c>
      <c r="D181" s="284"/>
      <c r="E181" s="292" t="s">
        <v>653</v>
      </c>
      <c r="F181" s="292">
        <v>49675</v>
      </c>
      <c r="G181" s="292">
        <v>49705</v>
      </c>
      <c r="H181" s="292">
        <v>49720</v>
      </c>
      <c r="I181" s="292" t="s">
        <v>653</v>
      </c>
      <c r="J181" s="292"/>
      <c r="K181" s="10" t="s">
        <v>653</v>
      </c>
      <c r="L181" s="10" t="str">
        <f t="shared" si="2"/>
        <v>Monthly</v>
      </c>
    </row>
    <row r="182" spans="2:12">
      <c r="B182" s="319" t="s">
        <v>653</v>
      </c>
      <c r="D182" s="284"/>
      <c r="E182" s="292" t="s">
        <v>653</v>
      </c>
      <c r="F182" s="292">
        <v>49706</v>
      </c>
      <c r="G182" s="292">
        <v>49734</v>
      </c>
      <c r="H182" s="292">
        <v>49748</v>
      </c>
      <c r="I182" s="292" t="s">
        <v>653</v>
      </c>
      <c r="J182" s="292"/>
      <c r="K182" s="10" t="s">
        <v>653</v>
      </c>
      <c r="L182" s="10" t="str">
        <f t="shared" si="2"/>
        <v>Monthly</v>
      </c>
    </row>
    <row r="183" spans="2:12">
      <c r="B183" s="319">
        <v>49</v>
      </c>
      <c r="D183" s="284">
        <v>49675</v>
      </c>
      <c r="E183" s="292">
        <v>49765</v>
      </c>
      <c r="F183" s="292">
        <v>49735</v>
      </c>
      <c r="G183" s="292">
        <v>49765</v>
      </c>
      <c r="H183" s="292">
        <v>49782</v>
      </c>
      <c r="I183" s="292">
        <v>49787</v>
      </c>
      <c r="J183" s="292">
        <v>49788</v>
      </c>
      <c r="K183" s="10">
        <v>49790</v>
      </c>
      <c r="L183" s="10" t="str">
        <f t="shared" si="2"/>
        <v>Quartely</v>
      </c>
    </row>
    <row r="184" spans="2:12">
      <c r="B184" s="319" t="s">
        <v>653</v>
      </c>
      <c r="D184" s="284"/>
      <c r="E184" s="292" t="s">
        <v>653</v>
      </c>
      <c r="F184" s="292">
        <v>49766</v>
      </c>
      <c r="G184" s="292">
        <v>49795</v>
      </c>
      <c r="H184" s="292">
        <v>49811</v>
      </c>
      <c r="I184" s="292" t="s">
        <v>653</v>
      </c>
      <c r="J184" s="292"/>
      <c r="K184" s="10" t="s">
        <v>653</v>
      </c>
      <c r="L184" s="10" t="str">
        <f t="shared" si="2"/>
        <v>Monthly</v>
      </c>
    </row>
    <row r="185" spans="2:12">
      <c r="B185" s="319" t="s">
        <v>653</v>
      </c>
      <c r="D185" s="284"/>
      <c r="E185" s="292" t="s">
        <v>653</v>
      </c>
      <c r="F185" s="292">
        <v>49796</v>
      </c>
      <c r="G185" s="292">
        <v>49826</v>
      </c>
      <c r="H185" s="292">
        <v>49842</v>
      </c>
      <c r="I185" s="292" t="s">
        <v>653</v>
      </c>
      <c r="J185" s="292"/>
      <c r="K185" s="10" t="s">
        <v>653</v>
      </c>
      <c r="L185" s="10" t="str">
        <f t="shared" si="2"/>
        <v>Monthly</v>
      </c>
    </row>
    <row r="186" spans="2:12">
      <c r="B186" s="319">
        <v>50</v>
      </c>
      <c r="D186" s="284">
        <v>49766</v>
      </c>
      <c r="E186" s="292">
        <v>49856</v>
      </c>
      <c r="F186" s="292">
        <v>49827</v>
      </c>
      <c r="G186" s="292">
        <v>49856</v>
      </c>
      <c r="H186" s="292">
        <v>49872</v>
      </c>
      <c r="I186" s="292">
        <v>49877</v>
      </c>
      <c r="J186" s="292">
        <v>49879</v>
      </c>
      <c r="K186" s="10">
        <v>49881</v>
      </c>
      <c r="L186" s="10" t="str">
        <f t="shared" si="2"/>
        <v>Quartely</v>
      </c>
    </row>
    <row r="187" spans="2:12">
      <c r="B187" s="319" t="s">
        <v>653</v>
      </c>
      <c r="D187" s="284"/>
      <c r="E187" s="292" t="s">
        <v>653</v>
      </c>
      <c r="F187" s="292">
        <v>49857</v>
      </c>
      <c r="G187" s="292">
        <v>49887</v>
      </c>
      <c r="H187" s="292">
        <v>49905</v>
      </c>
      <c r="I187" s="292" t="s">
        <v>653</v>
      </c>
      <c r="J187" s="292"/>
      <c r="K187" s="10" t="s">
        <v>653</v>
      </c>
      <c r="L187" s="10" t="str">
        <f t="shared" si="2"/>
        <v>Monthly</v>
      </c>
    </row>
    <row r="188" spans="2:12">
      <c r="B188" s="319" t="s">
        <v>653</v>
      </c>
      <c r="D188" s="284"/>
      <c r="E188" s="292" t="s">
        <v>653</v>
      </c>
      <c r="F188" s="292">
        <v>49888</v>
      </c>
      <c r="G188" s="292">
        <v>49918</v>
      </c>
      <c r="H188" s="292">
        <v>49933</v>
      </c>
      <c r="I188" s="292" t="s">
        <v>653</v>
      </c>
      <c r="J188" s="292"/>
      <c r="K188" s="10" t="s">
        <v>653</v>
      </c>
      <c r="L188" s="10" t="str">
        <f t="shared" si="2"/>
        <v>Monthly</v>
      </c>
    </row>
    <row r="189" spans="2:12">
      <c r="B189" s="319">
        <v>51</v>
      </c>
      <c r="D189" s="284">
        <v>49857</v>
      </c>
      <c r="E189" s="292">
        <v>49948</v>
      </c>
      <c r="F189" s="292">
        <v>49919</v>
      </c>
      <c r="G189" s="292">
        <v>49948</v>
      </c>
      <c r="H189" s="292">
        <v>49963</v>
      </c>
      <c r="I189" s="292">
        <v>49968</v>
      </c>
      <c r="J189" s="292">
        <v>49971</v>
      </c>
      <c r="K189" s="10">
        <v>49975</v>
      </c>
      <c r="L189" s="10" t="str">
        <f t="shared" si="2"/>
        <v>Quartely</v>
      </c>
    </row>
    <row r="190" spans="2:12">
      <c r="B190" s="319" t="s">
        <v>653</v>
      </c>
      <c r="D190" s="284"/>
      <c r="E190" s="292" t="s">
        <v>653</v>
      </c>
      <c r="F190" s="292">
        <v>49949</v>
      </c>
      <c r="G190" s="292">
        <v>49979</v>
      </c>
      <c r="H190" s="292">
        <v>49996</v>
      </c>
      <c r="I190" s="292" t="s">
        <v>653</v>
      </c>
      <c r="J190" s="292"/>
      <c r="K190" s="10" t="s">
        <v>653</v>
      </c>
      <c r="L190" s="10" t="str">
        <f t="shared" si="2"/>
        <v>Monthly</v>
      </c>
    </row>
    <row r="191" spans="2:12">
      <c r="B191" s="319" t="s">
        <v>653</v>
      </c>
      <c r="D191" s="284"/>
      <c r="E191" s="292" t="s">
        <v>653</v>
      </c>
      <c r="F191" s="292">
        <v>49980</v>
      </c>
      <c r="G191" s="292">
        <v>50009</v>
      </c>
      <c r="H191" s="292">
        <v>50024</v>
      </c>
      <c r="I191" s="292" t="s">
        <v>653</v>
      </c>
      <c r="J191" s="292"/>
      <c r="K191" s="10" t="s">
        <v>653</v>
      </c>
      <c r="L191" s="10" t="str">
        <f t="shared" si="2"/>
        <v>Monthly</v>
      </c>
    </row>
    <row r="192" spans="2:12">
      <c r="B192" s="319">
        <v>52</v>
      </c>
      <c r="D192" s="284">
        <v>49949</v>
      </c>
      <c r="E192" s="292">
        <v>50040</v>
      </c>
      <c r="F192" s="292">
        <v>50010</v>
      </c>
      <c r="G192" s="292">
        <v>50040</v>
      </c>
      <c r="H192" s="292">
        <v>50055</v>
      </c>
      <c r="I192" s="292">
        <v>50060</v>
      </c>
      <c r="J192" s="292">
        <v>50063</v>
      </c>
      <c r="K192" s="10">
        <v>50067</v>
      </c>
      <c r="L192" s="10" t="str">
        <f t="shared" si="2"/>
        <v>Quartely</v>
      </c>
    </row>
    <row r="193" spans="2:12">
      <c r="B193" s="319" t="s">
        <v>653</v>
      </c>
      <c r="D193" s="284"/>
      <c r="E193" s="292" t="s">
        <v>653</v>
      </c>
      <c r="F193" s="292">
        <v>50041</v>
      </c>
      <c r="G193" s="292">
        <v>50071</v>
      </c>
      <c r="H193" s="292">
        <v>50084</v>
      </c>
      <c r="I193" s="292" t="s">
        <v>653</v>
      </c>
      <c r="J193" s="292"/>
      <c r="K193" s="10" t="s">
        <v>653</v>
      </c>
      <c r="L193" s="10" t="str">
        <f t="shared" si="2"/>
        <v>Monthly</v>
      </c>
    </row>
    <row r="194" spans="2:12">
      <c r="B194" s="319" t="s">
        <v>653</v>
      </c>
      <c r="D194" s="284"/>
      <c r="E194" s="292" t="s">
        <v>653</v>
      </c>
      <c r="F194" s="292">
        <v>50072</v>
      </c>
      <c r="G194" s="292">
        <v>50099</v>
      </c>
      <c r="H194" s="292">
        <v>50112</v>
      </c>
      <c r="I194" s="292" t="s">
        <v>653</v>
      </c>
      <c r="J194" s="292"/>
      <c r="K194" s="10" t="s">
        <v>653</v>
      </c>
      <c r="L194" s="10" t="str">
        <f t="shared" si="2"/>
        <v>Monthly</v>
      </c>
    </row>
    <row r="195" spans="2:12">
      <c r="B195" s="319">
        <v>53</v>
      </c>
      <c r="D195" s="284">
        <v>50041</v>
      </c>
      <c r="E195" s="292">
        <v>50130</v>
      </c>
      <c r="F195" s="292">
        <v>50100</v>
      </c>
      <c r="G195" s="292">
        <v>50130</v>
      </c>
      <c r="H195" s="292">
        <v>50145</v>
      </c>
      <c r="I195" s="292">
        <v>50150</v>
      </c>
      <c r="J195" s="292">
        <v>50153</v>
      </c>
      <c r="K195" s="10">
        <v>50157</v>
      </c>
      <c r="L195" s="10" t="str">
        <f t="shared" si="2"/>
        <v>Quartely</v>
      </c>
    </row>
    <row r="196" spans="2:12">
      <c r="B196" s="319" t="s">
        <v>653</v>
      </c>
      <c r="D196" s="284"/>
      <c r="E196" s="292" t="s">
        <v>653</v>
      </c>
      <c r="F196" s="292">
        <v>50131</v>
      </c>
      <c r="G196" s="292">
        <v>50160</v>
      </c>
      <c r="H196" s="292">
        <v>50175</v>
      </c>
      <c r="I196" s="292" t="s">
        <v>653</v>
      </c>
      <c r="J196" s="292"/>
      <c r="K196" s="10" t="s">
        <v>653</v>
      </c>
      <c r="L196" s="10" t="str">
        <f t="shared" si="2"/>
        <v>Monthly</v>
      </c>
    </row>
    <row r="197" spans="2:12">
      <c r="B197" s="319" t="s">
        <v>653</v>
      </c>
      <c r="D197" s="284"/>
      <c r="E197" s="292" t="s">
        <v>653</v>
      </c>
      <c r="F197" s="292">
        <v>50161</v>
      </c>
      <c r="G197" s="292">
        <v>50191</v>
      </c>
      <c r="H197" s="292">
        <v>50206</v>
      </c>
      <c r="I197" s="292" t="s">
        <v>653</v>
      </c>
      <c r="J197" s="292"/>
      <c r="K197" s="10" t="s">
        <v>653</v>
      </c>
      <c r="L197" s="10" t="str">
        <f t="shared" si="2"/>
        <v>Monthly</v>
      </c>
    </row>
    <row r="198" spans="2:12">
      <c r="B198" s="319">
        <v>54</v>
      </c>
      <c r="D198" s="284">
        <v>50131</v>
      </c>
      <c r="E198" s="292">
        <v>50221</v>
      </c>
      <c r="F198" s="292">
        <v>50192</v>
      </c>
      <c r="G198" s="292">
        <v>50221</v>
      </c>
      <c r="H198" s="292">
        <v>50236</v>
      </c>
      <c r="I198" s="292">
        <v>50241</v>
      </c>
      <c r="J198" s="292">
        <v>50244</v>
      </c>
      <c r="K198" s="10">
        <v>50248</v>
      </c>
      <c r="L198" s="10" t="str">
        <f t="shared" si="2"/>
        <v>Quartely</v>
      </c>
    </row>
    <row r="199" spans="2:12">
      <c r="B199" s="319" t="s">
        <v>653</v>
      </c>
      <c r="D199" s="284"/>
      <c r="E199" s="292" t="s">
        <v>653</v>
      </c>
      <c r="F199" s="292">
        <v>50222</v>
      </c>
      <c r="G199" s="292">
        <v>50252</v>
      </c>
      <c r="H199" s="292">
        <v>50266</v>
      </c>
      <c r="I199" s="292" t="s">
        <v>653</v>
      </c>
      <c r="J199" s="292"/>
      <c r="K199" s="10" t="s">
        <v>653</v>
      </c>
      <c r="L199" s="10" t="str">
        <f t="shared" si="2"/>
        <v>Monthly</v>
      </c>
    </row>
    <row r="200" spans="2:12">
      <c r="B200" s="319" t="s">
        <v>653</v>
      </c>
      <c r="D200" s="284"/>
      <c r="E200" s="292" t="s">
        <v>653</v>
      </c>
      <c r="F200" s="292">
        <v>50253</v>
      </c>
      <c r="G200" s="292">
        <v>50283</v>
      </c>
      <c r="H200" s="292">
        <v>50298</v>
      </c>
      <c r="I200" s="292" t="s">
        <v>653</v>
      </c>
      <c r="J200" s="292"/>
      <c r="K200" s="10" t="s">
        <v>653</v>
      </c>
      <c r="L200" s="10" t="str">
        <f t="shared" si="2"/>
        <v>Monthly</v>
      </c>
    </row>
    <row r="201" spans="2:12">
      <c r="B201" s="319">
        <v>55</v>
      </c>
      <c r="D201" s="284">
        <v>50222</v>
      </c>
      <c r="E201" s="292">
        <v>50313</v>
      </c>
      <c r="F201" s="292">
        <v>50284</v>
      </c>
      <c r="G201" s="292">
        <v>50313</v>
      </c>
      <c r="H201" s="292">
        <v>50328</v>
      </c>
      <c r="I201" s="292">
        <v>50333</v>
      </c>
      <c r="J201" s="292">
        <v>50336</v>
      </c>
      <c r="K201" s="10">
        <v>50340</v>
      </c>
      <c r="L201" s="10" t="str">
        <f t="shared" si="2"/>
        <v>Quartely</v>
      </c>
    </row>
    <row r="202" spans="2:12">
      <c r="B202" s="319" t="s">
        <v>653</v>
      </c>
      <c r="D202" s="284"/>
      <c r="E202" s="292" t="s">
        <v>653</v>
      </c>
      <c r="F202" s="292">
        <v>50314</v>
      </c>
      <c r="G202" s="292">
        <v>50344</v>
      </c>
      <c r="H202" s="292">
        <v>50357</v>
      </c>
      <c r="I202" s="292" t="s">
        <v>653</v>
      </c>
      <c r="J202" s="292"/>
      <c r="K202" s="10" t="s">
        <v>653</v>
      </c>
      <c r="L202" s="10" t="str">
        <f t="shared" si="2"/>
        <v>Monthly</v>
      </c>
    </row>
    <row r="203" spans="2:12">
      <c r="B203" s="319" t="s">
        <v>653</v>
      </c>
      <c r="D203" s="284"/>
      <c r="E203" s="292" t="s">
        <v>653</v>
      </c>
      <c r="F203" s="292">
        <v>50345</v>
      </c>
      <c r="G203" s="292">
        <v>50374</v>
      </c>
      <c r="H203" s="292">
        <v>50389</v>
      </c>
      <c r="I203" s="292" t="s">
        <v>653</v>
      </c>
      <c r="J203" s="292"/>
      <c r="K203" s="10" t="s">
        <v>653</v>
      </c>
      <c r="L203" s="10" t="str">
        <f t="shared" si="2"/>
        <v>Monthly</v>
      </c>
    </row>
    <row r="204" spans="2:12">
      <c r="B204" s="319">
        <v>56</v>
      </c>
      <c r="D204" s="284">
        <v>50314</v>
      </c>
      <c r="E204" s="292">
        <v>50405</v>
      </c>
      <c r="F204" s="292">
        <v>50375</v>
      </c>
      <c r="G204" s="292">
        <v>50405</v>
      </c>
      <c r="H204" s="292">
        <v>50420</v>
      </c>
      <c r="I204" s="292">
        <v>50425</v>
      </c>
      <c r="J204" s="292">
        <v>50430</v>
      </c>
      <c r="K204" s="10">
        <v>50432</v>
      </c>
      <c r="L204" s="10" t="str">
        <f t="shared" si="2"/>
        <v>Quartely</v>
      </c>
    </row>
    <row r="205" spans="2:12">
      <c r="B205" s="319" t="s">
        <v>653</v>
      </c>
      <c r="D205" s="284"/>
      <c r="E205" s="292" t="s">
        <v>653</v>
      </c>
      <c r="F205" s="292">
        <v>50406</v>
      </c>
      <c r="G205" s="292">
        <v>50436</v>
      </c>
      <c r="H205" s="292">
        <v>50451</v>
      </c>
      <c r="I205" s="292" t="s">
        <v>653</v>
      </c>
      <c r="J205" s="292"/>
      <c r="K205" s="10" t="s">
        <v>653</v>
      </c>
      <c r="L205" s="10" t="str">
        <f t="shared" si="2"/>
        <v>Monthly</v>
      </c>
    </row>
    <row r="206" spans="2:12">
      <c r="B206" s="319" t="s">
        <v>653</v>
      </c>
      <c r="D206" s="284"/>
      <c r="E206" s="292" t="s">
        <v>653</v>
      </c>
      <c r="F206" s="292">
        <v>50437</v>
      </c>
      <c r="G206" s="292">
        <v>50464</v>
      </c>
      <c r="H206" s="292">
        <v>50479</v>
      </c>
      <c r="I206" s="292" t="s">
        <v>653</v>
      </c>
      <c r="J206" s="292"/>
      <c r="K206" s="10" t="s">
        <v>653</v>
      </c>
      <c r="L206" s="10" t="str">
        <f t="shared" si="2"/>
        <v>Monthly</v>
      </c>
    </row>
    <row r="207" spans="2:12">
      <c r="B207" s="319">
        <v>57</v>
      </c>
      <c r="D207" s="284">
        <v>50406</v>
      </c>
      <c r="E207" s="292">
        <v>50495</v>
      </c>
      <c r="F207" s="292">
        <v>50465</v>
      </c>
      <c r="G207" s="292">
        <v>50495</v>
      </c>
      <c r="H207" s="292">
        <v>50510</v>
      </c>
      <c r="I207" s="292">
        <v>50515</v>
      </c>
      <c r="J207" s="292">
        <v>50518</v>
      </c>
      <c r="K207" s="10">
        <v>50522</v>
      </c>
      <c r="L207" s="10" t="str">
        <f t="shared" si="2"/>
        <v>Quartely</v>
      </c>
    </row>
    <row r="208" spans="2:12">
      <c r="B208" s="319" t="s">
        <v>653</v>
      </c>
      <c r="D208" s="284"/>
      <c r="E208" s="292" t="s">
        <v>653</v>
      </c>
      <c r="F208" s="292">
        <v>50496</v>
      </c>
      <c r="G208" s="292">
        <v>50525</v>
      </c>
      <c r="H208" s="292">
        <v>50539</v>
      </c>
      <c r="I208" s="292" t="s">
        <v>653</v>
      </c>
      <c r="J208" s="292"/>
      <c r="K208" s="10" t="s">
        <v>653</v>
      </c>
      <c r="L208" s="10" t="str">
        <f t="shared" si="2"/>
        <v>Monthly</v>
      </c>
    </row>
    <row r="209" spans="2:12">
      <c r="B209" s="319" t="s">
        <v>653</v>
      </c>
      <c r="D209" s="284"/>
      <c r="E209" s="292" t="s">
        <v>653</v>
      </c>
      <c r="F209" s="292">
        <v>50526</v>
      </c>
      <c r="G209" s="292">
        <v>50556</v>
      </c>
      <c r="H209" s="292">
        <v>50571</v>
      </c>
      <c r="I209" s="292" t="s">
        <v>653</v>
      </c>
      <c r="J209" s="292"/>
      <c r="K209" s="10" t="s">
        <v>653</v>
      </c>
      <c r="L209" s="10" t="str">
        <f t="shared" si="2"/>
        <v>Monthly</v>
      </c>
    </row>
    <row r="210" spans="2:12">
      <c r="B210" s="319">
        <v>58</v>
      </c>
      <c r="D210" s="284">
        <v>50496</v>
      </c>
      <c r="E210" s="292">
        <v>50586</v>
      </c>
      <c r="F210" s="292">
        <v>50557</v>
      </c>
      <c r="G210" s="292">
        <v>50586</v>
      </c>
      <c r="H210" s="292">
        <v>50601</v>
      </c>
      <c r="I210" s="292">
        <v>50606</v>
      </c>
      <c r="J210" s="292">
        <v>50609</v>
      </c>
      <c r="K210" s="10">
        <v>50613</v>
      </c>
      <c r="L210" s="10" t="str">
        <f t="shared" si="2"/>
        <v>Quartely</v>
      </c>
    </row>
    <row r="211" spans="2:12">
      <c r="B211" s="319" t="s">
        <v>653</v>
      </c>
      <c r="D211" s="284"/>
      <c r="E211" s="292" t="s">
        <v>653</v>
      </c>
      <c r="F211" s="292">
        <v>50587</v>
      </c>
      <c r="G211" s="292">
        <v>50617</v>
      </c>
      <c r="H211" s="292">
        <v>50630</v>
      </c>
      <c r="I211" s="292" t="s">
        <v>653</v>
      </c>
      <c r="J211" s="292"/>
      <c r="K211" s="10" t="s">
        <v>653</v>
      </c>
      <c r="L211" s="10" t="str">
        <f t="shared" si="2"/>
        <v>Monthly</v>
      </c>
    </row>
    <row r="212" spans="2:12">
      <c r="B212" s="319" t="s">
        <v>653</v>
      </c>
      <c r="D212" s="284"/>
      <c r="E212" s="292" t="s">
        <v>653</v>
      </c>
      <c r="F212" s="292">
        <v>50618</v>
      </c>
      <c r="G212" s="292">
        <v>50648</v>
      </c>
      <c r="H212" s="292">
        <v>50663</v>
      </c>
      <c r="I212" s="292" t="s">
        <v>653</v>
      </c>
      <c r="J212" s="292"/>
      <c r="K212" s="10" t="s">
        <v>653</v>
      </c>
      <c r="L212" s="10" t="str">
        <f t="shared" si="2"/>
        <v>Monthly</v>
      </c>
    </row>
    <row r="213" spans="2:12">
      <c r="B213" s="319">
        <v>59</v>
      </c>
      <c r="D213" s="284">
        <v>50587</v>
      </c>
      <c r="E213" s="292">
        <v>50678</v>
      </c>
      <c r="F213" s="292">
        <v>50649</v>
      </c>
      <c r="G213" s="292">
        <v>50678</v>
      </c>
      <c r="H213" s="292">
        <v>50693</v>
      </c>
      <c r="I213" s="292">
        <v>50698</v>
      </c>
      <c r="J213" s="292">
        <v>50703</v>
      </c>
      <c r="K213" s="10">
        <v>50705</v>
      </c>
      <c r="L213" s="10" t="str">
        <f t="shared" si="2"/>
        <v>Quartely</v>
      </c>
    </row>
    <row r="214" spans="2:12">
      <c r="B214" s="319" t="s">
        <v>653</v>
      </c>
      <c r="D214" s="284"/>
      <c r="E214" s="292" t="s">
        <v>653</v>
      </c>
      <c r="F214" s="292">
        <v>50679</v>
      </c>
      <c r="G214" s="292">
        <v>50709</v>
      </c>
      <c r="H214" s="292">
        <v>50724</v>
      </c>
      <c r="I214" s="292" t="s">
        <v>653</v>
      </c>
      <c r="J214" s="292"/>
      <c r="K214" s="10" t="s">
        <v>653</v>
      </c>
      <c r="L214" s="10" t="str">
        <f t="shared" si="2"/>
        <v>Monthly</v>
      </c>
    </row>
    <row r="215" spans="2:12">
      <c r="B215" s="319" t="s">
        <v>653</v>
      </c>
      <c r="D215" s="284"/>
      <c r="E215" s="292" t="s">
        <v>653</v>
      </c>
      <c r="F215" s="292">
        <v>50710</v>
      </c>
      <c r="G215" s="292">
        <v>50739</v>
      </c>
      <c r="H215" s="292">
        <v>50754</v>
      </c>
      <c r="I215" s="292" t="s">
        <v>653</v>
      </c>
      <c r="J215" s="292"/>
      <c r="K215" s="10" t="s">
        <v>653</v>
      </c>
      <c r="L215" s="10" t="str">
        <f t="shared" si="2"/>
        <v>Monthly</v>
      </c>
    </row>
    <row r="216" spans="2:12">
      <c r="B216" s="319">
        <v>60</v>
      </c>
      <c r="D216" s="284">
        <v>50679</v>
      </c>
      <c r="E216" s="292">
        <v>50770</v>
      </c>
      <c r="F216" s="292">
        <v>50740</v>
      </c>
      <c r="G216" s="292">
        <v>50770</v>
      </c>
      <c r="H216" s="292">
        <v>50784</v>
      </c>
      <c r="I216" s="292">
        <v>50790</v>
      </c>
      <c r="J216" s="292">
        <v>50794</v>
      </c>
      <c r="K216" s="10">
        <v>50796</v>
      </c>
      <c r="L216" s="10" t="str">
        <f t="shared" si="2"/>
        <v>Quartely</v>
      </c>
    </row>
    <row r="217" spans="2:12">
      <c r="B217" s="319" t="s">
        <v>653</v>
      </c>
      <c r="D217" s="284"/>
      <c r="E217" s="292" t="s">
        <v>653</v>
      </c>
      <c r="F217" s="292">
        <v>50771</v>
      </c>
      <c r="G217" s="292">
        <v>50801</v>
      </c>
      <c r="H217" s="292">
        <v>50816</v>
      </c>
      <c r="I217" s="292" t="s">
        <v>653</v>
      </c>
      <c r="J217" s="292"/>
      <c r="K217" s="10" t="s">
        <v>653</v>
      </c>
      <c r="L217" s="10" t="str">
        <f t="shared" si="2"/>
        <v>Monthly</v>
      </c>
    </row>
    <row r="218" spans="2:12">
      <c r="B218" s="319" t="s">
        <v>653</v>
      </c>
      <c r="D218" s="284"/>
      <c r="E218" s="292" t="s">
        <v>653</v>
      </c>
      <c r="F218" s="292">
        <v>50802</v>
      </c>
      <c r="G218" s="292">
        <v>50829</v>
      </c>
      <c r="H218" s="292">
        <v>50844</v>
      </c>
      <c r="I218" s="292" t="s">
        <v>653</v>
      </c>
      <c r="J218" s="292"/>
      <c r="K218" s="10" t="s">
        <v>653</v>
      </c>
      <c r="L218" s="10" t="str">
        <f t="shared" si="2"/>
        <v>Monthly</v>
      </c>
    </row>
    <row r="219" spans="2:12">
      <c r="B219" s="319">
        <v>61</v>
      </c>
      <c r="D219" s="284">
        <v>50771</v>
      </c>
      <c r="E219" s="292">
        <v>50860</v>
      </c>
      <c r="F219" s="292">
        <v>50830</v>
      </c>
      <c r="G219" s="292">
        <v>50860</v>
      </c>
      <c r="H219" s="292">
        <v>50875</v>
      </c>
      <c r="I219" s="292">
        <v>50880</v>
      </c>
      <c r="J219" s="292">
        <v>50885</v>
      </c>
      <c r="K219" s="10">
        <v>50887</v>
      </c>
      <c r="L219" s="10" t="str">
        <f t="shared" si="2"/>
        <v>Quartely</v>
      </c>
    </row>
    <row r="220" spans="2:12">
      <c r="B220" s="319" t="s">
        <v>653</v>
      </c>
      <c r="D220" s="284"/>
      <c r="E220" s="292" t="s">
        <v>653</v>
      </c>
      <c r="F220" s="292">
        <v>50861</v>
      </c>
      <c r="G220" s="292">
        <v>50890</v>
      </c>
      <c r="H220" s="292">
        <v>50903</v>
      </c>
      <c r="I220" s="292" t="s">
        <v>653</v>
      </c>
      <c r="J220" s="292"/>
      <c r="K220" s="10" t="s">
        <v>653</v>
      </c>
      <c r="L220" s="10" t="str">
        <f t="shared" si="2"/>
        <v>Monthly</v>
      </c>
    </row>
    <row r="221" spans="2:12">
      <c r="B221" s="319" t="s">
        <v>653</v>
      </c>
      <c r="D221" s="284"/>
      <c r="E221" s="292" t="s">
        <v>653</v>
      </c>
      <c r="F221" s="292">
        <v>50891</v>
      </c>
      <c r="G221" s="292">
        <v>50921</v>
      </c>
      <c r="H221" s="292">
        <v>50936</v>
      </c>
      <c r="I221" s="292" t="s">
        <v>653</v>
      </c>
      <c r="J221" s="292"/>
      <c r="K221" s="10" t="s">
        <v>653</v>
      </c>
      <c r="L221" s="10" t="str">
        <f t="shared" si="2"/>
        <v>Monthly</v>
      </c>
    </row>
    <row r="222" spans="2:12">
      <c r="B222" s="319">
        <v>62</v>
      </c>
      <c r="D222" s="284">
        <v>50861</v>
      </c>
      <c r="E222" s="292">
        <v>50951</v>
      </c>
      <c r="F222" s="292">
        <v>50922</v>
      </c>
      <c r="G222" s="292">
        <v>50951</v>
      </c>
      <c r="H222" s="292">
        <v>50966</v>
      </c>
      <c r="I222" s="292">
        <v>50971</v>
      </c>
      <c r="J222" s="292">
        <v>50976</v>
      </c>
      <c r="K222" s="10">
        <v>50978</v>
      </c>
      <c r="L222" s="10" t="str">
        <f t="shared" si="2"/>
        <v>Quartely</v>
      </c>
    </row>
    <row r="223" spans="2:12">
      <c r="B223" s="319" t="s">
        <v>653</v>
      </c>
      <c r="D223" s="284"/>
      <c r="E223" s="292" t="s">
        <v>653</v>
      </c>
      <c r="F223" s="292">
        <v>50952</v>
      </c>
      <c r="G223" s="292">
        <v>50982</v>
      </c>
      <c r="H223" s="292">
        <v>50997</v>
      </c>
      <c r="I223" s="292" t="s">
        <v>653</v>
      </c>
      <c r="J223" s="292"/>
      <c r="K223" s="10" t="s">
        <v>653</v>
      </c>
      <c r="L223" s="10" t="str">
        <f t="shared" si="2"/>
        <v>Monthly</v>
      </c>
    </row>
    <row r="224" spans="2:12">
      <c r="B224" s="319" t="s">
        <v>653</v>
      </c>
      <c r="D224" s="284"/>
      <c r="E224" s="292" t="s">
        <v>653</v>
      </c>
      <c r="F224" s="292">
        <v>50983</v>
      </c>
      <c r="G224" s="292">
        <v>51013</v>
      </c>
      <c r="H224" s="292">
        <v>51028</v>
      </c>
      <c r="I224" s="292" t="s">
        <v>653</v>
      </c>
      <c r="J224" s="292"/>
      <c r="K224" s="10" t="s">
        <v>653</v>
      </c>
      <c r="L224" s="10" t="str">
        <f t="shared" si="2"/>
        <v>Monthly</v>
      </c>
    </row>
    <row r="225" spans="2:12">
      <c r="B225" s="319">
        <v>63</v>
      </c>
      <c r="D225" s="284">
        <v>50952</v>
      </c>
      <c r="E225" s="292">
        <v>51043</v>
      </c>
      <c r="F225" s="292">
        <v>51014</v>
      </c>
      <c r="G225" s="292">
        <v>51043</v>
      </c>
      <c r="H225" s="292">
        <v>51057</v>
      </c>
      <c r="I225" s="292">
        <v>51063</v>
      </c>
      <c r="J225" s="292">
        <v>51067</v>
      </c>
      <c r="K225" s="10">
        <v>51069</v>
      </c>
      <c r="L225" s="10" t="str">
        <f t="shared" si="2"/>
        <v>Quartely</v>
      </c>
    </row>
    <row r="226" spans="2:12">
      <c r="B226" s="319" t="s">
        <v>653</v>
      </c>
      <c r="D226" s="284"/>
      <c r="E226" s="292" t="s">
        <v>653</v>
      </c>
      <c r="F226" s="292">
        <v>51044</v>
      </c>
      <c r="G226" s="292">
        <v>51074</v>
      </c>
      <c r="H226" s="292">
        <v>51089</v>
      </c>
      <c r="I226" s="292" t="s">
        <v>653</v>
      </c>
      <c r="J226" s="292"/>
      <c r="K226" s="10" t="s">
        <v>653</v>
      </c>
      <c r="L226" s="10" t="str">
        <f t="shared" si="2"/>
        <v>Monthly</v>
      </c>
    </row>
    <row r="227" spans="2:12">
      <c r="B227" s="319" t="s">
        <v>653</v>
      </c>
      <c r="D227" s="284"/>
      <c r="E227" s="292" t="s">
        <v>653</v>
      </c>
      <c r="F227" s="292">
        <v>51075</v>
      </c>
      <c r="G227" s="292">
        <v>51104</v>
      </c>
      <c r="H227" s="292">
        <v>51119</v>
      </c>
      <c r="I227" s="292" t="s">
        <v>653</v>
      </c>
      <c r="J227" s="292"/>
      <c r="K227" s="10" t="s">
        <v>653</v>
      </c>
      <c r="L227" s="10" t="str">
        <f t="shared" ref="L227:L290" si="3">IF(K227="","Monthly","Quartely")</f>
        <v>Monthly</v>
      </c>
    </row>
    <row r="228" spans="2:12">
      <c r="B228" s="319">
        <v>64</v>
      </c>
      <c r="D228" s="284">
        <v>51044</v>
      </c>
      <c r="E228" s="292">
        <v>51135</v>
      </c>
      <c r="F228" s="292">
        <v>51105</v>
      </c>
      <c r="G228" s="292">
        <v>51135</v>
      </c>
      <c r="H228" s="292">
        <v>51148</v>
      </c>
      <c r="I228" s="292">
        <v>51154</v>
      </c>
      <c r="J228" s="292">
        <v>51158</v>
      </c>
      <c r="K228" s="10">
        <v>51160</v>
      </c>
      <c r="L228" s="10" t="str">
        <f t="shared" si="3"/>
        <v>Quartely</v>
      </c>
    </row>
    <row r="229" spans="2:12">
      <c r="B229" s="319" t="s">
        <v>653</v>
      </c>
      <c r="D229" s="284"/>
      <c r="E229" s="292" t="s">
        <v>653</v>
      </c>
      <c r="F229" s="292">
        <v>51136</v>
      </c>
      <c r="G229" s="292">
        <v>51166</v>
      </c>
      <c r="H229" s="292">
        <v>51181</v>
      </c>
      <c r="I229" s="292" t="s">
        <v>653</v>
      </c>
      <c r="J229" s="292"/>
      <c r="K229" s="10" t="s">
        <v>653</v>
      </c>
      <c r="L229" s="10" t="str">
        <f t="shared" si="3"/>
        <v>Monthly</v>
      </c>
    </row>
    <row r="230" spans="2:12">
      <c r="B230" s="319" t="s">
        <v>653</v>
      </c>
      <c r="D230" s="284"/>
      <c r="E230" s="292" t="s">
        <v>653</v>
      </c>
      <c r="F230" s="292">
        <v>51167</v>
      </c>
      <c r="G230" s="292">
        <v>51195</v>
      </c>
      <c r="H230" s="292">
        <v>51210</v>
      </c>
      <c r="I230" s="292" t="s">
        <v>653</v>
      </c>
      <c r="J230" s="292"/>
      <c r="K230" s="10" t="s">
        <v>653</v>
      </c>
      <c r="L230" s="10" t="str">
        <f t="shared" si="3"/>
        <v>Monthly</v>
      </c>
    </row>
    <row r="231" spans="2:12">
      <c r="B231" s="319">
        <v>65</v>
      </c>
      <c r="D231" s="284">
        <v>51136</v>
      </c>
      <c r="E231" s="292">
        <v>51226</v>
      </c>
      <c r="F231" s="292">
        <v>51196</v>
      </c>
      <c r="G231" s="292">
        <v>51226</v>
      </c>
      <c r="H231" s="292">
        <v>51239</v>
      </c>
      <c r="I231" s="292">
        <v>51245</v>
      </c>
      <c r="J231" s="292">
        <v>51249</v>
      </c>
      <c r="K231" s="10">
        <v>51251</v>
      </c>
      <c r="L231" s="10" t="str">
        <f t="shared" si="3"/>
        <v>Quartely</v>
      </c>
    </row>
    <row r="232" spans="2:12">
      <c r="B232" s="319" t="s">
        <v>653</v>
      </c>
      <c r="D232" s="284"/>
      <c r="E232" s="292" t="s">
        <v>653</v>
      </c>
      <c r="F232" s="292">
        <v>51227</v>
      </c>
      <c r="G232" s="292">
        <v>51256</v>
      </c>
      <c r="H232" s="292">
        <v>51271</v>
      </c>
      <c r="I232" s="292" t="s">
        <v>653</v>
      </c>
      <c r="J232" s="292"/>
      <c r="K232" s="10" t="s">
        <v>653</v>
      </c>
      <c r="L232" s="10" t="str">
        <f t="shared" si="3"/>
        <v>Monthly</v>
      </c>
    </row>
    <row r="233" spans="2:12">
      <c r="B233" s="319" t="s">
        <v>653</v>
      </c>
      <c r="D233" s="284"/>
      <c r="E233" s="292" t="s">
        <v>653</v>
      </c>
      <c r="F233" s="292">
        <v>51257</v>
      </c>
      <c r="G233" s="292">
        <v>51287</v>
      </c>
      <c r="H233" s="292">
        <v>51302</v>
      </c>
      <c r="I233" s="292" t="s">
        <v>653</v>
      </c>
      <c r="J233" s="292"/>
      <c r="K233" s="10" t="s">
        <v>653</v>
      </c>
      <c r="L233" s="10" t="str">
        <f t="shared" si="3"/>
        <v>Monthly</v>
      </c>
    </row>
    <row r="234" spans="2:12">
      <c r="B234" s="319">
        <v>66</v>
      </c>
      <c r="D234" s="284">
        <v>51227</v>
      </c>
      <c r="E234" s="292">
        <v>51317</v>
      </c>
      <c r="F234" s="292">
        <v>51288</v>
      </c>
      <c r="G234" s="292">
        <v>51317</v>
      </c>
      <c r="H234" s="292">
        <v>51330</v>
      </c>
      <c r="I234" s="292">
        <v>51336</v>
      </c>
      <c r="J234" s="292">
        <v>51340</v>
      </c>
      <c r="K234" s="10">
        <v>51342</v>
      </c>
      <c r="L234" s="10" t="str">
        <f t="shared" si="3"/>
        <v>Quartely</v>
      </c>
    </row>
    <row r="235" spans="2:12">
      <c r="B235" s="319" t="s">
        <v>653</v>
      </c>
      <c r="D235" s="284"/>
      <c r="E235" s="292" t="s">
        <v>653</v>
      </c>
      <c r="F235" s="292">
        <v>51318</v>
      </c>
      <c r="G235" s="292">
        <v>51348</v>
      </c>
      <c r="H235" s="292">
        <v>51363</v>
      </c>
      <c r="I235" s="292" t="s">
        <v>653</v>
      </c>
      <c r="J235" s="292"/>
      <c r="K235" s="10" t="s">
        <v>653</v>
      </c>
      <c r="L235" s="10" t="str">
        <f t="shared" si="3"/>
        <v>Monthly</v>
      </c>
    </row>
    <row r="236" spans="2:12">
      <c r="B236" s="319" t="s">
        <v>653</v>
      </c>
      <c r="D236" s="284"/>
      <c r="E236" s="292" t="s">
        <v>653</v>
      </c>
      <c r="F236" s="292">
        <v>51349</v>
      </c>
      <c r="G236" s="292">
        <v>51379</v>
      </c>
      <c r="H236" s="292">
        <v>51393</v>
      </c>
      <c r="I236" s="292" t="s">
        <v>653</v>
      </c>
      <c r="J236" s="292"/>
      <c r="K236" s="10" t="s">
        <v>653</v>
      </c>
      <c r="L236" s="10" t="str">
        <f t="shared" si="3"/>
        <v>Monthly</v>
      </c>
    </row>
    <row r="237" spans="2:12">
      <c r="B237" s="319">
        <v>67</v>
      </c>
      <c r="D237" s="284">
        <v>51318</v>
      </c>
      <c r="E237" s="292">
        <v>51409</v>
      </c>
      <c r="F237" s="292">
        <v>51380</v>
      </c>
      <c r="G237" s="292">
        <v>51409</v>
      </c>
      <c r="H237" s="292">
        <v>51424</v>
      </c>
      <c r="I237" s="292">
        <v>51427</v>
      </c>
      <c r="J237" s="292">
        <v>51432</v>
      </c>
      <c r="K237" s="10">
        <v>51434</v>
      </c>
      <c r="L237" s="10" t="str">
        <f t="shared" si="3"/>
        <v>Quartely</v>
      </c>
    </row>
    <row r="238" spans="2:12">
      <c r="B238" s="319" t="s">
        <v>653</v>
      </c>
      <c r="D238" s="284"/>
      <c r="E238" s="292" t="s">
        <v>653</v>
      </c>
      <c r="F238" s="292">
        <v>51410</v>
      </c>
      <c r="G238" s="292">
        <v>51440</v>
      </c>
      <c r="H238" s="292">
        <v>51455</v>
      </c>
      <c r="I238" s="292" t="s">
        <v>653</v>
      </c>
      <c r="J238" s="292"/>
      <c r="K238" s="10" t="s">
        <v>653</v>
      </c>
      <c r="L238" s="10" t="str">
        <f t="shared" si="3"/>
        <v>Monthly</v>
      </c>
    </row>
    <row r="239" spans="2:12">
      <c r="B239" s="319" t="s">
        <v>653</v>
      </c>
      <c r="D239" s="284"/>
      <c r="E239" s="292" t="s">
        <v>653</v>
      </c>
      <c r="F239" s="292">
        <v>51441</v>
      </c>
      <c r="G239" s="292">
        <v>51470</v>
      </c>
      <c r="H239" s="292">
        <v>51484</v>
      </c>
      <c r="I239" s="292" t="s">
        <v>653</v>
      </c>
      <c r="J239" s="292"/>
      <c r="K239" s="10" t="s">
        <v>653</v>
      </c>
      <c r="L239" s="10" t="str">
        <f t="shared" si="3"/>
        <v>Monthly</v>
      </c>
    </row>
    <row r="240" spans="2:12">
      <c r="B240" s="319">
        <v>68</v>
      </c>
      <c r="D240" s="284">
        <v>51410</v>
      </c>
      <c r="E240" s="292">
        <v>51501</v>
      </c>
      <c r="F240" s="292">
        <v>51471</v>
      </c>
      <c r="G240" s="292">
        <v>51501</v>
      </c>
      <c r="H240" s="292">
        <v>51516</v>
      </c>
      <c r="I240" s="292">
        <v>51519</v>
      </c>
      <c r="J240" s="292">
        <v>51524</v>
      </c>
      <c r="K240" s="10">
        <v>51526</v>
      </c>
      <c r="L240" s="10" t="str">
        <f t="shared" si="3"/>
        <v>Quartely</v>
      </c>
    </row>
    <row r="241" spans="2:12">
      <c r="B241" s="319" t="s">
        <v>653</v>
      </c>
      <c r="D241" s="284"/>
      <c r="E241" s="292" t="s">
        <v>653</v>
      </c>
      <c r="F241" s="292">
        <v>51502</v>
      </c>
      <c r="G241" s="292">
        <v>51532</v>
      </c>
      <c r="H241" s="292">
        <v>51547</v>
      </c>
      <c r="I241" s="292" t="s">
        <v>653</v>
      </c>
      <c r="J241" s="292"/>
      <c r="K241" s="10" t="s">
        <v>653</v>
      </c>
      <c r="L241" s="10" t="str">
        <f t="shared" si="3"/>
        <v>Monthly</v>
      </c>
    </row>
    <row r="242" spans="2:12">
      <c r="B242" s="319" t="s">
        <v>653</v>
      </c>
      <c r="D242" s="284"/>
      <c r="E242" s="292" t="s">
        <v>653</v>
      </c>
      <c r="F242" s="292">
        <v>51533</v>
      </c>
      <c r="G242" s="292">
        <v>51560</v>
      </c>
      <c r="H242" s="292">
        <v>51575</v>
      </c>
      <c r="I242" s="292" t="s">
        <v>653</v>
      </c>
      <c r="J242" s="292"/>
      <c r="K242" s="10" t="s">
        <v>653</v>
      </c>
      <c r="L242" s="10" t="str">
        <f t="shared" si="3"/>
        <v>Monthly</v>
      </c>
    </row>
    <row r="243" spans="2:12">
      <c r="B243" s="319">
        <v>69</v>
      </c>
      <c r="D243" s="284">
        <v>51502</v>
      </c>
      <c r="E243" s="292">
        <v>51591</v>
      </c>
      <c r="F243" s="292">
        <v>51561</v>
      </c>
      <c r="G243" s="292">
        <v>51591</v>
      </c>
      <c r="H243" s="292">
        <v>51606</v>
      </c>
      <c r="I243" s="292">
        <v>51609</v>
      </c>
      <c r="J243" s="292">
        <v>51614</v>
      </c>
      <c r="K243" s="10">
        <v>51616</v>
      </c>
      <c r="L243" s="10" t="str">
        <f t="shared" si="3"/>
        <v>Quartely</v>
      </c>
    </row>
    <row r="244" spans="2:12">
      <c r="B244" s="319" t="s">
        <v>653</v>
      </c>
      <c r="D244" s="284"/>
      <c r="E244" s="292" t="s">
        <v>653</v>
      </c>
      <c r="F244" s="292">
        <v>51592</v>
      </c>
      <c r="G244" s="292">
        <v>51621</v>
      </c>
      <c r="H244" s="292">
        <v>51636</v>
      </c>
      <c r="I244" s="292" t="s">
        <v>653</v>
      </c>
      <c r="J244" s="292"/>
      <c r="K244" s="10" t="s">
        <v>653</v>
      </c>
      <c r="L244" s="10" t="str">
        <f t="shared" si="3"/>
        <v>Monthly</v>
      </c>
    </row>
    <row r="245" spans="2:12">
      <c r="B245" s="319" t="s">
        <v>653</v>
      </c>
      <c r="D245" s="284"/>
      <c r="E245" s="292" t="s">
        <v>653</v>
      </c>
      <c r="F245" s="292">
        <v>51622</v>
      </c>
      <c r="G245" s="292">
        <v>51652</v>
      </c>
      <c r="H245" s="292">
        <v>51666</v>
      </c>
      <c r="I245" s="292" t="s">
        <v>653</v>
      </c>
      <c r="J245" s="292"/>
      <c r="K245" s="10" t="s">
        <v>653</v>
      </c>
      <c r="L245" s="10" t="str">
        <f t="shared" si="3"/>
        <v>Monthly</v>
      </c>
    </row>
    <row r="246" spans="2:12">
      <c r="B246" s="319">
        <v>70</v>
      </c>
      <c r="D246" s="284">
        <v>51592</v>
      </c>
      <c r="E246" s="292">
        <v>51682</v>
      </c>
      <c r="F246" s="292">
        <v>51653</v>
      </c>
      <c r="G246" s="292">
        <v>51682</v>
      </c>
      <c r="H246" s="292">
        <v>51697</v>
      </c>
      <c r="I246" s="292">
        <v>51700</v>
      </c>
      <c r="J246" s="292">
        <v>51705</v>
      </c>
      <c r="K246" s="10">
        <v>51707</v>
      </c>
      <c r="L246" s="10" t="str">
        <f t="shared" si="3"/>
        <v>Quartely</v>
      </c>
    </row>
    <row r="247" spans="2:12">
      <c r="B247" s="319" t="s">
        <v>653</v>
      </c>
      <c r="D247" s="284"/>
      <c r="E247" s="292" t="s">
        <v>653</v>
      </c>
      <c r="F247" s="292">
        <v>51683</v>
      </c>
      <c r="G247" s="292">
        <v>51713</v>
      </c>
      <c r="H247" s="292">
        <v>51728</v>
      </c>
      <c r="I247" s="292" t="s">
        <v>653</v>
      </c>
      <c r="J247" s="292"/>
      <c r="K247" s="10" t="s">
        <v>653</v>
      </c>
      <c r="L247" s="10" t="str">
        <f t="shared" si="3"/>
        <v>Monthly</v>
      </c>
    </row>
    <row r="248" spans="2:12">
      <c r="B248" s="319" t="s">
        <v>653</v>
      </c>
      <c r="D248" s="284"/>
      <c r="E248" s="292" t="s">
        <v>653</v>
      </c>
      <c r="F248" s="292">
        <v>51714</v>
      </c>
      <c r="G248" s="292">
        <v>51744</v>
      </c>
      <c r="H248" s="292">
        <v>51757</v>
      </c>
      <c r="I248" s="292" t="s">
        <v>653</v>
      </c>
      <c r="J248" s="292"/>
      <c r="K248" s="10" t="s">
        <v>653</v>
      </c>
      <c r="L248" s="10" t="str">
        <f t="shared" si="3"/>
        <v>Monthly</v>
      </c>
    </row>
    <row r="249" spans="2:12">
      <c r="B249" s="319">
        <v>71</v>
      </c>
      <c r="D249" s="284">
        <v>51683</v>
      </c>
      <c r="E249" s="292">
        <v>51774</v>
      </c>
      <c r="F249" s="292">
        <v>51745</v>
      </c>
      <c r="G249" s="292">
        <v>51774</v>
      </c>
      <c r="H249" s="292">
        <v>51789</v>
      </c>
      <c r="I249" s="292">
        <v>51792</v>
      </c>
      <c r="J249" s="292">
        <v>51797</v>
      </c>
      <c r="K249" s="10">
        <v>51799</v>
      </c>
      <c r="L249" s="10" t="str">
        <f t="shared" si="3"/>
        <v>Quartely</v>
      </c>
    </row>
    <row r="250" spans="2:12">
      <c r="B250" s="319" t="s">
        <v>653</v>
      </c>
      <c r="D250" s="284"/>
      <c r="E250" s="292" t="s">
        <v>653</v>
      </c>
      <c r="F250" s="292">
        <v>51775</v>
      </c>
      <c r="G250" s="292">
        <v>51805</v>
      </c>
      <c r="H250" s="292">
        <v>51820</v>
      </c>
      <c r="I250" s="292" t="s">
        <v>653</v>
      </c>
      <c r="J250" s="292"/>
      <c r="K250" s="10" t="s">
        <v>653</v>
      </c>
      <c r="L250" s="10" t="str">
        <f t="shared" si="3"/>
        <v>Monthly</v>
      </c>
    </row>
    <row r="251" spans="2:12">
      <c r="B251" s="319" t="s">
        <v>653</v>
      </c>
      <c r="D251" s="284"/>
      <c r="E251" s="292" t="s">
        <v>653</v>
      </c>
      <c r="F251" s="292">
        <v>51806</v>
      </c>
      <c r="G251" s="292">
        <v>51835</v>
      </c>
      <c r="H251" s="292">
        <v>51848</v>
      </c>
      <c r="I251" s="292" t="s">
        <v>653</v>
      </c>
      <c r="J251" s="292"/>
      <c r="K251" s="10" t="s">
        <v>653</v>
      </c>
      <c r="L251" s="10" t="str">
        <f t="shared" si="3"/>
        <v>Monthly</v>
      </c>
    </row>
    <row r="252" spans="2:12">
      <c r="B252" s="319">
        <v>72</v>
      </c>
      <c r="D252" s="284">
        <v>51775</v>
      </c>
      <c r="E252" s="292">
        <v>51866</v>
      </c>
      <c r="F252" s="292">
        <v>51836</v>
      </c>
      <c r="G252" s="292">
        <v>51866</v>
      </c>
      <c r="H252" s="292">
        <v>51881</v>
      </c>
      <c r="I252" s="292">
        <v>51886</v>
      </c>
      <c r="J252" s="292">
        <v>51889</v>
      </c>
      <c r="K252" s="10">
        <v>51893</v>
      </c>
      <c r="L252" s="10" t="str">
        <f t="shared" si="3"/>
        <v>Quartely</v>
      </c>
    </row>
    <row r="253" spans="2:12">
      <c r="B253" s="319" t="s">
        <v>653</v>
      </c>
      <c r="D253" s="284"/>
      <c r="E253" s="292" t="s">
        <v>653</v>
      </c>
      <c r="F253" s="292">
        <v>51867</v>
      </c>
      <c r="G253" s="292">
        <v>51897</v>
      </c>
      <c r="H253" s="292">
        <v>51911</v>
      </c>
      <c r="I253" s="292" t="s">
        <v>653</v>
      </c>
      <c r="J253" s="292"/>
      <c r="K253" s="10" t="s">
        <v>653</v>
      </c>
      <c r="L253" s="10" t="str">
        <f t="shared" si="3"/>
        <v>Monthly</v>
      </c>
    </row>
    <row r="254" spans="2:12">
      <c r="B254" s="319" t="s">
        <v>653</v>
      </c>
      <c r="D254" s="284"/>
      <c r="E254" s="292" t="s">
        <v>653</v>
      </c>
      <c r="F254" s="292">
        <v>51898</v>
      </c>
      <c r="G254" s="292">
        <v>51925</v>
      </c>
      <c r="H254" s="292">
        <v>51939</v>
      </c>
      <c r="I254" s="292" t="s">
        <v>653</v>
      </c>
      <c r="J254" s="292"/>
      <c r="K254" s="10" t="s">
        <v>653</v>
      </c>
      <c r="L254" s="10" t="str">
        <f t="shared" si="3"/>
        <v>Monthly</v>
      </c>
    </row>
    <row r="255" spans="2:12">
      <c r="B255" s="319">
        <v>73</v>
      </c>
      <c r="D255" s="284">
        <v>51867</v>
      </c>
      <c r="E255" s="292">
        <v>51956</v>
      </c>
      <c r="F255" s="292">
        <v>51926</v>
      </c>
      <c r="G255" s="292">
        <v>51956</v>
      </c>
      <c r="H255" s="292">
        <v>51971</v>
      </c>
      <c r="I255" s="292">
        <v>51974</v>
      </c>
      <c r="J255" s="292">
        <v>51979</v>
      </c>
      <c r="K255" s="10">
        <v>51981</v>
      </c>
      <c r="L255" s="10" t="str">
        <f t="shared" si="3"/>
        <v>Quartely</v>
      </c>
    </row>
    <row r="256" spans="2:12">
      <c r="B256" s="319" t="s">
        <v>653</v>
      </c>
      <c r="D256" s="284"/>
      <c r="E256" s="292" t="s">
        <v>653</v>
      </c>
      <c r="F256" s="292">
        <v>51957</v>
      </c>
      <c r="G256" s="292">
        <v>51986</v>
      </c>
      <c r="H256" s="292">
        <v>52001</v>
      </c>
      <c r="I256" s="292" t="s">
        <v>653</v>
      </c>
      <c r="J256" s="292"/>
      <c r="K256" s="10" t="s">
        <v>653</v>
      </c>
      <c r="L256" s="10" t="str">
        <f t="shared" si="3"/>
        <v>Monthly</v>
      </c>
    </row>
    <row r="257" spans="2:12">
      <c r="B257" s="319" t="s">
        <v>653</v>
      </c>
      <c r="D257" s="284"/>
      <c r="E257" s="292" t="s">
        <v>653</v>
      </c>
      <c r="F257" s="292">
        <v>51987</v>
      </c>
      <c r="G257" s="292">
        <v>52017</v>
      </c>
      <c r="H257" s="292">
        <v>52030</v>
      </c>
      <c r="I257" s="292" t="s">
        <v>653</v>
      </c>
      <c r="J257" s="292"/>
      <c r="K257" s="10" t="s">
        <v>653</v>
      </c>
      <c r="L257" s="10" t="str">
        <f t="shared" si="3"/>
        <v>Monthly</v>
      </c>
    </row>
    <row r="258" spans="2:12">
      <c r="B258" s="319">
        <v>74</v>
      </c>
      <c r="D258" s="284">
        <v>51957</v>
      </c>
      <c r="E258" s="292">
        <v>52047</v>
      </c>
      <c r="F258" s="292">
        <v>52018</v>
      </c>
      <c r="G258" s="292">
        <v>52047</v>
      </c>
      <c r="H258" s="292">
        <v>52062</v>
      </c>
      <c r="I258" s="292">
        <v>52065</v>
      </c>
      <c r="J258" s="292">
        <v>52070</v>
      </c>
      <c r="K258" s="10">
        <v>52072</v>
      </c>
      <c r="L258" s="10" t="str">
        <f t="shared" si="3"/>
        <v>Quartely</v>
      </c>
    </row>
    <row r="259" spans="2:12">
      <c r="B259" s="319" t="s">
        <v>653</v>
      </c>
      <c r="D259" s="284"/>
      <c r="E259" s="292" t="s">
        <v>653</v>
      </c>
      <c r="F259" s="292">
        <v>52048</v>
      </c>
      <c r="G259" s="292">
        <v>52078</v>
      </c>
      <c r="H259" s="292">
        <v>52093</v>
      </c>
      <c r="I259" s="292" t="s">
        <v>653</v>
      </c>
      <c r="J259" s="292"/>
      <c r="K259" s="10" t="s">
        <v>653</v>
      </c>
      <c r="L259" s="10" t="str">
        <f t="shared" si="3"/>
        <v>Monthly</v>
      </c>
    </row>
    <row r="260" spans="2:12">
      <c r="B260" s="319" t="s">
        <v>653</v>
      </c>
      <c r="D260" s="284"/>
      <c r="E260" s="292" t="s">
        <v>653</v>
      </c>
      <c r="F260" s="292">
        <v>52079</v>
      </c>
      <c r="G260" s="292">
        <v>52109</v>
      </c>
      <c r="H260" s="292">
        <v>52124</v>
      </c>
      <c r="I260" s="292" t="s">
        <v>653</v>
      </c>
      <c r="J260" s="292"/>
      <c r="K260" s="10" t="s">
        <v>653</v>
      </c>
      <c r="L260" s="10" t="str">
        <f t="shared" si="3"/>
        <v>Monthly</v>
      </c>
    </row>
    <row r="261" spans="2:12">
      <c r="B261" s="319">
        <v>75</v>
      </c>
      <c r="D261" s="284">
        <v>52048</v>
      </c>
      <c r="E261" s="292">
        <v>52139</v>
      </c>
      <c r="F261" s="292">
        <v>52110</v>
      </c>
      <c r="G261" s="292">
        <v>52139</v>
      </c>
      <c r="H261" s="292">
        <v>52154</v>
      </c>
      <c r="I261" s="292">
        <v>52159</v>
      </c>
      <c r="J261" s="292">
        <v>52162</v>
      </c>
      <c r="K261" s="10">
        <v>52166</v>
      </c>
      <c r="L261" s="10" t="str">
        <f t="shared" si="3"/>
        <v>Quartely</v>
      </c>
    </row>
    <row r="262" spans="2:12">
      <c r="B262" s="319" t="s">
        <v>653</v>
      </c>
      <c r="D262" s="284"/>
      <c r="E262" s="292" t="s">
        <v>653</v>
      </c>
      <c r="F262" s="292">
        <v>52140</v>
      </c>
      <c r="G262" s="292">
        <v>52170</v>
      </c>
      <c r="H262" s="292">
        <v>52184</v>
      </c>
      <c r="I262" s="292" t="s">
        <v>653</v>
      </c>
      <c r="J262" s="292"/>
      <c r="K262" s="10" t="s">
        <v>653</v>
      </c>
      <c r="L262" s="10" t="str">
        <f t="shared" si="3"/>
        <v>Monthly</v>
      </c>
    </row>
    <row r="263" spans="2:12">
      <c r="B263" s="319" t="s">
        <v>653</v>
      </c>
      <c r="D263" s="284"/>
      <c r="E263" s="292" t="s">
        <v>653</v>
      </c>
      <c r="F263" s="292">
        <v>52171</v>
      </c>
      <c r="G263" s="292">
        <v>52200</v>
      </c>
      <c r="H263" s="292">
        <v>52215</v>
      </c>
      <c r="I263" s="292" t="s">
        <v>653</v>
      </c>
      <c r="J263" s="292"/>
      <c r="K263" s="10" t="s">
        <v>653</v>
      </c>
      <c r="L263" s="10" t="str">
        <f t="shared" si="3"/>
        <v>Monthly</v>
      </c>
    </row>
    <row r="264" spans="2:12">
      <c r="B264" s="319">
        <v>76</v>
      </c>
      <c r="D264" s="284">
        <v>52140</v>
      </c>
      <c r="E264" s="292">
        <v>52231</v>
      </c>
      <c r="F264" s="292">
        <v>52201</v>
      </c>
      <c r="G264" s="292">
        <v>52231</v>
      </c>
      <c r="H264" s="292">
        <v>52246</v>
      </c>
      <c r="I264" s="292">
        <v>52251</v>
      </c>
      <c r="J264" s="292">
        <v>52254</v>
      </c>
      <c r="K264" s="10">
        <v>52258</v>
      </c>
      <c r="L264" s="10" t="str">
        <f t="shared" si="3"/>
        <v>Quartely</v>
      </c>
    </row>
    <row r="265" spans="2:12">
      <c r="B265" s="319" t="s">
        <v>653</v>
      </c>
      <c r="D265" s="284"/>
      <c r="E265" s="292" t="s">
        <v>653</v>
      </c>
      <c r="F265" s="292">
        <v>52232</v>
      </c>
      <c r="G265" s="292">
        <v>52262</v>
      </c>
      <c r="H265" s="292">
        <v>52275</v>
      </c>
      <c r="I265" s="292" t="s">
        <v>653</v>
      </c>
      <c r="J265" s="292"/>
      <c r="K265" s="10" t="s">
        <v>653</v>
      </c>
      <c r="L265" s="10" t="str">
        <f t="shared" si="3"/>
        <v>Monthly</v>
      </c>
    </row>
    <row r="266" spans="2:12">
      <c r="B266" s="319" t="s">
        <v>653</v>
      </c>
      <c r="D266" s="284"/>
      <c r="E266" s="292" t="s">
        <v>653</v>
      </c>
      <c r="F266" s="292">
        <v>52263</v>
      </c>
      <c r="G266" s="292">
        <v>52290</v>
      </c>
      <c r="H266" s="292">
        <v>52303</v>
      </c>
      <c r="I266" s="292" t="s">
        <v>653</v>
      </c>
      <c r="J266" s="292"/>
      <c r="K266" s="10" t="s">
        <v>653</v>
      </c>
      <c r="L266" s="10" t="str">
        <f t="shared" si="3"/>
        <v>Monthly</v>
      </c>
    </row>
    <row r="267" spans="2:12">
      <c r="B267" s="319">
        <v>77</v>
      </c>
      <c r="D267" s="284">
        <v>52232</v>
      </c>
      <c r="E267" s="292">
        <v>52321</v>
      </c>
      <c r="F267" s="292">
        <v>52291</v>
      </c>
      <c r="G267" s="292">
        <v>52321</v>
      </c>
      <c r="H267" s="292">
        <v>52336</v>
      </c>
      <c r="I267" s="292">
        <v>52341</v>
      </c>
      <c r="J267" s="292">
        <v>52344</v>
      </c>
      <c r="K267" s="10">
        <v>52348</v>
      </c>
      <c r="L267" s="10" t="str">
        <f t="shared" si="3"/>
        <v>Quartely</v>
      </c>
    </row>
    <row r="268" spans="2:12">
      <c r="B268" s="319" t="s">
        <v>653</v>
      </c>
      <c r="D268" s="284"/>
      <c r="E268" s="292" t="s">
        <v>653</v>
      </c>
      <c r="F268" s="292">
        <v>52322</v>
      </c>
      <c r="G268" s="292">
        <v>52351</v>
      </c>
      <c r="H268" s="292">
        <v>52366</v>
      </c>
      <c r="I268" s="292" t="s">
        <v>653</v>
      </c>
      <c r="J268" s="292"/>
      <c r="K268" s="10" t="s">
        <v>653</v>
      </c>
      <c r="L268" s="10" t="str">
        <f t="shared" si="3"/>
        <v>Monthly</v>
      </c>
    </row>
    <row r="269" spans="2:12">
      <c r="B269" s="319" t="s">
        <v>653</v>
      </c>
      <c r="D269" s="284"/>
      <c r="E269" s="292" t="s">
        <v>653</v>
      </c>
      <c r="F269" s="292">
        <v>52352</v>
      </c>
      <c r="G269" s="292">
        <v>52382</v>
      </c>
      <c r="H269" s="292">
        <v>52397</v>
      </c>
      <c r="I269" s="292" t="s">
        <v>653</v>
      </c>
      <c r="J269" s="292"/>
      <c r="K269" s="10" t="s">
        <v>653</v>
      </c>
      <c r="L269" s="10" t="str">
        <f t="shared" si="3"/>
        <v>Monthly</v>
      </c>
    </row>
    <row r="270" spans="2:12">
      <c r="B270" s="319">
        <v>78</v>
      </c>
      <c r="D270" s="284">
        <v>52322</v>
      </c>
      <c r="E270" s="292">
        <v>52412</v>
      </c>
      <c r="F270" s="292">
        <v>52383</v>
      </c>
      <c r="G270" s="292">
        <v>52412</v>
      </c>
      <c r="H270" s="292">
        <v>52427</v>
      </c>
      <c r="I270" s="292">
        <v>52432</v>
      </c>
      <c r="J270" s="292">
        <v>52435</v>
      </c>
      <c r="K270" s="10">
        <v>52439</v>
      </c>
      <c r="L270" s="10" t="str">
        <f t="shared" si="3"/>
        <v>Quartely</v>
      </c>
    </row>
    <row r="271" spans="2:12">
      <c r="B271" s="319" t="s">
        <v>653</v>
      </c>
      <c r="D271" s="284"/>
      <c r="E271" s="292" t="s">
        <v>653</v>
      </c>
      <c r="F271" s="292">
        <v>52413</v>
      </c>
      <c r="G271" s="292">
        <v>52443</v>
      </c>
      <c r="H271" s="292">
        <v>52457</v>
      </c>
      <c r="I271" s="292" t="s">
        <v>653</v>
      </c>
      <c r="J271" s="292"/>
      <c r="K271" s="10" t="s">
        <v>653</v>
      </c>
      <c r="L271" s="10" t="str">
        <f t="shared" si="3"/>
        <v>Monthly</v>
      </c>
    </row>
    <row r="272" spans="2:12">
      <c r="B272" s="319" t="s">
        <v>653</v>
      </c>
      <c r="D272" s="284"/>
      <c r="E272" s="292" t="s">
        <v>653</v>
      </c>
      <c r="F272" s="292">
        <v>52444</v>
      </c>
      <c r="G272" s="292">
        <v>52474</v>
      </c>
      <c r="H272" s="292">
        <v>52489</v>
      </c>
      <c r="I272" s="292" t="s">
        <v>653</v>
      </c>
      <c r="J272" s="292"/>
      <c r="K272" s="10" t="s">
        <v>653</v>
      </c>
      <c r="L272" s="10" t="str">
        <f t="shared" si="3"/>
        <v>Monthly</v>
      </c>
    </row>
    <row r="273" spans="2:12">
      <c r="B273" s="319">
        <v>79</v>
      </c>
      <c r="D273" s="284">
        <v>52413</v>
      </c>
      <c r="E273" s="292">
        <v>52504</v>
      </c>
      <c r="F273" s="292">
        <v>52475</v>
      </c>
      <c r="G273" s="292">
        <v>52504</v>
      </c>
      <c r="H273" s="292">
        <v>52519</v>
      </c>
      <c r="I273" s="292">
        <v>52524</v>
      </c>
      <c r="J273" s="292">
        <v>52527</v>
      </c>
      <c r="K273" s="10">
        <v>52531</v>
      </c>
      <c r="L273" s="10" t="str">
        <f t="shared" si="3"/>
        <v>Quartely</v>
      </c>
    </row>
    <row r="274" spans="2:12">
      <c r="B274" s="319" t="s">
        <v>653</v>
      </c>
      <c r="D274" s="284"/>
      <c r="E274" s="292" t="s">
        <v>653</v>
      </c>
      <c r="F274" s="292">
        <v>52505</v>
      </c>
      <c r="G274" s="292">
        <v>52535</v>
      </c>
      <c r="H274" s="292">
        <v>52548</v>
      </c>
      <c r="I274" s="292" t="s">
        <v>653</v>
      </c>
      <c r="J274" s="292"/>
      <c r="K274" s="10" t="s">
        <v>653</v>
      </c>
      <c r="L274" s="10" t="str">
        <f t="shared" si="3"/>
        <v>Monthly</v>
      </c>
    </row>
    <row r="275" spans="2:12">
      <c r="B275" s="319" t="s">
        <v>653</v>
      </c>
      <c r="D275" s="284"/>
      <c r="E275" s="292" t="s">
        <v>653</v>
      </c>
      <c r="F275" s="292">
        <v>52536</v>
      </c>
      <c r="G275" s="292">
        <v>52565</v>
      </c>
      <c r="H275" s="292">
        <v>52580</v>
      </c>
      <c r="I275" s="292" t="s">
        <v>653</v>
      </c>
      <c r="J275" s="292"/>
      <c r="K275" s="10" t="s">
        <v>653</v>
      </c>
      <c r="L275" s="10" t="str">
        <f t="shared" si="3"/>
        <v>Monthly</v>
      </c>
    </row>
    <row r="276" spans="2:12">
      <c r="B276" s="319">
        <v>80</v>
      </c>
      <c r="D276" s="284">
        <v>52505</v>
      </c>
      <c r="E276" s="292">
        <v>52596</v>
      </c>
      <c r="F276" s="292">
        <v>52566</v>
      </c>
      <c r="G276" s="292">
        <v>52596</v>
      </c>
      <c r="H276" s="292">
        <v>52611</v>
      </c>
      <c r="I276" s="292">
        <v>52616</v>
      </c>
      <c r="J276" s="292">
        <v>52621</v>
      </c>
      <c r="K276" s="10">
        <v>52623</v>
      </c>
      <c r="L276" s="10" t="str">
        <f t="shared" si="3"/>
        <v>Quartely</v>
      </c>
    </row>
    <row r="277" spans="2:12">
      <c r="B277" s="319" t="s">
        <v>653</v>
      </c>
      <c r="D277" s="284"/>
      <c r="E277" s="292" t="s">
        <v>653</v>
      </c>
      <c r="F277" s="292">
        <v>52597</v>
      </c>
      <c r="G277" s="292">
        <v>52627</v>
      </c>
      <c r="H277" s="292">
        <v>52642</v>
      </c>
      <c r="I277" s="292" t="s">
        <v>653</v>
      </c>
      <c r="J277" s="292"/>
      <c r="K277" s="10" t="s">
        <v>653</v>
      </c>
      <c r="L277" s="10" t="str">
        <f t="shared" si="3"/>
        <v>Monthly</v>
      </c>
    </row>
    <row r="278" spans="2:12">
      <c r="B278" s="319" t="s">
        <v>653</v>
      </c>
      <c r="D278" s="284"/>
      <c r="E278" s="292" t="s">
        <v>653</v>
      </c>
      <c r="F278" s="292">
        <v>52628</v>
      </c>
      <c r="G278" s="292">
        <v>52656</v>
      </c>
      <c r="H278" s="292">
        <v>52671</v>
      </c>
      <c r="I278" s="292" t="s">
        <v>653</v>
      </c>
      <c r="J278" s="292"/>
      <c r="K278" s="10" t="s">
        <v>653</v>
      </c>
      <c r="L278" s="10" t="str">
        <f t="shared" si="3"/>
        <v>Monthly</v>
      </c>
    </row>
    <row r="279" spans="2:12">
      <c r="B279" s="319">
        <v>81</v>
      </c>
      <c r="D279" s="284">
        <v>52597</v>
      </c>
      <c r="E279" s="292">
        <v>52687</v>
      </c>
      <c r="F279" s="292">
        <v>52657</v>
      </c>
      <c r="G279" s="292">
        <v>52687</v>
      </c>
      <c r="H279" s="292">
        <v>52702</v>
      </c>
      <c r="I279" s="292">
        <v>52707</v>
      </c>
      <c r="J279" s="292">
        <v>52712</v>
      </c>
      <c r="K279" s="10">
        <v>52714</v>
      </c>
      <c r="L279" s="10" t="str">
        <f t="shared" si="3"/>
        <v>Quartely</v>
      </c>
    </row>
    <row r="280" spans="2:12">
      <c r="B280" s="319" t="s">
        <v>653</v>
      </c>
      <c r="D280" s="284"/>
      <c r="E280" s="292" t="s">
        <v>653</v>
      </c>
      <c r="F280" s="292">
        <v>52688</v>
      </c>
      <c r="G280" s="292">
        <v>52717</v>
      </c>
      <c r="H280" s="292">
        <v>52730</v>
      </c>
      <c r="I280" s="292" t="s">
        <v>653</v>
      </c>
      <c r="J280" s="292"/>
      <c r="K280" s="10" t="s">
        <v>653</v>
      </c>
      <c r="L280" s="10" t="str">
        <f t="shared" si="3"/>
        <v>Monthly</v>
      </c>
    </row>
    <row r="281" spans="2:12">
      <c r="B281" s="319" t="s">
        <v>653</v>
      </c>
      <c r="D281" s="284"/>
      <c r="E281" s="292" t="s">
        <v>653</v>
      </c>
      <c r="F281" s="292">
        <v>52718</v>
      </c>
      <c r="G281" s="292">
        <v>52748</v>
      </c>
      <c r="H281" s="292">
        <v>52763</v>
      </c>
      <c r="I281" s="292" t="s">
        <v>653</v>
      </c>
      <c r="J281" s="292"/>
      <c r="K281" s="10" t="s">
        <v>653</v>
      </c>
      <c r="L281" s="10" t="str">
        <f t="shared" si="3"/>
        <v>Monthly</v>
      </c>
    </row>
    <row r="282" spans="2:12">
      <c r="B282" s="319">
        <v>82</v>
      </c>
      <c r="D282" s="284">
        <v>52688</v>
      </c>
      <c r="E282" s="292">
        <v>52778</v>
      </c>
      <c r="F282" s="292">
        <v>52749</v>
      </c>
      <c r="G282" s="292">
        <v>52778</v>
      </c>
      <c r="H282" s="292">
        <v>52793</v>
      </c>
      <c r="I282" s="292">
        <v>52798</v>
      </c>
      <c r="J282" s="292">
        <v>52803</v>
      </c>
      <c r="K282" s="10">
        <v>52805</v>
      </c>
      <c r="L282" s="10" t="str">
        <f t="shared" si="3"/>
        <v>Quartely</v>
      </c>
    </row>
    <row r="283" spans="2:12">
      <c r="B283" s="319" t="s">
        <v>653</v>
      </c>
      <c r="D283" s="284"/>
      <c r="E283" s="292" t="s">
        <v>653</v>
      </c>
      <c r="F283" s="292">
        <v>52779</v>
      </c>
      <c r="G283" s="292">
        <v>52809</v>
      </c>
      <c r="H283" s="292">
        <v>52824</v>
      </c>
      <c r="I283" s="292" t="s">
        <v>653</v>
      </c>
      <c r="J283" s="292"/>
      <c r="K283" s="10" t="s">
        <v>653</v>
      </c>
      <c r="L283" s="10" t="str">
        <f t="shared" si="3"/>
        <v>Monthly</v>
      </c>
    </row>
    <row r="284" spans="2:12">
      <c r="B284" s="319" t="s">
        <v>653</v>
      </c>
      <c r="D284" s="284"/>
      <c r="E284" s="292" t="s">
        <v>653</v>
      </c>
      <c r="F284" s="292">
        <v>52810</v>
      </c>
      <c r="G284" s="292">
        <v>52840</v>
      </c>
      <c r="H284" s="292">
        <v>52855</v>
      </c>
      <c r="I284" s="292" t="s">
        <v>653</v>
      </c>
      <c r="J284" s="292"/>
      <c r="K284" s="10" t="s">
        <v>653</v>
      </c>
      <c r="L284" s="10" t="str">
        <f t="shared" si="3"/>
        <v>Monthly</v>
      </c>
    </row>
    <row r="285" spans="2:12">
      <c r="B285" s="319">
        <v>83</v>
      </c>
      <c r="D285" s="284">
        <v>52779</v>
      </c>
      <c r="E285" s="292">
        <v>52870</v>
      </c>
      <c r="F285" s="292">
        <v>52841</v>
      </c>
      <c r="G285" s="292">
        <v>52870</v>
      </c>
      <c r="H285" s="292">
        <v>52884</v>
      </c>
      <c r="I285" s="292">
        <v>52890</v>
      </c>
      <c r="J285" s="292">
        <v>52894</v>
      </c>
      <c r="K285" s="10">
        <v>52896</v>
      </c>
      <c r="L285" s="10" t="str">
        <f t="shared" si="3"/>
        <v>Quartely</v>
      </c>
    </row>
    <row r="286" spans="2:12">
      <c r="B286" s="319" t="s">
        <v>653</v>
      </c>
      <c r="D286" s="284"/>
      <c r="E286" s="292" t="s">
        <v>653</v>
      </c>
      <c r="F286" s="292">
        <v>52871</v>
      </c>
      <c r="G286" s="292">
        <v>52901</v>
      </c>
      <c r="H286" s="292">
        <v>52916</v>
      </c>
      <c r="I286" s="292" t="s">
        <v>653</v>
      </c>
      <c r="J286" s="292"/>
      <c r="K286" s="10" t="s">
        <v>653</v>
      </c>
      <c r="L286" s="10" t="str">
        <f t="shared" si="3"/>
        <v>Monthly</v>
      </c>
    </row>
    <row r="287" spans="2:12">
      <c r="B287" s="319" t="s">
        <v>653</v>
      </c>
      <c r="D287" s="284"/>
      <c r="E287" s="292" t="s">
        <v>653</v>
      </c>
      <c r="F287" s="292">
        <v>52902</v>
      </c>
      <c r="G287" s="292">
        <v>52931</v>
      </c>
      <c r="H287" s="292">
        <v>52946</v>
      </c>
      <c r="I287" s="292" t="s">
        <v>653</v>
      </c>
      <c r="J287" s="292"/>
      <c r="K287" s="10" t="s">
        <v>653</v>
      </c>
      <c r="L287" s="10" t="str">
        <f t="shared" si="3"/>
        <v>Monthly</v>
      </c>
    </row>
    <row r="288" spans="2:12">
      <c r="B288" s="319">
        <v>84</v>
      </c>
      <c r="D288" s="284">
        <v>52871</v>
      </c>
      <c r="E288" s="292">
        <v>52962</v>
      </c>
      <c r="F288" s="292">
        <v>52932</v>
      </c>
      <c r="G288" s="292">
        <v>52962</v>
      </c>
      <c r="H288" s="292">
        <v>52975</v>
      </c>
      <c r="I288" s="292">
        <v>52981</v>
      </c>
      <c r="J288" s="292">
        <v>52985</v>
      </c>
      <c r="K288" s="10">
        <v>52987</v>
      </c>
      <c r="L288" s="10" t="str">
        <f t="shared" si="3"/>
        <v>Quartely</v>
      </c>
    </row>
    <row r="289" spans="2:12">
      <c r="B289" s="319" t="s">
        <v>653</v>
      </c>
      <c r="D289" s="284"/>
      <c r="E289" s="292" t="s">
        <v>653</v>
      </c>
      <c r="F289" s="292">
        <v>52963</v>
      </c>
      <c r="G289" s="292">
        <v>52993</v>
      </c>
      <c r="H289" s="292">
        <v>53008</v>
      </c>
      <c r="I289" s="292" t="s">
        <v>653</v>
      </c>
      <c r="J289" s="292"/>
      <c r="K289" s="10" t="s">
        <v>653</v>
      </c>
      <c r="L289" s="10" t="str">
        <f t="shared" si="3"/>
        <v>Monthly</v>
      </c>
    </row>
    <row r="290" spans="2:12">
      <c r="B290" s="319" t="s">
        <v>653</v>
      </c>
      <c r="D290" s="284"/>
      <c r="E290" s="292" t="s">
        <v>653</v>
      </c>
      <c r="F290" s="292">
        <v>52994</v>
      </c>
      <c r="G290" s="292">
        <v>53021</v>
      </c>
      <c r="H290" s="292">
        <v>53036</v>
      </c>
      <c r="I290" s="292" t="s">
        <v>653</v>
      </c>
      <c r="J290" s="292"/>
      <c r="K290" s="10" t="s">
        <v>653</v>
      </c>
      <c r="L290" s="10" t="str">
        <f t="shared" si="3"/>
        <v>Monthly</v>
      </c>
    </row>
    <row r="291" spans="2:12">
      <c r="B291" s="319">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c r="B292" s="319" t="s">
        <v>653</v>
      </c>
      <c r="D292" s="284"/>
      <c r="E292" s="292" t="s">
        <v>653</v>
      </c>
      <c r="F292" s="292">
        <v>53053</v>
      </c>
      <c r="G292" s="292">
        <v>53082</v>
      </c>
      <c r="H292" s="292">
        <v>53097</v>
      </c>
      <c r="I292" s="292" t="s">
        <v>653</v>
      </c>
      <c r="J292" s="292"/>
      <c r="K292" s="10" t="s">
        <v>653</v>
      </c>
      <c r="L292" s="10" t="str">
        <f t="shared" si="4"/>
        <v>Monthly</v>
      </c>
    </row>
    <row r="293" spans="2:12">
      <c r="B293" s="319" t="s">
        <v>653</v>
      </c>
      <c r="D293" s="284"/>
      <c r="E293" s="292" t="s">
        <v>653</v>
      </c>
      <c r="F293" s="292">
        <v>53083</v>
      </c>
      <c r="G293" s="292">
        <v>53113</v>
      </c>
      <c r="H293" s="292">
        <v>53128</v>
      </c>
      <c r="I293" s="292" t="s">
        <v>653</v>
      </c>
      <c r="J293" s="292"/>
      <c r="K293" s="10" t="s">
        <v>653</v>
      </c>
      <c r="L293" s="10" t="str">
        <f t="shared" si="4"/>
        <v>Monthly</v>
      </c>
    </row>
    <row r="294" spans="2:12">
      <c r="B294" s="319">
        <v>86</v>
      </c>
      <c r="D294" s="284">
        <v>53053</v>
      </c>
      <c r="E294" s="292">
        <v>53143</v>
      </c>
      <c r="F294" s="292">
        <v>53114</v>
      </c>
      <c r="G294" s="292">
        <v>53143</v>
      </c>
      <c r="H294" s="292">
        <v>53157</v>
      </c>
      <c r="I294" s="292">
        <v>53163</v>
      </c>
      <c r="J294" s="292">
        <v>53167</v>
      </c>
      <c r="K294" s="10">
        <v>53169</v>
      </c>
      <c r="L294" s="10" t="str">
        <f t="shared" si="4"/>
        <v>Quartely</v>
      </c>
    </row>
    <row r="295" spans="2:12">
      <c r="B295" s="319" t="s">
        <v>653</v>
      </c>
      <c r="D295" s="284"/>
      <c r="E295" s="292" t="s">
        <v>653</v>
      </c>
      <c r="F295" s="292">
        <v>53144</v>
      </c>
      <c r="G295" s="292">
        <v>53174</v>
      </c>
      <c r="H295" s="292">
        <v>53189</v>
      </c>
      <c r="I295" s="292" t="s">
        <v>653</v>
      </c>
      <c r="J295" s="292"/>
      <c r="K295" s="10" t="s">
        <v>653</v>
      </c>
      <c r="L295" s="10" t="str">
        <f t="shared" si="4"/>
        <v>Monthly</v>
      </c>
    </row>
    <row r="296" spans="2:12">
      <c r="B296" s="319" t="s">
        <v>653</v>
      </c>
      <c r="D296" s="284"/>
      <c r="E296" s="292" t="s">
        <v>653</v>
      </c>
      <c r="F296" s="292">
        <v>53175</v>
      </c>
      <c r="G296" s="292">
        <v>53205</v>
      </c>
      <c r="H296" s="292">
        <v>53220</v>
      </c>
      <c r="I296" s="292" t="s">
        <v>653</v>
      </c>
      <c r="J296" s="292"/>
      <c r="K296" s="10" t="s">
        <v>653</v>
      </c>
      <c r="L296" s="10" t="str">
        <f t="shared" si="4"/>
        <v>Monthly</v>
      </c>
    </row>
    <row r="297" spans="2:12">
      <c r="B297" s="319">
        <v>87</v>
      </c>
      <c r="D297" s="284">
        <v>53144</v>
      </c>
      <c r="E297" s="292">
        <v>53235</v>
      </c>
      <c r="F297" s="292">
        <v>53206</v>
      </c>
      <c r="G297" s="292">
        <v>53235</v>
      </c>
      <c r="H297" s="292">
        <v>53248</v>
      </c>
      <c r="I297" s="292">
        <v>53254</v>
      </c>
      <c r="J297" s="292">
        <v>53258</v>
      </c>
      <c r="K297" s="10">
        <v>53260</v>
      </c>
      <c r="L297" s="10" t="str">
        <f t="shared" si="4"/>
        <v>Quartely</v>
      </c>
    </row>
    <row r="298" spans="2:12">
      <c r="B298" s="319" t="s">
        <v>653</v>
      </c>
      <c r="D298" s="284"/>
      <c r="E298" s="292" t="s">
        <v>653</v>
      </c>
      <c r="F298" s="292">
        <v>53236</v>
      </c>
      <c r="G298" s="292">
        <v>53266</v>
      </c>
      <c r="H298" s="292">
        <v>53281</v>
      </c>
      <c r="I298" s="292" t="s">
        <v>653</v>
      </c>
      <c r="J298" s="292"/>
      <c r="K298" s="10" t="s">
        <v>653</v>
      </c>
      <c r="L298" s="10" t="str">
        <f t="shared" si="4"/>
        <v>Monthly</v>
      </c>
    </row>
    <row r="299" spans="2:12">
      <c r="B299" s="319" t="s">
        <v>653</v>
      </c>
      <c r="D299" s="284"/>
      <c r="E299" s="292" t="s">
        <v>653</v>
      </c>
      <c r="F299" s="292">
        <v>53267</v>
      </c>
      <c r="G299" s="292">
        <v>53296</v>
      </c>
      <c r="H299" s="292">
        <v>53311</v>
      </c>
      <c r="I299" s="292" t="s">
        <v>653</v>
      </c>
      <c r="J299" s="292"/>
      <c r="K299" s="10" t="s">
        <v>653</v>
      </c>
      <c r="L299" s="10" t="str">
        <f t="shared" si="4"/>
        <v>Monthly</v>
      </c>
    </row>
    <row r="300" spans="2:12">
      <c r="B300" s="319">
        <v>88</v>
      </c>
      <c r="D300" s="284">
        <v>53236</v>
      </c>
      <c r="E300" s="292">
        <v>53327</v>
      </c>
      <c r="F300" s="292">
        <v>53297</v>
      </c>
      <c r="G300" s="292">
        <v>53327</v>
      </c>
      <c r="H300" s="292">
        <v>53342</v>
      </c>
      <c r="I300" s="292">
        <v>53345</v>
      </c>
      <c r="J300" s="292">
        <v>53350</v>
      </c>
      <c r="K300" s="10">
        <v>53352</v>
      </c>
      <c r="L300" s="10" t="str">
        <f t="shared" si="4"/>
        <v>Quartely</v>
      </c>
    </row>
    <row r="301" spans="2:12">
      <c r="B301" s="319" t="s">
        <v>653</v>
      </c>
      <c r="D301" s="284"/>
      <c r="E301" s="292" t="s">
        <v>653</v>
      </c>
      <c r="F301" s="292">
        <v>53328</v>
      </c>
      <c r="G301" s="292">
        <v>53358</v>
      </c>
      <c r="H301" s="292">
        <v>53373</v>
      </c>
      <c r="I301" s="292" t="s">
        <v>653</v>
      </c>
      <c r="J301" s="292"/>
      <c r="K301" s="10" t="s">
        <v>653</v>
      </c>
      <c r="L301" s="10" t="str">
        <f t="shared" si="4"/>
        <v>Monthly</v>
      </c>
    </row>
    <row r="302" spans="2:12">
      <c r="B302" s="319" t="s">
        <v>653</v>
      </c>
      <c r="D302" s="284"/>
      <c r="E302" s="292" t="s">
        <v>653</v>
      </c>
      <c r="F302" s="292">
        <v>53359</v>
      </c>
      <c r="G302" s="292">
        <v>53386</v>
      </c>
      <c r="H302" s="292">
        <v>53401</v>
      </c>
      <c r="I302" s="292" t="s">
        <v>653</v>
      </c>
      <c r="J302" s="292"/>
      <c r="K302" s="10" t="s">
        <v>653</v>
      </c>
      <c r="L302" s="10" t="str">
        <f t="shared" si="4"/>
        <v>Monthly</v>
      </c>
    </row>
    <row r="303" spans="2:12">
      <c r="B303" s="319">
        <v>89</v>
      </c>
      <c r="D303" s="284">
        <v>53328</v>
      </c>
      <c r="E303" s="292">
        <v>53417</v>
      </c>
      <c r="F303" s="292">
        <v>53387</v>
      </c>
      <c r="G303" s="292">
        <v>53417</v>
      </c>
      <c r="H303" s="292">
        <v>53430</v>
      </c>
      <c r="I303" s="292">
        <v>53436</v>
      </c>
      <c r="J303" s="292">
        <v>53440</v>
      </c>
      <c r="K303" s="10">
        <v>53442</v>
      </c>
      <c r="L303" s="10" t="str">
        <f t="shared" si="4"/>
        <v>Quartely</v>
      </c>
    </row>
    <row r="304" spans="2:12">
      <c r="B304" s="319" t="s">
        <v>653</v>
      </c>
      <c r="D304" s="284"/>
      <c r="E304" s="292" t="s">
        <v>653</v>
      </c>
      <c r="F304" s="292">
        <v>53418</v>
      </c>
      <c r="G304" s="292">
        <v>53447</v>
      </c>
      <c r="H304" s="292">
        <v>53462</v>
      </c>
      <c r="I304" s="292" t="s">
        <v>653</v>
      </c>
      <c r="J304" s="292"/>
      <c r="K304" s="10" t="s">
        <v>653</v>
      </c>
      <c r="L304" s="10" t="str">
        <f t="shared" si="4"/>
        <v>Monthly</v>
      </c>
    </row>
    <row r="305" spans="2:12">
      <c r="B305" s="319" t="s">
        <v>653</v>
      </c>
      <c r="D305" s="284"/>
      <c r="E305" s="292" t="s">
        <v>653</v>
      </c>
      <c r="F305" s="292">
        <v>53448</v>
      </c>
      <c r="G305" s="292">
        <v>53478</v>
      </c>
      <c r="H305" s="292">
        <v>53493</v>
      </c>
      <c r="I305" s="292" t="s">
        <v>653</v>
      </c>
      <c r="J305" s="292"/>
      <c r="K305" s="10" t="s">
        <v>653</v>
      </c>
      <c r="L305" s="10" t="str">
        <f t="shared" si="4"/>
        <v>Monthly</v>
      </c>
    </row>
    <row r="306" spans="2:12">
      <c r="B306" s="319">
        <v>90</v>
      </c>
      <c r="D306" s="284">
        <v>53418</v>
      </c>
      <c r="E306" s="292">
        <v>53508</v>
      </c>
      <c r="F306" s="292">
        <v>53479</v>
      </c>
      <c r="G306" s="292">
        <v>53508</v>
      </c>
      <c r="H306" s="292">
        <v>53521</v>
      </c>
      <c r="I306" s="292">
        <v>53527</v>
      </c>
      <c r="J306" s="292">
        <v>53531</v>
      </c>
      <c r="K306" s="10">
        <v>53533</v>
      </c>
      <c r="L306" s="10" t="str">
        <f t="shared" si="4"/>
        <v>Quartely</v>
      </c>
    </row>
    <row r="307" spans="2:12">
      <c r="B307" s="319" t="s">
        <v>653</v>
      </c>
      <c r="D307" s="284"/>
      <c r="E307" s="292" t="s">
        <v>653</v>
      </c>
      <c r="F307" s="292">
        <v>53509</v>
      </c>
      <c r="G307" s="292">
        <v>53539</v>
      </c>
      <c r="H307" s="292">
        <v>53554</v>
      </c>
      <c r="I307" s="292" t="s">
        <v>653</v>
      </c>
      <c r="J307" s="292"/>
      <c r="K307" s="10" t="s">
        <v>653</v>
      </c>
      <c r="L307" s="10" t="str">
        <f t="shared" si="4"/>
        <v>Monthly</v>
      </c>
    </row>
    <row r="308" spans="2:12">
      <c r="B308" s="319" t="s">
        <v>653</v>
      </c>
      <c r="D308" s="284"/>
      <c r="E308" s="292" t="s">
        <v>653</v>
      </c>
      <c r="F308" s="292">
        <v>53540</v>
      </c>
      <c r="G308" s="292">
        <v>53570</v>
      </c>
      <c r="H308" s="292">
        <v>53584</v>
      </c>
      <c r="I308" s="292" t="s">
        <v>653</v>
      </c>
      <c r="J308" s="292"/>
      <c r="K308" s="10" t="s">
        <v>653</v>
      </c>
      <c r="L308" s="10" t="str">
        <f t="shared" si="4"/>
        <v>Monthly</v>
      </c>
    </row>
    <row r="309" spans="2:12">
      <c r="B309" s="319">
        <v>91</v>
      </c>
      <c r="D309" s="284">
        <v>53509</v>
      </c>
      <c r="E309" s="292">
        <v>53600</v>
      </c>
      <c r="F309" s="292">
        <v>53571</v>
      </c>
      <c r="G309" s="292">
        <v>53600</v>
      </c>
      <c r="H309" s="292">
        <v>53615</v>
      </c>
      <c r="I309" s="292">
        <v>53618</v>
      </c>
      <c r="J309" s="292">
        <v>53623</v>
      </c>
      <c r="K309" s="10">
        <v>53625</v>
      </c>
      <c r="L309" s="10" t="str">
        <f t="shared" si="4"/>
        <v>Quartely</v>
      </c>
    </row>
    <row r="310" spans="2:12">
      <c r="B310" s="319" t="s">
        <v>653</v>
      </c>
      <c r="D310" s="284"/>
      <c r="E310" s="292" t="s">
        <v>653</v>
      </c>
      <c r="F310" s="292">
        <v>53601</v>
      </c>
      <c r="G310" s="292">
        <v>53631</v>
      </c>
      <c r="H310" s="292">
        <v>53646</v>
      </c>
      <c r="I310" s="292" t="s">
        <v>653</v>
      </c>
      <c r="J310" s="292"/>
      <c r="K310" s="10" t="s">
        <v>653</v>
      </c>
      <c r="L310" s="10" t="str">
        <f t="shared" si="4"/>
        <v>Monthly</v>
      </c>
    </row>
    <row r="311" spans="2:12">
      <c r="B311" s="319" t="s">
        <v>653</v>
      </c>
      <c r="D311" s="284"/>
      <c r="E311" s="292" t="s">
        <v>653</v>
      </c>
      <c r="F311" s="292">
        <v>53632</v>
      </c>
      <c r="G311" s="292">
        <v>53661</v>
      </c>
      <c r="H311" s="292">
        <v>53675</v>
      </c>
      <c r="I311" s="292" t="s">
        <v>653</v>
      </c>
      <c r="J311" s="292"/>
      <c r="K311" s="10" t="s">
        <v>653</v>
      </c>
      <c r="L311" s="10" t="str">
        <f t="shared" si="4"/>
        <v>Monthly</v>
      </c>
    </row>
    <row r="312" spans="2:12">
      <c r="B312" s="319">
        <v>92</v>
      </c>
      <c r="D312" s="284">
        <v>53601</v>
      </c>
      <c r="E312" s="292">
        <v>53692</v>
      </c>
      <c r="F312" s="292">
        <v>53662</v>
      </c>
      <c r="G312" s="292">
        <v>53692</v>
      </c>
      <c r="H312" s="292">
        <v>53707</v>
      </c>
      <c r="I312" s="292">
        <v>53710</v>
      </c>
      <c r="J312" s="292">
        <v>53715</v>
      </c>
      <c r="K312" s="10">
        <v>53717</v>
      </c>
      <c r="L312" s="10" t="str">
        <f t="shared" si="4"/>
        <v>Quartely</v>
      </c>
    </row>
    <row r="313" spans="2:12">
      <c r="B313" s="319" t="s">
        <v>653</v>
      </c>
      <c r="D313" s="284"/>
      <c r="E313" s="292" t="s">
        <v>653</v>
      </c>
      <c r="F313" s="292">
        <v>53693</v>
      </c>
      <c r="G313" s="292">
        <v>53723</v>
      </c>
      <c r="H313" s="292">
        <v>53738</v>
      </c>
      <c r="I313" s="292" t="s">
        <v>653</v>
      </c>
      <c r="J313" s="292"/>
      <c r="K313" s="10" t="s">
        <v>653</v>
      </c>
      <c r="L313" s="10" t="str">
        <f t="shared" si="4"/>
        <v>Monthly</v>
      </c>
    </row>
    <row r="314" spans="2:12">
      <c r="B314" s="319" t="s">
        <v>653</v>
      </c>
      <c r="D314" s="284"/>
      <c r="E314" s="292" t="s">
        <v>653</v>
      </c>
      <c r="F314" s="292">
        <v>53724</v>
      </c>
      <c r="G314" s="292">
        <v>53751</v>
      </c>
      <c r="H314" s="292">
        <v>53766</v>
      </c>
      <c r="I314" s="292" t="s">
        <v>653</v>
      </c>
      <c r="J314" s="292"/>
      <c r="K314" s="10" t="s">
        <v>653</v>
      </c>
      <c r="L314" s="10" t="str">
        <f t="shared" si="4"/>
        <v>Monthly</v>
      </c>
    </row>
    <row r="315" spans="2:12">
      <c r="B315" s="319">
        <v>93</v>
      </c>
      <c r="D315" s="284">
        <v>53693</v>
      </c>
      <c r="E315" s="292">
        <v>53782</v>
      </c>
      <c r="F315" s="292">
        <v>53752</v>
      </c>
      <c r="G315" s="292">
        <v>53782</v>
      </c>
      <c r="H315" s="292">
        <v>53797</v>
      </c>
      <c r="I315" s="292">
        <v>53800</v>
      </c>
      <c r="J315" s="292">
        <v>53805</v>
      </c>
      <c r="K315" s="10">
        <v>53807</v>
      </c>
      <c r="L315" s="10" t="str">
        <f t="shared" si="4"/>
        <v>Quartely</v>
      </c>
    </row>
    <row r="316" spans="2:12">
      <c r="B316" s="319" t="s">
        <v>653</v>
      </c>
      <c r="D316" s="284"/>
      <c r="E316" s="292" t="s">
        <v>653</v>
      </c>
      <c r="F316" s="292">
        <v>53783</v>
      </c>
      <c r="G316" s="292">
        <v>53812</v>
      </c>
      <c r="H316" s="292">
        <v>53827</v>
      </c>
      <c r="I316" s="292" t="s">
        <v>653</v>
      </c>
      <c r="J316" s="292"/>
      <c r="K316" s="10" t="s">
        <v>653</v>
      </c>
      <c r="L316" s="10" t="str">
        <f t="shared" si="4"/>
        <v>Monthly</v>
      </c>
    </row>
    <row r="317" spans="2:12">
      <c r="B317" s="319" t="s">
        <v>653</v>
      </c>
      <c r="D317" s="284"/>
      <c r="E317" s="292" t="s">
        <v>653</v>
      </c>
      <c r="F317" s="292">
        <v>53813</v>
      </c>
      <c r="G317" s="292">
        <v>53843</v>
      </c>
      <c r="H317" s="292">
        <v>53857</v>
      </c>
      <c r="I317" s="292" t="s">
        <v>653</v>
      </c>
      <c r="J317" s="292"/>
      <c r="K317" s="10" t="s">
        <v>653</v>
      </c>
      <c r="L317" s="10" t="str">
        <f t="shared" si="4"/>
        <v>Monthly</v>
      </c>
    </row>
    <row r="318" spans="2:12">
      <c r="B318" s="319">
        <v>94</v>
      </c>
      <c r="D318" s="284">
        <v>53783</v>
      </c>
      <c r="E318" s="292">
        <v>53873</v>
      </c>
      <c r="F318" s="292">
        <v>53844</v>
      </c>
      <c r="G318" s="292">
        <v>53873</v>
      </c>
      <c r="H318" s="292">
        <v>53888</v>
      </c>
      <c r="I318" s="292">
        <v>53891</v>
      </c>
      <c r="J318" s="292">
        <v>53896</v>
      </c>
      <c r="K318" s="10">
        <v>53898</v>
      </c>
      <c r="L318" s="10" t="str">
        <f t="shared" si="4"/>
        <v>Quartely</v>
      </c>
    </row>
    <row r="319" spans="2:12">
      <c r="B319" s="319" t="s">
        <v>653</v>
      </c>
      <c r="D319" s="284"/>
      <c r="E319" s="292" t="s">
        <v>653</v>
      </c>
      <c r="F319" s="292">
        <v>53874</v>
      </c>
      <c r="G319" s="292">
        <v>53904</v>
      </c>
      <c r="H319" s="292">
        <v>53919</v>
      </c>
      <c r="I319" s="292" t="s">
        <v>653</v>
      </c>
      <c r="J319" s="292"/>
      <c r="K319" s="10" t="s">
        <v>653</v>
      </c>
      <c r="L319" s="10" t="str">
        <f t="shared" si="4"/>
        <v>Monthly</v>
      </c>
    </row>
    <row r="320" spans="2:12">
      <c r="B320" s="319" t="s">
        <v>653</v>
      </c>
      <c r="D320" s="284"/>
      <c r="E320" s="292" t="s">
        <v>653</v>
      </c>
      <c r="F320" s="292">
        <v>53905</v>
      </c>
      <c r="G320" s="292">
        <v>53935</v>
      </c>
      <c r="H320" s="292">
        <v>53948</v>
      </c>
      <c r="I320" s="292" t="s">
        <v>653</v>
      </c>
      <c r="J320" s="292"/>
      <c r="K320" s="10" t="s">
        <v>653</v>
      </c>
      <c r="L320" s="10" t="str">
        <f t="shared" si="4"/>
        <v>Monthly</v>
      </c>
    </row>
    <row r="321" spans="2:12">
      <c r="B321" s="319">
        <v>95</v>
      </c>
      <c r="D321" s="284">
        <v>53874</v>
      </c>
      <c r="E321" s="292">
        <v>53965</v>
      </c>
      <c r="F321" s="292">
        <v>53936</v>
      </c>
      <c r="G321" s="292">
        <v>53965</v>
      </c>
      <c r="H321" s="292">
        <v>53980</v>
      </c>
      <c r="I321" s="292">
        <v>53983</v>
      </c>
      <c r="J321" s="292">
        <v>53988</v>
      </c>
      <c r="K321" s="10">
        <v>53990</v>
      </c>
      <c r="L321" s="10" t="str">
        <f t="shared" si="4"/>
        <v>Quartely</v>
      </c>
    </row>
    <row r="322" spans="2:12">
      <c r="B322" s="319" t="s">
        <v>653</v>
      </c>
      <c r="D322" s="284"/>
      <c r="E322" s="292" t="s">
        <v>653</v>
      </c>
      <c r="F322" s="292">
        <v>53966</v>
      </c>
      <c r="G322" s="292">
        <v>53996</v>
      </c>
      <c r="H322" s="292">
        <v>54011</v>
      </c>
      <c r="I322" s="292" t="s">
        <v>653</v>
      </c>
      <c r="J322" s="292"/>
      <c r="K322" s="10" t="s">
        <v>653</v>
      </c>
      <c r="L322" s="10" t="str">
        <f t="shared" si="4"/>
        <v>Monthly</v>
      </c>
    </row>
    <row r="323" spans="2:12">
      <c r="B323" s="319" t="s">
        <v>653</v>
      </c>
      <c r="D323" s="284"/>
      <c r="E323" s="292" t="s">
        <v>653</v>
      </c>
      <c r="F323" s="292">
        <v>53997</v>
      </c>
      <c r="G323" s="292">
        <v>54026</v>
      </c>
      <c r="H323" s="292">
        <v>54039</v>
      </c>
      <c r="I323" s="292" t="s">
        <v>653</v>
      </c>
      <c r="J323" s="292"/>
      <c r="K323" s="10" t="s">
        <v>653</v>
      </c>
      <c r="L323" s="10" t="str">
        <f t="shared" si="4"/>
        <v>Monthly</v>
      </c>
    </row>
    <row r="324" spans="2:12">
      <c r="B324" s="319">
        <v>96</v>
      </c>
      <c r="D324" s="284">
        <v>53966</v>
      </c>
      <c r="E324" s="292">
        <v>54057</v>
      </c>
      <c r="F324" s="292">
        <v>54027</v>
      </c>
      <c r="G324" s="292">
        <v>54057</v>
      </c>
      <c r="H324" s="292">
        <v>54072</v>
      </c>
      <c r="I324" s="292">
        <v>54077</v>
      </c>
      <c r="J324" s="292">
        <v>54080</v>
      </c>
      <c r="K324" s="10">
        <v>54084</v>
      </c>
      <c r="L324" s="10" t="str">
        <f t="shared" si="4"/>
        <v>Quartely</v>
      </c>
    </row>
    <row r="325" spans="2:12">
      <c r="B325" s="319" t="s">
        <v>653</v>
      </c>
      <c r="D325" s="284"/>
      <c r="E325" s="292" t="s">
        <v>653</v>
      </c>
      <c r="F325" s="292">
        <v>54058</v>
      </c>
      <c r="G325" s="292">
        <v>54088</v>
      </c>
      <c r="H325" s="292">
        <v>54102</v>
      </c>
      <c r="I325" s="292" t="s">
        <v>653</v>
      </c>
      <c r="J325" s="292"/>
      <c r="K325" s="10" t="s">
        <v>653</v>
      </c>
      <c r="L325" s="10" t="str">
        <f t="shared" si="4"/>
        <v>Monthly</v>
      </c>
    </row>
    <row r="326" spans="2:12">
      <c r="B326" s="319" t="s">
        <v>653</v>
      </c>
      <c r="D326" s="284"/>
      <c r="E326" s="292" t="s">
        <v>653</v>
      </c>
      <c r="F326" s="292">
        <v>54089</v>
      </c>
      <c r="G326" s="292">
        <v>54117</v>
      </c>
      <c r="H326" s="292">
        <v>54130</v>
      </c>
      <c r="I326" s="292" t="s">
        <v>653</v>
      </c>
      <c r="J326" s="292"/>
      <c r="K326" s="10" t="s">
        <v>653</v>
      </c>
      <c r="L326" s="10" t="str">
        <f t="shared" si="4"/>
        <v>Monthly</v>
      </c>
    </row>
    <row r="327" spans="2:12">
      <c r="B327" s="319">
        <v>97</v>
      </c>
      <c r="D327" s="284">
        <v>54058</v>
      </c>
      <c r="E327" s="292">
        <v>54148</v>
      </c>
      <c r="F327" s="292">
        <v>54118</v>
      </c>
      <c r="G327" s="292">
        <v>54148</v>
      </c>
      <c r="H327" s="292">
        <v>54163</v>
      </c>
      <c r="I327" s="292">
        <v>54168</v>
      </c>
      <c r="J327" s="292">
        <v>54171</v>
      </c>
      <c r="K327" s="10">
        <v>54175</v>
      </c>
      <c r="L327" s="10" t="str">
        <f t="shared" si="4"/>
        <v>Quartely</v>
      </c>
    </row>
    <row r="328" spans="2:12">
      <c r="B328" s="319" t="s">
        <v>653</v>
      </c>
      <c r="D328" s="284"/>
      <c r="E328" s="292" t="s">
        <v>653</v>
      </c>
      <c r="F328" s="292">
        <v>54149</v>
      </c>
      <c r="G328" s="292">
        <v>54178</v>
      </c>
      <c r="H328" s="292">
        <v>54193</v>
      </c>
      <c r="I328" s="292" t="s">
        <v>653</v>
      </c>
      <c r="J328" s="292"/>
      <c r="K328" s="10" t="s">
        <v>653</v>
      </c>
      <c r="L328" s="10" t="str">
        <f t="shared" si="4"/>
        <v>Monthly</v>
      </c>
    </row>
    <row r="329" spans="2:12">
      <c r="B329" s="319" t="s">
        <v>653</v>
      </c>
      <c r="D329" s="284"/>
      <c r="E329" s="292" t="s">
        <v>653</v>
      </c>
      <c r="F329" s="292">
        <v>54179</v>
      </c>
      <c r="G329" s="292">
        <v>54209</v>
      </c>
      <c r="H329" s="292">
        <v>54224</v>
      </c>
      <c r="I329" s="292" t="s">
        <v>653</v>
      </c>
      <c r="J329" s="292"/>
      <c r="K329" s="10" t="s">
        <v>653</v>
      </c>
      <c r="L329" s="10" t="str">
        <f t="shared" si="4"/>
        <v>Monthly</v>
      </c>
    </row>
    <row r="330" spans="2:12">
      <c r="B330" s="319">
        <v>98</v>
      </c>
      <c r="D330" s="284">
        <v>54149</v>
      </c>
      <c r="E330" s="292">
        <v>54239</v>
      </c>
      <c r="F330" s="292">
        <v>54210</v>
      </c>
      <c r="G330" s="292">
        <v>54239</v>
      </c>
      <c r="H330" s="292">
        <v>54254</v>
      </c>
      <c r="I330" s="292">
        <v>54259</v>
      </c>
      <c r="J330" s="292">
        <v>54262</v>
      </c>
      <c r="K330" s="10">
        <v>54266</v>
      </c>
      <c r="L330" s="10" t="str">
        <f t="shared" si="4"/>
        <v>Quartely</v>
      </c>
    </row>
    <row r="331" spans="2:12">
      <c r="B331" s="319" t="s">
        <v>653</v>
      </c>
      <c r="D331" s="284"/>
      <c r="E331" s="292" t="s">
        <v>653</v>
      </c>
      <c r="F331" s="292">
        <v>54240</v>
      </c>
      <c r="G331" s="292">
        <v>54270</v>
      </c>
      <c r="H331" s="292">
        <v>54284</v>
      </c>
      <c r="I331" s="292" t="s">
        <v>653</v>
      </c>
      <c r="J331" s="292"/>
      <c r="K331" s="10" t="s">
        <v>653</v>
      </c>
      <c r="L331" s="10" t="str">
        <f t="shared" si="4"/>
        <v>Monthly</v>
      </c>
    </row>
    <row r="332" spans="2:12">
      <c r="B332" s="319" t="s">
        <v>653</v>
      </c>
      <c r="D332" s="284"/>
      <c r="E332" s="292" t="s">
        <v>653</v>
      </c>
      <c r="F332" s="292">
        <v>54271</v>
      </c>
      <c r="G332" s="292">
        <v>54301</v>
      </c>
      <c r="H332" s="292">
        <v>54316</v>
      </c>
      <c r="I332" s="292" t="s">
        <v>653</v>
      </c>
      <c r="J332" s="292"/>
      <c r="K332" s="10" t="s">
        <v>653</v>
      </c>
      <c r="L332" s="10" t="str">
        <f t="shared" si="4"/>
        <v>Monthly</v>
      </c>
    </row>
    <row r="333" spans="2:12">
      <c r="B333" s="319">
        <v>99</v>
      </c>
      <c r="D333" s="284">
        <v>54240</v>
      </c>
      <c r="E333" s="292">
        <v>54331</v>
      </c>
      <c r="F333" s="292">
        <v>54302</v>
      </c>
      <c r="G333" s="292">
        <v>54331</v>
      </c>
      <c r="H333" s="292">
        <v>54346</v>
      </c>
      <c r="I333" s="292">
        <v>54351</v>
      </c>
      <c r="J333" s="292">
        <v>54354</v>
      </c>
      <c r="K333" s="10">
        <v>54358</v>
      </c>
      <c r="L333" s="10" t="str">
        <f t="shared" si="4"/>
        <v>Quartely</v>
      </c>
    </row>
    <row r="334" spans="2:12">
      <c r="B334" s="319" t="s">
        <v>653</v>
      </c>
      <c r="D334" s="284"/>
      <c r="E334" s="292" t="s">
        <v>653</v>
      </c>
      <c r="F334" s="292">
        <v>54332</v>
      </c>
      <c r="G334" s="292">
        <v>54362</v>
      </c>
      <c r="H334" s="292">
        <v>54375</v>
      </c>
      <c r="I334" s="292" t="s">
        <v>653</v>
      </c>
      <c r="J334" s="292"/>
      <c r="K334" s="10" t="s">
        <v>653</v>
      </c>
      <c r="L334" s="10" t="str">
        <f t="shared" si="4"/>
        <v>Monthly</v>
      </c>
    </row>
    <row r="335" spans="2:12">
      <c r="B335" s="319" t="s">
        <v>653</v>
      </c>
      <c r="D335" s="284"/>
      <c r="E335" s="292" t="s">
        <v>653</v>
      </c>
      <c r="F335" s="292">
        <v>54363</v>
      </c>
      <c r="G335" s="292">
        <v>54392</v>
      </c>
      <c r="H335" s="292">
        <v>54407</v>
      </c>
      <c r="I335" s="292" t="s">
        <v>653</v>
      </c>
      <c r="J335" s="292"/>
      <c r="K335" s="10" t="s">
        <v>653</v>
      </c>
      <c r="L335" s="10" t="str">
        <f t="shared" si="4"/>
        <v>Monthly</v>
      </c>
    </row>
    <row r="336" spans="2:12">
      <c r="B336" s="319">
        <v>100</v>
      </c>
      <c r="D336" s="284">
        <v>54332</v>
      </c>
      <c r="E336" s="292">
        <v>54423</v>
      </c>
      <c r="F336" s="292">
        <v>54393</v>
      </c>
      <c r="G336" s="292">
        <v>54423</v>
      </c>
      <c r="H336" s="292">
        <v>54438</v>
      </c>
      <c r="I336" s="292">
        <v>54443</v>
      </c>
      <c r="J336" s="292">
        <v>54448</v>
      </c>
      <c r="K336" s="10">
        <v>54450</v>
      </c>
      <c r="L336" s="10" t="str">
        <f t="shared" si="4"/>
        <v>Quartely</v>
      </c>
    </row>
    <row r="337" spans="2:12">
      <c r="B337" s="319" t="s">
        <v>653</v>
      </c>
      <c r="D337" s="284"/>
      <c r="E337" s="292" t="s">
        <v>653</v>
      </c>
      <c r="F337" s="292">
        <v>54424</v>
      </c>
      <c r="G337" s="292">
        <v>54454</v>
      </c>
      <c r="H337" s="292">
        <v>54469</v>
      </c>
      <c r="I337" s="292" t="s">
        <v>653</v>
      </c>
      <c r="J337" s="292"/>
      <c r="K337" s="10" t="s">
        <v>653</v>
      </c>
      <c r="L337" s="10" t="str">
        <f t="shared" si="4"/>
        <v>Monthly</v>
      </c>
    </row>
    <row r="338" spans="2:12">
      <c r="B338" s="319" t="s">
        <v>653</v>
      </c>
      <c r="D338" s="284"/>
      <c r="E338" s="292" t="s">
        <v>653</v>
      </c>
      <c r="F338" s="292">
        <v>54455</v>
      </c>
      <c r="G338" s="292">
        <v>54482</v>
      </c>
      <c r="H338" s="292">
        <v>54497</v>
      </c>
      <c r="I338" s="292" t="s">
        <v>653</v>
      </c>
      <c r="J338" s="292"/>
      <c r="K338" s="10" t="s">
        <v>653</v>
      </c>
      <c r="L338" s="10" t="str">
        <f t="shared" si="4"/>
        <v>Monthly</v>
      </c>
    </row>
    <row r="339" spans="2:12">
      <c r="B339" s="319">
        <v>101</v>
      </c>
      <c r="D339" s="284">
        <v>54424</v>
      </c>
      <c r="E339" s="292">
        <v>54513</v>
      </c>
      <c r="F339" s="292">
        <v>54483</v>
      </c>
      <c r="G339" s="292">
        <v>54513</v>
      </c>
      <c r="H339" s="292">
        <v>54528</v>
      </c>
      <c r="I339" s="292">
        <v>54533</v>
      </c>
      <c r="J339" s="292">
        <v>54536</v>
      </c>
      <c r="K339" s="10">
        <v>54540</v>
      </c>
      <c r="L339" s="10" t="str">
        <f t="shared" si="4"/>
        <v>Quartely</v>
      </c>
    </row>
    <row r="340" spans="2:12">
      <c r="B340" s="319" t="s">
        <v>653</v>
      </c>
      <c r="D340" s="284"/>
      <c r="E340" s="292" t="s">
        <v>653</v>
      </c>
      <c r="F340" s="292">
        <v>54514</v>
      </c>
      <c r="G340" s="292">
        <v>54543</v>
      </c>
      <c r="H340" s="292">
        <v>54557</v>
      </c>
      <c r="I340" s="292" t="s">
        <v>653</v>
      </c>
      <c r="J340" s="292"/>
      <c r="K340" s="10" t="s">
        <v>653</v>
      </c>
      <c r="L340" s="10" t="str">
        <f t="shared" si="4"/>
        <v>Monthly</v>
      </c>
    </row>
    <row r="341" spans="2:12">
      <c r="B341" s="319" t="s">
        <v>653</v>
      </c>
      <c r="D341" s="284"/>
      <c r="E341" s="292" t="s">
        <v>653</v>
      </c>
      <c r="F341" s="292">
        <v>54544</v>
      </c>
      <c r="G341" s="292">
        <v>54574</v>
      </c>
      <c r="H341" s="292">
        <v>54589</v>
      </c>
      <c r="I341" s="292" t="s">
        <v>653</v>
      </c>
      <c r="J341" s="292"/>
      <c r="K341" s="10" t="s">
        <v>653</v>
      </c>
      <c r="L341" s="10" t="str">
        <f t="shared" si="4"/>
        <v>Monthly</v>
      </c>
    </row>
    <row r="342" spans="2:12">
      <c r="B342" s="319">
        <v>102</v>
      </c>
      <c r="D342" s="284">
        <v>54514</v>
      </c>
      <c r="E342" s="292">
        <v>54604</v>
      </c>
      <c r="F342" s="292">
        <v>54575</v>
      </c>
      <c r="G342" s="292">
        <v>54604</v>
      </c>
      <c r="H342" s="292">
        <v>54619</v>
      </c>
      <c r="I342" s="292">
        <v>54624</v>
      </c>
      <c r="J342" s="292">
        <v>54627</v>
      </c>
      <c r="K342" s="10">
        <v>54631</v>
      </c>
      <c r="L342" s="10" t="str">
        <f t="shared" si="4"/>
        <v>Quartely</v>
      </c>
    </row>
    <row r="343" spans="2:12">
      <c r="B343" s="319" t="s">
        <v>653</v>
      </c>
      <c r="D343" s="284"/>
      <c r="E343" s="292" t="s">
        <v>653</v>
      </c>
      <c r="F343" s="292">
        <v>54605</v>
      </c>
      <c r="G343" s="292">
        <v>54635</v>
      </c>
      <c r="H343" s="292">
        <v>54648</v>
      </c>
      <c r="I343" s="292" t="s">
        <v>653</v>
      </c>
      <c r="J343" s="292"/>
      <c r="K343" s="10" t="s">
        <v>653</v>
      </c>
      <c r="L343" s="10" t="str">
        <f t="shared" si="4"/>
        <v>Monthly</v>
      </c>
    </row>
    <row r="344" spans="2:12">
      <c r="B344" s="319" t="s">
        <v>653</v>
      </c>
      <c r="D344" s="284"/>
      <c r="E344" s="292" t="s">
        <v>653</v>
      </c>
      <c r="F344" s="292">
        <v>54636</v>
      </c>
      <c r="G344" s="292">
        <v>54666</v>
      </c>
      <c r="H344" s="292">
        <v>54681</v>
      </c>
      <c r="I344" s="292" t="s">
        <v>653</v>
      </c>
      <c r="J344" s="292"/>
      <c r="K344" s="10" t="s">
        <v>653</v>
      </c>
      <c r="L344" s="10" t="str">
        <f t="shared" si="4"/>
        <v>Monthly</v>
      </c>
    </row>
    <row r="345" spans="2:12">
      <c r="B345" s="319">
        <v>103</v>
      </c>
      <c r="D345" s="284">
        <v>54605</v>
      </c>
      <c r="E345" s="292">
        <v>54696</v>
      </c>
      <c r="F345" s="292">
        <v>54667</v>
      </c>
      <c r="G345" s="292">
        <v>54696</v>
      </c>
      <c r="H345" s="292">
        <v>54711</v>
      </c>
      <c r="I345" s="292">
        <v>54716</v>
      </c>
      <c r="J345" s="292">
        <v>54721</v>
      </c>
      <c r="K345" s="10">
        <v>54723</v>
      </c>
      <c r="L345" s="10" t="str">
        <f t="shared" si="4"/>
        <v>Quartely</v>
      </c>
    </row>
    <row r="346" spans="2:12">
      <c r="B346" s="319" t="s">
        <v>653</v>
      </c>
      <c r="D346" s="284"/>
      <c r="E346" s="292" t="s">
        <v>653</v>
      </c>
      <c r="F346" s="292">
        <v>54697</v>
      </c>
      <c r="G346" s="292">
        <v>54727</v>
      </c>
      <c r="H346" s="292">
        <v>54742</v>
      </c>
      <c r="I346" s="292" t="s">
        <v>653</v>
      </c>
      <c r="J346" s="292"/>
      <c r="K346" s="10" t="s">
        <v>653</v>
      </c>
      <c r="L346" s="10" t="str">
        <f t="shared" si="4"/>
        <v>Monthly</v>
      </c>
    </row>
    <row r="347" spans="2:12">
      <c r="B347" s="319" t="s">
        <v>653</v>
      </c>
      <c r="D347" s="284"/>
      <c r="E347" s="292" t="s">
        <v>653</v>
      </c>
      <c r="F347" s="292">
        <v>54728</v>
      </c>
      <c r="G347" s="292">
        <v>54757</v>
      </c>
      <c r="H347" s="292">
        <v>54772</v>
      </c>
      <c r="I347" s="292" t="s">
        <v>653</v>
      </c>
      <c r="J347" s="292"/>
      <c r="K347" s="10" t="s">
        <v>653</v>
      </c>
      <c r="L347" s="10" t="str">
        <f t="shared" si="4"/>
        <v>Monthly</v>
      </c>
    </row>
    <row r="348" spans="2:12">
      <c r="B348" s="319">
        <v>104</v>
      </c>
      <c r="D348" s="284">
        <v>54697</v>
      </c>
      <c r="E348" s="292">
        <v>54788</v>
      </c>
      <c r="F348" s="292">
        <v>54758</v>
      </c>
      <c r="G348" s="292">
        <v>54788</v>
      </c>
      <c r="H348" s="292">
        <v>54802</v>
      </c>
      <c r="I348" s="292">
        <v>54808</v>
      </c>
      <c r="J348" s="292">
        <v>54812</v>
      </c>
      <c r="K348" s="10">
        <v>54814</v>
      </c>
      <c r="L348" s="10" t="str">
        <f t="shared" si="4"/>
        <v>Quartely</v>
      </c>
    </row>
    <row r="349" spans="2:12">
      <c r="B349" s="319" t="s">
        <v>653</v>
      </c>
      <c r="D349" s="284"/>
      <c r="E349" s="292" t="s">
        <v>653</v>
      </c>
      <c r="F349" s="292">
        <v>54789</v>
      </c>
      <c r="G349" s="292">
        <v>54819</v>
      </c>
      <c r="H349" s="292">
        <v>54834</v>
      </c>
      <c r="I349" s="292" t="s">
        <v>653</v>
      </c>
      <c r="J349" s="292"/>
      <c r="K349" s="10" t="s">
        <v>653</v>
      </c>
      <c r="L349" s="10" t="str">
        <f t="shared" si="4"/>
        <v>Monthly</v>
      </c>
    </row>
    <row r="350" spans="2:12">
      <c r="B350" s="319" t="s">
        <v>653</v>
      </c>
      <c r="D350" s="284"/>
      <c r="E350" s="292" t="s">
        <v>653</v>
      </c>
      <c r="F350" s="292">
        <v>54820</v>
      </c>
      <c r="G350" s="292">
        <v>54847</v>
      </c>
      <c r="H350" s="292">
        <v>54862</v>
      </c>
      <c r="I350" s="292" t="s">
        <v>653</v>
      </c>
      <c r="J350" s="292"/>
      <c r="K350" s="10" t="s">
        <v>653</v>
      </c>
      <c r="L350" s="10" t="str">
        <f t="shared" si="4"/>
        <v>Monthly</v>
      </c>
    </row>
    <row r="351" spans="2:12">
      <c r="B351" s="319">
        <v>105</v>
      </c>
      <c r="D351" s="284">
        <v>54789</v>
      </c>
      <c r="E351" s="292">
        <v>54878</v>
      </c>
      <c r="F351" s="292">
        <v>54848</v>
      </c>
      <c r="G351" s="292">
        <v>54878</v>
      </c>
      <c r="H351" s="292">
        <v>54893</v>
      </c>
      <c r="I351" s="292">
        <v>54898</v>
      </c>
      <c r="J351" s="292">
        <v>54903</v>
      </c>
      <c r="K351" s="10">
        <v>54905</v>
      </c>
      <c r="L351" s="10" t="str">
        <f t="shared" si="4"/>
        <v>Quartely</v>
      </c>
    </row>
    <row r="352" spans="2:12">
      <c r="B352" s="319" t="s">
        <v>653</v>
      </c>
      <c r="D352" s="284"/>
      <c r="E352" s="292" t="s">
        <v>653</v>
      </c>
      <c r="F352" s="292">
        <v>54879</v>
      </c>
      <c r="G352" s="292">
        <v>54908</v>
      </c>
      <c r="H352" s="292">
        <v>54921</v>
      </c>
      <c r="I352" s="292" t="s">
        <v>653</v>
      </c>
      <c r="J352" s="292"/>
      <c r="K352" s="10" t="s">
        <v>653</v>
      </c>
      <c r="L352" s="10" t="str">
        <f t="shared" si="4"/>
        <v>Monthly</v>
      </c>
    </row>
    <row r="353" spans="2:12">
      <c r="B353" s="319" t="s">
        <v>653</v>
      </c>
      <c r="D353" s="284"/>
      <c r="E353" s="292" t="s">
        <v>653</v>
      </c>
      <c r="F353" s="292">
        <v>54909</v>
      </c>
      <c r="G353" s="292">
        <v>54939</v>
      </c>
      <c r="H353" s="292">
        <v>54954</v>
      </c>
      <c r="I353" s="292" t="s">
        <v>653</v>
      </c>
      <c r="J353" s="292"/>
      <c r="K353" s="10" t="s">
        <v>653</v>
      </c>
      <c r="L353" s="10" t="str">
        <f t="shared" si="4"/>
        <v>Monthly</v>
      </c>
    </row>
    <row r="354" spans="2:12">
      <c r="B354" s="319">
        <v>106</v>
      </c>
      <c r="D354" s="284">
        <v>54879</v>
      </c>
      <c r="E354" s="292">
        <v>54969</v>
      </c>
      <c r="F354" s="292">
        <v>54940</v>
      </c>
      <c r="G354" s="292">
        <v>54969</v>
      </c>
      <c r="H354" s="292">
        <v>54984</v>
      </c>
      <c r="I354" s="292">
        <v>54989</v>
      </c>
      <c r="J354" s="292">
        <v>54994</v>
      </c>
      <c r="K354" s="10">
        <v>54996</v>
      </c>
      <c r="L354" s="10" t="str">
        <f t="shared" si="4"/>
        <v>Quartely</v>
      </c>
    </row>
    <row r="355" spans="2:12">
      <c r="B355" s="319" t="s">
        <v>653</v>
      </c>
      <c r="D355" s="284"/>
      <c r="E355" s="292" t="s">
        <v>653</v>
      </c>
      <c r="F355" s="292">
        <v>54970</v>
      </c>
      <c r="G355" s="292">
        <v>55000</v>
      </c>
      <c r="H355" s="292">
        <v>55015</v>
      </c>
      <c r="I355" s="292" t="s">
        <v>653</v>
      </c>
      <c r="J355" s="292"/>
      <c r="K355" s="10" t="s">
        <v>653</v>
      </c>
      <c r="L355" s="10" t="str">
        <f t="shared" ref="L355:L370" si="5">IF(K355="","Monthly","Quartely")</f>
        <v>Monthly</v>
      </c>
    </row>
    <row r="356" spans="2:12">
      <c r="B356" s="319" t="s">
        <v>653</v>
      </c>
      <c r="D356" s="284"/>
      <c r="E356" s="292" t="s">
        <v>653</v>
      </c>
      <c r="F356" s="292">
        <v>55001</v>
      </c>
      <c r="G356" s="292">
        <v>55031</v>
      </c>
      <c r="H356" s="292">
        <v>55046</v>
      </c>
      <c r="I356" s="292" t="s">
        <v>653</v>
      </c>
      <c r="J356" s="292"/>
      <c r="K356" s="10" t="s">
        <v>653</v>
      </c>
      <c r="L356" s="10" t="str">
        <f t="shared" si="5"/>
        <v>Monthly</v>
      </c>
    </row>
    <row r="357" spans="2:12">
      <c r="B357" s="319">
        <v>107</v>
      </c>
      <c r="D357" s="284">
        <v>54970</v>
      </c>
      <c r="E357" s="292">
        <v>55061</v>
      </c>
      <c r="F357" s="292">
        <v>55032</v>
      </c>
      <c r="G357" s="292">
        <v>55061</v>
      </c>
      <c r="H357" s="292">
        <v>55075</v>
      </c>
      <c r="I357" s="292">
        <v>55081</v>
      </c>
      <c r="J357" s="292">
        <v>55085</v>
      </c>
      <c r="K357" s="10">
        <v>55087</v>
      </c>
      <c r="L357" s="10" t="str">
        <f t="shared" si="5"/>
        <v>Quartely</v>
      </c>
    </row>
    <row r="358" spans="2:12">
      <c r="B358" s="319" t="s">
        <v>653</v>
      </c>
      <c r="D358" s="284"/>
      <c r="E358" s="292" t="s">
        <v>653</v>
      </c>
      <c r="F358" s="292">
        <v>55062</v>
      </c>
      <c r="G358" s="292">
        <v>55092</v>
      </c>
      <c r="H358" s="292">
        <v>55107</v>
      </c>
      <c r="I358" s="292" t="s">
        <v>653</v>
      </c>
      <c r="J358" s="292"/>
      <c r="K358" s="10" t="s">
        <v>653</v>
      </c>
      <c r="L358" s="10" t="str">
        <f t="shared" si="5"/>
        <v>Monthly</v>
      </c>
    </row>
    <row r="359" spans="2:12">
      <c r="B359" s="319" t="s">
        <v>653</v>
      </c>
      <c r="D359" s="284"/>
      <c r="E359" s="292" t="s">
        <v>653</v>
      </c>
      <c r="F359" s="292">
        <v>55093</v>
      </c>
      <c r="G359" s="292">
        <v>55122</v>
      </c>
      <c r="H359" s="292">
        <v>55137</v>
      </c>
      <c r="I359" s="292" t="s">
        <v>653</v>
      </c>
      <c r="J359" s="292"/>
      <c r="K359" s="10" t="s">
        <v>653</v>
      </c>
      <c r="L359" s="10" t="str">
        <f t="shared" si="5"/>
        <v>Monthly</v>
      </c>
    </row>
    <row r="360" spans="2:12">
      <c r="B360" s="319">
        <v>108</v>
      </c>
      <c r="D360" s="284">
        <v>55062</v>
      </c>
      <c r="E360" s="292">
        <v>55153</v>
      </c>
      <c r="F360" s="292">
        <v>55123</v>
      </c>
      <c r="G360" s="292">
        <v>55153</v>
      </c>
      <c r="H360" s="292">
        <v>55166</v>
      </c>
      <c r="I360" s="292">
        <v>55172</v>
      </c>
      <c r="J360" s="292">
        <v>55176</v>
      </c>
      <c r="K360" s="10">
        <v>55178</v>
      </c>
      <c r="L360" s="10" t="str">
        <f t="shared" si="5"/>
        <v>Quartely</v>
      </c>
    </row>
    <row r="361" spans="2:12">
      <c r="B361" s="319" t="s">
        <v>653</v>
      </c>
      <c r="D361" s="284"/>
      <c r="E361" s="292" t="s">
        <v>653</v>
      </c>
      <c r="F361" s="292">
        <v>55154</v>
      </c>
      <c r="G361" s="292">
        <v>55184</v>
      </c>
      <c r="H361" s="292">
        <v>55199</v>
      </c>
      <c r="I361" s="292" t="s">
        <v>653</v>
      </c>
      <c r="J361" s="292"/>
      <c r="K361" s="10" t="s">
        <v>653</v>
      </c>
      <c r="L361" s="10" t="str">
        <f t="shared" si="5"/>
        <v>Monthly</v>
      </c>
    </row>
    <row r="362" spans="2:12">
      <c r="B362" s="319" t="s">
        <v>653</v>
      </c>
      <c r="D362" s="284"/>
      <c r="E362" s="292" t="s">
        <v>653</v>
      </c>
      <c r="F362" s="292">
        <v>55185</v>
      </c>
      <c r="G362" s="292">
        <v>55212</v>
      </c>
      <c r="H362" s="292">
        <v>55227</v>
      </c>
      <c r="I362" s="292" t="s">
        <v>653</v>
      </c>
      <c r="J362" s="292"/>
      <c r="K362" s="10" t="s">
        <v>653</v>
      </c>
      <c r="L362" s="10" t="str">
        <f t="shared" si="5"/>
        <v>Monthly</v>
      </c>
    </row>
    <row r="363" spans="2:12">
      <c r="B363" s="319">
        <v>109</v>
      </c>
      <c r="D363" s="284">
        <v>55154</v>
      </c>
      <c r="E363" s="292">
        <v>55243</v>
      </c>
      <c r="F363" s="292">
        <v>55213</v>
      </c>
      <c r="G363" s="292">
        <v>55243</v>
      </c>
      <c r="H363" s="292">
        <v>55257</v>
      </c>
      <c r="I363" s="292">
        <v>55263</v>
      </c>
      <c r="J363" s="292">
        <v>55267</v>
      </c>
      <c r="K363" s="10">
        <v>55269</v>
      </c>
      <c r="L363" s="10" t="str">
        <f t="shared" si="5"/>
        <v>Quartely</v>
      </c>
    </row>
    <row r="364" spans="2:12">
      <c r="B364" s="319" t="s">
        <v>653</v>
      </c>
      <c r="D364" s="284"/>
      <c r="E364" s="292" t="s">
        <v>653</v>
      </c>
      <c r="F364" s="292">
        <v>55244</v>
      </c>
      <c r="G364" s="292">
        <v>55273</v>
      </c>
      <c r="H364" s="292">
        <v>55288</v>
      </c>
      <c r="I364" s="292" t="s">
        <v>653</v>
      </c>
      <c r="J364" s="292"/>
      <c r="K364" s="10" t="s">
        <v>653</v>
      </c>
      <c r="L364" s="10" t="str">
        <f t="shared" si="5"/>
        <v>Monthly</v>
      </c>
    </row>
    <row r="365" spans="2:12">
      <c r="B365" s="319" t="s">
        <v>653</v>
      </c>
      <c r="D365" s="284"/>
      <c r="E365" s="292" t="s">
        <v>653</v>
      </c>
      <c r="F365" s="292">
        <v>55274</v>
      </c>
      <c r="G365" s="292">
        <v>55304</v>
      </c>
      <c r="H365" s="292">
        <v>55319</v>
      </c>
      <c r="I365" s="292" t="s">
        <v>653</v>
      </c>
      <c r="J365" s="292"/>
      <c r="K365" s="10" t="s">
        <v>653</v>
      </c>
      <c r="L365" s="10" t="str">
        <f t="shared" si="5"/>
        <v>Monthly</v>
      </c>
    </row>
    <row r="366" spans="2:12">
      <c r="B366" s="319">
        <v>110</v>
      </c>
      <c r="D366" s="284">
        <v>55244</v>
      </c>
      <c r="E366" s="292">
        <v>55334</v>
      </c>
      <c r="F366" s="292">
        <v>55305</v>
      </c>
      <c r="G366" s="292">
        <v>55334</v>
      </c>
      <c r="H366" s="292">
        <v>55348</v>
      </c>
      <c r="I366" s="292">
        <v>55354</v>
      </c>
      <c r="J366" s="292">
        <v>55358</v>
      </c>
      <c r="K366" s="10">
        <v>55360</v>
      </c>
      <c r="L366" s="10" t="str">
        <f t="shared" si="5"/>
        <v>Quartely</v>
      </c>
    </row>
    <row r="367" spans="2:12">
      <c r="B367" s="319" t="s">
        <v>653</v>
      </c>
      <c r="D367" s="284"/>
      <c r="E367" s="292" t="s">
        <v>653</v>
      </c>
      <c r="F367" s="292">
        <v>55335</v>
      </c>
      <c r="G367" s="292">
        <v>55365</v>
      </c>
      <c r="H367" s="292">
        <v>55380</v>
      </c>
      <c r="I367" s="292" t="s">
        <v>653</v>
      </c>
      <c r="J367" s="292"/>
      <c r="K367" s="10" t="s">
        <v>653</v>
      </c>
      <c r="L367" s="10" t="str">
        <f t="shared" si="5"/>
        <v>Monthly</v>
      </c>
    </row>
    <row r="368" spans="2:12">
      <c r="B368" s="319" t="s">
        <v>653</v>
      </c>
      <c r="D368" s="284"/>
      <c r="E368" s="292" t="s">
        <v>653</v>
      </c>
      <c r="F368" s="292">
        <v>55366</v>
      </c>
      <c r="G368" s="292">
        <v>55396</v>
      </c>
      <c r="H368" s="292">
        <v>55411</v>
      </c>
      <c r="I368" s="292" t="s">
        <v>653</v>
      </c>
      <c r="J368" s="292"/>
      <c r="K368" s="10" t="s">
        <v>653</v>
      </c>
      <c r="L368" s="10" t="str">
        <f t="shared" si="5"/>
        <v>Monthly</v>
      </c>
    </row>
    <row r="369" spans="2:12">
      <c r="B369" s="319">
        <v>111</v>
      </c>
      <c r="D369" s="284">
        <v>55335</v>
      </c>
      <c r="E369" s="292">
        <v>55426</v>
      </c>
      <c r="F369" s="292">
        <v>55397</v>
      </c>
      <c r="G369" s="292">
        <v>55426</v>
      </c>
      <c r="H369" s="292">
        <v>55439</v>
      </c>
      <c r="I369" s="292">
        <v>55445</v>
      </c>
      <c r="J369" s="292">
        <v>55449</v>
      </c>
      <c r="K369" s="10">
        <v>55451</v>
      </c>
      <c r="L369" s="10" t="str">
        <f t="shared" si="5"/>
        <v>Quartely</v>
      </c>
    </row>
    <row r="370" spans="2:12" ht="15.75" thickBot="1">
      <c r="B370" s="795"/>
      <c r="C370" s="777"/>
      <c r="D370" s="796"/>
      <c r="E370" s="797"/>
      <c r="F370" s="798">
        <v>55427</v>
      </c>
      <c r="G370" s="797"/>
      <c r="H370" s="797"/>
      <c r="I370" s="797"/>
      <c r="J370" s="797" t="s">
        <v>653</v>
      </c>
      <c r="K370" s="799" t="s">
        <v>653</v>
      </c>
      <c r="L370" s="799" t="str">
        <f t="shared" si="5"/>
        <v>Monthly</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7"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2578125" defaultRowHeight="12.75"/>
  <cols>
    <col min="1" max="1" width="3.5703125" style="26" customWidth="1"/>
    <col min="2" max="2" width="2.42578125" style="26" customWidth="1"/>
    <col min="3" max="3" width="66.85546875" style="26" customWidth="1"/>
    <col min="4" max="4" width="5" style="26" customWidth="1"/>
    <col min="5" max="5" width="1.42578125" style="26" customWidth="1"/>
    <col min="6" max="6" width="31.42578125" style="26" customWidth="1"/>
    <col min="7" max="7" width="4.85546875" style="26" customWidth="1"/>
    <col min="8" max="8" width="10.140625" style="26" bestFit="1" customWidth="1"/>
    <col min="9" max="9" width="4.5703125" style="26" customWidth="1"/>
    <col min="10" max="10" width="12.42578125" style="26" bestFit="1" customWidth="1"/>
    <col min="11" max="11" width="13.42578125" style="26" customWidth="1"/>
    <col min="12" max="12" width="7.42578125" style="26" bestFit="1" customWidth="1"/>
    <col min="13" max="13" width="19.85546875" style="26" bestFit="1"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2" spans="3:13" ht="15">
      <c r="F2" s="25" t="s">
        <v>106</v>
      </c>
      <c r="G2" s="27"/>
      <c r="H2" s="101"/>
    </row>
    <row r="3" spans="3:13" s="27" customFormat="1" ht="13.5" customHeight="1">
      <c r="C3" s="148"/>
      <c r="D3" s="148"/>
      <c r="E3" s="148"/>
      <c r="F3" s="25" t="s">
        <v>105</v>
      </c>
      <c r="H3" s="101"/>
    </row>
    <row r="4" spans="3:13" s="27" customFormat="1" ht="15">
      <c r="E4" s="148"/>
      <c r="F4" s="25" t="s">
        <v>85</v>
      </c>
      <c r="H4" s="101"/>
    </row>
    <row r="5" spans="3:13" s="27" customFormat="1">
      <c r="E5" s="148"/>
      <c r="F5" s="148"/>
      <c r="G5" s="148"/>
    </row>
    <row r="6" spans="3:13" s="27" customFormat="1">
      <c r="E6" s="148"/>
      <c r="F6" s="148"/>
      <c r="G6" s="148"/>
    </row>
    <row r="7" spans="3:13" s="27" customFormat="1" ht="13.5" customHeight="1">
      <c r="G7" s="148"/>
    </row>
    <row r="8" spans="3:13" ht="15.75">
      <c r="C8" s="1127" t="s">
        <v>84</v>
      </c>
      <c r="D8" s="1128"/>
      <c r="E8" s="1128"/>
      <c r="F8" s="1129"/>
      <c r="G8" s="156"/>
      <c r="I8" s="31"/>
    </row>
    <row r="9" spans="3:13" ht="16.5">
      <c r="C9" s="28"/>
      <c r="D9" s="28"/>
      <c r="E9" s="29"/>
      <c r="F9" s="30"/>
      <c r="G9" s="148"/>
      <c r="H9" s="31"/>
      <c r="I9" s="31"/>
    </row>
    <row r="10" spans="3:13" ht="9.75" customHeight="1" thickBot="1">
      <c r="H10" s="31"/>
      <c r="M10" s="35"/>
    </row>
    <row r="11" spans="3:13" s="38" customFormat="1" ht="14.25" thickTop="1" thickBot="1">
      <c r="C11" s="207" t="s">
        <v>123</v>
      </c>
      <c r="F11" s="165"/>
    </row>
    <row r="12" spans="3:13" s="38" customFormat="1" ht="13.5" thickTop="1">
      <c r="F12" s="166"/>
    </row>
    <row r="13" spans="3:13" ht="13.5">
      <c r="C13" s="209"/>
      <c r="D13" s="41"/>
      <c r="E13" s="42"/>
      <c r="F13" s="165"/>
      <c r="G13" s="42"/>
      <c r="H13" s="43"/>
      <c r="I13" s="41"/>
    </row>
    <row r="14" spans="3:13" ht="13.5">
      <c r="C14" s="210"/>
      <c r="D14" s="45"/>
      <c r="E14" s="47"/>
      <c r="F14" s="165"/>
      <c r="G14" s="48"/>
      <c r="H14" s="49"/>
      <c r="I14" s="50"/>
    </row>
    <row r="15" spans="3:13" ht="13.5">
      <c r="C15" s="211"/>
      <c r="D15" s="45"/>
      <c r="E15" s="47"/>
      <c r="F15" s="165"/>
      <c r="G15" s="48"/>
      <c r="H15" s="49"/>
      <c r="I15" s="50"/>
    </row>
    <row r="16" spans="3:13" ht="13.5" thickBot="1">
      <c r="E16" s="51"/>
      <c r="F16" s="51"/>
      <c r="G16" s="51"/>
      <c r="H16" s="51"/>
    </row>
    <row r="17" spans="3:11" s="52" customFormat="1" ht="14.25" thickTop="1" thickBot="1">
      <c r="C17" s="208" t="s">
        <v>124</v>
      </c>
      <c r="E17" s="53"/>
      <c r="F17" s="165"/>
      <c r="G17" s="53"/>
      <c r="H17" s="54"/>
    </row>
    <row r="18" spans="3:11" s="56" customFormat="1" ht="7.5" customHeight="1" thickTop="1">
      <c r="C18" s="55"/>
      <c r="E18" s="57"/>
      <c r="F18" s="57"/>
      <c r="G18" s="57"/>
      <c r="H18" s="57"/>
    </row>
    <row r="19" spans="3:11" s="62" customFormat="1">
      <c r="C19" s="209"/>
      <c r="D19" s="58"/>
      <c r="E19" s="60"/>
      <c r="F19" s="165"/>
      <c r="G19" s="61"/>
      <c r="H19" s="60"/>
    </row>
    <row r="20" spans="3:11" s="62" customFormat="1">
      <c r="C20" s="210"/>
      <c r="D20" s="58"/>
      <c r="E20" s="60"/>
      <c r="F20" s="165"/>
      <c r="G20" s="61"/>
      <c r="H20" s="60"/>
    </row>
    <row r="21" spans="3:11" s="62" customFormat="1">
      <c r="C21" s="210"/>
      <c r="D21" s="58"/>
      <c r="E21" s="60"/>
      <c r="F21" s="165"/>
      <c r="G21" s="61"/>
      <c r="H21" s="60"/>
    </row>
    <row r="22" spans="3:11" s="62" customFormat="1">
      <c r="C22" s="211"/>
      <c r="D22" s="58"/>
      <c r="E22" s="60"/>
      <c r="F22" s="165"/>
      <c r="G22" s="61"/>
      <c r="H22" s="60"/>
    </row>
    <row r="23" spans="3:11" s="56" customFormat="1" ht="15.75" thickBot="1">
      <c r="D23" s="66"/>
      <c r="E23" s="68"/>
      <c r="F23" s="67"/>
      <c r="G23" s="69"/>
      <c r="H23" s="67"/>
      <c r="K23" s="62"/>
    </row>
    <row r="24" spans="3:11" s="52" customFormat="1" ht="16.5" thickTop="1" thickBot="1">
      <c r="C24" s="208"/>
      <c r="E24" s="70"/>
      <c r="F24" s="165"/>
      <c r="G24" s="70"/>
      <c r="H24" s="71"/>
      <c r="K24" s="62"/>
    </row>
    <row r="25" spans="3:11" s="56" customFormat="1" ht="6.75" customHeight="1" thickTop="1">
      <c r="C25" s="72"/>
      <c r="E25" s="68"/>
      <c r="F25" s="68"/>
      <c r="G25" s="69"/>
      <c r="H25" s="67"/>
      <c r="K25" s="62"/>
    </row>
    <row r="26" spans="3:11" s="56" customFormat="1" ht="15">
      <c r="C26" s="212"/>
      <c r="E26" s="73"/>
      <c r="F26" s="165"/>
      <c r="G26" s="61"/>
      <c r="H26" s="73"/>
      <c r="K26" s="62"/>
    </row>
    <row r="27" spans="3:11" s="56" customFormat="1" ht="7.5" customHeight="1" thickBot="1">
      <c r="C27" s="74"/>
      <c r="E27" s="73"/>
      <c r="F27" s="73"/>
      <c r="G27" s="61"/>
      <c r="H27" s="73"/>
      <c r="K27" s="62"/>
    </row>
    <row r="28" spans="3:11" s="56" customFormat="1" ht="16.5" thickTop="1" thickBot="1">
      <c r="C28" s="207" t="s">
        <v>125</v>
      </c>
      <c r="E28" s="73"/>
      <c r="F28" s="165"/>
      <c r="G28" s="61"/>
      <c r="H28" s="73"/>
      <c r="K28" s="62"/>
    </row>
    <row r="29" spans="3:11" s="56" customFormat="1" ht="3.75" customHeight="1" thickTop="1">
      <c r="C29" s="74"/>
      <c r="E29" s="73"/>
      <c r="F29" s="73"/>
      <c r="G29" s="61"/>
      <c r="H29" s="73"/>
      <c r="K29" s="62"/>
    </row>
    <row r="30" spans="3:11" s="56" customFormat="1" ht="15">
      <c r="C30" s="209"/>
      <c r="E30" s="73"/>
      <c r="F30" s="165"/>
      <c r="G30" s="61"/>
      <c r="H30" s="73"/>
      <c r="K30" s="62"/>
    </row>
    <row r="31" spans="3:11" s="56" customFormat="1" ht="15">
      <c r="C31" s="213"/>
      <c r="E31" s="73"/>
      <c r="F31" s="165"/>
      <c r="G31" s="61"/>
      <c r="H31" s="73"/>
      <c r="K31" s="62"/>
    </row>
    <row r="32" spans="3:11" s="56" customFormat="1" ht="15.75" thickBot="1">
      <c r="C32" s="75"/>
      <c r="D32" s="66"/>
      <c r="E32" s="73"/>
      <c r="F32" s="73"/>
      <c r="G32" s="61"/>
      <c r="H32" s="73"/>
      <c r="K32" s="62"/>
    </row>
    <row r="33" spans="1:14" s="52" customFormat="1" ht="14.25" thickTop="1" thickBot="1">
      <c r="C33" s="207" t="s">
        <v>126</v>
      </c>
      <c r="E33" s="76"/>
      <c r="F33" s="165"/>
      <c r="G33" s="70"/>
      <c r="H33" s="76"/>
      <c r="I33" s="77"/>
      <c r="K33" s="62"/>
    </row>
    <row r="34" spans="1:14" s="56" customFormat="1" ht="15.75" thickTop="1">
      <c r="E34" s="67"/>
      <c r="F34" s="67"/>
      <c r="G34" s="67"/>
      <c r="H34" s="67"/>
      <c r="I34" s="78"/>
      <c r="K34" s="62"/>
    </row>
    <row r="35" spans="1:14" s="56" customFormat="1" ht="15">
      <c r="C35" s="209"/>
      <c r="E35" s="79"/>
      <c r="F35" s="165"/>
      <c r="G35" s="81"/>
      <c r="H35" s="73"/>
      <c r="I35" s="82"/>
      <c r="K35" s="62"/>
    </row>
    <row r="36" spans="1:14" s="56" customFormat="1" ht="15">
      <c r="C36" s="210"/>
      <c r="D36" s="79"/>
      <c r="E36" s="79"/>
      <c r="F36" s="165"/>
      <c r="G36" s="81"/>
      <c r="H36" s="73"/>
      <c r="I36" s="79"/>
      <c r="K36" s="62"/>
    </row>
    <row r="37" spans="1:14" s="56" customFormat="1" ht="15">
      <c r="C37" s="211"/>
      <c r="F37" s="165"/>
      <c r="H37" s="73"/>
    </row>
    <row r="38" spans="1:14" s="56" customFormat="1" ht="7.5" customHeight="1" thickBot="1">
      <c r="C38" s="75"/>
      <c r="H38" s="84"/>
      <c r="J38" s="32"/>
      <c r="K38" s="85"/>
      <c r="L38" s="86"/>
    </row>
    <row r="39" spans="1:14" s="56" customFormat="1" ht="15.75" customHeight="1" thickTop="1" thickBot="1">
      <c r="C39" s="207" t="s">
        <v>127</v>
      </c>
      <c r="D39" s="52"/>
      <c r="E39" s="76"/>
      <c r="F39" s="179"/>
      <c r="H39" s="84"/>
      <c r="J39" s="32"/>
      <c r="K39" s="85"/>
      <c r="L39" s="86"/>
    </row>
    <row r="40" spans="1:14" s="56" customFormat="1" ht="7.5" customHeight="1" thickTop="1">
      <c r="E40" s="67"/>
      <c r="F40" s="67"/>
      <c r="H40" s="84"/>
      <c r="J40" s="32"/>
      <c r="K40" s="85"/>
      <c r="L40" s="86"/>
    </row>
    <row r="41" spans="1:14" s="56" customFormat="1" ht="15" customHeight="1">
      <c r="C41" s="212"/>
      <c r="E41" s="79"/>
      <c r="F41" s="179"/>
      <c r="H41" s="84"/>
      <c r="J41" s="32"/>
      <c r="K41" s="85"/>
      <c r="L41" s="86"/>
    </row>
    <row r="42" spans="1:14" s="56" customFormat="1" ht="7.5" customHeight="1" thickBot="1">
      <c r="A42" s="32"/>
      <c r="B42" s="32"/>
      <c r="C42" s="32"/>
      <c r="D42" s="32"/>
      <c r="E42" s="32"/>
      <c r="F42" s="32"/>
      <c r="G42" s="32"/>
      <c r="H42" s="32"/>
      <c r="I42" s="32"/>
      <c r="J42" s="32"/>
      <c r="K42" s="85"/>
      <c r="L42" s="86"/>
    </row>
    <row r="43" spans="1:14" s="56" customFormat="1" ht="14.25" thickTop="1" thickBot="1">
      <c r="C43" s="207" t="s">
        <v>97</v>
      </c>
      <c r="D43" s="52"/>
      <c r="E43" s="76"/>
      <c r="F43" s="165"/>
      <c r="J43" s="91"/>
      <c r="K43" s="92"/>
      <c r="L43" s="93"/>
      <c r="M43" s="94"/>
      <c r="N43" s="95"/>
    </row>
    <row r="44" spans="1:14" s="56" customFormat="1" ht="6.75" customHeight="1" thickTop="1">
      <c r="E44" s="67"/>
      <c r="F44" s="67"/>
      <c r="J44" s="91"/>
      <c r="K44" s="91"/>
      <c r="L44" s="94"/>
      <c r="M44" s="94"/>
      <c r="N44" s="95"/>
    </row>
    <row r="45" spans="1:14" s="56" customFormat="1">
      <c r="C45" s="212"/>
      <c r="E45" s="79"/>
      <c r="F45" s="165"/>
      <c r="J45" s="91"/>
      <c r="K45" s="96"/>
      <c r="L45" s="96"/>
      <c r="M45" s="93"/>
    </row>
    <row r="46" spans="1:14" s="56" customFormat="1">
      <c r="C46" s="26"/>
      <c r="E46" s="97"/>
      <c r="F46" s="97"/>
      <c r="J46" s="91"/>
      <c r="K46" s="96"/>
      <c r="L46" s="96"/>
      <c r="M46" s="93"/>
      <c r="N46" s="95"/>
    </row>
    <row r="47" spans="1:14" s="56" customFormat="1" ht="15.75">
      <c r="F47" s="30"/>
      <c r="J47" s="91"/>
      <c r="K47" s="96"/>
      <c r="L47" s="96"/>
      <c r="M47" s="93"/>
      <c r="N47" s="95"/>
    </row>
    <row r="48" spans="1:14" s="56" customFormat="1" ht="15.75">
      <c r="C48" s="1130"/>
      <c r="D48" s="1130"/>
      <c r="F48" s="30"/>
      <c r="J48" s="91"/>
      <c r="K48" s="96"/>
      <c r="L48" s="96"/>
      <c r="M48" s="93"/>
      <c r="N48" s="95"/>
    </row>
    <row r="49" spans="6:14" s="56" customFormat="1" ht="15.75">
      <c r="F49" s="30"/>
      <c r="G49" s="26"/>
      <c r="H49" s="26"/>
      <c r="J49" s="91"/>
      <c r="K49" s="96"/>
      <c r="L49" s="96"/>
      <c r="M49" s="93"/>
      <c r="N49" s="95"/>
    </row>
    <row r="50" spans="6:14" s="56" customFormat="1" ht="15.75">
      <c r="F50" s="30"/>
      <c r="G50" s="98"/>
      <c r="H50" s="98"/>
      <c r="I50" s="26"/>
      <c r="J50" s="91"/>
      <c r="K50" s="96"/>
      <c r="L50" s="96"/>
      <c r="M50" s="93"/>
      <c r="N50" s="95"/>
    </row>
    <row r="51" spans="6:14" ht="15.75">
      <c r="F51" s="30"/>
      <c r="G51" s="98"/>
      <c r="H51" s="98"/>
      <c r="J51" s="91"/>
      <c r="K51" s="96"/>
      <c r="L51" s="96"/>
      <c r="M51" s="93"/>
      <c r="N51" s="100"/>
    </row>
    <row r="52" spans="6:14" ht="15.75">
      <c r="F52" s="30"/>
      <c r="G52" s="98"/>
      <c r="H52" s="98"/>
      <c r="J52" s="91"/>
      <c r="K52" s="96"/>
      <c r="L52" s="96"/>
      <c r="M52" s="93"/>
      <c r="N52" s="100"/>
    </row>
    <row r="53" spans="6:14" ht="15.75">
      <c r="F53" s="30"/>
      <c r="J53" s="91"/>
      <c r="K53" s="96"/>
      <c r="L53" s="96"/>
      <c r="M53" s="93"/>
      <c r="N53" s="100"/>
    </row>
    <row r="54" spans="6:14" ht="15.75">
      <c r="F54" s="30"/>
      <c r="J54" s="91"/>
      <c r="K54" s="96"/>
      <c r="L54" s="96"/>
      <c r="M54" s="93"/>
      <c r="N54" s="100"/>
    </row>
    <row r="55" spans="6:14" ht="15.75">
      <c r="F55" s="30"/>
      <c r="J55" s="91"/>
      <c r="K55" s="96"/>
      <c r="L55" s="96"/>
      <c r="M55" s="93"/>
      <c r="N55" s="100"/>
    </row>
    <row r="56" spans="6:14">
      <c r="F56" s="99"/>
      <c r="J56" s="91"/>
      <c r="K56" s="96"/>
      <c r="L56" s="96"/>
      <c r="M56" s="93"/>
      <c r="N56" s="100"/>
    </row>
    <row r="57" spans="6:14">
      <c r="F57" s="99"/>
      <c r="J57" s="91"/>
      <c r="K57" s="96"/>
      <c r="L57" s="96"/>
      <c r="M57" s="93"/>
      <c r="N57" s="100"/>
    </row>
    <row r="58" spans="6:14">
      <c r="J58" s="91"/>
      <c r="K58" s="96"/>
      <c r="L58" s="96"/>
      <c r="M58" s="93"/>
      <c r="N58" s="100"/>
    </row>
    <row r="59" spans="6:14">
      <c r="J59" s="91"/>
      <c r="K59" s="96"/>
      <c r="L59" s="96"/>
      <c r="M59" s="93"/>
      <c r="N59" s="100"/>
    </row>
    <row r="60" spans="6:14">
      <c r="J60" s="91"/>
      <c r="K60" s="96"/>
      <c r="L60" s="96"/>
      <c r="M60" s="93"/>
      <c r="N60" s="100"/>
    </row>
    <row r="61" spans="6:14">
      <c r="J61" s="91"/>
      <c r="K61" s="96"/>
      <c r="L61" s="96"/>
      <c r="M61" s="93"/>
      <c r="N61" s="100"/>
    </row>
    <row r="62" spans="6:14">
      <c r="J62" s="91"/>
      <c r="K62" s="96"/>
      <c r="L62" s="96"/>
      <c r="M62" s="93"/>
      <c r="N62" s="100"/>
    </row>
    <row r="63" spans="6:14">
      <c r="J63" s="91"/>
      <c r="K63" s="96"/>
      <c r="L63" s="96"/>
      <c r="M63" s="93"/>
      <c r="N63" s="100"/>
    </row>
    <row r="64" spans="6:14">
      <c r="J64" s="91"/>
      <c r="K64" s="96"/>
      <c r="L64" s="96"/>
      <c r="M64" s="93"/>
      <c r="N64" s="100"/>
    </row>
    <row r="65" spans="10:14">
      <c r="J65" s="91"/>
      <c r="K65" s="96"/>
      <c r="L65" s="96"/>
      <c r="M65" s="93"/>
      <c r="N65" s="100"/>
    </row>
    <row r="66" spans="10:14">
      <c r="J66" s="91"/>
      <c r="K66" s="96"/>
      <c r="L66" s="96"/>
      <c r="M66" s="93"/>
      <c r="N66" s="100"/>
    </row>
    <row r="67" spans="10:14">
      <c r="J67" s="91"/>
      <c r="K67" s="96"/>
      <c r="L67" s="96"/>
      <c r="M67" s="93"/>
      <c r="N67" s="100"/>
    </row>
    <row r="68" spans="10:14">
      <c r="J68" s="91"/>
      <c r="K68" s="96"/>
      <c r="L68" s="96"/>
      <c r="M68" s="93"/>
      <c r="N68" s="100"/>
    </row>
    <row r="69" spans="10:14">
      <c r="J69" s="91"/>
      <c r="K69" s="96"/>
      <c r="L69" s="96"/>
      <c r="M69" s="93"/>
      <c r="N69" s="100"/>
    </row>
    <row r="70" spans="10:14">
      <c r="J70" s="91"/>
      <c r="K70" s="96"/>
      <c r="L70" s="96"/>
      <c r="M70" s="93"/>
      <c r="N70" s="100"/>
    </row>
    <row r="71" spans="10:14">
      <c r="J71" s="91"/>
      <c r="K71" s="96"/>
      <c r="L71" s="96"/>
      <c r="M71" s="93"/>
      <c r="N71" s="100"/>
    </row>
    <row r="72" spans="10:14">
      <c r="J72" s="91"/>
      <c r="K72" s="96"/>
      <c r="L72" s="96"/>
      <c r="M72" s="93"/>
      <c r="N72" s="100"/>
    </row>
    <row r="73" spans="10:14">
      <c r="J73" s="91"/>
      <c r="K73" s="96"/>
      <c r="L73" s="96"/>
      <c r="M73" s="93"/>
      <c r="N73" s="100"/>
    </row>
    <row r="74" spans="10:14">
      <c r="J74" s="91"/>
      <c r="K74" s="96"/>
      <c r="L74" s="96"/>
      <c r="M74" s="93"/>
      <c r="N74" s="100"/>
    </row>
    <row r="75" spans="10:14">
      <c r="J75" s="91"/>
      <c r="K75" s="96"/>
      <c r="L75" s="96"/>
      <c r="M75" s="93"/>
      <c r="N75" s="100"/>
    </row>
    <row r="76" spans="10:14">
      <c r="J76" s="91"/>
      <c r="K76" s="96"/>
      <c r="L76" s="96"/>
      <c r="M76" s="93"/>
      <c r="N76" s="100"/>
    </row>
    <row r="77" spans="10:14">
      <c r="J77" s="91"/>
      <c r="K77" s="96"/>
      <c r="L77" s="96"/>
      <c r="M77" s="93"/>
      <c r="N77" s="100"/>
    </row>
    <row r="78" spans="10:14">
      <c r="J78" s="91"/>
      <c r="K78" s="96"/>
      <c r="L78" s="96"/>
      <c r="M78" s="93"/>
      <c r="N78" s="100"/>
    </row>
    <row r="79" spans="10:14">
      <c r="J79" s="91"/>
      <c r="K79" s="96"/>
      <c r="L79" s="96"/>
      <c r="M79" s="93"/>
      <c r="N79" s="100"/>
    </row>
  </sheetData>
  <mergeCells count="2">
    <mergeCell ref="C8:F8"/>
    <mergeCell ref="C48:D48"/>
  </mergeCells>
  <conditionalFormatting sqref="F11 F13:F15 F19:F22 F45">
    <cfRule type="cellIs" dxfId="77" priority="39" operator="equal">
      <formula>"KO"</formula>
    </cfRule>
    <cfRule type="cellIs" dxfId="76" priority="40" operator="equal">
      <formula>"OK"</formula>
    </cfRule>
  </conditionalFormatting>
  <conditionalFormatting sqref="F17">
    <cfRule type="cellIs" dxfId="75" priority="33" operator="equal">
      <formula>"KO"</formula>
    </cfRule>
    <cfRule type="cellIs" dxfId="74" priority="34" operator="equal">
      <formula>"OK"</formula>
    </cfRule>
  </conditionalFormatting>
  <conditionalFormatting sqref="F24">
    <cfRule type="cellIs" dxfId="73" priority="31" operator="equal">
      <formula>"KO"</formula>
    </cfRule>
    <cfRule type="cellIs" dxfId="72" priority="32" operator="equal">
      <formula>"OK"</formula>
    </cfRule>
  </conditionalFormatting>
  <conditionalFormatting sqref="F26">
    <cfRule type="cellIs" dxfId="71" priority="29" operator="equal">
      <formula>"KO"</formula>
    </cfRule>
    <cfRule type="cellIs" dxfId="70" priority="30" operator="equal">
      <formula>"OK"</formula>
    </cfRule>
  </conditionalFormatting>
  <conditionalFormatting sqref="F28">
    <cfRule type="cellIs" dxfId="69" priority="19" operator="equal">
      <formula>"KO"</formula>
    </cfRule>
    <cfRule type="cellIs" dxfId="68" priority="20" operator="equal">
      <formula>"OK"</formula>
    </cfRule>
  </conditionalFormatting>
  <conditionalFormatting sqref="F30:F31">
    <cfRule type="cellIs" dxfId="67" priority="17" operator="equal">
      <formula>"KO"</formula>
    </cfRule>
    <cfRule type="cellIs" dxfId="66" priority="18" operator="equal">
      <formula>"OK"</formula>
    </cfRule>
  </conditionalFormatting>
  <conditionalFormatting sqref="F33">
    <cfRule type="cellIs" dxfId="65" priority="21" operator="equal">
      <formula>"KO"</formula>
    </cfRule>
    <cfRule type="cellIs" dxfId="64" priority="22" operator="equal">
      <formula>"OK"</formula>
    </cfRule>
  </conditionalFormatting>
  <conditionalFormatting sqref="F35:F37">
    <cfRule type="cellIs" dxfId="63" priority="23" operator="equal">
      <formula>"KO"</formula>
    </cfRule>
    <cfRule type="cellIs" dxfId="62" priority="24" operator="equal">
      <formula>"OK"</formula>
    </cfRule>
  </conditionalFormatting>
  <conditionalFormatting sqref="F39">
    <cfRule type="cellIs" dxfId="61" priority="5" operator="equal">
      <formula>"Yes"</formula>
    </cfRule>
    <cfRule type="cellIs" dxfId="60" priority="6" operator="equal">
      <formula>"No"</formula>
    </cfRule>
  </conditionalFormatting>
  <conditionalFormatting sqref="F41">
    <cfRule type="cellIs" dxfId="59" priority="3" operator="equal">
      <formula>"Yes"</formula>
    </cfRule>
    <cfRule type="cellIs" dxfId="58" priority="4" operator="equal">
      <formula>"No"</formula>
    </cfRule>
  </conditionalFormatting>
  <conditionalFormatting sqref="F43">
    <cfRule type="cellIs" dxfId="57" priority="1" operator="equal">
      <formula>"KO"</formula>
    </cfRule>
    <cfRule type="cellIs" dxfId="56"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AEEE-ABAC-4865-B007-5D5877D0958D}">
  <dimension ref="B9:H36"/>
  <sheetViews>
    <sheetView showGridLines="0" workbookViewId="0">
      <selection activeCell="F13" sqref="F13"/>
    </sheetView>
  </sheetViews>
  <sheetFormatPr defaultColWidth="9.140625" defaultRowHeight="12.75"/>
  <cols>
    <col min="2" max="2" width="8" customWidth="1"/>
    <col min="3" max="3" width="6.140625" customWidth="1"/>
    <col min="4" max="4" width="1.85546875" customWidth="1"/>
    <col min="5" max="5" width="29.28515625" customWidth="1"/>
    <col min="6" max="6" width="25.28515625" customWidth="1"/>
    <col min="7" max="7" width="31.7109375" customWidth="1"/>
    <col min="8" max="8" width="36.42578125" customWidth="1"/>
  </cols>
  <sheetData>
    <row r="9" spans="2:8" ht="15.75" customHeight="1">
      <c r="B9" s="1285" t="s">
        <v>2421</v>
      </c>
      <c r="C9" s="1286"/>
      <c r="D9" s="1286"/>
      <c r="E9" s="1286"/>
      <c r="F9" s="1286"/>
      <c r="G9" s="1286"/>
      <c r="H9" s="1286"/>
    </row>
    <row r="10" spans="2:8" ht="13.5" thickBot="1"/>
    <row r="11" spans="2:8" ht="26.25" customHeight="1" thickBot="1">
      <c r="B11" s="1287" t="s">
        <v>2422</v>
      </c>
      <c r="C11" s="1288"/>
      <c r="D11" s="1061"/>
      <c r="E11" s="1062" t="s">
        <v>2305</v>
      </c>
      <c r="F11" s="1056" t="s">
        <v>2415</v>
      </c>
      <c r="G11" s="1056" t="s">
        <v>2417</v>
      </c>
      <c r="H11" s="1059" t="s">
        <v>2420</v>
      </c>
    </row>
    <row r="12" spans="2:8" ht="100.5" customHeight="1" thickBot="1">
      <c r="B12" s="1289"/>
      <c r="C12" s="1290"/>
      <c r="D12" s="1061"/>
      <c r="E12" s="1058" t="s">
        <v>2414</v>
      </c>
      <c r="F12" s="1057" t="s">
        <v>2416</v>
      </c>
      <c r="G12" s="1063" t="s">
        <v>2418</v>
      </c>
      <c r="H12" s="1058" t="s">
        <v>2419</v>
      </c>
    </row>
    <row r="13" spans="2:8">
      <c r="B13" s="1291">
        <f>'03 - Monthly Asset Follow up'!B17</f>
        <v>46203</v>
      </c>
      <c r="C13" s="1292"/>
      <c r="D13" s="1060"/>
      <c r="E13" s="1064">
        <f>'11 - Notes Follow-up'!E13*6835+'11 - Notes Follow-up'!N13*67585+'11 - Notes Follow-up'!U13*2</f>
        <v>751085300</v>
      </c>
      <c r="F13" s="1065">
        <f>'03 - Monthly Asset Follow up'!Q17+'03 - Monthly Asset Follow up'!AT17</f>
        <v>766797173.56000054</v>
      </c>
      <c r="G13" s="1066">
        <f>H14</f>
        <v>0</v>
      </c>
      <c r="H13" s="1067">
        <f>E13-F13+G13</f>
        <v>-15711873.560000539</v>
      </c>
    </row>
    <row r="14" spans="2:8">
      <c r="B14" s="1293"/>
      <c r="C14" s="1294"/>
      <c r="D14" s="1061"/>
      <c r="E14" s="1068"/>
      <c r="F14" s="1069"/>
      <c r="G14" s="1069"/>
      <c r="H14" s="1070"/>
    </row>
    <row r="15" spans="2:8">
      <c r="B15" s="1293"/>
      <c r="C15" s="1294"/>
      <c r="D15" s="1061"/>
      <c r="E15" s="1068"/>
      <c r="F15" s="1069"/>
      <c r="G15" s="1069"/>
      <c r="H15" s="1070"/>
    </row>
    <row r="16" spans="2:8">
      <c r="B16" s="1293"/>
      <c r="C16" s="1294"/>
      <c r="D16" s="1061"/>
      <c r="E16" s="1068"/>
      <c r="F16" s="1069"/>
      <c r="G16" s="1069"/>
      <c r="H16" s="1070"/>
    </row>
    <row r="17" spans="2:8">
      <c r="B17" s="1293"/>
      <c r="C17" s="1294"/>
      <c r="D17" s="1061"/>
      <c r="E17" s="1068"/>
      <c r="F17" s="1069"/>
      <c r="G17" s="1069"/>
      <c r="H17" s="1070"/>
    </row>
    <row r="18" spans="2:8">
      <c r="B18" s="1293"/>
      <c r="C18" s="1294"/>
      <c r="D18" s="1061"/>
      <c r="E18" s="1068"/>
      <c r="F18" s="1069"/>
      <c r="G18" s="1069"/>
      <c r="H18" s="1070"/>
    </row>
    <row r="19" spans="2:8">
      <c r="B19" s="1293"/>
      <c r="C19" s="1294"/>
      <c r="D19" s="1061"/>
      <c r="E19" s="1068"/>
      <c r="F19" s="1069"/>
      <c r="G19" s="1069"/>
      <c r="H19" s="1070"/>
    </row>
    <row r="20" spans="2:8">
      <c r="B20" s="1293"/>
      <c r="C20" s="1294"/>
      <c r="D20" s="1061"/>
      <c r="E20" s="1068"/>
      <c r="F20" s="1069"/>
      <c r="G20" s="1069"/>
      <c r="H20" s="1070"/>
    </row>
    <row r="21" spans="2:8">
      <c r="B21" s="1293"/>
      <c r="C21" s="1294"/>
      <c r="D21" s="1061"/>
      <c r="E21" s="1068"/>
      <c r="F21" s="1069"/>
      <c r="G21" s="1069"/>
      <c r="H21" s="1070"/>
    </row>
    <row r="22" spans="2:8">
      <c r="B22" s="1293"/>
      <c r="C22" s="1294"/>
      <c r="D22" s="1061"/>
      <c r="E22" s="1068"/>
      <c r="F22" s="1069"/>
      <c r="G22" s="1069"/>
      <c r="H22" s="1070"/>
    </row>
    <row r="23" spans="2:8">
      <c r="B23" s="1293"/>
      <c r="C23" s="1294"/>
      <c r="D23" s="1061"/>
      <c r="E23" s="1068"/>
      <c r="F23" s="1069"/>
      <c r="G23" s="1069"/>
      <c r="H23" s="1070"/>
    </row>
    <row r="24" spans="2:8">
      <c r="B24" s="1293"/>
      <c r="C24" s="1294"/>
      <c r="D24" s="1061"/>
      <c r="E24" s="1068"/>
      <c r="F24" s="1069"/>
      <c r="G24" s="1069"/>
      <c r="H24" s="1070"/>
    </row>
    <row r="25" spans="2:8">
      <c r="B25" s="1293"/>
      <c r="C25" s="1294"/>
      <c r="D25" s="1061"/>
      <c r="E25" s="1068"/>
      <c r="F25" s="1069"/>
      <c r="G25" s="1069"/>
      <c r="H25" s="1070"/>
    </row>
    <row r="26" spans="2:8">
      <c r="B26" s="1293"/>
      <c r="C26" s="1294"/>
      <c r="D26" s="1061"/>
      <c r="E26" s="1068"/>
      <c r="F26" s="1069"/>
      <c r="G26" s="1069"/>
      <c r="H26" s="1070"/>
    </row>
    <row r="27" spans="2:8">
      <c r="B27" s="1293"/>
      <c r="C27" s="1294"/>
      <c r="D27" s="1061"/>
      <c r="E27" s="1068"/>
      <c r="F27" s="1069"/>
      <c r="G27" s="1069"/>
      <c r="H27" s="1070"/>
    </row>
    <row r="28" spans="2:8">
      <c r="B28" s="1293"/>
      <c r="C28" s="1294"/>
      <c r="D28" s="1061"/>
      <c r="E28" s="1068"/>
      <c r="F28" s="1069"/>
      <c r="G28" s="1069"/>
      <c r="H28" s="1070"/>
    </row>
    <row r="29" spans="2:8">
      <c r="B29" s="1293"/>
      <c r="C29" s="1294"/>
      <c r="D29" s="1061"/>
      <c r="E29" s="1068"/>
      <c r="F29" s="1069"/>
      <c r="G29" s="1069"/>
      <c r="H29" s="1070"/>
    </row>
    <row r="30" spans="2:8">
      <c r="B30" s="1293"/>
      <c r="C30" s="1294"/>
      <c r="D30" s="1061"/>
      <c r="E30" s="1068"/>
      <c r="F30" s="1069"/>
      <c r="G30" s="1069"/>
      <c r="H30" s="1070"/>
    </row>
    <row r="31" spans="2:8">
      <c r="B31" s="1293"/>
      <c r="C31" s="1294"/>
      <c r="D31" s="1061"/>
      <c r="E31" s="1068"/>
      <c r="F31" s="1069"/>
      <c r="G31" s="1069"/>
      <c r="H31" s="1070"/>
    </row>
    <row r="32" spans="2:8">
      <c r="B32" s="1293"/>
      <c r="C32" s="1294"/>
      <c r="D32" s="1061"/>
      <c r="E32" s="1068"/>
      <c r="F32" s="1069"/>
      <c r="G32" s="1069"/>
      <c r="H32" s="1070"/>
    </row>
    <row r="33" spans="2:8">
      <c r="B33" s="1293"/>
      <c r="C33" s="1294"/>
      <c r="D33" s="1061"/>
      <c r="E33" s="1068"/>
      <c r="F33" s="1069"/>
      <c r="G33" s="1069"/>
      <c r="H33" s="1070"/>
    </row>
    <row r="34" spans="2:8">
      <c r="B34" s="1293"/>
      <c r="C34" s="1294"/>
      <c r="D34" s="1061"/>
      <c r="E34" s="1068"/>
      <c r="F34" s="1069"/>
      <c r="G34" s="1069"/>
      <c r="H34" s="1070"/>
    </row>
    <row r="35" spans="2:8">
      <c r="B35" s="1293"/>
      <c r="C35" s="1294"/>
      <c r="D35" s="1061"/>
      <c r="E35" s="1068"/>
      <c r="F35" s="1069"/>
      <c r="G35" s="1069"/>
      <c r="H35" s="1070"/>
    </row>
    <row r="36" spans="2:8">
      <c r="B36" s="1293"/>
      <c r="C36" s="1294"/>
      <c r="D36" s="1061"/>
      <c r="E36" s="1068"/>
      <c r="F36" s="1069"/>
      <c r="G36" s="1069"/>
      <c r="H36" s="1071"/>
    </row>
  </sheetData>
  <mergeCells count="26">
    <mergeCell ref="B26:C26"/>
    <mergeCell ref="B27:C27"/>
    <mergeCell ref="B35:C35"/>
    <mergeCell ref="B36:C36"/>
    <mergeCell ref="B29:C29"/>
    <mergeCell ref="B30:C30"/>
    <mergeCell ref="B31:C31"/>
    <mergeCell ref="B32:C32"/>
    <mergeCell ref="B33:C33"/>
    <mergeCell ref="B34:C34"/>
    <mergeCell ref="B9:H9"/>
    <mergeCell ref="B11:C12"/>
    <mergeCell ref="B13:C13"/>
    <mergeCell ref="B28:C28"/>
    <mergeCell ref="B14:C14"/>
    <mergeCell ref="B15:C15"/>
    <mergeCell ref="B16:C16"/>
    <mergeCell ref="B17:C17"/>
    <mergeCell ref="B18:C18"/>
    <mergeCell ref="B19:C19"/>
    <mergeCell ref="B20:C20"/>
    <mergeCell ref="B21:C21"/>
    <mergeCell ref="B22:C22"/>
    <mergeCell ref="B23:C23"/>
    <mergeCell ref="B24:C24"/>
    <mergeCell ref="B25:C25"/>
  </mergeCells>
  <conditionalFormatting sqref="B14:B36 D14:D36">
    <cfRule type="cellIs" dxfId="39" priority="3" operator="lessThanOrEqual">
      <formula>0</formula>
    </cfRule>
  </conditionalFormatting>
  <conditionalFormatting sqref="D11:D12">
    <cfRule type="cellIs" dxfId="38" priority="2" operator="lessThanOrEqual">
      <formula>0</formula>
    </cfRule>
  </conditionalFormatting>
  <conditionalFormatting sqref="H14:H36">
    <cfRule type="cellIs" dxfId="37" priority="1" operator="lessThanOrEqual">
      <formula>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39"/>
  <sheetViews>
    <sheetView workbookViewId="0">
      <selection activeCell="D18" sqref="D18"/>
    </sheetView>
  </sheetViews>
  <sheetFormatPr defaultColWidth="9.140625" defaultRowHeight="12.75"/>
  <cols>
    <col min="1" max="1" width="8.28515625" style="903" bestFit="1" customWidth="1"/>
    <col min="2" max="2" width="6.42578125" style="903" bestFit="1" customWidth="1"/>
    <col min="3" max="3" width="13.28515625" style="903" bestFit="1" customWidth="1"/>
    <col min="4" max="4" width="26.140625" style="903" bestFit="1" customWidth="1"/>
    <col min="5" max="6" width="43" style="903" bestFit="1" customWidth="1"/>
    <col min="7" max="7" width="24.140625" style="903" bestFit="1" customWidth="1"/>
    <col min="8" max="8" width="30.5703125" style="903" bestFit="1" customWidth="1"/>
    <col min="9" max="9" width="27.85546875" style="903" customWidth="1"/>
    <col min="10" max="11" width="3.7109375" style="903" hidden="1" customWidth="1"/>
    <col min="12" max="12" width="28.28515625" style="903" bestFit="1" customWidth="1"/>
    <col min="13" max="13" width="10.140625" style="903" bestFit="1" customWidth="1"/>
    <col min="14" max="14" width="21" style="903" bestFit="1" customWidth="1"/>
    <col min="15" max="15" width="30.5703125" style="903" bestFit="1" customWidth="1"/>
    <col min="16" max="16" width="30.28515625" style="903" bestFit="1" customWidth="1"/>
    <col min="17" max="17" width="23.28515625" style="903" bestFit="1" customWidth="1"/>
    <col min="18" max="18" width="6" style="903" bestFit="1" customWidth="1"/>
    <col min="19" max="19" width="5.28515625" style="903" bestFit="1" customWidth="1"/>
    <col min="20" max="20" width="11.28515625" style="903" bestFit="1" customWidth="1"/>
    <col min="21" max="21" width="33" style="903" bestFit="1" customWidth="1"/>
    <col min="22" max="22" width="20.85546875" style="903" bestFit="1" customWidth="1"/>
    <col min="23" max="23" width="7.42578125" style="903" hidden="1" customWidth="1"/>
    <col min="24" max="24" width="11.28515625" style="903" hidden="1" customWidth="1"/>
    <col min="25" max="25" width="35" style="903" bestFit="1" customWidth="1"/>
    <col min="26" max="26" width="44.7109375" style="903" bestFit="1" customWidth="1"/>
    <col min="27" max="27" width="17.28515625" style="903" bestFit="1" customWidth="1"/>
    <col min="28" max="28" width="9.140625" style="903"/>
    <col min="29" max="29" width="165.5703125" style="903" bestFit="1" customWidth="1"/>
    <col min="30" max="34" width="9.140625" style="903"/>
    <col min="35" max="35" width="10" style="903" bestFit="1" customWidth="1"/>
    <col min="36" max="36" width="9.140625" style="903"/>
    <col min="37" max="37" width="27" style="903" customWidth="1"/>
    <col min="38" max="38" width="6.7109375" style="903" bestFit="1" customWidth="1"/>
    <col min="39" max="39" width="30.5703125" style="903" bestFit="1" customWidth="1"/>
    <col min="40" max="40" width="9.140625" style="903"/>
    <col min="41" max="41" width="21" style="903" bestFit="1" customWidth="1"/>
    <col min="42" max="42" width="23.7109375" style="903" bestFit="1" customWidth="1"/>
    <col min="43" max="43" width="6" style="903" bestFit="1" customWidth="1"/>
    <col min="44" max="44" width="5.28515625" style="903" bestFit="1" customWidth="1"/>
    <col min="45" max="45" width="11.85546875" style="903" bestFit="1" customWidth="1"/>
    <col min="46" max="16384" width="9.140625" style="903"/>
  </cols>
  <sheetData>
    <row r="1" spans="1:45" ht="20.25">
      <c r="A1" s="1295" t="s">
        <v>1410</v>
      </c>
      <c r="B1" s="1295"/>
      <c r="C1" s="1295"/>
      <c r="D1" s="1295"/>
      <c r="E1" s="1295"/>
      <c r="F1" s="1295"/>
      <c r="G1" s="1295"/>
      <c r="H1" s="1295"/>
      <c r="I1" s="1295"/>
      <c r="J1" s="1295"/>
      <c r="K1" s="1295"/>
      <c r="L1" s="1295"/>
      <c r="M1" s="1295"/>
      <c r="N1" s="912"/>
    </row>
    <row r="2" spans="1:45">
      <c r="A2" s="911">
        <v>1</v>
      </c>
      <c r="B2" s="911">
        <v>2</v>
      </c>
      <c r="C2" s="911">
        <v>3</v>
      </c>
      <c r="D2" s="911">
        <v>4</v>
      </c>
      <c r="E2" s="911">
        <v>5</v>
      </c>
      <c r="F2" s="911">
        <v>6</v>
      </c>
      <c r="G2" s="911">
        <v>7</v>
      </c>
      <c r="H2" s="911">
        <v>8</v>
      </c>
      <c r="I2" s="911">
        <v>9</v>
      </c>
      <c r="J2" s="911">
        <v>10</v>
      </c>
      <c r="K2" s="911">
        <v>11</v>
      </c>
      <c r="L2" s="911">
        <v>12</v>
      </c>
      <c r="M2" s="911">
        <v>13</v>
      </c>
      <c r="N2" s="911">
        <v>14</v>
      </c>
      <c r="O2" s="911">
        <v>15</v>
      </c>
      <c r="P2" s="911">
        <v>16</v>
      </c>
      <c r="Q2" s="911">
        <v>17</v>
      </c>
      <c r="R2" s="911">
        <v>18</v>
      </c>
      <c r="S2" s="911">
        <v>19</v>
      </c>
      <c r="T2" s="911">
        <v>20</v>
      </c>
      <c r="U2" s="911">
        <v>21</v>
      </c>
      <c r="V2" s="911">
        <v>22</v>
      </c>
      <c r="W2" s="911">
        <v>23</v>
      </c>
      <c r="X2" s="911">
        <v>24</v>
      </c>
      <c r="Y2" s="911">
        <v>25</v>
      </c>
      <c r="Z2" s="911">
        <v>26</v>
      </c>
      <c r="AA2" s="911">
        <v>27</v>
      </c>
    </row>
    <row r="3" spans="1:45">
      <c r="A3" s="908" t="s">
        <v>1409</v>
      </c>
      <c r="B3" s="908" t="s">
        <v>1390</v>
      </c>
      <c r="C3" s="906" t="s">
        <v>1408</v>
      </c>
      <c r="D3" s="910" t="s">
        <v>1407</v>
      </c>
      <c r="E3" s="908" t="s">
        <v>1406</v>
      </c>
      <c r="F3" s="908" t="s">
        <v>1405</v>
      </c>
      <c r="G3" s="908" t="s">
        <v>1404</v>
      </c>
      <c r="H3" s="908" t="s">
        <v>1403</v>
      </c>
      <c r="I3" s="906" t="s">
        <v>1402</v>
      </c>
      <c r="J3" s="908"/>
      <c r="K3" s="906"/>
      <c r="L3" s="908" t="s">
        <v>1401</v>
      </c>
      <c r="M3" s="906" t="s">
        <v>1400</v>
      </c>
      <c r="N3" s="906" t="s">
        <v>1399</v>
      </c>
      <c r="O3" s="905" t="s">
        <v>1398</v>
      </c>
      <c r="P3" s="904" t="s">
        <v>1397</v>
      </c>
      <c r="Q3" s="904" t="s">
        <v>1388</v>
      </c>
      <c r="R3" s="904" t="s">
        <v>1387</v>
      </c>
      <c r="S3" s="904" t="s">
        <v>1386</v>
      </c>
      <c r="T3" s="904" t="s">
        <v>1385</v>
      </c>
      <c r="U3" s="905" t="s">
        <v>1396</v>
      </c>
      <c r="V3" s="904" t="s">
        <v>1395</v>
      </c>
      <c r="W3" s="904" t="s">
        <v>1394</v>
      </c>
      <c r="X3" s="904" t="s">
        <v>1385</v>
      </c>
      <c r="Y3" s="904" t="s">
        <v>1393</v>
      </c>
      <c r="Z3" s="904" t="s">
        <v>1392</v>
      </c>
      <c r="AA3" s="904" t="s">
        <v>1391</v>
      </c>
      <c r="AC3" s="903" t="str">
        <f t="array" aca="1" ref="AC3" ca="1">CELL("filename")</f>
        <v>Y:\FONDS\1_FONDS SOUS GESTION\00 - FCT\FCT FRENCH PRIME CASH 2023\04 - MR\01 - Diffusion\Management Report\2026\2026 07 27\[FCT French Prime Cash - Management Report - 27 07 2026.xlsx]00 - Cover</v>
      </c>
    </row>
    <row r="4" spans="1:45">
      <c r="A4" s="908" t="s">
        <v>1384</v>
      </c>
      <c r="B4" s="908" t="s">
        <v>683</v>
      </c>
      <c r="C4" s="907">
        <f>Instructions!J2</f>
        <v>46230</v>
      </c>
      <c r="D4" s="1054">
        <f>Instructions!E2</f>
        <v>0</v>
      </c>
      <c r="E4" s="908" t="str">
        <f>Instructions!V2</f>
        <v>FCT French prime cash 2023 COMPTE PRINCIPAL</v>
      </c>
      <c r="F4" s="908" t="str">
        <f t="shared" ref="F4:F19" si="0">E4</f>
        <v>FCT French prime cash 2023 COMPTE PRINCIPAL</v>
      </c>
      <c r="G4" s="908" t="str">
        <f>Instructions!W2</f>
        <v>BNP PARIBAS</v>
      </c>
      <c r="H4" s="908" t="str">
        <f>Instructions!P2</f>
        <v>41329000010000479325K</v>
      </c>
      <c r="I4" s="906" t="s">
        <v>1378</v>
      </c>
      <c r="J4" s="908"/>
      <c r="K4" s="906"/>
      <c r="L4" s="908" t="str">
        <f>Instructions!L2</f>
        <v>FCH PRIME CASH 23 GEN AC</v>
      </c>
      <c r="M4" s="907">
        <f t="shared" ref="M4:M19" ca="1" si="1">TODAY()</f>
        <v>46223</v>
      </c>
      <c r="N4" s="906" t="s">
        <v>1420</v>
      </c>
      <c r="O4" s="905" t="str">
        <f t="shared" ref="O4:O19" si="2">H4</f>
        <v>41329000010000479325K</v>
      </c>
      <c r="P4" s="904" t="str">
        <f t="shared" ref="P4:P19" si="3">A4</f>
        <v>PARBFR</v>
      </c>
      <c r="Q4" s="904" t="str">
        <f t="shared" ref="Q4:Q19" si="4">AP$4</f>
        <v>92 AVENUE DE WAGRAM</v>
      </c>
      <c r="R4" s="904" t="str">
        <f t="shared" ref="R4:R19" si="5">$AQ$4</f>
        <v>75017</v>
      </c>
      <c r="S4" s="904" t="str">
        <f t="shared" ref="S4:S19" si="6">$AR$4</f>
        <v>Paris</v>
      </c>
      <c r="T4" s="904" t="str">
        <f t="shared" ref="T4:T19" si="7">$AS$4</f>
        <v>FRANCE FR</v>
      </c>
      <c r="U4" s="905" t="str">
        <f>Instructions!Y2</f>
        <v>FR71 4132 9000 0100 0047 9327 R66</v>
      </c>
      <c r="V4" s="904" t="str">
        <f>Instructions!X2</f>
        <v>PARBFRPP</v>
      </c>
      <c r="W4" s="904"/>
      <c r="X4" s="904"/>
      <c r="Y4" s="904" t="str">
        <f>Instructions!G2</f>
        <v>Transfert General to Principal</v>
      </c>
      <c r="Z4" s="904" t="str">
        <f t="shared" ref="Z4:Z21" si="8">E4</f>
        <v>FCT French prime cash 2023 COMPTE PRINCIPAL</v>
      </c>
      <c r="AA4" s="904" t="s">
        <v>1377</v>
      </c>
      <c r="AE4" s="1296" t="s">
        <v>1426</v>
      </c>
      <c r="AF4" s="1296"/>
      <c r="AG4" s="1296"/>
      <c r="AH4" s="1296"/>
      <c r="AI4" s="909" t="s">
        <v>1384</v>
      </c>
      <c r="AJ4" s="1297" t="s">
        <v>1427</v>
      </c>
      <c r="AK4" s="1298"/>
      <c r="AL4" s="909" t="s">
        <v>683</v>
      </c>
      <c r="AM4" s="909" t="s">
        <v>1383</v>
      </c>
      <c r="AO4" s="909" t="s">
        <v>1382</v>
      </c>
      <c r="AP4" s="909" t="s">
        <v>1381</v>
      </c>
      <c r="AQ4" s="909" t="s">
        <v>1380</v>
      </c>
      <c r="AR4" s="909" t="s">
        <v>1126</v>
      </c>
      <c r="AS4" s="909" t="s">
        <v>1379</v>
      </c>
    </row>
    <row r="5" spans="1:45">
      <c r="A5" s="908" t="s">
        <v>1384</v>
      </c>
      <c r="B5" s="908" t="s">
        <v>683</v>
      </c>
      <c r="C5" s="907">
        <f>Instructions!J3</f>
        <v>46230</v>
      </c>
      <c r="D5" s="1054">
        <f>Instructions!E3</f>
        <v>0</v>
      </c>
      <c r="E5" s="908" t="str">
        <f>Instructions!V3</f>
        <v>BANQUE DE France MILLEIS</v>
      </c>
      <c r="F5" s="908" t="str">
        <f>E5</f>
        <v>BANQUE DE France MILLEIS</v>
      </c>
      <c r="G5" s="908" t="str">
        <f>Instructions!W3</f>
        <v>MILLEIS BANQUE</v>
      </c>
      <c r="H5" s="908" t="str">
        <f>Instructions!P3</f>
        <v>41329000010000479327R</v>
      </c>
      <c r="I5" s="906" t="s">
        <v>1378</v>
      </c>
      <c r="J5" s="908"/>
      <c r="K5" s="906"/>
      <c r="L5" s="908" t="str">
        <f>Instructions!L3</f>
        <v>FCH PRIME CASH 23 PRIN AC</v>
      </c>
      <c r="M5" s="907">
        <f t="shared" ca="1" si="1"/>
        <v>46223</v>
      </c>
      <c r="N5" s="906" t="s">
        <v>1420</v>
      </c>
      <c r="O5" s="905" t="str">
        <f>H5</f>
        <v>41329000010000479327R</v>
      </c>
      <c r="P5" s="904" t="str">
        <f>A5</f>
        <v>PARBFR</v>
      </c>
      <c r="Q5" s="904" t="str">
        <f>AP$4</f>
        <v>92 AVENUE DE WAGRAM</v>
      </c>
      <c r="R5" s="904" t="str">
        <f t="shared" si="5"/>
        <v>75017</v>
      </c>
      <c r="S5" s="904" t="str">
        <f t="shared" si="6"/>
        <v>Paris</v>
      </c>
      <c r="T5" s="904" t="str">
        <f t="shared" si="7"/>
        <v>FRANCE FR</v>
      </c>
      <c r="U5" s="905" t="str">
        <f>Instructions!Y3</f>
        <v>RFREURPRIVFRPPXXX</v>
      </c>
      <c r="V5" s="904" t="str">
        <f>Instructions!X3</f>
        <v>PRIVFRPPXXX</v>
      </c>
      <c r="W5" s="904"/>
      <c r="X5" s="904"/>
      <c r="Y5" s="904" t="str">
        <f>Instructions!G3</f>
        <v>Restitution overcollaterisation juillet</v>
      </c>
      <c r="Z5" s="904" t="str">
        <f>E5</f>
        <v>BANQUE DE France MILLEIS</v>
      </c>
      <c r="AA5" s="904" t="s">
        <v>1377</v>
      </c>
      <c r="AE5" s="1107"/>
      <c r="AF5" s="1108"/>
      <c r="AG5" s="1108"/>
      <c r="AH5" s="1109"/>
      <c r="AI5" s="909"/>
      <c r="AJ5" s="1105"/>
      <c r="AK5" s="1106"/>
      <c r="AL5" s="909"/>
      <c r="AM5" s="909"/>
      <c r="AO5" s="909"/>
      <c r="AP5" s="909"/>
      <c r="AQ5" s="909"/>
      <c r="AR5" s="909"/>
      <c r="AS5" s="909"/>
    </row>
    <row r="6" spans="1:45">
      <c r="A6" s="908" t="s">
        <v>1384</v>
      </c>
      <c r="B6" s="908" t="s">
        <v>683</v>
      </c>
      <c r="C6" s="907">
        <f>Instructions!J4</f>
        <v>46230</v>
      </c>
      <c r="D6" s="1054">
        <f>Instructions!E4</f>
        <v>11726176.690000001</v>
      </c>
      <c r="E6" s="908" t="str">
        <f>Instructions!V4</f>
        <v>FCT French prime cash 2023 COMPTE INTERETS</v>
      </c>
      <c r="F6" s="908" t="str">
        <f t="shared" si="0"/>
        <v>FCT French prime cash 2023 COMPTE INTERETS</v>
      </c>
      <c r="G6" s="908" t="str">
        <f>Instructions!W4</f>
        <v>BNP PARIBAS</v>
      </c>
      <c r="H6" s="908" t="str">
        <f>Instructions!P4</f>
        <v>41329000010000479325K</v>
      </c>
      <c r="I6" s="906" t="s">
        <v>1378</v>
      </c>
      <c r="J6" s="908"/>
      <c r="K6" s="906"/>
      <c r="L6" s="908" t="str">
        <f>Instructions!L4</f>
        <v>FCH PRIME CASH 23 GEN AC</v>
      </c>
      <c r="M6" s="907">
        <f t="shared" ca="1" si="1"/>
        <v>46223</v>
      </c>
      <c r="N6" s="906" t="s">
        <v>1420</v>
      </c>
      <c r="O6" s="905" t="str">
        <f t="shared" si="2"/>
        <v>41329000010000479325K</v>
      </c>
      <c r="P6" s="904" t="str">
        <f t="shared" si="3"/>
        <v>PARBFR</v>
      </c>
      <c r="Q6" s="904" t="str">
        <f t="shared" si="4"/>
        <v>92 AVENUE DE WAGRAM</v>
      </c>
      <c r="R6" s="904" t="str">
        <f t="shared" si="5"/>
        <v>75017</v>
      </c>
      <c r="S6" s="904" t="str">
        <f t="shared" si="6"/>
        <v>Paris</v>
      </c>
      <c r="T6" s="904" t="str">
        <f t="shared" si="7"/>
        <v>FRANCE FR</v>
      </c>
      <c r="U6" s="905" t="str">
        <f>Instructions!Y4</f>
        <v>FR86 4132 9000 0100 0047 9326 M14</v>
      </c>
      <c r="V6" s="904" t="str">
        <f>Instructions!X4</f>
        <v>PARBFRPP</v>
      </c>
      <c r="W6" s="904"/>
      <c r="X6" s="904"/>
      <c r="Y6" s="904" t="str">
        <f>Instructions!G4</f>
        <v>Transfert General to Compte interest</v>
      </c>
      <c r="Z6" s="904" t="str">
        <f t="shared" si="8"/>
        <v>FCT French prime cash 2023 COMPTE INTERETS</v>
      </c>
      <c r="AA6" s="904" t="s">
        <v>1377</v>
      </c>
      <c r="AE6" s="1299"/>
      <c r="AF6" s="1300"/>
      <c r="AG6" s="1300"/>
      <c r="AH6" s="1301"/>
      <c r="AI6" s="909"/>
      <c r="AJ6" s="1297"/>
      <c r="AK6" s="1298"/>
      <c r="AL6" s="909"/>
      <c r="AM6" s="909"/>
      <c r="AO6" s="909"/>
      <c r="AP6" s="909"/>
      <c r="AQ6" s="909"/>
      <c r="AR6" s="909"/>
      <c r="AS6" s="909"/>
    </row>
    <row r="7" spans="1:45">
      <c r="A7" s="908" t="s">
        <v>1384</v>
      </c>
      <c r="B7" s="908" t="s">
        <v>683</v>
      </c>
      <c r="C7" s="907">
        <f>Instructions!J5</f>
        <v>46230</v>
      </c>
      <c r="D7" s="1054">
        <f>Instructions!E5</f>
        <v>412970.7</v>
      </c>
      <c r="E7" s="908" t="str">
        <f>Instructions!V5</f>
        <v>BNP PARIBAS PARIS BRANCH</v>
      </c>
      <c r="F7" s="908" t="str">
        <f t="shared" si="0"/>
        <v>BNP PARIBAS PARIS BRANCH</v>
      </c>
      <c r="G7" s="908" t="str">
        <f>Instructions!W5</f>
        <v>BNP PARIBAS SA</v>
      </c>
      <c r="H7" s="908" t="str">
        <f>Instructions!P5</f>
        <v>41329000010000479326M</v>
      </c>
      <c r="I7" s="906" t="s">
        <v>1378</v>
      </c>
      <c r="J7" s="908"/>
      <c r="K7" s="906"/>
      <c r="L7" s="908" t="str">
        <f>Instructions!L5</f>
        <v>FCH PRIME CASH 23 INT AC</v>
      </c>
      <c r="M7" s="907">
        <f t="shared" ca="1" si="1"/>
        <v>46223</v>
      </c>
      <c r="N7" s="906" t="s">
        <v>1420</v>
      </c>
      <c r="O7" s="905" t="str">
        <f t="shared" si="2"/>
        <v>41329000010000479326M</v>
      </c>
      <c r="P7" s="904" t="str">
        <f t="shared" si="3"/>
        <v>PARBFR</v>
      </c>
      <c r="Q7" s="904" t="str">
        <f t="shared" si="4"/>
        <v>92 AVENUE DE WAGRAM</v>
      </c>
      <c r="R7" s="904" t="str">
        <f t="shared" si="5"/>
        <v>75017</v>
      </c>
      <c r="S7" s="904" t="str">
        <f t="shared" si="6"/>
        <v>Paris</v>
      </c>
      <c r="T7" s="904" t="str">
        <f t="shared" si="7"/>
        <v>FRANCE FR</v>
      </c>
      <c r="U7" s="905" t="str">
        <f>Instructions!Y5</f>
        <v>FR9441329000010000047475N27</v>
      </c>
      <c r="V7" s="904" t="str">
        <f>Instructions!X5</f>
        <v>PARBLULLXXX</v>
      </c>
      <c r="W7" s="904"/>
      <c r="X7" s="904"/>
      <c r="Y7" s="904" t="str">
        <f>Instructions!G5</f>
        <v xml:space="preserve">Class A Notes Interest </v>
      </c>
      <c r="Z7" s="904" t="str">
        <f t="shared" si="8"/>
        <v>BNP PARIBAS PARIS BRANCH</v>
      </c>
      <c r="AA7" s="904" t="s">
        <v>1377</v>
      </c>
    </row>
    <row r="8" spans="1:45">
      <c r="A8" s="908" t="s">
        <v>1384</v>
      </c>
      <c r="B8" s="908" t="s">
        <v>683</v>
      </c>
      <c r="C8" s="907">
        <f>Instructions!J6</f>
        <v>46230</v>
      </c>
      <c r="D8" s="1053">
        <f>Instructions!E6</f>
        <v>23227.58</v>
      </c>
      <c r="E8" s="908" t="str">
        <f>Instructions!V6</f>
        <v xml:space="preserve">IQ-EQ Management </v>
      </c>
      <c r="F8" s="908" t="str">
        <f t="shared" si="0"/>
        <v xml:space="preserve">IQ-EQ Management </v>
      </c>
      <c r="G8" s="908" t="str">
        <f>Instructions!W6</f>
        <v>HSBC</v>
      </c>
      <c r="H8" s="908" t="str">
        <f>Instructions!P6</f>
        <v>41329000010000479326M</v>
      </c>
      <c r="I8" s="906" t="s">
        <v>1378</v>
      </c>
      <c r="J8" s="908"/>
      <c r="K8" s="906"/>
      <c r="L8" s="908" t="str">
        <f>Instructions!L6</f>
        <v>FCH PRIME CASH 23 INT AC</v>
      </c>
      <c r="M8" s="907">
        <f t="shared" ca="1" si="1"/>
        <v>46223</v>
      </c>
      <c r="N8" s="906" t="s">
        <v>1420</v>
      </c>
      <c r="O8" s="905" t="str">
        <f t="shared" si="2"/>
        <v>41329000010000479326M</v>
      </c>
      <c r="P8" s="904" t="str">
        <f t="shared" si="3"/>
        <v>PARBFR</v>
      </c>
      <c r="Q8" s="904" t="str">
        <f t="shared" si="4"/>
        <v>92 AVENUE DE WAGRAM</v>
      </c>
      <c r="R8" s="904" t="str">
        <f t="shared" si="5"/>
        <v>75017</v>
      </c>
      <c r="S8" s="904" t="str">
        <f t="shared" si="6"/>
        <v>Paris</v>
      </c>
      <c r="T8" s="904" t="str">
        <f t="shared" si="7"/>
        <v>FRANCE FR</v>
      </c>
      <c r="U8" s="905" t="str">
        <f>Instructions!Y6</f>
        <v>FR76 3005 6000 5000 5000 7046 525</v>
      </c>
      <c r="V8" s="904" t="str">
        <f>Instructions!X6</f>
        <v>CCFRFRPPXXX</v>
      </c>
      <c r="W8" s="904"/>
      <c r="X8" s="904"/>
      <c r="Y8" s="904" t="str">
        <f>Instructions!G6</f>
        <v xml:space="preserve">Fees - Management Company </v>
      </c>
      <c r="Z8" s="904" t="str">
        <f t="shared" si="8"/>
        <v xml:space="preserve">IQ-EQ Management </v>
      </c>
      <c r="AA8" s="904" t="s">
        <v>1377</v>
      </c>
    </row>
    <row r="9" spans="1:45">
      <c r="A9" s="908" t="s">
        <v>1384</v>
      </c>
      <c r="B9" s="908" t="s">
        <v>683</v>
      </c>
      <c r="C9" s="907">
        <f>Instructions!J7</f>
        <v>46230</v>
      </c>
      <c r="D9" s="1053">
        <f>Instructions!E7</f>
        <v>12917.740000000002</v>
      </c>
      <c r="E9" s="908" t="str">
        <f>Instructions!V7</f>
        <v>BNP PARIBAS SA</v>
      </c>
      <c r="F9" s="908" t="str">
        <f t="shared" si="0"/>
        <v>BNP PARIBAS SA</v>
      </c>
      <c r="G9" s="908" t="str">
        <f>Instructions!W7</f>
        <v>FONDS A RECEVOIR BP2S</v>
      </c>
      <c r="H9" s="908" t="str">
        <f>Instructions!P7</f>
        <v>41329000010000479326M</v>
      </c>
      <c r="I9" s="906" t="s">
        <v>1378</v>
      </c>
      <c r="J9" s="908"/>
      <c r="K9" s="906"/>
      <c r="L9" s="908" t="str">
        <f>Instructions!L7</f>
        <v>FCH PRIME CASH 23 INT AC</v>
      </c>
      <c r="M9" s="907">
        <f t="shared" ca="1" si="1"/>
        <v>46223</v>
      </c>
      <c r="N9" s="906" t="s">
        <v>1420</v>
      </c>
      <c r="O9" s="905" t="str">
        <f t="shared" si="2"/>
        <v>41329000010000479326M</v>
      </c>
      <c r="P9" s="904" t="str">
        <f t="shared" si="3"/>
        <v>PARBFR</v>
      </c>
      <c r="Q9" s="904" t="str">
        <f t="shared" si="4"/>
        <v>92 AVENUE DE WAGRAM</v>
      </c>
      <c r="R9" s="904" t="str">
        <f t="shared" si="5"/>
        <v>75017</v>
      </c>
      <c r="S9" s="904" t="str">
        <f t="shared" si="6"/>
        <v>Paris</v>
      </c>
      <c r="T9" s="904" t="str">
        <f t="shared" si="7"/>
        <v>FRANCE FR</v>
      </c>
      <c r="U9" s="905" t="str">
        <f>Instructions!Y7</f>
        <v>FR77 4132 9000 0100 0008 4086 X22</v>
      </c>
      <c r="V9" s="904" t="str">
        <f>Instructions!X7</f>
        <v>PARBFRPP</v>
      </c>
      <c r="W9" s="904"/>
      <c r="X9" s="904"/>
      <c r="Y9" s="904" t="str">
        <f>Instructions!G7</f>
        <v>Fees - Custodian</v>
      </c>
      <c r="Z9" s="904" t="str">
        <f t="shared" si="8"/>
        <v>BNP PARIBAS SA</v>
      </c>
      <c r="AA9" s="904" t="s">
        <v>1377</v>
      </c>
    </row>
    <row r="10" spans="1:45">
      <c r="A10" s="908" t="s">
        <v>1384</v>
      </c>
      <c r="B10" s="908" t="s">
        <v>683</v>
      </c>
      <c r="C10" s="907">
        <f>Instructions!J8</f>
        <v>46230</v>
      </c>
      <c r="D10" s="1053">
        <f>Instructions!E8</f>
        <v>598.35616438356169</v>
      </c>
      <c r="E10" s="908" t="str">
        <f>Instructions!V8</f>
        <v>BNP PARIBAS SA</v>
      </c>
      <c r="F10" s="908" t="str">
        <f t="shared" si="0"/>
        <v>BNP PARIBAS SA</v>
      </c>
      <c r="G10" s="908" t="str">
        <f>Instructions!W8</f>
        <v>BNP PARIBAS SA</v>
      </c>
      <c r="H10" s="908" t="str">
        <f>Instructions!P8</f>
        <v>41329000010000479326M</v>
      </c>
      <c r="I10" s="906" t="s">
        <v>1378</v>
      </c>
      <c r="J10" s="908"/>
      <c r="K10" s="906"/>
      <c r="L10" s="908" t="str">
        <f>Instructions!L8</f>
        <v>FCH PRIME CASH 23 INT AC</v>
      </c>
      <c r="M10" s="907">
        <f t="shared" ca="1" si="1"/>
        <v>46223</v>
      </c>
      <c r="N10" s="906" t="s">
        <v>1420</v>
      </c>
      <c r="O10" s="905" t="str">
        <f t="shared" si="2"/>
        <v>41329000010000479326M</v>
      </c>
      <c r="P10" s="904" t="str">
        <f t="shared" si="3"/>
        <v>PARBFR</v>
      </c>
      <c r="Q10" s="904" t="str">
        <f t="shared" si="4"/>
        <v>92 AVENUE DE WAGRAM</v>
      </c>
      <c r="R10" s="904" t="str">
        <f t="shared" si="5"/>
        <v>75017</v>
      </c>
      <c r="S10" s="904" t="str">
        <f t="shared" si="6"/>
        <v>Paris</v>
      </c>
      <c r="T10" s="904" t="str">
        <f t="shared" si="7"/>
        <v>FRANCE FR</v>
      </c>
      <c r="U10" s="905" t="str">
        <f>Instructions!Y8</f>
        <v>FR14 4132 9000 0100 0008 4182 E58</v>
      </c>
      <c r="V10" s="904" t="str">
        <f>Instructions!X8</f>
        <v>PARBFRPP</v>
      </c>
      <c r="W10" s="904"/>
      <c r="X10" s="904"/>
      <c r="Y10" s="904" t="str">
        <f>Instructions!G8</f>
        <v xml:space="preserve">Fees - FCT Account Bank </v>
      </c>
      <c r="Z10" s="904" t="str">
        <f t="shared" si="8"/>
        <v>BNP PARIBAS SA</v>
      </c>
      <c r="AA10" s="904" t="s">
        <v>1377</v>
      </c>
    </row>
    <row r="11" spans="1:45">
      <c r="A11" s="908" t="s">
        <v>1384</v>
      </c>
      <c r="B11" s="908" t="s">
        <v>683</v>
      </c>
      <c r="C11" s="907">
        <f>Instructions!J9</f>
        <v>46230</v>
      </c>
      <c r="D11" s="1053">
        <f>Instructions!E9</f>
        <v>1888.7671232876712</v>
      </c>
      <c r="E11" s="908" t="str">
        <f>Instructions!V9</f>
        <v>BNP PARIBAS SA</v>
      </c>
      <c r="F11" s="908" t="str">
        <f t="shared" si="0"/>
        <v>BNP PARIBAS SA</v>
      </c>
      <c r="G11" s="908" t="str">
        <f>Instructions!W9</f>
        <v>BNP PARIBAS SA</v>
      </c>
      <c r="H11" s="908" t="str">
        <f>Instructions!P9</f>
        <v>41329000010000479326M</v>
      </c>
      <c r="I11" s="906" t="s">
        <v>1378</v>
      </c>
      <c r="J11" s="908"/>
      <c r="K11" s="906"/>
      <c r="L11" s="908" t="str">
        <f>Instructions!L9</f>
        <v>FCH PRIME CASH 23 INT AC</v>
      </c>
      <c r="M11" s="907">
        <f t="shared" ca="1" si="1"/>
        <v>46223</v>
      </c>
      <c r="N11" s="906" t="s">
        <v>1420</v>
      </c>
      <c r="O11" s="905" t="str">
        <f t="shared" si="2"/>
        <v>41329000010000479326M</v>
      </c>
      <c r="P11" s="904" t="str">
        <f t="shared" si="3"/>
        <v>PARBFR</v>
      </c>
      <c r="Q11" s="904" t="str">
        <f t="shared" si="4"/>
        <v>92 AVENUE DE WAGRAM</v>
      </c>
      <c r="R11" s="904" t="str">
        <f t="shared" si="5"/>
        <v>75017</v>
      </c>
      <c r="S11" s="904" t="str">
        <f t="shared" si="6"/>
        <v>Paris</v>
      </c>
      <c r="T11" s="904" t="str">
        <f t="shared" si="7"/>
        <v>FRANCE FR</v>
      </c>
      <c r="U11" s="905" t="str">
        <f>Instructions!Y9</f>
        <v>FR14 4132 9000 0100 0008 4182 E58</v>
      </c>
      <c r="V11" s="904" t="str">
        <f>Instructions!X9</f>
        <v>PARBFRPP</v>
      </c>
      <c r="W11" s="904"/>
      <c r="X11" s="904"/>
      <c r="Y11" s="904" t="str">
        <f>Instructions!G9</f>
        <v>Fees - FCT Paying Agent Fees</v>
      </c>
      <c r="Z11" s="904" t="str">
        <f t="shared" si="8"/>
        <v>BNP PARIBAS SA</v>
      </c>
      <c r="AA11" s="904" t="s">
        <v>1377</v>
      </c>
    </row>
    <row r="12" spans="1:45">
      <c r="A12" s="908" t="s">
        <v>1384</v>
      </c>
      <c r="B12" s="908" t="s">
        <v>683</v>
      </c>
      <c r="C12" s="907">
        <f>Instructions!J10</f>
        <v>46230</v>
      </c>
      <c r="D12" s="1053">
        <f>Instructions!E10</f>
        <v>299.17808219178085</v>
      </c>
      <c r="E12" s="908" t="str">
        <f>Instructions!V10</f>
        <v>BNP PARIBAS SA</v>
      </c>
      <c r="F12" s="908" t="str">
        <f t="shared" si="0"/>
        <v>BNP PARIBAS SA</v>
      </c>
      <c r="G12" s="908" t="str">
        <f>Instructions!W10</f>
        <v>BNP PARIBAS SA</v>
      </c>
      <c r="H12" s="908" t="str">
        <f>Instructions!P10</f>
        <v>41329000010000479326M</v>
      </c>
      <c r="I12" s="906" t="s">
        <v>1378</v>
      </c>
      <c r="J12" s="908"/>
      <c r="K12" s="906"/>
      <c r="L12" s="908" t="str">
        <f>Instructions!L10</f>
        <v>FCH PRIME CASH 23 INT AC</v>
      </c>
      <c r="M12" s="907">
        <f t="shared" ca="1" si="1"/>
        <v>46223</v>
      </c>
      <c r="N12" s="906" t="s">
        <v>1420</v>
      </c>
      <c r="O12" s="905" t="str">
        <f t="shared" si="2"/>
        <v>41329000010000479326M</v>
      </c>
      <c r="P12" s="904" t="str">
        <f t="shared" si="3"/>
        <v>PARBFR</v>
      </c>
      <c r="Q12" s="904" t="str">
        <f t="shared" si="4"/>
        <v>92 AVENUE DE WAGRAM</v>
      </c>
      <c r="R12" s="904" t="str">
        <f t="shared" si="5"/>
        <v>75017</v>
      </c>
      <c r="S12" s="904" t="str">
        <f t="shared" si="6"/>
        <v>Paris</v>
      </c>
      <c r="T12" s="904" t="str">
        <f t="shared" si="7"/>
        <v>FRANCE FR</v>
      </c>
      <c r="U12" s="905" t="str">
        <f>Instructions!Y10</f>
        <v>FR14 4132 9000 0100 0008 4182 E58</v>
      </c>
      <c r="V12" s="904" t="str">
        <f>Instructions!X10</f>
        <v>PARBFRPP</v>
      </c>
      <c r="W12" s="904"/>
      <c r="X12" s="904"/>
      <c r="Y12" s="904" t="str">
        <f>Instructions!G10</f>
        <v>Fees - Data Protection Agent</v>
      </c>
      <c r="Z12" s="904" t="str">
        <f t="shared" si="8"/>
        <v>BNP PARIBAS SA</v>
      </c>
      <c r="AA12" s="904" t="s">
        <v>1377</v>
      </c>
    </row>
    <row r="13" spans="1:45">
      <c r="A13" s="908" t="s">
        <v>1384</v>
      </c>
      <c r="B13" s="908" t="s">
        <v>683</v>
      </c>
      <c r="C13" s="907">
        <f>Instructions!J11</f>
        <v>46230</v>
      </c>
      <c r="D13" s="1053">
        <f>Instructions!E11</f>
        <v>0</v>
      </c>
      <c r="E13" s="908" t="str">
        <f>Instructions!V11</f>
        <v>PWC</v>
      </c>
      <c r="F13" s="908" t="str">
        <f>E13</f>
        <v>PWC</v>
      </c>
      <c r="G13" s="908" t="str">
        <f>Instructions!W11</f>
        <v>La banque postale</v>
      </c>
      <c r="H13" s="908" t="str">
        <f>Instructions!P11</f>
        <v>41329000010000479326M</v>
      </c>
      <c r="I13" s="906" t="s">
        <v>1378</v>
      </c>
      <c r="J13" s="908"/>
      <c r="K13" s="906"/>
      <c r="L13" s="908" t="str">
        <f>Instructions!L11</f>
        <v>FCH PRIME CASH 23 INT AC</v>
      </c>
      <c r="M13" s="907">
        <f t="shared" ca="1" si="1"/>
        <v>46223</v>
      </c>
      <c r="N13" s="906" t="s">
        <v>1420</v>
      </c>
      <c r="O13" s="905" t="str">
        <f>H13</f>
        <v>41329000010000479326M</v>
      </c>
      <c r="P13" s="904" t="str">
        <f>A13</f>
        <v>PARBFR</v>
      </c>
      <c r="Q13" s="904" t="str">
        <f>AP$4</f>
        <v>92 AVENUE DE WAGRAM</v>
      </c>
      <c r="R13" s="904" t="str">
        <f t="shared" si="5"/>
        <v>75017</v>
      </c>
      <c r="S13" s="904" t="str">
        <f t="shared" si="6"/>
        <v>Paris</v>
      </c>
      <c r="T13" s="904" t="str">
        <f t="shared" si="7"/>
        <v>FRANCE FR</v>
      </c>
      <c r="U13" s="905" t="str">
        <f>Instructions!Y11</f>
        <v xml:space="preserve"> FR76 2004 1000 0142 3100 0U02 034</v>
      </c>
      <c r="V13" s="904" t="str">
        <f>Instructions!X11</f>
        <v>PSSTFRPPPAR</v>
      </c>
      <c r="W13" s="904"/>
      <c r="X13" s="904"/>
      <c r="Y13" s="904" t="str">
        <f>Instructions!G11</f>
        <v xml:space="preserve">Fees - Statutory auditor </v>
      </c>
      <c r="Z13" s="904" t="str">
        <f>E13</f>
        <v>PWC</v>
      </c>
      <c r="AA13" s="904" t="s">
        <v>1377</v>
      </c>
    </row>
    <row r="14" spans="1:45">
      <c r="A14" s="908" t="s">
        <v>1384</v>
      </c>
      <c r="B14" s="908" t="s">
        <v>683</v>
      </c>
      <c r="C14" s="907">
        <f>Instructions!J12</f>
        <v>46230</v>
      </c>
      <c r="D14" s="1054">
        <f>Instructions!E12</f>
        <v>0</v>
      </c>
      <c r="E14" s="908" t="str">
        <f>Instructions!V12</f>
        <v>BNP PARIBAS PARIS BRANCH</v>
      </c>
      <c r="F14" s="908" t="str">
        <f t="shared" si="0"/>
        <v>BNP PARIBAS PARIS BRANCH</v>
      </c>
      <c r="G14" s="908" t="str">
        <f>Instructions!W12</f>
        <v>BNP PARIBAS SA</v>
      </c>
      <c r="H14" s="908" t="str">
        <f>Instructions!P12</f>
        <v>41329000010000479327R</v>
      </c>
      <c r="I14" s="906" t="s">
        <v>1378</v>
      </c>
      <c r="J14" s="908"/>
      <c r="K14" s="906"/>
      <c r="L14" s="908" t="str">
        <f>Instructions!L12</f>
        <v>FCH PRIME CASH 23 PP ACC</v>
      </c>
      <c r="M14" s="907">
        <f t="shared" ca="1" si="1"/>
        <v>46223</v>
      </c>
      <c r="N14" s="906" t="s">
        <v>1420</v>
      </c>
      <c r="O14" s="905" t="str">
        <f t="shared" si="2"/>
        <v>41329000010000479327R</v>
      </c>
      <c r="P14" s="904" t="str">
        <f t="shared" si="3"/>
        <v>PARBFR</v>
      </c>
      <c r="Q14" s="904" t="str">
        <f t="shared" si="4"/>
        <v>92 AVENUE DE WAGRAM</v>
      </c>
      <c r="R14" s="904" t="str">
        <f t="shared" si="5"/>
        <v>75017</v>
      </c>
      <c r="S14" s="904" t="str">
        <f t="shared" si="6"/>
        <v>Paris</v>
      </c>
      <c r="T14" s="904" t="str">
        <f t="shared" si="7"/>
        <v>FRANCE FR</v>
      </c>
      <c r="U14" s="905" t="str">
        <f>Instructions!Y12</f>
        <v>FR9441329000010000047475N27</v>
      </c>
      <c r="V14" s="904" t="str">
        <f>Instructions!X12</f>
        <v>PARBLULLXXX</v>
      </c>
      <c r="W14" s="904"/>
      <c r="X14" s="904"/>
      <c r="Y14" s="904" t="str">
        <f>Instructions!G12</f>
        <v>Redemption Class A</v>
      </c>
      <c r="Z14" s="904" t="str">
        <f t="shared" si="8"/>
        <v>BNP PARIBAS PARIS BRANCH</v>
      </c>
      <c r="AA14" s="904" t="s">
        <v>1377</v>
      </c>
    </row>
    <row r="15" spans="1:45">
      <c r="A15" s="908" t="s">
        <v>1384</v>
      </c>
      <c r="B15" s="908" t="s">
        <v>683</v>
      </c>
      <c r="C15" s="907">
        <f>Instructions!J13</f>
        <v>46230</v>
      </c>
      <c r="D15" s="1054">
        <f>Instructions!E13</f>
        <v>1469882.5286301384</v>
      </c>
      <c r="E15" s="908" t="str">
        <f>Instructions!V13</f>
        <v>BANQUE DE France MILLEIS</v>
      </c>
      <c r="F15" s="908" t="str">
        <f t="shared" si="0"/>
        <v>BANQUE DE France MILLEIS</v>
      </c>
      <c r="G15" s="908" t="str">
        <f>Instructions!W13</f>
        <v>MILLEIS BANQUE</v>
      </c>
      <c r="H15" s="908" t="str">
        <f>Instructions!P13</f>
        <v>41329000010000479326M</v>
      </c>
      <c r="I15" s="906" t="s">
        <v>1378</v>
      </c>
      <c r="J15" s="908"/>
      <c r="K15" s="906"/>
      <c r="L15" s="908" t="str">
        <f>Instructions!L13</f>
        <v>FCH PRIME CASH 23 INT AC</v>
      </c>
      <c r="M15" s="907">
        <f t="shared" ca="1" si="1"/>
        <v>46223</v>
      </c>
      <c r="N15" s="906" t="s">
        <v>1420</v>
      </c>
      <c r="O15" s="905" t="str">
        <f t="shared" si="2"/>
        <v>41329000010000479326M</v>
      </c>
      <c r="P15" s="904" t="str">
        <f t="shared" si="3"/>
        <v>PARBFR</v>
      </c>
      <c r="Q15" s="904" t="str">
        <f t="shared" si="4"/>
        <v>92 AVENUE DE WAGRAM</v>
      </c>
      <c r="R15" s="904" t="str">
        <f t="shared" si="5"/>
        <v>75017</v>
      </c>
      <c r="S15" s="904" t="str">
        <f t="shared" si="6"/>
        <v>Paris</v>
      </c>
      <c r="T15" s="904" t="str">
        <f t="shared" si="7"/>
        <v>FRANCE FR</v>
      </c>
      <c r="U15" s="905" t="str">
        <f>Instructions!Y13</f>
        <v>RFREURPRIVFRPPXXX</v>
      </c>
      <c r="V15" s="904" t="str">
        <f>Instructions!X13</f>
        <v>PRIVFRPPXXX</v>
      </c>
      <c r="W15" s="904"/>
      <c r="X15" s="904"/>
      <c r="Y15" s="904" t="str">
        <f>Instructions!G13</f>
        <v>Interest to the Residual Unitholders</v>
      </c>
      <c r="Z15" s="904" t="str">
        <f t="shared" si="8"/>
        <v>BANQUE DE France MILLEIS</v>
      </c>
      <c r="AA15" s="904" t="s">
        <v>1377</v>
      </c>
    </row>
    <row r="16" spans="1:45">
      <c r="A16" s="908" t="s">
        <v>1384</v>
      </c>
      <c r="B16" s="908" t="s">
        <v>683</v>
      </c>
      <c r="C16" s="907">
        <f>Instructions!J14</f>
        <v>46230</v>
      </c>
      <c r="D16" s="1054">
        <f>Instructions!E14</f>
        <v>1891.84</v>
      </c>
      <c r="E16" s="908" t="str">
        <f>Instructions!V14</f>
        <v>BANQUE DE France MILLEIS</v>
      </c>
      <c r="F16" s="908" t="str">
        <f t="shared" si="0"/>
        <v>BANQUE DE France MILLEIS</v>
      </c>
      <c r="G16" s="908" t="str">
        <f>Instructions!W14</f>
        <v>MILLEIS BANQUE</v>
      </c>
      <c r="H16" s="908" t="str">
        <f>Instructions!P14</f>
        <v>41329000010000479326M</v>
      </c>
      <c r="I16" s="906" t="s">
        <v>1378</v>
      </c>
      <c r="J16" s="908"/>
      <c r="K16" s="906"/>
      <c r="L16" s="908" t="str">
        <f>Instructions!L14</f>
        <v>FCH PRIME CASH 23 INT AC</v>
      </c>
      <c r="M16" s="907">
        <f t="shared" ca="1" si="1"/>
        <v>46223</v>
      </c>
      <c r="N16" s="906" t="s">
        <v>1420</v>
      </c>
      <c r="O16" s="905" t="str">
        <f t="shared" si="2"/>
        <v>41329000010000479326M</v>
      </c>
      <c r="P16" s="904" t="str">
        <f t="shared" si="3"/>
        <v>PARBFR</v>
      </c>
      <c r="Q16" s="904" t="str">
        <f t="shared" si="4"/>
        <v>92 AVENUE DE WAGRAM</v>
      </c>
      <c r="R16" s="904" t="str">
        <f t="shared" si="5"/>
        <v>75017</v>
      </c>
      <c r="S16" s="904" t="str">
        <f t="shared" si="6"/>
        <v>Paris</v>
      </c>
      <c r="T16" s="904" t="str">
        <f t="shared" si="7"/>
        <v>FRANCE FR</v>
      </c>
      <c r="U16" s="905" t="str">
        <f>Instructions!Y14</f>
        <v>RFREURPRIVFRPPXXX</v>
      </c>
      <c r="V16" s="904" t="str">
        <f>Instructions!X14</f>
        <v>PRIVFRPPXXX</v>
      </c>
      <c r="W16" s="904"/>
      <c r="X16" s="904"/>
      <c r="Y16" s="904" t="str">
        <f>Instructions!G14</f>
        <v>Fees - Servicer</v>
      </c>
      <c r="Z16" s="904" t="str">
        <f t="shared" si="8"/>
        <v>BANQUE DE France MILLEIS</v>
      </c>
      <c r="AA16" s="904" t="s">
        <v>1377</v>
      </c>
    </row>
    <row r="17" spans="1:27">
      <c r="A17" s="908" t="s">
        <v>1384</v>
      </c>
      <c r="B17" s="908" t="s">
        <v>683</v>
      </c>
      <c r="C17" s="907">
        <f>Instructions!J15</f>
        <v>46230</v>
      </c>
      <c r="D17" s="1054">
        <f>Instructions!E15</f>
        <v>9826558.7100000009</v>
      </c>
      <c r="E17" s="908" t="str">
        <f>Instructions!V15</f>
        <v>FCT French prime cash 2023 COMPTE GENERAL</v>
      </c>
      <c r="F17" s="908" t="str">
        <f t="shared" si="0"/>
        <v>FCT French prime cash 2023 COMPTE GENERAL</v>
      </c>
      <c r="G17" s="908" t="str">
        <f>Instructions!W15</f>
        <v>BNP PARIBAS</v>
      </c>
      <c r="H17" s="908" t="str">
        <f>Instructions!P15</f>
        <v>41329000010000479328U</v>
      </c>
      <c r="I17" s="906" t="s">
        <v>1378</v>
      </c>
      <c r="J17" s="908"/>
      <c r="K17" s="906"/>
      <c r="L17" s="908" t="str">
        <f>Instructions!L15</f>
        <v>FCH PRIME CASH 23 RES AC</v>
      </c>
      <c r="M17" s="907">
        <f t="shared" ca="1" si="1"/>
        <v>46223</v>
      </c>
      <c r="N17" s="906" t="s">
        <v>1420</v>
      </c>
      <c r="O17" s="905" t="str">
        <f t="shared" si="2"/>
        <v>41329000010000479328U</v>
      </c>
      <c r="P17" s="904" t="str">
        <f t="shared" si="3"/>
        <v>PARBFR</v>
      </c>
      <c r="Q17" s="904" t="str">
        <f t="shared" si="4"/>
        <v>92 AVENUE DE WAGRAM</v>
      </c>
      <c r="R17" s="904" t="str">
        <f t="shared" si="5"/>
        <v>75017</v>
      </c>
      <c r="S17" s="904" t="str">
        <f t="shared" si="6"/>
        <v>Paris</v>
      </c>
      <c r="T17" s="904" t="str">
        <f t="shared" si="7"/>
        <v>FRANCE FR</v>
      </c>
      <c r="U17" s="905" t="str">
        <f>Instructions!Y15</f>
        <v>FR04 4132 9000 0100 0047 9325 K50</v>
      </c>
      <c r="V17" s="904" t="str">
        <f>Instructions!X15</f>
        <v>PARBFRPP</v>
      </c>
      <c r="W17" s="904"/>
      <c r="X17" s="904"/>
      <c r="Y17" s="904" t="str">
        <f>Instructions!G15</f>
        <v>Transfert Financial Reserve to General</v>
      </c>
      <c r="Z17" s="904" t="str">
        <f t="shared" si="8"/>
        <v>FCT French prime cash 2023 COMPTE GENERAL</v>
      </c>
      <c r="AA17" s="904" t="s">
        <v>1377</v>
      </c>
    </row>
    <row r="18" spans="1:27">
      <c r="A18" s="908" t="s">
        <v>1384</v>
      </c>
      <c r="B18" s="908" t="s">
        <v>683</v>
      </c>
      <c r="C18" s="907">
        <f>Instructions!J16</f>
        <v>46230</v>
      </c>
      <c r="D18" s="1054">
        <f>Instructions!E16</f>
        <v>9802500</v>
      </c>
      <c r="E18" s="908" t="str">
        <f>Instructions!V16</f>
        <v>BNP</v>
      </c>
      <c r="F18" s="908" t="str">
        <f t="shared" si="0"/>
        <v>BNP</v>
      </c>
      <c r="G18" s="908" t="str">
        <f>Instructions!W16</f>
        <v>BNP PARIBAS</v>
      </c>
      <c r="H18" s="908" t="str">
        <f>Instructions!P16</f>
        <v>41329000010000479326M</v>
      </c>
      <c r="I18" s="906" t="s">
        <v>1378</v>
      </c>
      <c r="J18" s="908"/>
      <c r="K18" s="906"/>
      <c r="L18" s="908" t="str">
        <f>Instructions!L16</f>
        <v>FCH PRIME CASH 23 INT AC</v>
      </c>
      <c r="M18" s="907">
        <f t="shared" ca="1" si="1"/>
        <v>46223</v>
      </c>
      <c r="N18" s="906" t="s">
        <v>1420</v>
      </c>
      <c r="O18" s="905" t="str">
        <f t="shared" si="2"/>
        <v>41329000010000479326M</v>
      </c>
      <c r="P18" s="904" t="str">
        <f t="shared" si="3"/>
        <v>PARBFR</v>
      </c>
      <c r="Q18" s="904" t="str">
        <f t="shared" si="4"/>
        <v>92 AVENUE DE WAGRAM</v>
      </c>
      <c r="R18" s="904" t="str">
        <f t="shared" si="5"/>
        <v>75017</v>
      </c>
      <c r="S18" s="904" t="str">
        <f t="shared" si="6"/>
        <v>Paris</v>
      </c>
      <c r="T18" s="904" t="str">
        <f t="shared" si="7"/>
        <v>FRANCE FR</v>
      </c>
      <c r="U18" s="905" t="str">
        <f>Instructions!Y16</f>
        <v>FR87 4132 9000 0100 0047 9328 U51</v>
      </c>
      <c r="V18" s="904" t="str">
        <f>Instructions!X16</f>
        <v>PARBFRPP</v>
      </c>
      <c r="W18" s="904"/>
      <c r="X18" s="904"/>
      <c r="Y18" s="904" t="str">
        <f>Instructions!G16</f>
        <v>Transfert requiered reserved amount</v>
      </c>
      <c r="Z18" s="904" t="str">
        <f t="shared" si="8"/>
        <v>BNP</v>
      </c>
      <c r="AA18" s="904" t="s">
        <v>1377</v>
      </c>
    </row>
    <row r="19" spans="1:27">
      <c r="A19" s="908" t="s">
        <v>1384</v>
      </c>
      <c r="B19" s="908" t="s">
        <v>683</v>
      </c>
      <c r="C19" s="907">
        <f>Instructions!J17</f>
        <v>46230</v>
      </c>
      <c r="D19" s="1054">
        <f>Instructions!E17</f>
        <v>0</v>
      </c>
      <c r="E19" s="908" t="str">
        <f>Instructions!V17</f>
        <v>BANQUE DE France MILLEIS</v>
      </c>
      <c r="F19" s="908" t="str">
        <f t="shared" si="0"/>
        <v>BANQUE DE France MILLEIS</v>
      </c>
      <c r="G19" s="908" t="str">
        <f>Instructions!W17</f>
        <v>MILLEIS BANQUE</v>
      </c>
      <c r="H19" s="908" t="str">
        <f>Instructions!P17</f>
        <v>41329000010000479326M</v>
      </c>
      <c r="I19" s="906" t="s">
        <v>1378</v>
      </c>
      <c r="J19" s="908"/>
      <c r="K19" s="906"/>
      <c r="L19" s="908" t="str">
        <f>Instructions!L17</f>
        <v>FCH PRIME CASH 23 INT AC</v>
      </c>
      <c r="M19" s="907">
        <f t="shared" ca="1" si="1"/>
        <v>46223</v>
      </c>
      <c r="N19" s="906" t="s">
        <v>1420</v>
      </c>
      <c r="O19" s="905" t="str">
        <f t="shared" si="2"/>
        <v>41329000010000479326M</v>
      </c>
      <c r="P19" s="904" t="str">
        <f t="shared" si="3"/>
        <v>PARBFR</v>
      </c>
      <c r="Q19" s="904" t="str">
        <f t="shared" si="4"/>
        <v>92 AVENUE DE WAGRAM</v>
      </c>
      <c r="R19" s="904" t="str">
        <f t="shared" si="5"/>
        <v>75017</v>
      </c>
      <c r="S19" s="904" t="str">
        <f t="shared" si="6"/>
        <v>Paris</v>
      </c>
      <c r="T19" s="904" t="str">
        <f t="shared" si="7"/>
        <v>FRANCE FR</v>
      </c>
      <c r="U19" s="905" t="str">
        <f>Instructions!Y17</f>
        <v>RFREURPRIVFRPPXXX</v>
      </c>
      <c r="V19" s="904" t="str">
        <f>Instructions!X17</f>
        <v>PRIVFRPPXXX</v>
      </c>
      <c r="W19" s="904"/>
      <c r="X19" s="904"/>
      <c r="Y19" s="904" t="str">
        <f>Instructions!G17</f>
        <v xml:space="preserve"> exceeds Reserve Fund repaid</v>
      </c>
      <c r="Z19" s="904" t="str">
        <f t="shared" si="8"/>
        <v>BANQUE DE France MILLEIS</v>
      </c>
      <c r="AA19" s="904" t="s">
        <v>1377</v>
      </c>
    </row>
    <row r="20" spans="1:27">
      <c r="A20" s="908" t="s">
        <v>1384</v>
      </c>
      <c r="B20" s="908" t="s">
        <v>683</v>
      </c>
      <c r="C20" s="907">
        <f>+C19</f>
        <v>46230</v>
      </c>
      <c r="D20" s="1054">
        <f>(+'13 - Issuer Account'!M26-'15 - Priority of Payments'!K12)*0</f>
        <v>0</v>
      </c>
      <c r="E20" s="908" t="s">
        <v>2393</v>
      </c>
      <c r="F20" s="908" t="s">
        <v>2393</v>
      </c>
      <c r="G20" s="908" t="s">
        <v>248</v>
      </c>
      <c r="H20" s="908" t="s">
        <v>1416</v>
      </c>
      <c r="I20" s="906" t="s">
        <v>1378</v>
      </c>
      <c r="J20" s="908"/>
      <c r="K20" s="906"/>
      <c r="L20" s="908" t="s">
        <v>1412</v>
      </c>
      <c r="M20" s="907">
        <v>45862</v>
      </c>
      <c r="N20" s="906" t="s">
        <v>1420</v>
      </c>
      <c r="O20" s="905" t="s">
        <v>1416</v>
      </c>
      <c r="P20" s="904" t="s">
        <v>1384</v>
      </c>
      <c r="Q20" s="904" t="s">
        <v>1381</v>
      </c>
      <c r="R20" s="904" t="s">
        <v>1380</v>
      </c>
      <c r="S20" s="904" t="s">
        <v>1126</v>
      </c>
      <c r="T20" s="904" t="s">
        <v>1379</v>
      </c>
      <c r="U20" s="905" t="s">
        <v>2395</v>
      </c>
      <c r="V20" s="904" t="s">
        <v>2394</v>
      </c>
      <c r="W20" s="904"/>
      <c r="X20" s="904"/>
      <c r="Y20" s="904" t="s">
        <v>2434</v>
      </c>
      <c r="Z20" s="904" t="s">
        <v>2393</v>
      </c>
      <c r="AA20" s="904" t="s">
        <v>1377</v>
      </c>
    </row>
    <row r="21" spans="1:27">
      <c r="A21" s="908" t="s">
        <v>1384</v>
      </c>
      <c r="B21" s="908" t="s">
        <v>683</v>
      </c>
      <c r="C21" s="907">
        <f>+C20</f>
        <v>46230</v>
      </c>
      <c r="D21" s="1054">
        <v>0</v>
      </c>
      <c r="E21" s="908" t="s">
        <v>2379</v>
      </c>
      <c r="F21" s="908" t="s">
        <v>2379</v>
      </c>
      <c r="G21" s="908" t="s">
        <v>2379</v>
      </c>
      <c r="H21" s="908" t="s">
        <v>1416</v>
      </c>
      <c r="I21" s="906" t="s">
        <v>1378</v>
      </c>
      <c r="J21" s="908"/>
      <c r="K21" s="906"/>
      <c r="L21" s="908" t="s">
        <v>1413</v>
      </c>
      <c r="M21" s="907">
        <v>45862</v>
      </c>
      <c r="N21" s="906" t="s">
        <v>1420</v>
      </c>
      <c r="O21" s="905" t="s">
        <v>1416</v>
      </c>
      <c r="P21" s="904" t="s">
        <v>1384</v>
      </c>
      <c r="Q21" s="904" t="s">
        <v>1381</v>
      </c>
      <c r="R21" s="904" t="s">
        <v>1380</v>
      </c>
      <c r="S21" s="904" t="s">
        <v>1126</v>
      </c>
      <c r="T21" s="904" t="s">
        <v>1379</v>
      </c>
      <c r="U21" s="905" t="s">
        <v>1417</v>
      </c>
      <c r="V21" s="904" t="s">
        <v>1369</v>
      </c>
      <c r="W21" s="904"/>
      <c r="X21" s="904"/>
      <c r="Y21" s="904" t="s">
        <v>2446</v>
      </c>
      <c r="Z21" s="904" t="str">
        <f t="shared" si="8"/>
        <v>BNP PARIBAS SA</v>
      </c>
      <c r="AA21" s="904" t="s">
        <v>1377</v>
      </c>
    </row>
    <row r="22" spans="1:27">
      <c r="H22" s="903">
        <f>COUNTA(_xlfn.UNIQUE(H4:H21))</f>
        <v>4</v>
      </c>
    </row>
    <row r="23" spans="1:27">
      <c r="D23" s="1093">
        <f>+D7+D8+D9+D10+D11+D12+D15+D16+D17+D19+D20</f>
        <v>11750235.400000002</v>
      </c>
    </row>
    <row r="24" spans="1:27">
      <c r="E24" s="965" t="s">
        <v>2355</v>
      </c>
      <c r="F24" s="966" t="s">
        <v>2356</v>
      </c>
      <c r="G24" s="966" t="s">
        <v>2353</v>
      </c>
      <c r="H24" s="966" t="s">
        <v>27</v>
      </c>
      <c r="I24" s="967" t="s">
        <v>2354</v>
      </c>
    </row>
    <row r="25" spans="1:27">
      <c r="E25" s="968" t="s">
        <v>1371</v>
      </c>
      <c r="F25" s="969" t="s">
        <v>1412</v>
      </c>
      <c r="G25" s="970">
        <f>SUMIFS($D$4:$D$21,$L$4:$L$21,F25)</f>
        <v>11726176.690000001</v>
      </c>
      <c r="H25" s="970">
        <f>SUMIFS($D$4:$D$21,$Z$4:$Z$21,E25)</f>
        <v>9826558.7100000009</v>
      </c>
      <c r="I25" s="971">
        <f>IF(H25-G25&lt;0,ABS(H25-G25),0)</f>
        <v>1899617.9800000004</v>
      </c>
    </row>
    <row r="26" spans="1:27">
      <c r="E26" s="972" t="s">
        <v>1373</v>
      </c>
      <c r="F26" s="973" t="s">
        <v>1413</v>
      </c>
      <c r="G26" s="970">
        <f>SUMIFS($D$4:$D$21,$L$4:$L$21,F26)</f>
        <v>11726176.690000001</v>
      </c>
      <c r="H26" s="970">
        <f>SUMIFS($D$4:$D$21,$Z$4:$Z$21,E26)</f>
        <v>11726176.690000001</v>
      </c>
      <c r="I26" s="974">
        <f>IF(H26-G26&lt;0,ABS(H26-G26),0)</f>
        <v>0</v>
      </c>
    </row>
    <row r="27" spans="1:27">
      <c r="E27" s="968" t="s">
        <v>1372</v>
      </c>
      <c r="F27" s="969" t="s">
        <v>1414</v>
      </c>
      <c r="G27" s="970">
        <f>SUMIFS($D$4:$D$21,$L$4:$L$21,F27)</f>
        <v>0</v>
      </c>
      <c r="H27" s="970">
        <f>SUMIFS($D$4:$D$21,$Z$4:$Z$21,E27)</f>
        <v>0</v>
      </c>
      <c r="I27" s="971">
        <f>IF(H27-G27&lt;0,ABS(H27-G27),0)</f>
        <v>0</v>
      </c>
    </row>
    <row r="28" spans="1:27">
      <c r="D28" s="968"/>
      <c r="E28" s="975" t="s">
        <v>1415</v>
      </c>
      <c r="F28" s="976" t="s">
        <v>1415</v>
      </c>
      <c r="G28" s="970">
        <f>SUMIFS($D$4:$D$21,$L$4:$L$21,F28)</f>
        <v>9826558.7100000009</v>
      </c>
      <c r="H28" s="970">
        <f>SUMIFS($D$4:$D$21,$Z$4:$Z$21,E28)</f>
        <v>0</v>
      </c>
      <c r="I28" s="977">
        <f>IF(H28-G28&lt;0,ABS(H28-G28),0)</f>
        <v>9826558.7100000009</v>
      </c>
    </row>
    <row r="30" spans="1:27">
      <c r="F30" s="903" t="s">
        <v>2438</v>
      </c>
    </row>
    <row r="31" spans="1:27">
      <c r="D31" s="293" t="s">
        <v>2436</v>
      </c>
      <c r="E31" s="295">
        <v>7034513</v>
      </c>
      <c r="F31" s="903" t="s">
        <v>2439</v>
      </c>
      <c r="G31" s="1093">
        <f>+D17</f>
        <v>9826558.7100000009</v>
      </c>
    </row>
    <row r="32" spans="1:27">
      <c r="D32" s="903" t="s">
        <v>2437</v>
      </c>
      <c r="E32" s="1093">
        <f>+D18</f>
        <v>9802500</v>
      </c>
      <c r="F32" s="903" t="s">
        <v>2440</v>
      </c>
      <c r="G32" s="1093">
        <f>+D8+D9+D10+D11+D12+D16</f>
        <v>40823.46136986302</v>
      </c>
    </row>
    <row r="33" spans="4:7">
      <c r="F33" s="903" t="s">
        <v>2441</v>
      </c>
      <c r="G33" s="1093">
        <f>+D7+D15</f>
        <v>1882853.2286301383</v>
      </c>
    </row>
    <row r="34" spans="4:7">
      <c r="D34" s="903" t="s">
        <v>2444</v>
      </c>
      <c r="F34" s="903" t="s">
        <v>2442</v>
      </c>
      <c r="G34" s="1093">
        <f>+D20</f>
        <v>0</v>
      </c>
    </row>
    <row r="35" spans="4:7">
      <c r="F35" s="903" t="s">
        <v>2443</v>
      </c>
      <c r="G35" s="1093">
        <f>+D19</f>
        <v>0</v>
      </c>
    </row>
    <row r="37" spans="4:7">
      <c r="E37" s="1093">
        <f>SUM(E31:E36)</f>
        <v>16837013</v>
      </c>
      <c r="G37" s="1093">
        <f>SUM(G31:G36)</f>
        <v>11750235.400000002</v>
      </c>
    </row>
    <row r="38" spans="4:7">
      <c r="E38" s="903" t="s">
        <v>2445</v>
      </c>
    </row>
    <row r="39" spans="4:7">
      <c r="F39" s="903" t="b">
        <f>+G37=D23</f>
        <v>1</v>
      </c>
    </row>
  </sheetData>
  <mergeCells count="5">
    <mergeCell ref="A1:M1"/>
    <mergeCell ref="AE4:AH4"/>
    <mergeCell ref="AJ4:AK4"/>
    <mergeCell ref="AE6:AH6"/>
    <mergeCell ref="AJ6:AK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E839-8C14-4E2B-8945-74E7432CC3EB}">
  <dimension ref="A1"/>
  <sheetViews>
    <sheetView workbookViewId="0"/>
  </sheetViews>
  <sheetFormatPr defaultColWidth="9.140625" defaultRowHeight="12.7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J37"/>
  <sheetViews>
    <sheetView topLeftCell="A16" workbookViewId="0">
      <selection activeCell="I35" sqref="I35"/>
    </sheetView>
  </sheetViews>
  <sheetFormatPr defaultColWidth="9.140625" defaultRowHeight="12.75"/>
  <cols>
    <col min="2" max="2" width="10.140625" bestFit="1" customWidth="1"/>
    <col min="3" max="3" width="13.28515625" customWidth="1"/>
    <col min="4" max="4" width="23.5703125" bestFit="1" customWidth="1"/>
    <col min="5" max="5" width="12.7109375" bestFit="1" customWidth="1"/>
    <col min="6" max="6" width="13.85546875" bestFit="1" customWidth="1"/>
    <col min="10" max="10" width="12.42578125" bestFit="1" customWidth="1"/>
  </cols>
  <sheetData>
    <row r="2" spans="2:10">
      <c r="B2" s="4" t="s">
        <v>23</v>
      </c>
      <c r="C2" s="4" t="s">
        <v>2359</v>
      </c>
      <c r="D2" s="4" t="s">
        <v>2360</v>
      </c>
      <c r="G2" s="4" t="s">
        <v>2361</v>
      </c>
    </row>
    <row r="3" spans="2:10" ht="13.5" thickBot="1">
      <c r="D3" s="1016"/>
      <c r="E3" s="1016"/>
      <c r="G3" s="1016"/>
    </row>
    <row r="4" spans="2:10">
      <c r="B4" s="1006">
        <f>+'00 - Cover'!$F$16</f>
        <v>46230</v>
      </c>
      <c r="C4" s="1007">
        <v>580000</v>
      </c>
      <c r="D4" s="1008" t="str">
        <f>"IPD "&amp;DAY(B4)&amp;MONTH(B4)</f>
        <v>IPD 277</v>
      </c>
      <c r="E4" s="1024">
        <f>+ROUND('13 - Issuer Account'!H61,2)</f>
        <v>9826558.7100000009</v>
      </c>
      <c r="F4" s="1022"/>
      <c r="G4" s="1011" t="s">
        <v>2363</v>
      </c>
    </row>
    <row r="5" spans="2:10">
      <c r="B5" s="1012">
        <f>+'00 - Cover'!$F$16</f>
        <v>46230</v>
      </c>
      <c r="C5">
        <v>512100</v>
      </c>
      <c r="D5" s="4" t="str">
        <f t="shared" ref="D5:D19" si="0">"IPD "&amp;DAY(B5)&amp;MONTH(B5)</f>
        <v>IPD 277</v>
      </c>
      <c r="E5" s="1021"/>
      <c r="F5" s="1023">
        <f>+E4</f>
        <v>9826558.7100000009</v>
      </c>
      <c r="G5" s="1014" t="s">
        <v>2363</v>
      </c>
    </row>
    <row r="6" spans="2:10">
      <c r="B6" s="1012">
        <f>+'00 - Cover'!$F$16</f>
        <v>46230</v>
      </c>
      <c r="C6">
        <v>580000</v>
      </c>
      <c r="D6" s="4" t="str">
        <f t="shared" si="0"/>
        <v>IPD 277</v>
      </c>
      <c r="E6" s="1021"/>
      <c r="F6" s="1023">
        <f>+ROUND('13 - Issuer Account'!H58,2)</f>
        <v>9802500</v>
      </c>
      <c r="G6" s="1014" t="s">
        <v>2363</v>
      </c>
    </row>
    <row r="7" spans="2:10" ht="13.5" thickBot="1">
      <c r="B7" s="1015">
        <f>+'00 - Cover'!$F$16</f>
        <v>46230</v>
      </c>
      <c r="C7" s="1016">
        <v>512100</v>
      </c>
      <c r="D7" s="1017" t="str">
        <f t="shared" si="0"/>
        <v>IPD 277</v>
      </c>
      <c r="E7" s="1025">
        <f>+F6</f>
        <v>9802500</v>
      </c>
      <c r="F7" s="1026"/>
      <c r="G7" s="1020" t="s">
        <v>2363</v>
      </c>
    </row>
    <row r="8" spans="2:10">
      <c r="B8" s="1012">
        <f>+'00 - Cover'!$F$16</f>
        <v>46230</v>
      </c>
      <c r="C8">
        <v>580000</v>
      </c>
      <c r="D8" s="1008" t="str">
        <f>"IPD "&amp;DAY(B8)&amp;MONTH(B8)</f>
        <v>IPD 277</v>
      </c>
      <c r="E8" s="1021">
        <f>+ROUND('13 - Issuer Account'!H58,2)</f>
        <v>9802500</v>
      </c>
      <c r="F8" s="1023"/>
      <c r="G8" s="1014" t="s">
        <v>2364</v>
      </c>
    </row>
    <row r="9" spans="2:10">
      <c r="B9" s="1012">
        <f>+'00 - Cover'!$F$16</f>
        <v>46230</v>
      </c>
      <c r="C9">
        <v>512200</v>
      </c>
      <c r="D9" s="4" t="str">
        <f t="shared" si="0"/>
        <v>IPD 277</v>
      </c>
      <c r="E9" s="1021"/>
      <c r="F9" s="1023">
        <f>+E8</f>
        <v>9802500</v>
      </c>
      <c r="G9" s="1014" t="s">
        <v>2364</v>
      </c>
    </row>
    <row r="10" spans="2:10">
      <c r="B10" s="1012">
        <f>+'00 - Cover'!$F$16</f>
        <v>46230</v>
      </c>
      <c r="C10">
        <v>580000</v>
      </c>
      <c r="D10" s="4" t="str">
        <f t="shared" si="0"/>
        <v>IPD 277</v>
      </c>
      <c r="E10" s="1021"/>
      <c r="F10" s="1023">
        <f>+ROUND('13 - Issuer Account'!H49,2)</f>
        <v>11726176.689999999</v>
      </c>
      <c r="G10" s="1014" t="s">
        <v>2364</v>
      </c>
    </row>
    <row r="11" spans="2:10">
      <c r="B11" s="1012">
        <f>+'00 - Cover'!$F$16</f>
        <v>46230</v>
      </c>
      <c r="C11">
        <v>512200</v>
      </c>
      <c r="D11" s="4" t="str">
        <f t="shared" si="0"/>
        <v>IPD 277</v>
      </c>
      <c r="E11" s="1013">
        <f>+F10</f>
        <v>11726176.689999999</v>
      </c>
      <c r="F11" s="5"/>
      <c r="G11" s="1014" t="s">
        <v>2364</v>
      </c>
    </row>
    <row r="12" spans="2:10">
      <c r="B12" s="1012">
        <f>+'00 - Cover'!$F$16</f>
        <v>46230</v>
      </c>
      <c r="C12">
        <v>653000</v>
      </c>
      <c r="D12" s="4" t="str">
        <f t="shared" si="0"/>
        <v>IPD 277</v>
      </c>
      <c r="E12" s="1013">
        <f>+ROUND(('14 - Fees'!J76-'14 - Fees'!J63),2)</f>
        <v>39040.43</v>
      </c>
      <c r="F12" s="5"/>
      <c r="G12" s="1014" t="s">
        <v>2364</v>
      </c>
      <c r="J12" s="1023"/>
    </row>
    <row r="13" spans="2:10">
      <c r="B13" s="1012">
        <f>+'00 - Cover'!$F$16</f>
        <v>46230</v>
      </c>
      <c r="C13">
        <v>654000</v>
      </c>
      <c r="D13" s="4" t="str">
        <f t="shared" si="0"/>
        <v>IPD 277</v>
      </c>
      <c r="E13" s="1013">
        <f>+ROUND('14 - Fees'!J63,2)</f>
        <v>1783.03</v>
      </c>
      <c r="F13" s="5"/>
      <c r="G13" s="1014" t="s">
        <v>2364</v>
      </c>
    </row>
    <row r="14" spans="2:10">
      <c r="B14" s="1012">
        <f>+'00 - Cover'!$F$16</f>
        <v>46230</v>
      </c>
      <c r="C14">
        <v>512200</v>
      </c>
      <c r="D14" s="4" t="str">
        <f t="shared" si="0"/>
        <v>IPD 277</v>
      </c>
      <c r="E14" s="1013"/>
      <c r="F14" s="5">
        <f>+E12+E13</f>
        <v>40823.46</v>
      </c>
      <c r="G14" s="1014" t="s">
        <v>2364</v>
      </c>
    </row>
    <row r="15" spans="2:10">
      <c r="B15" s="1012">
        <f>+'00 - Cover'!$F$16</f>
        <v>46230</v>
      </c>
      <c r="C15">
        <v>601100</v>
      </c>
      <c r="D15" s="4" t="str">
        <f t="shared" si="0"/>
        <v>IPD 277</v>
      </c>
      <c r="E15" s="1013">
        <f>+'12 - Notes Interest'!I17</f>
        <v>412970.7</v>
      </c>
      <c r="F15" s="5"/>
      <c r="G15" s="1014" t="s">
        <v>2364</v>
      </c>
    </row>
    <row r="16" spans="2:10">
      <c r="B16" s="1012">
        <f>+'00 - Cover'!$F$16</f>
        <v>46230</v>
      </c>
      <c r="C16">
        <v>512200</v>
      </c>
      <c r="D16" s="4" t="str">
        <f t="shared" si="0"/>
        <v>IPD 277</v>
      </c>
      <c r="E16" s="1013"/>
      <c r="F16" s="5">
        <f>+E15</f>
        <v>412970.7</v>
      </c>
      <c r="G16" s="1014" t="s">
        <v>2364</v>
      </c>
    </row>
    <row r="17" spans="2:10">
      <c r="B17" s="1012">
        <f>+'00 - Cover'!$F$16</f>
        <v>46230</v>
      </c>
      <c r="C17">
        <v>450000</v>
      </c>
      <c r="D17" s="4" t="str">
        <f t="shared" si="0"/>
        <v>IPD 277</v>
      </c>
      <c r="E17" s="1013">
        <f>+ROUND(('13 - Issuer Account'!H61-'13 - Issuer Account'!H58-'13 - Issuer Account'!H57),2)</f>
        <v>0</v>
      </c>
      <c r="F17" s="5"/>
      <c r="G17" s="1014" t="s">
        <v>2364</v>
      </c>
    </row>
    <row r="18" spans="2:10">
      <c r="B18" s="1012">
        <f>+'00 - Cover'!$F$16</f>
        <v>46230</v>
      </c>
      <c r="C18">
        <v>601300</v>
      </c>
      <c r="D18" s="4" t="str">
        <f t="shared" si="0"/>
        <v>IPD 277</v>
      </c>
      <c r="E18" s="1013">
        <f>+ROUND('15 - Priority of Payments'!I56,2)</f>
        <v>1469882.53</v>
      </c>
      <c r="F18" s="5"/>
      <c r="G18" s="1014" t="s">
        <v>2364</v>
      </c>
    </row>
    <row r="19" spans="2:10" ht="13.5" thickBot="1">
      <c r="B19" s="1012">
        <f>+'00 - Cover'!$F$16</f>
        <v>46230</v>
      </c>
      <c r="C19">
        <v>512200</v>
      </c>
      <c r="D19" s="1017" t="str">
        <f t="shared" si="0"/>
        <v>IPD 277</v>
      </c>
      <c r="E19" s="1013"/>
      <c r="F19" s="5">
        <f>+E18+E17</f>
        <v>1469882.53</v>
      </c>
      <c r="G19" s="1014" t="s">
        <v>2364</v>
      </c>
    </row>
    <row r="20" spans="2:10">
      <c r="B20" s="1006">
        <f>+'00 - Cover'!$F$16</f>
        <v>46230</v>
      </c>
      <c r="C20" s="1007">
        <v>580000</v>
      </c>
      <c r="D20" s="1008" t="str">
        <f>"IPD "&amp;DAY(B20)&amp;MONTH(B20)</f>
        <v>IPD 277</v>
      </c>
      <c r="E20" s="1009"/>
      <c r="F20" s="1010">
        <f>+E27</f>
        <v>0</v>
      </c>
      <c r="G20" s="1011" t="s">
        <v>2365</v>
      </c>
    </row>
    <row r="21" spans="2:10">
      <c r="B21" s="1012">
        <f>+'00 - Cover'!$F$16</f>
        <v>46230</v>
      </c>
      <c r="C21">
        <v>512300</v>
      </c>
      <c r="D21" s="4" t="str">
        <f t="shared" ref="D21:D30" si="1">"IPD "&amp;DAY(B21)&amp;MONTH(B21)</f>
        <v>IPD 277</v>
      </c>
      <c r="E21" s="1013">
        <f>+F20</f>
        <v>0</v>
      </c>
      <c r="F21" s="5"/>
      <c r="G21" s="1014" t="s">
        <v>2365</v>
      </c>
    </row>
    <row r="22" spans="2:10">
      <c r="B22" s="1012">
        <f>+'00 - Cover'!$F$16</f>
        <v>46230</v>
      </c>
      <c r="C22">
        <v>161100</v>
      </c>
      <c r="D22" s="4" t="str">
        <f t="shared" si="1"/>
        <v>IPD 277</v>
      </c>
      <c r="E22" s="1013">
        <f>+ROUND('13 - Issuer Account'!H37,2)</f>
        <v>21458261.350000001</v>
      </c>
      <c r="F22" s="5"/>
      <c r="G22" s="1014" t="s">
        <v>2365</v>
      </c>
    </row>
    <row r="23" spans="2:10" ht="13.5" thickBot="1">
      <c r="B23" s="1015">
        <f>+'00 - Cover'!$F$16</f>
        <v>46230</v>
      </c>
      <c r="C23" s="1016">
        <v>512300</v>
      </c>
      <c r="D23" s="1017" t="str">
        <f t="shared" si="1"/>
        <v>IPD 277</v>
      </c>
      <c r="E23" s="1018"/>
      <c r="F23" s="1019">
        <f>+E22</f>
        <v>21458261.350000001</v>
      </c>
      <c r="G23" s="1020" t="s">
        <v>2365</v>
      </c>
    </row>
    <row r="24" spans="2:10">
      <c r="B24" s="1012"/>
      <c r="D24" s="1008"/>
      <c r="E24" s="1013"/>
      <c r="F24" s="5"/>
      <c r="G24" s="1014"/>
    </row>
    <row r="25" spans="2:10">
      <c r="B25" s="1012">
        <f>+'00 - Cover'!$F$16</f>
        <v>46230</v>
      </c>
      <c r="C25">
        <v>580000</v>
      </c>
      <c r="D25" s="4" t="str">
        <f t="shared" si="1"/>
        <v>IPD 277</v>
      </c>
      <c r="E25" s="1013"/>
      <c r="F25" s="5">
        <f>+E4</f>
        <v>9826558.7100000009</v>
      </c>
      <c r="G25" s="1014" t="s">
        <v>2362</v>
      </c>
    </row>
    <row r="26" spans="2:10">
      <c r="B26" s="1012">
        <f>+'00 - Cover'!$F$16</f>
        <v>46230</v>
      </c>
      <c r="C26">
        <v>512000</v>
      </c>
      <c r="D26" s="4" t="str">
        <f t="shared" si="1"/>
        <v>IPD 277</v>
      </c>
      <c r="E26" s="1013">
        <f>+F24+F25</f>
        <v>9826558.7100000009</v>
      </c>
      <c r="F26" s="5"/>
      <c r="G26" s="1014" t="s">
        <v>2362</v>
      </c>
    </row>
    <row r="27" spans="2:10">
      <c r="B27" s="1012">
        <f>+'00 - Cover'!$F$16</f>
        <v>46230</v>
      </c>
      <c r="C27">
        <v>580000</v>
      </c>
      <c r="D27" s="4" t="str">
        <f t="shared" si="1"/>
        <v>IPD 277</v>
      </c>
      <c r="E27" s="1013">
        <f>+ROUND('13 - Issuer Account'!H24,2)</f>
        <v>0</v>
      </c>
      <c r="F27" s="5"/>
      <c r="G27" s="1014" t="s">
        <v>2362</v>
      </c>
    </row>
    <row r="28" spans="2:10">
      <c r="B28" s="1012">
        <f>+'00 - Cover'!$F$16</f>
        <v>46230</v>
      </c>
      <c r="C28">
        <v>512000</v>
      </c>
      <c r="D28" s="4" t="str">
        <f t="shared" si="1"/>
        <v>IPD 277</v>
      </c>
      <c r="E28" s="1013"/>
      <c r="F28" s="5">
        <f>+E27</f>
        <v>0</v>
      </c>
      <c r="G28" s="1014" t="s">
        <v>2362</v>
      </c>
    </row>
    <row r="29" spans="2:10">
      <c r="B29" s="1012">
        <f>+'00 - Cover'!$F$16</f>
        <v>46230</v>
      </c>
      <c r="C29">
        <v>580000</v>
      </c>
      <c r="D29" s="4" t="str">
        <f t="shared" si="1"/>
        <v>IPD 277</v>
      </c>
      <c r="E29" s="1013">
        <f>+ROUND('13 - Issuer Account'!H26,2)</f>
        <v>11726176.689999999</v>
      </c>
      <c r="F29" s="5"/>
      <c r="G29" s="1014" t="s">
        <v>2362</v>
      </c>
      <c r="J29" s="5"/>
    </row>
    <row r="30" spans="2:10">
      <c r="B30" s="1012">
        <f>+'00 - Cover'!$F$16</f>
        <v>46230</v>
      </c>
      <c r="C30">
        <v>512000</v>
      </c>
      <c r="D30" s="4" t="str">
        <f t="shared" si="1"/>
        <v>IPD 277</v>
      </c>
      <c r="E30" s="1013"/>
      <c r="F30" s="5">
        <f>+E29</f>
        <v>11726176.689999999</v>
      </c>
      <c r="G30" s="1014" t="s">
        <v>2362</v>
      </c>
    </row>
    <row r="32" spans="2:10">
      <c r="B32" s="1012">
        <f>+B30</f>
        <v>46230</v>
      </c>
      <c r="C32">
        <v>241000</v>
      </c>
      <c r="D32" s="4" t="s">
        <v>2606</v>
      </c>
      <c r="E32" s="1013">
        <f>+'03 - Monthly Asset Follow up'!E17+'03 - Monthly Asset Follow up'!H17</f>
        <v>403712.27</v>
      </c>
      <c r="F32" s="5"/>
      <c r="G32" s="1014" t="s">
        <v>29</v>
      </c>
    </row>
    <row r="33" spans="2:7">
      <c r="B33" s="1012">
        <f>+B32</f>
        <v>46230</v>
      </c>
      <c r="C33">
        <v>452000</v>
      </c>
      <c r="D33" s="4" t="s">
        <v>2606</v>
      </c>
      <c r="E33" s="1013"/>
      <c r="F33" s="5">
        <f>+E32</f>
        <v>403712.27</v>
      </c>
      <c r="G33" s="1014" t="s">
        <v>29</v>
      </c>
    </row>
    <row r="34" spans="2:7">
      <c r="B34" s="1012">
        <f>+B33</f>
        <v>46230</v>
      </c>
      <c r="C34">
        <v>241000</v>
      </c>
      <c r="D34" s="4" t="s">
        <v>2607</v>
      </c>
      <c r="E34" s="1013">
        <f>+'03 - Monthly Asset Follow up'!D17</f>
        <v>28170056.849999994</v>
      </c>
      <c r="F34" s="5"/>
      <c r="G34" s="1014" t="s">
        <v>29</v>
      </c>
    </row>
    <row r="35" spans="2:7">
      <c r="B35" s="1012">
        <f>+B34</f>
        <v>46230</v>
      </c>
      <c r="C35">
        <v>452000</v>
      </c>
      <c r="D35" s="4" t="s">
        <v>2607</v>
      </c>
      <c r="E35" s="1013"/>
      <c r="F35" s="5">
        <f>+E34</f>
        <v>28170056.849999994</v>
      </c>
      <c r="G35" s="1014" t="s">
        <v>29</v>
      </c>
    </row>
    <row r="36" spans="2:7">
      <c r="B36" s="1012">
        <f>+B35</f>
        <v>46230</v>
      </c>
      <c r="C36">
        <v>450000</v>
      </c>
      <c r="D36" s="4" t="s">
        <v>2608</v>
      </c>
      <c r="E36" s="1013">
        <f>+F6-E4</f>
        <v>-24058.710000000894</v>
      </c>
      <c r="F36" s="5"/>
      <c r="G36" s="1014" t="s">
        <v>29</v>
      </c>
    </row>
    <row r="37" spans="2:7">
      <c r="B37" s="1012">
        <f>+B36</f>
        <v>46230</v>
      </c>
      <c r="C37">
        <v>452000</v>
      </c>
      <c r="D37" s="4" t="s">
        <v>2608</v>
      </c>
      <c r="E37" s="1013"/>
      <c r="F37" s="5">
        <f>+E36</f>
        <v>-24058.710000000894</v>
      </c>
      <c r="G37" s="1014" t="s">
        <v>29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O485"/>
  <sheetViews>
    <sheetView topLeftCell="CC1" workbookViewId="0">
      <selection activeCell="CJ4" sqref="CJ4:CO405"/>
    </sheetView>
  </sheetViews>
  <sheetFormatPr defaultColWidth="9.140625" defaultRowHeight="12.75"/>
  <cols>
    <col min="1" max="1" width="16.5703125" style="215" customWidth="1"/>
    <col min="2" max="2" width="22.85546875" bestFit="1" customWidth="1"/>
    <col min="3" max="3" width="16.5703125" customWidth="1"/>
    <col min="4" max="65" width="16.5703125" style="5" customWidth="1"/>
    <col min="66" max="66" width="16.5703125" style="215" customWidth="1"/>
    <col min="67" max="74" width="16.5703125" style="5" customWidth="1"/>
    <col min="75" max="76" width="16.5703125" style="215" customWidth="1"/>
    <col min="77" max="78" width="16.5703125" customWidth="1"/>
    <col min="79" max="79" width="32" bestFit="1" customWidth="1"/>
    <col min="80" max="80" width="32" customWidth="1"/>
    <col min="81" max="87" width="16.5703125" style="5" customWidth="1"/>
    <col min="88" max="88" width="16.5703125" style="696" customWidth="1"/>
    <col min="89" max="89" width="16.5703125" style="1031" customWidth="1"/>
    <col min="90" max="90" width="44.85546875" bestFit="1" customWidth="1"/>
    <col min="91" max="91" width="16.5703125" customWidth="1"/>
    <col min="93" max="93" width="15.140625" bestFit="1" customWidth="1"/>
    <col min="94" max="94" width="15.28515625" customWidth="1"/>
  </cols>
  <sheetData>
    <row r="1" spans="1:93" s="686" customFormat="1" ht="39" customHeight="1" thickBot="1">
      <c r="A1" s="1339" t="s">
        <v>828</v>
      </c>
      <c r="B1" s="1340"/>
      <c r="C1" s="1340"/>
      <c r="D1" s="1340"/>
      <c r="E1" s="1340"/>
      <c r="F1" s="1341"/>
      <c r="G1" s="1340"/>
      <c r="H1" s="1340"/>
      <c r="I1" s="1340"/>
      <c r="J1" s="1340"/>
      <c r="K1" s="1340"/>
      <c r="L1" s="1340"/>
      <c r="M1" s="1340"/>
      <c r="N1" s="1340"/>
      <c r="O1" s="1340"/>
      <c r="P1" s="1340"/>
      <c r="Q1" s="1340"/>
      <c r="R1" s="1339" t="s">
        <v>829</v>
      </c>
      <c r="S1" s="1340"/>
      <c r="T1" s="1340"/>
      <c r="U1" s="1340"/>
      <c r="V1" s="1340"/>
      <c r="W1" s="1340"/>
      <c r="X1" s="1340"/>
      <c r="Y1" s="1340"/>
      <c r="Z1" s="1340"/>
      <c r="AA1" s="1340"/>
      <c r="AB1" s="1340"/>
      <c r="AC1" s="1340"/>
      <c r="AD1" s="1340"/>
      <c r="AE1" s="1340"/>
      <c r="AF1" s="1340"/>
      <c r="AG1" s="1340"/>
      <c r="AH1" s="1340"/>
      <c r="AI1" s="1340"/>
      <c r="AJ1" s="1340"/>
      <c r="AK1" s="1340"/>
      <c r="AL1" s="1340"/>
      <c r="AM1" s="1340"/>
      <c r="AN1" s="1340"/>
      <c r="AO1" s="1340"/>
      <c r="AP1" s="1340"/>
      <c r="AQ1" s="1340"/>
      <c r="AR1" s="1340"/>
      <c r="AS1" s="1340"/>
      <c r="AT1" s="1340"/>
      <c r="AU1" s="1342"/>
      <c r="AV1" s="1339" t="s">
        <v>201</v>
      </c>
      <c r="AW1" s="1340"/>
      <c r="AX1" s="1340"/>
      <c r="AY1" s="1340"/>
      <c r="AZ1" s="1340"/>
      <c r="BA1" s="1340"/>
      <c r="BB1" s="1340"/>
      <c r="BC1" s="1340"/>
      <c r="BD1" s="1340"/>
      <c r="BE1" s="1340"/>
      <c r="BF1" s="1340"/>
      <c r="BG1" s="1340"/>
      <c r="BH1" s="1340"/>
      <c r="BI1" s="1340"/>
      <c r="BJ1" s="1340"/>
      <c r="BK1" s="1340"/>
      <c r="BL1" s="1340"/>
      <c r="BM1" s="1340"/>
      <c r="BN1" s="1347" t="s">
        <v>830</v>
      </c>
      <c r="BO1" s="1348"/>
      <c r="BP1" s="1348"/>
      <c r="BQ1" s="1349"/>
      <c r="BR1" s="695" t="s">
        <v>831</v>
      </c>
      <c r="BS1" s="684"/>
      <c r="BT1" s="958"/>
      <c r="BU1" s="684"/>
      <c r="BV1" s="958"/>
      <c r="BW1" s="684"/>
      <c r="BX1" s="958"/>
      <c r="BY1" s="684"/>
      <c r="BZ1" s="958"/>
      <c r="CA1" s="684"/>
      <c r="CB1" s="958"/>
      <c r="CC1" s="685"/>
      <c r="CD1" s="888"/>
      <c r="CE1" s="888"/>
      <c r="CF1" s="888"/>
      <c r="CG1" s="888"/>
      <c r="CH1" s="888"/>
      <c r="CI1" s="888"/>
      <c r="CJ1" s="1327" t="s">
        <v>832</v>
      </c>
      <c r="CK1" s="1328"/>
      <c r="CL1" s="1328"/>
      <c r="CM1" s="1328"/>
      <c r="CN1" s="1328"/>
      <c r="CO1" s="1329"/>
    </row>
    <row r="2" spans="1:93" s="686" customFormat="1" ht="77.25" customHeight="1">
      <c r="A2" s="1308" t="s">
        <v>833</v>
      </c>
      <c r="B2" s="1337" t="s">
        <v>867</v>
      </c>
      <c r="C2" s="1330" t="s">
        <v>834</v>
      </c>
      <c r="D2" s="1332" t="s">
        <v>835</v>
      </c>
      <c r="E2" s="1334" t="s">
        <v>868</v>
      </c>
      <c r="F2" s="1302" t="s">
        <v>2423</v>
      </c>
      <c r="G2" s="1336" t="s">
        <v>134</v>
      </c>
      <c r="H2" s="1336" t="s">
        <v>135</v>
      </c>
      <c r="I2" s="1343" t="s">
        <v>836</v>
      </c>
      <c r="J2" s="1344"/>
      <c r="K2" s="1345"/>
      <c r="L2" s="1336" t="s">
        <v>136</v>
      </c>
      <c r="M2" s="1336" t="s">
        <v>837</v>
      </c>
      <c r="N2" s="1336" t="s">
        <v>838</v>
      </c>
      <c r="O2" s="1302" t="s">
        <v>871</v>
      </c>
      <c r="P2" s="1302" t="s">
        <v>873</v>
      </c>
      <c r="Q2" s="1322" t="s">
        <v>839</v>
      </c>
      <c r="R2" s="1324" t="s">
        <v>840</v>
      </c>
      <c r="S2" s="1325"/>
      <c r="T2" s="1326"/>
      <c r="U2" s="1320" t="s">
        <v>200</v>
      </c>
      <c r="V2" s="1320"/>
      <c r="W2" s="1320"/>
      <c r="X2" s="1320" t="s">
        <v>841</v>
      </c>
      <c r="Y2" s="1320"/>
      <c r="Z2" s="1320"/>
      <c r="AA2" s="1320" t="s">
        <v>842</v>
      </c>
      <c r="AB2" s="1320"/>
      <c r="AC2" s="1320"/>
      <c r="AD2" s="1320" t="s">
        <v>843</v>
      </c>
      <c r="AE2" s="1320"/>
      <c r="AF2" s="1320"/>
      <c r="AG2" s="1320" t="s">
        <v>846</v>
      </c>
      <c r="AH2" s="1320"/>
      <c r="AI2" s="1320"/>
      <c r="AJ2" s="1320" t="s">
        <v>847</v>
      </c>
      <c r="AK2" s="1320"/>
      <c r="AL2" s="1320"/>
      <c r="AM2" s="1320" t="s">
        <v>844</v>
      </c>
      <c r="AN2" s="1320"/>
      <c r="AO2" s="1320"/>
      <c r="AP2" s="1320" t="s">
        <v>845</v>
      </c>
      <c r="AQ2" s="1320"/>
      <c r="AR2" s="1320"/>
      <c r="AS2" s="1320" t="s">
        <v>848</v>
      </c>
      <c r="AT2" s="1320"/>
      <c r="AU2" s="1346"/>
      <c r="AV2" s="1312" t="s">
        <v>137</v>
      </c>
      <c r="AW2" s="1312" t="s">
        <v>138</v>
      </c>
      <c r="AX2" s="1312" t="s">
        <v>139</v>
      </c>
      <c r="AY2" s="1312" t="s">
        <v>140</v>
      </c>
      <c r="AZ2" s="1312" t="s">
        <v>141</v>
      </c>
      <c r="BA2" s="1312" t="s">
        <v>142</v>
      </c>
      <c r="BB2" s="1312" t="s">
        <v>874</v>
      </c>
      <c r="BC2" s="1312" t="s">
        <v>875</v>
      </c>
      <c r="BD2" s="1312" t="s">
        <v>2411</v>
      </c>
      <c r="BE2" s="1312" t="s">
        <v>143</v>
      </c>
      <c r="BF2" s="1312" t="s">
        <v>145</v>
      </c>
      <c r="BG2" s="1312" t="s">
        <v>144</v>
      </c>
      <c r="BH2" s="1312" t="s">
        <v>146</v>
      </c>
      <c r="BI2" s="1312" t="s">
        <v>849</v>
      </c>
      <c r="BJ2" s="1312" t="s">
        <v>237</v>
      </c>
      <c r="BK2" s="1312" t="s">
        <v>850</v>
      </c>
      <c r="BL2" s="1312" t="s">
        <v>147</v>
      </c>
      <c r="BM2" s="1312" t="s">
        <v>148</v>
      </c>
      <c r="BN2" s="1312" t="s">
        <v>851</v>
      </c>
      <c r="BO2" s="1312" t="s">
        <v>852</v>
      </c>
      <c r="BP2" s="1312" t="s">
        <v>853</v>
      </c>
      <c r="BQ2" s="1346" t="s">
        <v>854</v>
      </c>
      <c r="BR2" s="1351" t="s">
        <v>833</v>
      </c>
      <c r="BS2" s="1306" t="s">
        <v>2329</v>
      </c>
      <c r="BT2" s="1306" t="s">
        <v>2330</v>
      </c>
      <c r="BU2" s="1306" t="s">
        <v>2331</v>
      </c>
      <c r="BV2" s="1306" t="s">
        <v>2332</v>
      </c>
      <c r="BW2" s="1306" t="s">
        <v>2333</v>
      </c>
      <c r="BX2" s="1306" t="s">
        <v>2334</v>
      </c>
      <c r="BY2" s="1306" t="s">
        <v>2335</v>
      </c>
      <c r="BZ2" s="1306" t="s">
        <v>2336</v>
      </c>
      <c r="CA2" s="1306" t="s">
        <v>2337</v>
      </c>
      <c r="CB2" s="1306" t="s">
        <v>2338</v>
      </c>
      <c r="CC2" s="1306" t="s">
        <v>2339</v>
      </c>
      <c r="CD2" s="1318" t="s">
        <v>2340</v>
      </c>
      <c r="CE2" s="1314" t="s">
        <v>1360</v>
      </c>
      <c r="CF2" s="1314" t="s">
        <v>1363</v>
      </c>
      <c r="CG2" s="1314" t="s">
        <v>1364</v>
      </c>
      <c r="CH2" s="1314" t="s">
        <v>1361</v>
      </c>
      <c r="CI2" s="1314" t="s">
        <v>1362</v>
      </c>
      <c r="CJ2" s="1308" t="s">
        <v>833</v>
      </c>
      <c r="CK2" s="1310" t="s">
        <v>855</v>
      </c>
      <c r="CL2" s="1310" t="s">
        <v>856</v>
      </c>
      <c r="CM2" s="1312" t="s">
        <v>857</v>
      </c>
      <c r="CN2" s="1316" t="s">
        <v>858</v>
      </c>
      <c r="CO2" s="1304" t="s">
        <v>859</v>
      </c>
    </row>
    <row r="3" spans="1:93" s="686" customFormat="1" ht="100.5" customHeight="1" thickBot="1">
      <c r="A3" s="1309"/>
      <c r="B3" s="1338"/>
      <c r="C3" s="1331"/>
      <c r="D3" s="1333"/>
      <c r="E3" s="1335"/>
      <c r="F3" s="1303"/>
      <c r="G3" s="1321"/>
      <c r="H3" s="1321"/>
      <c r="I3" s="687" t="s">
        <v>860</v>
      </c>
      <c r="J3" s="687" t="s">
        <v>861</v>
      </c>
      <c r="K3" s="687" t="s">
        <v>862</v>
      </c>
      <c r="L3" s="1321"/>
      <c r="M3" s="1321"/>
      <c r="N3" s="1321"/>
      <c r="O3" s="1321"/>
      <c r="P3" s="1321"/>
      <c r="Q3" s="1323"/>
      <c r="R3" s="688" t="s">
        <v>203</v>
      </c>
      <c r="S3" s="689" t="s">
        <v>204</v>
      </c>
      <c r="T3" s="689" t="s">
        <v>205</v>
      </c>
      <c r="U3" s="689" t="s">
        <v>203</v>
      </c>
      <c r="V3" s="689" t="s">
        <v>204</v>
      </c>
      <c r="W3" s="689" t="s">
        <v>205</v>
      </c>
      <c r="X3" s="689" t="s">
        <v>203</v>
      </c>
      <c r="Y3" s="689" t="s">
        <v>204</v>
      </c>
      <c r="Z3" s="689" t="s">
        <v>205</v>
      </c>
      <c r="AA3" s="689" t="s">
        <v>203</v>
      </c>
      <c r="AB3" s="689" t="s">
        <v>204</v>
      </c>
      <c r="AC3" s="689" t="s">
        <v>205</v>
      </c>
      <c r="AD3" s="689" t="s">
        <v>203</v>
      </c>
      <c r="AE3" s="689" t="s">
        <v>204</v>
      </c>
      <c r="AF3" s="689" t="s">
        <v>205</v>
      </c>
      <c r="AG3" s="689" t="s">
        <v>203</v>
      </c>
      <c r="AH3" s="689" t="s">
        <v>204</v>
      </c>
      <c r="AI3" s="689" t="s">
        <v>205</v>
      </c>
      <c r="AJ3" s="689" t="s">
        <v>203</v>
      </c>
      <c r="AK3" s="689" t="s">
        <v>204</v>
      </c>
      <c r="AL3" s="689" t="s">
        <v>205</v>
      </c>
      <c r="AM3" s="689" t="s">
        <v>203</v>
      </c>
      <c r="AN3" s="689" t="s">
        <v>204</v>
      </c>
      <c r="AO3" s="689" t="s">
        <v>205</v>
      </c>
      <c r="AP3" s="689" t="s">
        <v>203</v>
      </c>
      <c r="AQ3" s="689" t="s">
        <v>204</v>
      </c>
      <c r="AR3" s="689" t="s">
        <v>205</v>
      </c>
      <c r="AS3" s="689" t="s">
        <v>203</v>
      </c>
      <c r="AT3" s="689" t="s">
        <v>204</v>
      </c>
      <c r="AU3" s="690" t="s">
        <v>205</v>
      </c>
      <c r="AV3" s="1313"/>
      <c r="AW3" s="1313"/>
      <c r="AX3" s="1313"/>
      <c r="AY3" s="1313"/>
      <c r="AZ3" s="1313"/>
      <c r="BA3" s="1313"/>
      <c r="BB3" s="1313"/>
      <c r="BC3" s="1313"/>
      <c r="BD3" s="1313"/>
      <c r="BE3" s="1313"/>
      <c r="BF3" s="1313"/>
      <c r="BG3" s="1313"/>
      <c r="BH3" s="1313"/>
      <c r="BI3" s="1313"/>
      <c r="BJ3" s="1313"/>
      <c r="BK3" s="1313"/>
      <c r="BL3" s="1313"/>
      <c r="BM3" s="1313"/>
      <c r="BN3" s="1313"/>
      <c r="BO3" s="1313"/>
      <c r="BP3" s="1313"/>
      <c r="BQ3" s="1350"/>
      <c r="BR3" s="1352"/>
      <c r="BS3" s="1307"/>
      <c r="BT3" s="1307"/>
      <c r="BU3" s="1307"/>
      <c r="BV3" s="1307"/>
      <c r="BW3" s="1307"/>
      <c r="BX3" s="1307"/>
      <c r="BY3" s="1307"/>
      <c r="BZ3" s="1307"/>
      <c r="CA3" s="1307"/>
      <c r="CB3" s="1307"/>
      <c r="CC3" s="1307"/>
      <c r="CD3" s="1319"/>
      <c r="CE3" s="1315"/>
      <c r="CF3" s="1315"/>
      <c r="CG3" s="1315"/>
      <c r="CH3" s="1315"/>
      <c r="CI3" s="1315"/>
      <c r="CJ3" s="1309"/>
      <c r="CK3" s="1311"/>
      <c r="CL3" s="1311"/>
      <c r="CM3" s="1313"/>
      <c r="CN3" s="1317"/>
      <c r="CO3" s="1305"/>
    </row>
    <row r="4" spans="1:93">
      <c r="A4" s="215">
        <v>46203</v>
      </c>
      <c r="B4" t="s">
        <v>869</v>
      </c>
      <c r="C4" t="s">
        <v>863</v>
      </c>
      <c r="D4" s="692">
        <v>745774921.03000057</v>
      </c>
      <c r="E4" s="692">
        <v>28170056.849999994</v>
      </c>
      <c r="F4" s="692">
        <v>403712.27</v>
      </c>
      <c r="G4" s="692">
        <v>4856642.7099999906</v>
      </c>
      <c r="H4" s="692">
        <v>1686366.88</v>
      </c>
      <c r="I4" s="692">
        <v>0</v>
      </c>
      <c r="J4" s="692">
        <v>3925.5499999999997</v>
      </c>
      <c r="K4" s="692">
        <v>0</v>
      </c>
      <c r="L4" s="692">
        <v>0</v>
      </c>
      <c r="M4" s="692">
        <v>1131333.1200000001</v>
      </c>
      <c r="N4" s="692">
        <v>0</v>
      </c>
      <c r="O4" s="692">
        <v>0</v>
      </c>
      <c r="P4" s="692">
        <v>0</v>
      </c>
      <c r="Q4" s="692">
        <v>766678272.99000049</v>
      </c>
      <c r="R4" s="692">
        <v>136784.17999999996</v>
      </c>
      <c r="S4" s="692">
        <v>32005.260000000002</v>
      </c>
      <c r="T4" s="692">
        <v>0</v>
      </c>
      <c r="U4" s="692">
        <v>112937.93999999996</v>
      </c>
      <c r="V4" s="692">
        <v>27309.979999999992</v>
      </c>
      <c r="W4" s="692">
        <v>0</v>
      </c>
      <c r="X4" s="692">
        <v>116402.30999999998</v>
      </c>
      <c r="Y4" s="692">
        <v>20550.150000000001</v>
      </c>
      <c r="Z4" s="692">
        <v>0</v>
      </c>
      <c r="AA4" s="692">
        <v>0</v>
      </c>
      <c r="AB4" s="692">
        <v>0</v>
      </c>
      <c r="AC4" s="692">
        <v>0</v>
      </c>
      <c r="AD4" s="692">
        <v>0</v>
      </c>
      <c r="AE4" s="692">
        <v>0</v>
      </c>
      <c r="AF4" s="692">
        <v>0</v>
      </c>
      <c r="AG4" s="692">
        <v>14419.24</v>
      </c>
      <c r="AH4" s="692">
        <v>13377.72</v>
      </c>
      <c r="AI4" s="692">
        <v>0</v>
      </c>
      <c r="AJ4" s="692">
        <v>0</v>
      </c>
      <c r="AK4" s="692">
        <v>0</v>
      </c>
      <c r="AL4" s="692">
        <v>0</v>
      </c>
      <c r="AM4" s="692">
        <v>0</v>
      </c>
      <c r="AN4" s="692">
        <v>0</v>
      </c>
      <c r="AO4" s="692">
        <v>0</v>
      </c>
      <c r="AP4" s="692">
        <v>0</v>
      </c>
      <c r="AQ4" s="692">
        <v>0</v>
      </c>
      <c r="AR4" s="692">
        <v>0</v>
      </c>
      <c r="AS4" s="692">
        <v>118900.56999999999</v>
      </c>
      <c r="AT4" s="692">
        <v>25387.369999999992</v>
      </c>
      <c r="AU4" s="692">
        <v>0</v>
      </c>
      <c r="AV4" s="692">
        <v>4743704.769999994</v>
      </c>
      <c r="AW4" s="692">
        <v>116402.30999999998</v>
      </c>
      <c r="AX4" s="692">
        <v>1686366.88</v>
      </c>
      <c r="AY4" s="692">
        <v>6546473.9599999879</v>
      </c>
      <c r="AZ4" s="692">
        <v>1103158.4600000011</v>
      </c>
      <c r="BA4" s="692">
        <v>20550.150000000001</v>
      </c>
      <c r="BB4" s="692">
        <v>113.12000000000002</v>
      </c>
      <c r="BC4" s="692">
        <v>150.38</v>
      </c>
      <c r="BD4" s="692">
        <v>0</v>
      </c>
      <c r="BE4" s="692">
        <v>154.35</v>
      </c>
      <c r="BF4" s="692">
        <v>72.66</v>
      </c>
      <c r="BG4" s="692">
        <v>0</v>
      </c>
      <c r="BH4" s="692">
        <v>1124199.1200000006</v>
      </c>
      <c r="BI4" s="692">
        <v>0</v>
      </c>
      <c r="BJ4" s="692">
        <v>0</v>
      </c>
      <c r="BK4" s="692">
        <v>0</v>
      </c>
      <c r="BL4" s="692">
        <v>7670673.0799999963</v>
      </c>
      <c r="BM4" s="692">
        <v>7670673.0799999926</v>
      </c>
      <c r="BN4" s="692">
        <v>0</v>
      </c>
      <c r="BO4" s="692">
        <v>476720.7599999996</v>
      </c>
      <c r="BP4" s="692">
        <v>0</v>
      </c>
      <c r="BQ4" s="692">
        <v>0</v>
      </c>
      <c r="BR4" s="691">
        <v>46203</v>
      </c>
      <c r="BS4" s="5">
        <v>757867503.59000015</v>
      </c>
      <c r="BT4" s="693">
        <v>3493</v>
      </c>
      <c r="BU4" s="693">
        <v>6854877.1899999995</v>
      </c>
      <c r="BV4" s="693">
        <v>25</v>
      </c>
      <c r="BW4" s="693">
        <v>1811395.55</v>
      </c>
      <c r="BX4" s="693">
        <v>8</v>
      </c>
      <c r="BY4" s="693">
        <v>144496.66</v>
      </c>
      <c r="BZ4" s="693">
        <v>1</v>
      </c>
      <c r="CA4" s="693">
        <v>1159130.08</v>
      </c>
      <c r="CB4" s="693">
        <v>1</v>
      </c>
      <c r="CC4" s="693">
        <v>1970684.12</v>
      </c>
      <c r="CD4" s="693">
        <v>18</v>
      </c>
      <c r="CE4" s="693">
        <v>0</v>
      </c>
      <c r="CF4" s="693">
        <v>347438.19</v>
      </c>
      <c r="CG4" s="693">
        <v>3212979.19</v>
      </c>
      <c r="CH4" s="693">
        <v>0</v>
      </c>
      <c r="CI4" s="693">
        <v>347438.19</v>
      </c>
      <c r="CJ4" s="691">
        <v>46203</v>
      </c>
      <c r="CK4" s="1122" t="s">
        <v>252</v>
      </c>
      <c r="CL4" s="1122" t="s">
        <v>253</v>
      </c>
      <c r="CM4" s="693">
        <v>769727297.02000022</v>
      </c>
      <c r="CN4" s="696"/>
      <c r="CO4" s="5"/>
    </row>
    <row r="5" spans="1:93">
      <c r="A5" s="215">
        <v>46203</v>
      </c>
      <c r="B5" t="s">
        <v>869</v>
      </c>
      <c r="C5" t="s">
        <v>864</v>
      </c>
      <c r="D5" s="692">
        <v>1934906.7000000002</v>
      </c>
      <c r="E5" s="692">
        <v>0</v>
      </c>
      <c r="F5" s="692">
        <v>0</v>
      </c>
      <c r="G5" s="692">
        <v>17683.120000000003</v>
      </c>
      <c r="H5" s="692">
        <v>0</v>
      </c>
      <c r="I5" s="692">
        <v>0</v>
      </c>
      <c r="J5" s="692">
        <v>467.33</v>
      </c>
      <c r="K5" s="692">
        <v>0</v>
      </c>
      <c r="L5" s="692">
        <v>0</v>
      </c>
      <c r="M5" s="692">
        <v>1131333.1200000001</v>
      </c>
      <c r="N5" s="692">
        <v>0</v>
      </c>
      <c r="O5" s="692">
        <v>0</v>
      </c>
      <c r="P5" s="692">
        <v>0</v>
      </c>
      <c r="Q5" s="692">
        <v>3049024.0300000003</v>
      </c>
      <c r="R5" s="692">
        <v>52089.88</v>
      </c>
      <c r="S5" s="692">
        <v>7601.54</v>
      </c>
      <c r="T5" s="692">
        <v>0</v>
      </c>
      <c r="U5" s="692">
        <v>8113.130000000001</v>
      </c>
      <c r="V5" s="692">
        <v>1788.8200000000002</v>
      </c>
      <c r="W5" s="692">
        <v>0</v>
      </c>
      <c r="X5" s="692">
        <v>15203.1</v>
      </c>
      <c r="Y5" s="692">
        <v>1397.0600000000002</v>
      </c>
      <c r="Z5" s="692">
        <v>0</v>
      </c>
      <c r="AA5" s="692">
        <v>0</v>
      </c>
      <c r="AB5" s="692">
        <v>0</v>
      </c>
      <c r="AC5" s="692">
        <v>0</v>
      </c>
      <c r="AD5" s="692">
        <v>0</v>
      </c>
      <c r="AE5" s="692">
        <v>0</v>
      </c>
      <c r="AF5" s="692">
        <v>0</v>
      </c>
      <c r="AG5" s="692">
        <v>14419.24</v>
      </c>
      <c r="AH5" s="692">
        <v>13377.72</v>
      </c>
      <c r="AI5" s="692">
        <v>0</v>
      </c>
      <c r="AJ5" s="692">
        <v>0</v>
      </c>
      <c r="AK5" s="692">
        <v>0</v>
      </c>
      <c r="AL5" s="692">
        <v>0</v>
      </c>
      <c r="AM5" s="692">
        <v>0</v>
      </c>
      <c r="AN5" s="692">
        <v>0</v>
      </c>
      <c r="AO5" s="692">
        <v>0</v>
      </c>
      <c r="AP5" s="692">
        <v>0</v>
      </c>
      <c r="AQ5" s="692">
        <v>0</v>
      </c>
      <c r="AR5" s="692">
        <v>0</v>
      </c>
      <c r="AS5" s="692">
        <v>59419.15</v>
      </c>
      <c r="AT5" s="692">
        <v>21371.02</v>
      </c>
      <c r="AU5" s="692">
        <v>0</v>
      </c>
      <c r="AV5" s="692">
        <v>9569.99</v>
      </c>
      <c r="AW5" s="692">
        <v>15203.1</v>
      </c>
      <c r="AX5" s="692">
        <v>0</v>
      </c>
      <c r="AY5" s="692">
        <v>24773.089999999997</v>
      </c>
      <c r="AZ5" s="692">
        <v>1077.1500000000001</v>
      </c>
      <c r="BA5" s="692">
        <v>1397.0600000000002</v>
      </c>
      <c r="BB5" s="692">
        <v>235.13000000000002</v>
      </c>
      <c r="BC5" s="692">
        <v>220.06</v>
      </c>
      <c r="BD5" s="692">
        <v>0</v>
      </c>
      <c r="BE5" s="692">
        <v>0</v>
      </c>
      <c r="BF5" s="692">
        <v>0</v>
      </c>
      <c r="BG5" s="692">
        <v>0</v>
      </c>
      <c r="BH5" s="692">
        <v>2929.4</v>
      </c>
      <c r="BI5" s="692">
        <v>0</v>
      </c>
      <c r="BJ5" s="692">
        <v>0</v>
      </c>
      <c r="BK5" s="692"/>
      <c r="BL5" s="692">
        <v>27702.49</v>
      </c>
      <c r="BM5" s="692">
        <v>27702.49</v>
      </c>
      <c r="BN5" s="692">
        <v>0</v>
      </c>
      <c r="BO5" s="692">
        <v>3097.0299999999997</v>
      </c>
      <c r="BP5" s="692">
        <v>0</v>
      </c>
      <c r="BQ5" s="692">
        <v>0</v>
      </c>
      <c r="BR5" s="691">
        <v>46173</v>
      </c>
      <c r="BS5" s="693">
        <v>731649694.26999998</v>
      </c>
      <c r="BT5" s="693">
        <v>3424</v>
      </c>
      <c r="BU5" s="693">
        <v>12079751.59</v>
      </c>
      <c r="BV5" s="693">
        <v>34</v>
      </c>
      <c r="BW5" s="693">
        <v>910518.64</v>
      </c>
      <c r="BX5" s="693">
        <v>7</v>
      </c>
      <c r="BY5" s="693">
        <v>1134956.53</v>
      </c>
      <c r="BZ5" s="693">
        <v>1</v>
      </c>
      <c r="CA5" s="693">
        <v>385300.29</v>
      </c>
      <c r="CB5" s="693">
        <v>2</v>
      </c>
      <c r="CC5" s="693">
        <v>1609297.83</v>
      </c>
      <c r="CD5" s="693">
        <v>16</v>
      </c>
      <c r="CE5" s="693">
        <v>0</v>
      </c>
      <c r="CF5" s="693">
        <v>196627.37</v>
      </c>
      <c r="CG5" s="693">
        <v>3370363.08</v>
      </c>
      <c r="CH5" s="693">
        <v>0</v>
      </c>
      <c r="CI5" s="693">
        <v>196627.37</v>
      </c>
      <c r="CJ5" s="691">
        <v>46203</v>
      </c>
      <c r="CK5" s="1122" t="s">
        <v>254</v>
      </c>
      <c r="CL5" s="1122" t="s">
        <v>255</v>
      </c>
      <c r="CM5" s="693">
        <v>1160018044.3500011</v>
      </c>
      <c r="CN5" s="696"/>
    </row>
    <row r="6" spans="1:93">
      <c r="A6" s="215">
        <v>46173</v>
      </c>
      <c r="B6" t="s">
        <v>869</v>
      </c>
      <c r="C6" t="s">
        <v>863</v>
      </c>
      <c r="D6" s="5">
        <v>753605014.08000004</v>
      </c>
      <c r="E6" s="5">
        <v>0</v>
      </c>
      <c r="F6" s="5">
        <v>237708.15</v>
      </c>
      <c r="G6" s="5">
        <v>4800450.08</v>
      </c>
      <c r="H6" s="5">
        <v>2896329.51</v>
      </c>
      <c r="I6" s="5">
        <v>0</v>
      </c>
      <c r="J6" s="5">
        <v>3744.91</v>
      </c>
      <c r="K6" s="5">
        <v>0</v>
      </c>
      <c r="L6" s="5">
        <v>0</v>
      </c>
      <c r="M6" s="5">
        <v>374766.52</v>
      </c>
      <c r="N6" s="5">
        <v>0</v>
      </c>
      <c r="O6" s="5">
        <v>0</v>
      </c>
      <c r="P6" s="5">
        <v>0</v>
      </c>
      <c r="Q6" s="5">
        <v>745774921.02999997</v>
      </c>
      <c r="R6" s="5">
        <v>109601.63</v>
      </c>
      <c r="S6" s="5">
        <v>26190.400000000001</v>
      </c>
      <c r="T6" s="5">
        <v>0</v>
      </c>
      <c r="U6" s="5">
        <v>119764.93</v>
      </c>
      <c r="V6" s="5">
        <v>25914.57</v>
      </c>
      <c r="W6" s="5">
        <v>0</v>
      </c>
      <c r="X6" s="5">
        <v>86712.37</v>
      </c>
      <c r="Y6" s="5">
        <v>15435.95</v>
      </c>
      <c r="Z6" s="5">
        <v>0</v>
      </c>
      <c r="AA6" s="5">
        <v>0</v>
      </c>
      <c r="AB6" s="5">
        <v>0</v>
      </c>
      <c r="AC6" s="5">
        <v>0</v>
      </c>
      <c r="AD6" s="5">
        <v>0</v>
      </c>
      <c r="AE6" s="5">
        <v>0</v>
      </c>
      <c r="AF6" s="5">
        <v>0</v>
      </c>
      <c r="AG6" s="5">
        <v>5870.01</v>
      </c>
      <c r="AH6" s="5">
        <v>4663.76</v>
      </c>
      <c r="AI6" s="5">
        <v>0</v>
      </c>
      <c r="AJ6" s="5">
        <v>0</v>
      </c>
      <c r="AK6" s="5">
        <v>0</v>
      </c>
      <c r="AL6" s="5">
        <v>0</v>
      </c>
      <c r="AM6" s="5">
        <v>0</v>
      </c>
      <c r="AN6" s="5">
        <v>0</v>
      </c>
      <c r="AO6" s="5">
        <v>0</v>
      </c>
      <c r="AP6" s="5">
        <v>0</v>
      </c>
      <c r="AQ6" s="5">
        <v>0</v>
      </c>
      <c r="AR6" s="5">
        <v>0</v>
      </c>
      <c r="AS6" s="5">
        <v>136784.18</v>
      </c>
      <c r="AT6" s="5">
        <v>32005.26</v>
      </c>
      <c r="AU6" s="5">
        <v>0</v>
      </c>
      <c r="AV6" s="5">
        <v>4680685.1500000004</v>
      </c>
      <c r="AW6" s="5">
        <v>86712.37</v>
      </c>
      <c r="AX6" s="5">
        <v>2896329.51</v>
      </c>
      <c r="AY6" s="5">
        <v>7663727.0300000003</v>
      </c>
      <c r="AZ6" s="5">
        <v>1047174.53</v>
      </c>
      <c r="BA6" s="5">
        <v>15435.95</v>
      </c>
      <c r="BB6" s="5">
        <v>96.58</v>
      </c>
      <c r="BC6" s="5">
        <v>129.41999999999999</v>
      </c>
      <c r="BD6" s="5">
        <v>0</v>
      </c>
      <c r="BE6" s="5">
        <v>46274.8</v>
      </c>
      <c r="BF6" s="5">
        <v>359.65</v>
      </c>
      <c r="BG6" s="5">
        <v>0</v>
      </c>
      <c r="BH6" s="5">
        <v>1109470.93</v>
      </c>
      <c r="BI6" s="5">
        <v>0</v>
      </c>
      <c r="BJ6" s="5">
        <v>0</v>
      </c>
      <c r="BK6" s="5">
        <v>0</v>
      </c>
      <c r="BL6" s="5">
        <v>8773197.9600000009</v>
      </c>
      <c r="BM6" s="5">
        <v>8773197.9600000009</v>
      </c>
      <c r="BN6" s="5">
        <v>0</v>
      </c>
      <c r="BO6" s="5">
        <v>473944.68</v>
      </c>
      <c r="BP6" s="5">
        <v>0</v>
      </c>
      <c r="BQ6" s="5">
        <v>0</v>
      </c>
      <c r="BR6" s="691">
        <v>46142</v>
      </c>
      <c r="BS6" s="693">
        <v>744263084.87999845</v>
      </c>
      <c r="BT6" s="693">
        <v>3456</v>
      </c>
      <c r="BU6" s="693">
        <v>5718415.4899999993</v>
      </c>
      <c r="BV6" s="693">
        <v>27</v>
      </c>
      <c r="BW6" s="693">
        <v>3203526.21</v>
      </c>
      <c r="BX6" s="693">
        <v>8</v>
      </c>
      <c r="BY6" s="693">
        <v>419987.5</v>
      </c>
      <c r="BZ6" s="693">
        <v>3</v>
      </c>
      <c r="CA6" s="693">
        <v>0</v>
      </c>
      <c r="CB6" s="693">
        <v>0</v>
      </c>
      <c r="CC6" s="693">
        <v>1626926.99</v>
      </c>
      <c r="CD6" s="693">
        <v>17</v>
      </c>
      <c r="CE6" s="693">
        <v>0</v>
      </c>
      <c r="CF6" s="693">
        <v>0</v>
      </c>
      <c r="CG6" s="693">
        <v>3570793.71</v>
      </c>
      <c r="CH6" s="693">
        <v>0</v>
      </c>
      <c r="CI6" s="693">
        <v>0</v>
      </c>
      <c r="CJ6" s="691">
        <v>46203</v>
      </c>
      <c r="CK6" s="1031" t="s">
        <v>256</v>
      </c>
      <c r="CL6" s="1031" t="s">
        <v>257</v>
      </c>
      <c r="CM6" s="5">
        <v>3546</v>
      </c>
      <c r="CN6" s="696"/>
      <c r="CO6" s="5"/>
    </row>
    <row r="7" spans="1:93">
      <c r="A7" s="215">
        <v>46173</v>
      </c>
      <c r="B7" t="s">
        <v>869</v>
      </c>
      <c r="C7" t="s">
        <v>864</v>
      </c>
      <c r="D7" s="5">
        <v>1572621.58</v>
      </c>
      <c r="E7" s="5">
        <v>0</v>
      </c>
      <c r="F7" s="5">
        <v>0</v>
      </c>
      <c r="G7" s="5">
        <v>12948.28</v>
      </c>
      <c r="H7" s="5">
        <v>0</v>
      </c>
      <c r="I7" s="5">
        <v>0</v>
      </c>
      <c r="J7" s="5">
        <v>466.88</v>
      </c>
      <c r="K7" s="5">
        <v>0</v>
      </c>
      <c r="L7" s="5">
        <v>0</v>
      </c>
      <c r="M7" s="5">
        <v>374766.52</v>
      </c>
      <c r="N7" s="5">
        <v>0</v>
      </c>
      <c r="O7" s="5">
        <v>0</v>
      </c>
      <c r="P7" s="5">
        <v>0</v>
      </c>
      <c r="Q7" s="5">
        <v>1934906.7</v>
      </c>
      <c r="R7" s="5">
        <v>49664.22</v>
      </c>
      <c r="S7" s="5">
        <v>4641.1899999999996</v>
      </c>
      <c r="T7" s="5">
        <v>0</v>
      </c>
      <c r="U7" s="5">
        <v>6558.13</v>
      </c>
      <c r="V7" s="5">
        <v>713.99</v>
      </c>
      <c r="W7" s="5">
        <v>0</v>
      </c>
      <c r="X7" s="5">
        <v>10002.48</v>
      </c>
      <c r="Y7" s="5">
        <v>2417.4</v>
      </c>
      <c r="Z7" s="5">
        <v>0</v>
      </c>
      <c r="AA7" s="5">
        <v>0</v>
      </c>
      <c r="AB7" s="5">
        <v>0</v>
      </c>
      <c r="AC7" s="5">
        <v>0</v>
      </c>
      <c r="AD7" s="5">
        <v>0</v>
      </c>
      <c r="AE7" s="5">
        <v>0</v>
      </c>
      <c r="AF7" s="5">
        <v>0</v>
      </c>
      <c r="AG7" s="5">
        <v>5870.01</v>
      </c>
      <c r="AH7" s="5">
        <v>4663.76</v>
      </c>
      <c r="AI7" s="5">
        <v>0</v>
      </c>
      <c r="AJ7" s="5">
        <v>0</v>
      </c>
      <c r="AK7" s="5">
        <v>0</v>
      </c>
      <c r="AL7" s="5">
        <v>0</v>
      </c>
      <c r="AM7" s="5">
        <v>0</v>
      </c>
      <c r="AN7" s="5">
        <v>0</v>
      </c>
      <c r="AO7" s="5">
        <v>0</v>
      </c>
      <c r="AP7" s="5">
        <v>0</v>
      </c>
      <c r="AQ7" s="5">
        <v>0</v>
      </c>
      <c r="AR7" s="5">
        <v>0</v>
      </c>
      <c r="AS7" s="5">
        <v>52089.88</v>
      </c>
      <c r="AT7" s="5">
        <v>7601.54</v>
      </c>
      <c r="AU7" s="5">
        <v>0</v>
      </c>
      <c r="AV7" s="5">
        <v>6390.15</v>
      </c>
      <c r="AW7" s="5">
        <v>10002.48</v>
      </c>
      <c r="AX7" s="5">
        <v>0</v>
      </c>
      <c r="AY7" s="5">
        <v>16392.63</v>
      </c>
      <c r="AZ7" s="5">
        <v>545.69000000000005</v>
      </c>
      <c r="BA7" s="5">
        <v>2417.4</v>
      </c>
      <c r="BB7" s="5">
        <v>109.58</v>
      </c>
      <c r="BC7" s="5">
        <v>136.52000000000001</v>
      </c>
      <c r="BD7" s="5">
        <v>0</v>
      </c>
      <c r="BE7" s="5">
        <v>0</v>
      </c>
      <c r="BF7" s="5">
        <v>0</v>
      </c>
      <c r="BG7" s="5">
        <v>0</v>
      </c>
      <c r="BH7" s="5">
        <v>3209.19</v>
      </c>
      <c r="BI7" s="5">
        <v>0</v>
      </c>
      <c r="BJ7" s="5">
        <v>0</v>
      </c>
      <c r="BL7" s="5">
        <v>19601.82</v>
      </c>
      <c r="BM7" s="5">
        <v>19601.82</v>
      </c>
      <c r="BN7" s="5">
        <v>0</v>
      </c>
      <c r="BO7" s="5">
        <v>1828.69</v>
      </c>
      <c r="BP7" s="5">
        <v>0</v>
      </c>
      <c r="BQ7" s="5">
        <v>0</v>
      </c>
      <c r="BR7" s="691">
        <v>46112</v>
      </c>
      <c r="BS7" s="693">
        <v>751105358.44000041</v>
      </c>
      <c r="BT7" s="693">
        <v>3495</v>
      </c>
      <c r="BU7" s="693">
        <v>4236769.75</v>
      </c>
      <c r="BV7" s="693">
        <v>18</v>
      </c>
      <c r="BW7" s="693">
        <v>3484003.7800000003</v>
      </c>
      <c r="BX7" s="693">
        <v>14</v>
      </c>
      <c r="BY7" s="693">
        <v>44728.57</v>
      </c>
      <c r="BZ7" s="693">
        <v>1</v>
      </c>
      <c r="CA7" s="693">
        <v>360917.77</v>
      </c>
      <c r="CB7" s="693">
        <v>4</v>
      </c>
      <c r="CC7" s="693">
        <v>1334154.25</v>
      </c>
      <c r="CD7" s="693">
        <v>13</v>
      </c>
      <c r="CE7" s="693">
        <v>0</v>
      </c>
      <c r="CF7" s="693">
        <v>354011.26</v>
      </c>
      <c r="CG7" s="693">
        <v>3261115.93</v>
      </c>
      <c r="CH7" s="693">
        <v>0</v>
      </c>
      <c r="CI7" s="693">
        <v>354011.26</v>
      </c>
      <c r="CJ7" s="691">
        <v>46203</v>
      </c>
      <c r="CK7" s="1031" t="s">
        <v>258</v>
      </c>
      <c r="CL7" s="1031" t="s">
        <v>259</v>
      </c>
      <c r="CM7" s="5">
        <v>3099</v>
      </c>
      <c r="CN7" s="696"/>
      <c r="CO7" s="5"/>
    </row>
    <row r="8" spans="1:93">
      <c r="A8" s="215">
        <v>46142</v>
      </c>
      <c r="B8" t="s">
        <v>869</v>
      </c>
      <c r="C8" t="s">
        <v>863</v>
      </c>
      <c r="D8" s="5">
        <v>758870860.54000068</v>
      </c>
      <c r="E8" s="5">
        <v>0</v>
      </c>
      <c r="F8" s="5">
        <v>421662.17000000004</v>
      </c>
      <c r="G8" s="5">
        <v>4851271.6099999957</v>
      </c>
      <c r="H8" s="5">
        <v>843973.88000000012</v>
      </c>
      <c r="I8" s="5">
        <v>0</v>
      </c>
      <c r="J8" s="5">
        <v>7736.86</v>
      </c>
      <c r="K8" s="5">
        <v>0</v>
      </c>
      <c r="L8" s="5">
        <v>0</v>
      </c>
      <c r="M8" s="5">
        <v>0</v>
      </c>
      <c r="N8" s="5">
        <v>0</v>
      </c>
      <c r="O8" s="5">
        <v>0</v>
      </c>
      <c r="P8" s="5">
        <v>0</v>
      </c>
      <c r="Q8" s="5">
        <v>753605014.07999849</v>
      </c>
      <c r="R8" s="5">
        <v>117986.12999999999</v>
      </c>
      <c r="S8" s="5">
        <v>27853.930000000008</v>
      </c>
      <c r="T8" s="5">
        <v>0</v>
      </c>
      <c r="U8" s="5">
        <v>85707.210000000021</v>
      </c>
      <c r="V8" s="5">
        <v>18861.179999999997</v>
      </c>
      <c r="W8" s="5">
        <v>0</v>
      </c>
      <c r="X8" s="5">
        <v>94091.71</v>
      </c>
      <c r="Y8" s="5">
        <v>20524.710000000006</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109601.63000000003</v>
      </c>
      <c r="AT8" s="5">
        <v>26190.400000000001</v>
      </c>
      <c r="AU8" s="5">
        <v>0</v>
      </c>
      <c r="AV8" s="5">
        <v>4765564.3999999957</v>
      </c>
      <c r="AW8" s="5">
        <v>94091.71</v>
      </c>
      <c r="AX8" s="5">
        <v>843973.88000000012</v>
      </c>
      <c r="AY8" s="5">
        <v>5703629.9899999937</v>
      </c>
      <c r="AZ8" s="5">
        <v>1059415.559999998</v>
      </c>
      <c r="BA8" s="5">
        <v>20524.710000000006</v>
      </c>
      <c r="BB8" s="5">
        <v>153.21999999999997</v>
      </c>
      <c r="BC8" s="5">
        <v>209.61999999999998</v>
      </c>
      <c r="BD8" s="5">
        <v>0</v>
      </c>
      <c r="BE8" s="5">
        <v>3873.57</v>
      </c>
      <c r="BF8" s="5">
        <v>0</v>
      </c>
      <c r="BG8" s="5">
        <v>0</v>
      </c>
      <c r="BH8" s="5">
        <v>1084176.6800000002</v>
      </c>
      <c r="BI8" s="5">
        <v>0</v>
      </c>
      <c r="BJ8" s="5">
        <v>0</v>
      </c>
      <c r="BK8" s="5">
        <v>0</v>
      </c>
      <c r="BL8" s="5">
        <v>6787806.6699999953</v>
      </c>
      <c r="BM8" s="5">
        <v>6787806.6699999804</v>
      </c>
      <c r="BN8" s="5">
        <v>0</v>
      </c>
      <c r="BO8" s="5">
        <v>457250.99000000098</v>
      </c>
      <c r="BP8" s="5">
        <v>0</v>
      </c>
      <c r="BQ8" s="5">
        <v>0</v>
      </c>
      <c r="BR8" s="215">
        <v>46081</v>
      </c>
      <c r="BS8" s="5">
        <v>735583792.3999995</v>
      </c>
      <c r="BT8" s="5">
        <v>3455</v>
      </c>
      <c r="BU8" s="5">
        <v>6519076.6499999994</v>
      </c>
      <c r="BV8" s="5">
        <v>26</v>
      </c>
      <c r="BW8" s="5">
        <v>1194502.6000000001</v>
      </c>
      <c r="BX8" s="5">
        <v>6</v>
      </c>
      <c r="BY8" s="5">
        <v>347623.28</v>
      </c>
      <c r="BZ8" s="5">
        <v>4</v>
      </c>
      <c r="CA8" s="5">
        <v>544989.54</v>
      </c>
      <c r="CB8" s="5">
        <v>3</v>
      </c>
      <c r="CC8" s="5">
        <v>795237.06999999983</v>
      </c>
      <c r="CD8" s="5">
        <v>10</v>
      </c>
      <c r="CE8" s="5">
        <v>0</v>
      </c>
      <c r="CF8" s="5">
        <v>0</v>
      </c>
      <c r="CG8" s="5">
        <v>3621680.6</v>
      </c>
      <c r="CH8" s="5">
        <v>0</v>
      </c>
      <c r="CI8" s="5">
        <v>0</v>
      </c>
      <c r="CJ8" s="691">
        <v>46203</v>
      </c>
      <c r="CK8" s="1031" t="s">
        <v>260</v>
      </c>
      <c r="CL8" s="1031" t="s">
        <v>261</v>
      </c>
      <c r="CM8" s="5">
        <v>217069.17569655957</v>
      </c>
      <c r="CN8" s="696"/>
      <c r="CO8" s="5"/>
    </row>
    <row r="9" spans="1:93">
      <c r="A9" s="215">
        <v>46142</v>
      </c>
      <c r="B9" t="s">
        <v>869</v>
      </c>
      <c r="C9" t="s">
        <v>864</v>
      </c>
      <c r="D9" s="5">
        <v>1641933.1400000001</v>
      </c>
      <c r="E9" s="5">
        <v>0</v>
      </c>
      <c r="F9" s="5">
        <v>0</v>
      </c>
      <c r="G9" s="5">
        <v>14466.899999999998</v>
      </c>
      <c r="H9" s="5">
        <v>55311.09</v>
      </c>
      <c r="I9" s="5">
        <v>0</v>
      </c>
      <c r="J9" s="5">
        <v>466.43</v>
      </c>
      <c r="K9" s="5">
        <v>0</v>
      </c>
      <c r="L9" s="5">
        <v>0</v>
      </c>
      <c r="M9" s="5">
        <v>0</v>
      </c>
      <c r="N9" s="5">
        <v>0</v>
      </c>
      <c r="O9" s="5">
        <v>0</v>
      </c>
      <c r="P9" s="5">
        <v>0</v>
      </c>
      <c r="Q9" s="5">
        <v>1572621.5800000003</v>
      </c>
      <c r="R9" s="5">
        <v>48701.29</v>
      </c>
      <c r="S9" s="5">
        <v>4437.59</v>
      </c>
      <c r="T9" s="5">
        <v>0</v>
      </c>
      <c r="U9" s="5">
        <v>8083.66</v>
      </c>
      <c r="V9" s="5">
        <v>955.35</v>
      </c>
      <c r="W9" s="5">
        <v>0</v>
      </c>
      <c r="X9" s="5">
        <v>7120.7300000000005</v>
      </c>
      <c r="Y9" s="5">
        <v>751.75</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49664.22</v>
      </c>
      <c r="AT9" s="5">
        <v>4641.1900000000005</v>
      </c>
      <c r="AU9" s="5">
        <v>0</v>
      </c>
      <c r="AV9" s="5">
        <v>6383.24</v>
      </c>
      <c r="AW9" s="5">
        <v>7120.7300000000005</v>
      </c>
      <c r="AX9" s="5">
        <v>55311.09</v>
      </c>
      <c r="AY9" s="5">
        <v>68815.059999999983</v>
      </c>
      <c r="AZ9" s="5">
        <v>552.6</v>
      </c>
      <c r="BA9" s="5">
        <v>751.75</v>
      </c>
      <c r="BB9" s="5">
        <v>73.489999999999981</v>
      </c>
      <c r="BC9" s="5">
        <v>95.2</v>
      </c>
      <c r="BD9" s="5">
        <v>0</v>
      </c>
      <c r="BE9" s="5">
        <v>497.8</v>
      </c>
      <c r="BF9" s="5">
        <v>0</v>
      </c>
      <c r="BG9" s="5">
        <v>0</v>
      </c>
      <c r="BH9" s="5">
        <v>1970.8399999999997</v>
      </c>
      <c r="BI9" s="5">
        <v>0</v>
      </c>
      <c r="BJ9" s="5">
        <v>0</v>
      </c>
      <c r="BL9" s="5">
        <v>70785.899999999994</v>
      </c>
      <c r="BM9" s="5">
        <v>70785.899999999994</v>
      </c>
      <c r="BN9" s="5">
        <v>0</v>
      </c>
      <c r="BO9" s="5">
        <v>695.8599999999999</v>
      </c>
      <c r="BP9" s="5">
        <v>0</v>
      </c>
      <c r="BQ9" s="5">
        <v>0</v>
      </c>
      <c r="BR9" s="215">
        <v>46053</v>
      </c>
      <c r="BS9" s="5">
        <v>742575007.2800014</v>
      </c>
      <c r="BT9" s="5">
        <v>3494</v>
      </c>
      <c r="BU9" s="5">
        <v>5646194.96</v>
      </c>
      <c r="BV9" s="5">
        <v>28</v>
      </c>
      <c r="BW9" s="5">
        <v>910065.83000000019</v>
      </c>
      <c r="BX9" s="5">
        <v>8</v>
      </c>
      <c r="BY9" s="5">
        <v>211377.38999999998</v>
      </c>
      <c r="BZ9" s="5">
        <v>4</v>
      </c>
      <c r="CA9" s="5">
        <v>17304.810000000001</v>
      </c>
      <c r="CB9" s="5">
        <v>1</v>
      </c>
      <c r="CC9" s="5">
        <v>783313.51</v>
      </c>
      <c r="CD9" s="5">
        <v>9</v>
      </c>
      <c r="CE9" s="5">
        <v>0</v>
      </c>
      <c r="CF9" s="5">
        <v>0</v>
      </c>
      <c r="CG9" s="5">
        <v>3625472.48</v>
      </c>
      <c r="CH9" s="5">
        <v>0</v>
      </c>
      <c r="CI9" s="889">
        <v>0</v>
      </c>
      <c r="CJ9" s="691">
        <v>46203</v>
      </c>
      <c r="CK9" s="1031" t="s">
        <v>262</v>
      </c>
      <c r="CL9" s="1031" t="s">
        <v>263</v>
      </c>
      <c r="CM9" s="5">
        <v>1.7585399846505485E-2</v>
      </c>
      <c r="CN9" s="696"/>
      <c r="CO9" s="5"/>
    </row>
    <row r="10" spans="1:93">
      <c r="A10" s="215">
        <v>46112</v>
      </c>
      <c r="B10" t="s">
        <v>869</v>
      </c>
      <c r="C10" t="s">
        <v>863</v>
      </c>
      <c r="D10" s="5">
        <v>743644994.92999887</v>
      </c>
      <c r="E10" s="5">
        <v>22403305.440000005</v>
      </c>
      <c r="F10" s="5">
        <v>509179.69000000006</v>
      </c>
      <c r="G10" s="5">
        <v>5428514.9099999983</v>
      </c>
      <c r="H10" s="5">
        <v>1918641.2699999998</v>
      </c>
      <c r="I10" s="5">
        <v>0</v>
      </c>
      <c r="J10" s="5">
        <v>3983.41</v>
      </c>
      <c r="K10" s="5">
        <v>0</v>
      </c>
      <c r="L10" s="5">
        <v>0</v>
      </c>
      <c r="M10" s="5">
        <v>343446.75</v>
      </c>
      <c r="N10" s="5">
        <v>0</v>
      </c>
      <c r="O10" s="5">
        <v>0</v>
      </c>
      <c r="P10" s="5">
        <v>0</v>
      </c>
      <c r="Q10" s="5">
        <v>758870860.5400008</v>
      </c>
      <c r="R10" s="5">
        <v>110686.64999999998</v>
      </c>
      <c r="S10" s="5">
        <v>26521.94</v>
      </c>
      <c r="T10" s="5">
        <v>0</v>
      </c>
      <c r="U10" s="5">
        <v>103374.04999999999</v>
      </c>
      <c r="V10" s="5">
        <v>23978.200000000004</v>
      </c>
      <c r="W10" s="5">
        <v>0</v>
      </c>
      <c r="X10" s="5">
        <v>81065.73</v>
      </c>
      <c r="Y10" s="5">
        <v>20184.03</v>
      </c>
      <c r="Z10" s="5">
        <v>0</v>
      </c>
      <c r="AA10" s="5">
        <v>0</v>
      </c>
      <c r="AB10" s="5">
        <v>0</v>
      </c>
      <c r="AC10" s="5">
        <v>0</v>
      </c>
      <c r="AD10" s="5">
        <v>0</v>
      </c>
      <c r="AE10" s="5">
        <v>0</v>
      </c>
      <c r="AF10" s="5">
        <v>0</v>
      </c>
      <c r="AG10" s="5">
        <v>15008.84</v>
      </c>
      <c r="AH10" s="5">
        <v>2462.1799999999998</v>
      </c>
      <c r="AI10" s="5">
        <v>0</v>
      </c>
      <c r="AJ10" s="5">
        <v>0</v>
      </c>
      <c r="AK10" s="5">
        <v>0</v>
      </c>
      <c r="AL10" s="5">
        <v>0</v>
      </c>
      <c r="AM10" s="5">
        <v>0</v>
      </c>
      <c r="AN10" s="5">
        <v>0</v>
      </c>
      <c r="AO10" s="5">
        <v>0</v>
      </c>
      <c r="AP10" s="5">
        <v>0</v>
      </c>
      <c r="AQ10" s="5">
        <v>0</v>
      </c>
      <c r="AR10" s="5">
        <v>0</v>
      </c>
      <c r="AS10" s="5">
        <v>117986.12999999998</v>
      </c>
      <c r="AT10" s="5">
        <v>27853.930000000008</v>
      </c>
      <c r="AU10" s="5">
        <v>0</v>
      </c>
      <c r="AV10" s="5">
        <v>5325140.8599999994</v>
      </c>
      <c r="AW10" s="5">
        <v>81065.73</v>
      </c>
      <c r="AX10" s="5">
        <v>1918641.2699999998</v>
      </c>
      <c r="AY10" s="5">
        <v>7324847.8600000031</v>
      </c>
      <c r="AZ10" s="5">
        <v>1062629.6100000013</v>
      </c>
      <c r="BA10" s="5">
        <v>20184.03</v>
      </c>
      <c r="BB10" s="5">
        <v>100.07000000000001</v>
      </c>
      <c r="BC10" s="5">
        <v>134.84999999999997</v>
      </c>
      <c r="BD10" s="5">
        <v>0</v>
      </c>
      <c r="BE10" s="5">
        <v>14305.61</v>
      </c>
      <c r="BF10" s="5">
        <v>0</v>
      </c>
      <c r="BG10" s="5">
        <v>0</v>
      </c>
      <c r="BH10" s="5">
        <v>1097354.1700000006</v>
      </c>
      <c r="BI10" s="5">
        <v>0</v>
      </c>
      <c r="BJ10" s="5">
        <v>0</v>
      </c>
      <c r="BK10" s="5">
        <v>0</v>
      </c>
      <c r="BL10" s="5">
        <v>8422202.0299999863</v>
      </c>
      <c r="BM10" s="5">
        <v>8422202.02999999</v>
      </c>
      <c r="BN10" s="5">
        <v>0</v>
      </c>
      <c r="BO10" s="5">
        <v>481417.70999999973</v>
      </c>
      <c r="BP10" s="5">
        <v>0</v>
      </c>
      <c r="BQ10" s="5">
        <v>0</v>
      </c>
      <c r="BR10" s="215">
        <v>46022</v>
      </c>
      <c r="BS10" s="5">
        <v>745640279.83000076</v>
      </c>
      <c r="BT10" s="5">
        <v>3541</v>
      </c>
      <c r="BU10" s="5">
        <v>8481214.0300000012</v>
      </c>
      <c r="BV10" s="5">
        <v>34</v>
      </c>
      <c r="BW10" s="5">
        <v>1249949.8999999999</v>
      </c>
      <c r="BX10" s="5">
        <v>9</v>
      </c>
      <c r="BY10" s="5">
        <v>188673.13999999998</v>
      </c>
      <c r="BZ10" s="5">
        <v>3</v>
      </c>
      <c r="CA10" s="5">
        <v>97326.360000000015</v>
      </c>
      <c r="CB10" s="5">
        <v>1</v>
      </c>
      <c r="CC10" s="5">
        <v>695681.8</v>
      </c>
      <c r="CD10" s="5">
        <v>8</v>
      </c>
      <c r="CE10" s="5">
        <v>0</v>
      </c>
      <c r="CF10" s="5">
        <v>0</v>
      </c>
      <c r="CG10" s="5">
        <v>3669745.08</v>
      </c>
      <c r="CH10" s="5">
        <v>0</v>
      </c>
      <c r="CI10" s="5">
        <v>0</v>
      </c>
      <c r="CJ10" s="691">
        <v>46203</v>
      </c>
      <c r="CK10" s="1031" t="s">
        <v>264</v>
      </c>
      <c r="CL10" s="1031" t="s">
        <v>265</v>
      </c>
      <c r="CM10" s="5">
        <v>237.07941806748539</v>
      </c>
      <c r="CN10" s="696"/>
      <c r="CO10" s="5"/>
    </row>
    <row r="11" spans="1:93">
      <c r="A11" s="215">
        <v>46112</v>
      </c>
      <c r="B11" t="s">
        <v>869</v>
      </c>
      <c r="C11" t="s">
        <v>864</v>
      </c>
      <c r="D11" s="5">
        <v>1308928.75</v>
      </c>
      <c r="E11" s="5">
        <v>0</v>
      </c>
      <c r="F11" s="5">
        <v>0</v>
      </c>
      <c r="G11" s="5">
        <v>10908.350000000002</v>
      </c>
      <c r="H11" s="5">
        <v>0</v>
      </c>
      <c r="I11" s="5">
        <v>0</v>
      </c>
      <c r="J11" s="5">
        <v>465.99</v>
      </c>
      <c r="K11" s="5">
        <v>0</v>
      </c>
      <c r="L11" s="5">
        <v>0</v>
      </c>
      <c r="M11" s="5">
        <v>343446.75</v>
      </c>
      <c r="N11" s="5">
        <v>0</v>
      </c>
      <c r="O11" s="5">
        <v>0</v>
      </c>
      <c r="P11" s="5">
        <v>0</v>
      </c>
      <c r="Q11" s="5">
        <v>1641933.1400000001</v>
      </c>
      <c r="R11" s="5">
        <v>29654.37</v>
      </c>
      <c r="S11" s="5">
        <v>1643.49</v>
      </c>
      <c r="T11" s="5">
        <v>0</v>
      </c>
      <c r="U11" s="5">
        <v>5009.2299999999996</v>
      </c>
      <c r="V11" s="5">
        <v>429.04</v>
      </c>
      <c r="W11" s="5">
        <v>0</v>
      </c>
      <c r="X11" s="5">
        <v>971.15</v>
      </c>
      <c r="Y11" s="5">
        <v>97.12</v>
      </c>
      <c r="Z11" s="5">
        <v>0</v>
      </c>
      <c r="AA11" s="5">
        <v>0</v>
      </c>
      <c r="AB11" s="5">
        <v>0</v>
      </c>
      <c r="AC11" s="5">
        <v>0</v>
      </c>
      <c r="AD11" s="5">
        <v>0</v>
      </c>
      <c r="AE11" s="5">
        <v>0</v>
      </c>
      <c r="AF11" s="5">
        <v>0</v>
      </c>
      <c r="AG11" s="5">
        <v>15008.84</v>
      </c>
      <c r="AH11" s="5">
        <v>2462.1799999999998</v>
      </c>
      <c r="AI11" s="5">
        <v>0</v>
      </c>
      <c r="AJ11" s="5">
        <v>0</v>
      </c>
      <c r="AK11" s="5">
        <v>0</v>
      </c>
      <c r="AL11" s="5">
        <v>0</v>
      </c>
      <c r="AM11" s="5">
        <v>0</v>
      </c>
      <c r="AN11" s="5">
        <v>0</v>
      </c>
      <c r="AO11" s="5">
        <v>0</v>
      </c>
      <c r="AP11" s="5">
        <v>0</v>
      </c>
      <c r="AQ11" s="5">
        <v>0</v>
      </c>
      <c r="AR11" s="5">
        <v>0</v>
      </c>
      <c r="AS11" s="5">
        <v>48701.29</v>
      </c>
      <c r="AT11" s="5">
        <v>4437.59</v>
      </c>
      <c r="AU11" s="5">
        <v>0</v>
      </c>
      <c r="AV11" s="5">
        <v>5899.12</v>
      </c>
      <c r="AW11" s="5">
        <v>971.15</v>
      </c>
      <c r="AX11" s="5">
        <v>0</v>
      </c>
      <c r="AY11" s="5">
        <v>6870.2699999999995</v>
      </c>
      <c r="AZ11" s="5">
        <v>537.29999999999995</v>
      </c>
      <c r="BA11" s="5">
        <v>97.12</v>
      </c>
      <c r="BB11" s="5">
        <v>15.44</v>
      </c>
      <c r="BC11" s="5">
        <v>11.500000000000002</v>
      </c>
      <c r="BD11" s="5">
        <v>0</v>
      </c>
      <c r="BE11" s="5">
        <v>0</v>
      </c>
      <c r="BF11" s="5">
        <v>0</v>
      </c>
      <c r="BG11" s="5">
        <v>0</v>
      </c>
      <c r="BH11" s="5">
        <v>661.36</v>
      </c>
      <c r="BI11" s="5">
        <v>0</v>
      </c>
      <c r="BJ11" s="5">
        <v>0</v>
      </c>
      <c r="BL11" s="5">
        <v>7531.63</v>
      </c>
      <c r="BM11" s="5">
        <v>7531.63</v>
      </c>
      <c r="BN11" s="5">
        <v>0</v>
      </c>
      <c r="BO11" s="5">
        <v>1155.95</v>
      </c>
      <c r="BP11" s="5">
        <v>0</v>
      </c>
      <c r="BQ11" s="5">
        <v>0</v>
      </c>
      <c r="BR11" s="215">
        <v>45991</v>
      </c>
      <c r="BS11" s="5">
        <v>738694113.1099999</v>
      </c>
      <c r="BT11" s="5">
        <v>3532</v>
      </c>
      <c r="BU11" s="5">
        <v>4959784.05</v>
      </c>
      <c r="BV11" s="5">
        <v>24</v>
      </c>
      <c r="BW11" s="5">
        <v>619630.82999999996</v>
      </c>
      <c r="BX11" s="5">
        <v>8</v>
      </c>
      <c r="BY11" s="5">
        <v>401431.07999999996</v>
      </c>
      <c r="BZ11" s="5">
        <v>3</v>
      </c>
      <c r="CA11" s="5">
        <v>60775.130000000005</v>
      </c>
      <c r="CB11" s="5">
        <v>1</v>
      </c>
      <c r="CC11" s="5">
        <v>638110.36999999976</v>
      </c>
      <c r="CD11" s="5">
        <v>7</v>
      </c>
      <c r="CE11" s="5">
        <v>0</v>
      </c>
      <c r="CF11" s="5">
        <v>0</v>
      </c>
      <c r="CG11" s="5">
        <v>3680059.43</v>
      </c>
      <c r="CH11" s="5">
        <v>0</v>
      </c>
      <c r="CI11" s="5">
        <v>0</v>
      </c>
      <c r="CJ11" s="691">
        <v>46203</v>
      </c>
      <c r="CK11" s="1031" t="s">
        <v>266</v>
      </c>
      <c r="CL11" s="1031" t="s">
        <v>267</v>
      </c>
      <c r="CM11" s="5">
        <v>61.846346830860782</v>
      </c>
      <c r="CN11" s="696"/>
      <c r="CO11" s="5"/>
    </row>
    <row r="12" spans="1:93">
      <c r="A12" s="215">
        <v>46081</v>
      </c>
      <c r="B12" t="s">
        <v>869</v>
      </c>
      <c r="C12" t="s">
        <v>863</v>
      </c>
      <c r="D12" s="5">
        <v>749342645.46000171</v>
      </c>
      <c r="E12" s="5">
        <v>0</v>
      </c>
      <c r="F12" s="5">
        <v>392081.2</v>
      </c>
      <c r="G12" s="5">
        <v>4933920.9400000153</v>
      </c>
      <c r="H12" s="5">
        <v>625313.35000000009</v>
      </c>
      <c r="I12" s="5">
        <v>0</v>
      </c>
      <c r="J12" s="5">
        <v>4438.7900000000009</v>
      </c>
      <c r="K12" s="5">
        <v>0</v>
      </c>
      <c r="L12" s="5">
        <v>0</v>
      </c>
      <c r="M12" s="5">
        <v>534936.23</v>
      </c>
      <c r="N12" s="5">
        <v>0</v>
      </c>
      <c r="O12" s="5">
        <v>0</v>
      </c>
      <c r="P12" s="5">
        <v>0</v>
      </c>
      <c r="Q12" s="5">
        <v>743644994.92999887</v>
      </c>
      <c r="R12" s="5">
        <v>97676.759999999966</v>
      </c>
      <c r="S12" s="5">
        <v>16084.639999999998</v>
      </c>
      <c r="T12" s="5">
        <v>0</v>
      </c>
      <c r="U12" s="5">
        <v>98941.299999999974</v>
      </c>
      <c r="V12" s="5">
        <v>23305.730000000003</v>
      </c>
      <c r="W12" s="5">
        <v>0</v>
      </c>
      <c r="X12" s="5">
        <v>76248.110000000015</v>
      </c>
      <c r="Y12" s="5">
        <v>12498.42</v>
      </c>
      <c r="Z12" s="5">
        <v>0</v>
      </c>
      <c r="AA12" s="5">
        <v>0</v>
      </c>
      <c r="AB12" s="5">
        <v>0</v>
      </c>
      <c r="AC12" s="5">
        <v>0</v>
      </c>
      <c r="AD12" s="5">
        <v>0</v>
      </c>
      <c r="AE12" s="5">
        <v>0</v>
      </c>
      <c r="AF12" s="5">
        <v>0</v>
      </c>
      <c r="AG12" s="5">
        <v>9683.2999999999993</v>
      </c>
      <c r="AH12" s="5">
        <v>370.01</v>
      </c>
      <c r="AI12" s="5">
        <v>0</v>
      </c>
      <c r="AJ12" s="5">
        <v>0</v>
      </c>
      <c r="AK12" s="5">
        <v>0</v>
      </c>
      <c r="AL12" s="5">
        <v>0</v>
      </c>
      <c r="AM12" s="5">
        <v>0</v>
      </c>
      <c r="AN12" s="5">
        <v>0</v>
      </c>
      <c r="AO12" s="5">
        <v>0</v>
      </c>
      <c r="AP12" s="5">
        <v>0</v>
      </c>
      <c r="AQ12" s="5">
        <v>0</v>
      </c>
      <c r="AR12" s="5">
        <v>0</v>
      </c>
      <c r="AS12" s="5">
        <v>110686.64999999998</v>
      </c>
      <c r="AT12" s="5">
        <v>26521.94</v>
      </c>
      <c r="AU12" s="5">
        <v>0</v>
      </c>
      <c r="AV12" s="5">
        <v>4834979.6400000127</v>
      </c>
      <c r="AW12" s="5">
        <v>76248.110000000015</v>
      </c>
      <c r="AX12" s="5">
        <v>625313.35000000009</v>
      </c>
      <c r="AY12" s="5">
        <v>5536541.1000000108</v>
      </c>
      <c r="AZ12" s="5">
        <v>1017892.0699999984</v>
      </c>
      <c r="BA12" s="5">
        <v>12498.42</v>
      </c>
      <c r="BB12" s="5">
        <v>133.62999999999997</v>
      </c>
      <c r="BC12" s="5">
        <v>146.1</v>
      </c>
      <c r="BD12" s="5">
        <v>0</v>
      </c>
      <c r="BE12" s="5">
        <v>692.16</v>
      </c>
      <c r="BF12" s="5">
        <v>0</v>
      </c>
      <c r="BG12" s="5">
        <v>0</v>
      </c>
      <c r="BH12" s="5">
        <v>1031362.3799999987</v>
      </c>
      <c r="BI12" s="5">
        <v>0</v>
      </c>
      <c r="BJ12" s="5">
        <v>0</v>
      </c>
      <c r="BK12" s="5">
        <v>0</v>
      </c>
      <c r="BL12" s="5">
        <v>6567903.4799999958</v>
      </c>
      <c r="BM12" s="5">
        <v>6567903.4800000181</v>
      </c>
      <c r="BN12" s="5">
        <v>0</v>
      </c>
      <c r="BO12" s="5">
        <v>417324.52000000031</v>
      </c>
      <c r="BP12" s="5">
        <v>0</v>
      </c>
      <c r="BQ12" s="5">
        <v>0</v>
      </c>
      <c r="BR12" s="215">
        <v>45961</v>
      </c>
      <c r="BS12" s="5">
        <v>744133315.72000027</v>
      </c>
      <c r="BT12" s="5">
        <v>3563</v>
      </c>
      <c r="BU12" s="5">
        <v>5216432.6400000006</v>
      </c>
      <c r="BV12" s="5">
        <v>26</v>
      </c>
      <c r="BW12" s="5">
        <v>610687.5</v>
      </c>
      <c r="BX12" s="5">
        <v>7</v>
      </c>
      <c r="BY12" s="5">
        <v>228403.85</v>
      </c>
      <c r="BZ12" s="5">
        <v>3</v>
      </c>
      <c r="CA12" s="5">
        <v>0</v>
      </c>
      <c r="CB12" s="5">
        <v>0</v>
      </c>
      <c r="CC12" s="5">
        <v>649400.92000000004</v>
      </c>
      <c r="CD12" s="5">
        <v>7</v>
      </c>
      <c r="CE12" s="5">
        <v>0</v>
      </c>
      <c r="CF12" s="5">
        <v>0</v>
      </c>
      <c r="CG12" s="5">
        <v>3724271.24</v>
      </c>
      <c r="CH12" s="5">
        <v>0</v>
      </c>
      <c r="CI12" s="5">
        <v>0</v>
      </c>
      <c r="CJ12" s="691">
        <v>46203</v>
      </c>
      <c r="CK12" s="1031" t="s">
        <v>268</v>
      </c>
      <c r="CL12" s="1031" t="s">
        <v>269</v>
      </c>
      <c r="CM12" s="5">
        <v>175.23307123662414</v>
      </c>
      <c r="CN12" s="696"/>
      <c r="CO12" s="5"/>
    </row>
    <row r="13" spans="1:93">
      <c r="A13" s="215">
        <v>46081</v>
      </c>
      <c r="B13" t="s">
        <v>869</v>
      </c>
      <c r="C13" t="s">
        <v>864</v>
      </c>
      <c r="D13" s="5">
        <v>782055.52000000014</v>
      </c>
      <c r="E13" s="5">
        <v>0</v>
      </c>
      <c r="F13" s="5">
        <v>0</v>
      </c>
      <c r="G13" s="5">
        <v>8063.0000000000009</v>
      </c>
      <c r="H13" s="5">
        <v>0</v>
      </c>
      <c r="I13" s="5">
        <v>0</v>
      </c>
      <c r="J13" s="5">
        <v>0</v>
      </c>
      <c r="K13" s="5">
        <v>0</v>
      </c>
      <c r="L13" s="5">
        <v>0</v>
      </c>
      <c r="M13" s="5">
        <v>534936.23</v>
      </c>
      <c r="N13" s="5">
        <v>0</v>
      </c>
      <c r="O13" s="5">
        <v>0</v>
      </c>
      <c r="P13" s="5">
        <v>0</v>
      </c>
      <c r="Q13" s="5">
        <v>1308928.75</v>
      </c>
      <c r="R13" s="5">
        <v>17612.830000000002</v>
      </c>
      <c r="S13" s="5">
        <v>949.97</v>
      </c>
      <c r="T13" s="5">
        <v>0</v>
      </c>
      <c r="U13" s="5">
        <v>2358.2399999999998</v>
      </c>
      <c r="V13" s="5">
        <v>323.51</v>
      </c>
      <c r="W13" s="5">
        <v>0</v>
      </c>
      <c r="X13" s="5">
        <v>0</v>
      </c>
      <c r="Y13" s="5">
        <v>0</v>
      </c>
      <c r="Z13" s="5">
        <v>0</v>
      </c>
      <c r="AA13" s="5">
        <v>0</v>
      </c>
      <c r="AB13" s="5">
        <v>0</v>
      </c>
      <c r="AC13" s="5">
        <v>0</v>
      </c>
      <c r="AD13" s="5">
        <v>0</v>
      </c>
      <c r="AE13" s="5">
        <v>0</v>
      </c>
      <c r="AF13" s="5">
        <v>0</v>
      </c>
      <c r="AG13" s="5">
        <v>9683.2999999999993</v>
      </c>
      <c r="AH13" s="5">
        <v>370.01</v>
      </c>
      <c r="AI13" s="5">
        <v>0</v>
      </c>
      <c r="AJ13" s="5">
        <v>0</v>
      </c>
      <c r="AK13" s="5">
        <v>0</v>
      </c>
      <c r="AL13" s="5">
        <v>0</v>
      </c>
      <c r="AM13" s="5">
        <v>0</v>
      </c>
      <c r="AN13" s="5">
        <v>0</v>
      </c>
      <c r="AO13" s="5">
        <v>0</v>
      </c>
      <c r="AP13" s="5">
        <v>0</v>
      </c>
      <c r="AQ13" s="5">
        <v>0</v>
      </c>
      <c r="AR13" s="5">
        <v>0</v>
      </c>
      <c r="AS13" s="5">
        <v>29654.37</v>
      </c>
      <c r="AT13" s="5">
        <v>1643.49</v>
      </c>
      <c r="AU13" s="5">
        <v>0</v>
      </c>
      <c r="AV13" s="5">
        <v>5704.76</v>
      </c>
      <c r="AW13" s="5">
        <v>0</v>
      </c>
      <c r="AX13" s="5">
        <v>0</v>
      </c>
      <c r="AY13" s="5">
        <v>5704.76</v>
      </c>
      <c r="AZ13" s="5">
        <v>542.49</v>
      </c>
      <c r="BA13" s="5">
        <v>0</v>
      </c>
      <c r="BB13" s="5">
        <v>0</v>
      </c>
      <c r="BC13" s="5">
        <v>0</v>
      </c>
      <c r="BD13" s="5">
        <v>0</v>
      </c>
      <c r="BE13" s="5">
        <v>0</v>
      </c>
      <c r="BF13" s="5">
        <v>0</v>
      </c>
      <c r="BG13" s="5">
        <v>0</v>
      </c>
      <c r="BH13" s="5">
        <v>542.49</v>
      </c>
      <c r="BI13" s="5">
        <v>0</v>
      </c>
      <c r="BJ13" s="5">
        <v>0</v>
      </c>
      <c r="BL13" s="5">
        <v>6247.25</v>
      </c>
      <c r="BM13" s="5">
        <v>6247.25</v>
      </c>
      <c r="BN13" s="5">
        <v>0</v>
      </c>
      <c r="BO13" s="5">
        <v>798.0100000000001</v>
      </c>
      <c r="BP13" s="5">
        <v>0</v>
      </c>
      <c r="BQ13" s="5">
        <v>0</v>
      </c>
      <c r="BR13" s="215">
        <v>45930</v>
      </c>
      <c r="BS13" s="5">
        <v>750681652.66000092</v>
      </c>
      <c r="BT13" s="5">
        <v>3627</v>
      </c>
      <c r="BU13" s="5">
        <v>4484138.3999999994</v>
      </c>
      <c r="BV13" s="5">
        <v>18</v>
      </c>
      <c r="BW13" s="5">
        <v>390599.77</v>
      </c>
      <c r="BX13" s="5">
        <v>6</v>
      </c>
      <c r="BY13" s="5">
        <v>0</v>
      </c>
      <c r="BZ13" s="5">
        <v>0</v>
      </c>
      <c r="CA13" s="5">
        <v>0</v>
      </c>
      <c r="CB13" s="5">
        <v>0</v>
      </c>
      <c r="CC13" s="5">
        <v>655098.8600000001</v>
      </c>
      <c r="CD13" s="5">
        <v>8</v>
      </c>
      <c r="CE13" s="5">
        <v>0</v>
      </c>
      <c r="CF13" s="5">
        <v>0</v>
      </c>
      <c r="CG13" s="5">
        <v>3730785.51</v>
      </c>
      <c r="CH13" s="5">
        <v>0</v>
      </c>
      <c r="CI13" s="5">
        <v>0</v>
      </c>
      <c r="CJ13" s="691">
        <v>46203</v>
      </c>
      <c r="CK13" s="1031" t="s">
        <v>270</v>
      </c>
      <c r="CL13" s="1031" t="s">
        <v>271</v>
      </c>
      <c r="CM13" s="5">
        <v>0.93300992612885947</v>
      </c>
      <c r="CN13" s="696"/>
      <c r="CO13" s="5"/>
    </row>
    <row r="14" spans="1:93">
      <c r="A14" s="215">
        <v>46053</v>
      </c>
      <c r="B14" t="s">
        <v>869</v>
      </c>
      <c r="C14" t="s">
        <v>863</v>
      </c>
      <c r="D14" s="5">
        <v>755560116.90000081</v>
      </c>
      <c r="E14" s="5">
        <v>0</v>
      </c>
      <c r="F14" s="5">
        <v>282714.65000000002</v>
      </c>
      <c r="G14" s="5">
        <v>4966058.4600000028</v>
      </c>
      <c r="H14" s="5">
        <v>1524250.5</v>
      </c>
      <c r="I14" s="5">
        <v>0</v>
      </c>
      <c r="J14" s="5">
        <v>7427.6800000000012</v>
      </c>
      <c r="K14" s="5">
        <v>0</v>
      </c>
      <c r="L14" s="5">
        <v>0</v>
      </c>
      <c r="M14" s="5">
        <v>17304.810000000001</v>
      </c>
      <c r="N14" s="5">
        <v>0</v>
      </c>
      <c r="O14" s="5">
        <v>0</v>
      </c>
      <c r="P14" s="5">
        <v>0</v>
      </c>
      <c r="Q14" s="5">
        <v>749342645.46000171</v>
      </c>
      <c r="R14" s="5">
        <v>81698.560000000027</v>
      </c>
      <c r="S14" s="5">
        <v>13235.589999999998</v>
      </c>
      <c r="T14" s="5">
        <v>0</v>
      </c>
      <c r="U14" s="5">
        <v>84228.03</v>
      </c>
      <c r="V14" s="5">
        <v>14253.479999999998</v>
      </c>
      <c r="W14" s="5">
        <v>0</v>
      </c>
      <c r="X14" s="5">
        <v>68249.829999999987</v>
      </c>
      <c r="Y14" s="5">
        <v>11404.43</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97676.759999999966</v>
      </c>
      <c r="AT14" s="5">
        <v>16084.639999999998</v>
      </c>
      <c r="AU14" s="5">
        <v>0</v>
      </c>
      <c r="AV14" s="5">
        <v>4881830.4300000062</v>
      </c>
      <c r="AW14" s="5">
        <v>68249.829999999987</v>
      </c>
      <c r="AX14" s="5">
        <v>1524250.5</v>
      </c>
      <c r="AY14" s="5">
        <v>6474330.7600000147</v>
      </c>
      <c r="AZ14" s="5">
        <v>1037717.8899999976</v>
      </c>
      <c r="BA14" s="5">
        <v>11404.43</v>
      </c>
      <c r="BB14" s="5">
        <v>114.27000000000001</v>
      </c>
      <c r="BC14" s="5">
        <v>144.04999999999993</v>
      </c>
      <c r="BD14" s="5">
        <v>0</v>
      </c>
      <c r="BE14" s="5">
        <v>9800.3399999999983</v>
      </c>
      <c r="BF14" s="5">
        <v>293.14999999999998</v>
      </c>
      <c r="BG14" s="5">
        <v>0</v>
      </c>
      <c r="BH14" s="5">
        <v>1059474.129999998</v>
      </c>
      <c r="BI14" s="5">
        <v>0</v>
      </c>
      <c r="BJ14" s="5">
        <v>0</v>
      </c>
      <c r="BK14" s="5">
        <v>0</v>
      </c>
      <c r="BL14" s="5">
        <v>7533804.889999995</v>
      </c>
      <c r="BM14" s="5">
        <v>7533804.8900000192</v>
      </c>
      <c r="BN14" s="5">
        <v>0</v>
      </c>
      <c r="BO14" s="5">
        <v>466884.14999999915</v>
      </c>
      <c r="BP14" s="5">
        <v>0</v>
      </c>
      <c r="BQ14" s="5">
        <v>0</v>
      </c>
      <c r="BR14" s="215">
        <v>45900</v>
      </c>
      <c r="BS14" s="5">
        <v>739032345.48000097</v>
      </c>
      <c r="BT14" s="5">
        <v>3644</v>
      </c>
      <c r="BU14" s="5">
        <v>5625020.3699999992</v>
      </c>
      <c r="BV14" s="5">
        <v>22</v>
      </c>
      <c r="BW14" s="5">
        <v>190365.25</v>
      </c>
      <c r="BX14" s="5">
        <v>3</v>
      </c>
      <c r="BY14" s="5">
        <v>227882.65000000002</v>
      </c>
      <c r="BZ14" s="5">
        <v>3</v>
      </c>
      <c r="CA14" s="5">
        <v>22272.36</v>
      </c>
      <c r="CB14" s="5">
        <v>1</v>
      </c>
      <c r="CC14" s="5">
        <v>669876.09</v>
      </c>
      <c r="CD14" s="5">
        <v>8</v>
      </c>
      <c r="CE14" s="5">
        <v>0</v>
      </c>
      <c r="CF14" s="5">
        <v>0</v>
      </c>
      <c r="CG14" s="5">
        <v>3734554.75</v>
      </c>
      <c r="CH14" s="5">
        <v>0</v>
      </c>
      <c r="CI14" s="5">
        <v>0</v>
      </c>
      <c r="CJ14" s="691">
        <v>46203</v>
      </c>
      <c r="CK14" s="1031" t="s">
        <v>272</v>
      </c>
      <c r="CL14" s="1031" t="s">
        <v>2609</v>
      </c>
      <c r="CM14" s="5">
        <v>0.67008571086416147</v>
      </c>
      <c r="CN14" s="696"/>
      <c r="CO14" s="5"/>
    </row>
    <row r="15" spans="1:93">
      <c r="A15" s="215">
        <v>46053</v>
      </c>
      <c r="B15" t="s">
        <v>869</v>
      </c>
      <c r="C15" t="s">
        <v>864</v>
      </c>
      <c r="D15" s="5">
        <v>772522.21</v>
      </c>
      <c r="E15" s="5">
        <v>0</v>
      </c>
      <c r="F15" s="5">
        <v>0</v>
      </c>
      <c r="G15" s="5">
        <v>7771.5</v>
      </c>
      <c r="H15" s="5">
        <v>0</v>
      </c>
      <c r="I15" s="5">
        <v>0</v>
      </c>
      <c r="J15" s="5">
        <v>0</v>
      </c>
      <c r="K15" s="5">
        <v>0</v>
      </c>
      <c r="L15" s="5">
        <v>0</v>
      </c>
      <c r="M15" s="5">
        <v>17304.810000000001</v>
      </c>
      <c r="N15" s="5">
        <v>0</v>
      </c>
      <c r="O15" s="5">
        <v>0</v>
      </c>
      <c r="P15" s="5">
        <v>0</v>
      </c>
      <c r="Q15" s="5">
        <v>782055.52000000014</v>
      </c>
      <c r="R15" s="5">
        <v>19028.680000000004</v>
      </c>
      <c r="S15" s="5">
        <v>1457.27</v>
      </c>
      <c r="T15" s="5">
        <v>0</v>
      </c>
      <c r="U15" s="5">
        <v>2163.4</v>
      </c>
      <c r="V15" s="5">
        <v>329.18</v>
      </c>
      <c r="W15" s="5">
        <v>0</v>
      </c>
      <c r="X15" s="5">
        <v>3579.25</v>
      </c>
      <c r="Y15" s="5">
        <v>836.48</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17612.830000000002</v>
      </c>
      <c r="AT15" s="5">
        <v>949.97</v>
      </c>
      <c r="AU15" s="5">
        <v>0</v>
      </c>
      <c r="AV15" s="5">
        <v>5608.1</v>
      </c>
      <c r="AW15" s="5">
        <v>3579.25</v>
      </c>
      <c r="AX15" s="5">
        <v>0</v>
      </c>
      <c r="AY15" s="5">
        <v>9187.35</v>
      </c>
      <c r="AZ15" s="5">
        <v>547.68999999999994</v>
      </c>
      <c r="BA15" s="5">
        <v>836.48</v>
      </c>
      <c r="BB15" s="5">
        <v>39.989999999999995</v>
      </c>
      <c r="BC15" s="5">
        <v>34.17</v>
      </c>
      <c r="BD15" s="5">
        <v>0</v>
      </c>
      <c r="BE15" s="5">
        <v>0</v>
      </c>
      <c r="BF15" s="5">
        <v>0</v>
      </c>
      <c r="BG15" s="5">
        <v>0</v>
      </c>
      <c r="BH15" s="5">
        <v>1458.33</v>
      </c>
      <c r="BI15" s="5">
        <v>0</v>
      </c>
      <c r="BJ15" s="5">
        <v>0</v>
      </c>
      <c r="BL15" s="5">
        <v>10645.68</v>
      </c>
      <c r="BM15" s="5">
        <v>10645.68</v>
      </c>
      <c r="BN15" s="5">
        <v>0</v>
      </c>
      <c r="BO15" s="5">
        <v>453.87999999999994</v>
      </c>
      <c r="BP15" s="5">
        <v>0</v>
      </c>
      <c r="BQ15" s="5">
        <v>0</v>
      </c>
      <c r="BR15" s="215">
        <v>45869</v>
      </c>
      <c r="BS15" s="5">
        <v>745355324.04000115</v>
      </c>
      <c r="BT15" s="5">
        <v>3705</v>
      </c>
      <c r="BU15" s="5">
        <v>4460746.67</v>
      </c>
      <c r="BV15" s="5">
        <v>23</v>
      </c>
      <c r="BW15" s="5">
        <v>967465.45000000007</v>
      </c>
      <c r="BX15" s="5">
        <v>5</v>
      </c>
      <c r="BY15" s="5">
        <v>157974.89000000001</v>
      </c>
      <c r="BZ15" s="5">
        <v>3</v>
      </c>
      <c r="CA15" s="5">
        <v>153579.82999999999</v>
      </c>
      <c r="CB15" s="5">
        <v>2</v>
      </c>
      <c r="CC15" s="5">
        <v>621319.59000000008</v>
      </c>
      <c r="CD15" s="5">
        <v>6</v>
      </c>
      <c r="CE15" s="5">
        <v>0</v>
      </c>
      <c r="CF15" s="5">
        <v>373612.75</v>
      </c>
      <c r="CG15" s="5">
        <v>3405093.1</v>
      </c>
      <c r="CH15" s="5">
        <v>0</v>
      </c>
      <c r="CI15" s="5">
        <v>373612.75</v>
      </c>
      <c r="CJ15" s="691">
        <v>46203</v>
      </c>
      <c r="CK15" s="1031" t="s">
        <v>274</v>
      </c>
      <c r="CL15" s="1031" t="s">
        <v>1103</v>
      </c>
      <c r="CM15" s="5">
        <v>0.48071084828216792</v>
      </c>
      <c r="CN15" s="696"/>
      <c r="CO15" s="5"/>
    </row>
    <row r="16" spans="1:93">
      <c r="A16" s="215">
        <v>46022</v>
      </c>
      <c r="B16" t="s">
        <v>869</v>
      </c>
      <c r="C16" t="s">
        <v>863</v>
      </c>
      <c r="D16" s="5">
        <v>744674959.07000017</v>
      </c>
      <c r="E16" s="5">
        <v>18201437.559999999</v>
      </c>
      <c r="F16" s="5">
        <v>730632.57000000007</v>
      </c>
      <c r="G16" s="5">
        <v>4903225.5700000068</v>
      </c>
      <c r="H16" s="5">
        <v>3056146.9900000007</v>
      </c>
      <c r="I16" s="5">
        <v>0</v>
      </c>
      <c r="J16" s="5">
        <v>7511.58</v>
      </c>
      <c r="K16" s="5">
        <v>0</v>
      </c>
      <c r="L16" s="5">
        <v>0</v>
      </c>
      <c r="M16" s="5">
        <v>95051.32</v>
      </c>
      <c r="N16" s="5">
        <v>0</v>
      </c>
      <c r="O16" s="5">
        <v>0</v>
      </c>
      <c r="P16" s="5">
        <v>0</v>
      </c>
      <c r="Q16" s="5">
        <v>755560116.90000117</v>
      </c>
      <c r="R16" s="5">
        <v>96035.700000000026</v>
      </c>
      <c r="S16" s="5">
        <v>25643.17</v>
      </c>
      <c r="T16" s="5">
        <v>0</v>
      </c>
      <c r="U16" s="5">
        <v>64990.789999999986</v>
      </c>
      <c r="V16" s="5">
        <v>11680.08</v>
      </c>
      <c r="W16" s="5">
        <v>0</v>
      </c>
      <c r="X16" s="5">
        <v>77592.439999999988</v>
      </c>
      <c r="Y16" s="5">
        <v>23548.110000000004</v>
      </c>
      <c r="Z16" s="5">
        <v>0</v>
      </c>
      <c r="AA16" s="5">
        <v>0</v>
      </c>
      <c r="AB16" s="5">
        <v>0</v>
      </c>
      <c r="AC16" s="5">
        <v>0</v>
      </c>
      <c r="AD16" s="5">
        <v>0</v>
      </c>
      <c r="AE16" s="5">
        <v>0</v>
      </c>
      <c r="AF16" s="5">
        <v>0</v>
      </c>
      <c r="AG16" s="5">
        <v>1735.49</v>
      </c>
      <c r="AH16" s="5">
        <v>539.54999999999995</v>
      </c>
      <c r="AI16" s="5">
        <v>0</v>
      </c>
      <c r="AJ16" s="5">
        <v>0</v>
      </c>
      <c r="AK16" s="5">
        <v>0</v>
      </c>
      <c r="AL16" s="5">
        <v>0</v>
      </c>
      <c r="AM16" s="5">
        <v>0</v>
      </c>
      <c r="AN16" s="5">
        <v>0</v>
      </c>
      <c r="AO16" s="5">
        <v>0</v>
      </c>
      <c r="AP16" s="5">
        <v>0</v>
      </c>
      <c r="AQ16" s="5">
        <v>0</v>
      </c>
      <c r="AR16" s="5">
        <v>0</v>
      </c>
      <c r="AS16" s="5">
        <v>81698.560000000027</v>
      </c>
      <c r="AT16" s="5">
        <v>13235.589999999998</v>
      </c>
      <c r="AU16" s="5">
        <v>0</v>
      </c>
      <c r="AV16" s="5">
        <v>4838234.7800000086</v>
      </c>
      <c r="AW16" s="5">
        <v>77592.439999999988</v>
      </c>
      <c r="AX16" s="5">
        <v>3056146.9900000007</v>
      </c>
      <c r="AY16" s="5">
        <v>7971974.2100000102</v>
      </c>
      <c r="AZ16" s="5">
        <v>1043900.3199999997</v>
      </c>
      <c r="BA16" s="5">
        <v>23548.110000000004</v>
      </c>
      <c r="BB16" s="5">
        <v>82.15</v>
      </c>
      <c r="BC16" s="5">
        <v>101.43</v>
      </c>
      <c r="BD16" s="5">
        <v>0</v>
      </c>
      <c r="BE16" s="5">
        <v>15568.64</v>
      </c>
      <c r="BF16" s="5">
        <v>433.31000000000006</v>
      </c>
      <c r="BG16" s="5">
        <v>0</v>
      </c>
      <c r="BH16" s="5">
        <v>1083633.9599999993</v>
      </c>
      <c r="BI16" s="5">
        <v>0</v>
      </c>
      <c r="BJ16" s="5">
        <v>0</v>
      </c>
      <c r="BK16" s="5">
        <v>0</v>
      </c>
      <c r="BL16" s="5">
        <v>9055608.1699999794</v>
      </c>
      <c r="BM16" s="5">
        <v>9055608.1700000037</v>
      </c>
      <c r="BN16" s="5">
        <v>0</v>
      </c>
      <c r="BO16" s="5">
        <v>471650.73999999912</v>
      </c>
      <c r="BP16" s="5">
        <v>0</v>
      </c>
      <c r="BQ16" s="5">
        <v>0</v>
      </c>
      <c r="BR16" s="215">
        <v>45838</v>
      </c>
      <c r="BS16" s="5">
        <v>748209647.07000005</v>
      </c>
      <c r="BT16" s="5">
        <v>3733</v>
      </c>
      <c r="BU16" s="5">
        <v>7692336.9099999992</v>
      </c>
      <c r="BV16" s="5">
        <v>37</v>
      </c>
      <c r="BW16" s="5">
        <v>850813.64</v>
      </c>
      <c r="BX16" s="5">
        <v>7</v>
      </c>
      <c r="BY16" s="5">
        <v>269196.77</v>
      </c>
      <c r="BZ16" s="5">
        <v>4</v>
      </c>
      <c r="CA16" s="5">
        <v>15379.39</v>
      </c>
      <c r="CB16" s="5">
        <v>2</v>
      </c>
      <c r="CC16" s="5">
        <v>611657.80999999994</v>
      </c>
      <c r="CD16" s="5">
        <v>4</v>
      </c>
      <c r="CE16" s="5">
        <v>0</v>
      </c>
      <c r="CF16" s="5">
        <v>0</v>
      </c>
      <c r="CG16" s="5">
        <v>3573428.34</v>
      </c>
      <c r="CH16" s="5">
        <v>0</v>
      </c>
      <c r="CI16" s="5">
        <v>0</v>
      </c>
      <c r="CJ16" s="691">
        <v>46203</v>
      </c>
      <c r="CK16" s="1031" t="s">
        <v>275</v>
      </c>
      <c r="CL16" s="1031" t="s">
        <v>278</v>
      </c>
      <c r="CM16" s="5">
        <v>0.10823824245619185</v>
      </c>
      <c r="CN16" s="696"/>
      <c r="CO16" s="5"/>
    </row>
    <row r="17" spans="1:93">
      <c r="A17" s="215">
        <v>46022</v>
      </c>
      <c r="B17" t="s">
        <v>869</v>
      </c>
      <c r="C17" t="s">
        <v>864</v>
      </c>
      <c r="D17" s="5">
        <v>685599.44999999984</v>
      </c>
      <c r="E17" s="5">
        <v>0</v>
      </c>
      <c r="F17" s="5">
        <v>0</v>
      </c>
      <c r="G17" s="5">
        <v>8128.5599999999995</v>
      </c>
      <c r="H17" s="5">
        <v>0</v>
      </c>
      <c r="I17" s="5">
        <v>0</v>
      </c>
      <c r="J17" s="5">
        <v>0</v>
      </c>
      <c r="K17" s="5">
        <v>0</v>
      </c>
      <c r="L17" s="5">
        <v>0</v>
      </c>
      <c r="M17" s="5">
        <v>95051.32</v>
      </c>
      <c r="N17" s="5">
        <v>0</v>
      </c>
      <c r="O17" s="5">
        <v>0</v>
      </c>
      <c r="P17" s="5">
        <v>0</v>
      </c>
      <c r="Q17" s="5">
        <v>772522.21</v>
      </c>
      <c r="R17" s="5">
        <v>12501.16</v>
      </c>
      <c r="S17" s="5">
        <v>784.8900000000001</v>
      </c>
      <c r="T17" s="5">
        <v>0</v>
      </c>
      <c r="U17" s="5">
        <v>2960.75</v>
      </c>
      <c r="V17" s="5">
        <v>365.51</v>
      </c>
      <c r="W17" s="5">
        <v>0</v>
      </c>
      <c r="X17" s="5">
        <v>-1831.28</v>
      </c>
      <c r="Y17" s="5">
        <v>232.68</v>
      </c>
      <c r="Z17" s="5">
        <v>0</v>
      </c>
      <c r="AA17" s="5">
        <v>0</v>
      </c>
      <c r="AB17" s="5">
        <v>0</v>
      </c>
      <c r="AC17" s="5">
        <v>0</v>
      </c>
      <c r="AD17" s="5">
        <v>0</v>
      </c>
      <c r="AE17" s="5">
        <v>0</v>
      </c>
      <c r="AF17" s="5">
        <v>0</v>
      </c>
      <c r="AG17" s="5">
        <v>1735.49</v>
      </c>
      <c r="AH17" s="5">
        <v>539.54999999999995</v>
      </c>
      <c r="AI17" s="5">
        <v>0</v>
      </c>
      <c r="AJ17" s="5">
        <v>0</v>
      </c>
      <c r="AK17" s="5">
        <v>0</v>
      </c>
      <c r="AL17" s="5">
        <v>0</v>
      </c>
      <c r="AM17" s="5">
        <v>0</v>
      </c>
      <c r="AN17" s="5">
        <v>0</v>
      </c>
      <c r="AO17" s="5">
        <v>0</v>
      </c>
      <c r="AP17" s="5">
        <v>0</v>
      </c>
      <c r="AQ17" s="5">
        <v>0</v>
      </c>
      <c r="AR17" s="5">
        <v>0</v>
      </c>
      <c r="AS17" s="5">
        <v>19028.680000000004</v>
      </c>
      <c r="AT17" s="5">
        <v>1457.27</v>
      </c>
      <c r="AU17" s="5">
        <v>0</v>
      </c>
      <c r="AV17" s="5">
        <v>5167.8099999999995</v>
      </c>
      <c r="AW17" s="5">
        <v>-1831.28</v>
      </c>
      <c r="AX17" s="5">
        <v>0</v>
      </c>
      <c r="AY17" s="5">
        <v>3336.5299999999997</v>
      </c>
      <c r="AZ17" s="5">
        <v>373.84999999999997</v>
      </c>
      <c r="BA17" s="5">
        <v>232.68</v>
      </c>
      <c r="BB17" s="5">
        <v>0</v>
      </c>
      <c r="BC17" s="5">
        <v>0</v>
      </c>
      <c r="BD17" s="5">
        <v>0</v>
      </c>
      <c r="BE17" s="5">
        <v>0</v>
      </c>
      <c r="BF17" s="5">
        <v>0</v>
      </c>
      <c r="BG17" s="5">
        <v>0</v>
      </c>
      <c r="BH17" s="5">
        <v>606.53</v>
      </c>
      <c r="BI17" s="5">
        <v>0</v>
      </c>
      <c r="BJ17" s="5">
        <v>0</v>
      </c>
      <c r="BL17" s="5">
        <v>3943.0599999999995</v>
      </c>
      <c r="BM17" s="5">
        <v>3943.0599999999995</v>
      </c>
      <c r="BN17" s="5">
        <v>0</v>
      </c>
      <c r="BO17" s="5">
        <v>459.29</v>
      </c>
      <c r="BP17" s="5">
        <v>0</v>
      </c>
      <c r="BQ17" s="5">
        <v>0</v>
      </c>
      <c r="BR17" s="215">
        <v>45808</v>
      </c>
      <c r="BS17" s="5">
        <v>627826398.62999904</v>
      </c>
      <c r="BT17" s="5">
        <v>3321</v>
      </c>
      <c r="BU17" s="5">
        <v>4932526.97</v>
      </c>
      <c r="BV17" s="5">
        <v>27</v>
      </c>
      <c r="BW17" s="5">
        <v>1756598.0199999998</v>
      </c>
      <c r="BX17" s="5">
        <v>19</v>
      </c>
      <c r="BY17" s="5">
        <v>96038.760000000009</v>
      </c>
      <c r="BZ17" s="5">
        <v>4</v>
      </c>
      <c r="CA17" s="5">
        <v>498918.17</v>
      </c>
      <c r="CB17" s="5">
        <v>2</v>
      </c>
      <c r="CC17" s="5">
        <v>117153.26</v>
      </c>
      <c r="CD17" s="5">
        <v>2</v>
      </c>
      <c r="CE17" s="5">
        <v>0</v>
      </c>
      <c r="CF17" s="5">
        <v>0</v>
      </c>
      <c r="CG17" s="5">
        <v>3573428.34</v>
      </c>
      <c r="CH17" s="5">
        <v>0</v>
      </c>
      <c r="CI17" s="5">
        <v>0</v>
      </c>
      <c r="CJ17" s="691">
        <v>46203</v>
      </c>
      <c r="CK17" s="1031" t="s">
        <v>276</v>
      </c>
      <c r="CL17" s="1031" t="s">
        <v>280</v>
      </c>
      <c r="CM17" s="5">
        <v>2.2143216793774588E-2</v>
      </c>
      <c r="CN17" s="696"/>
      <c r="CO17" s="5"/>
    </row>
    <row r="18" spans="1:93">
      <c r="A18" s="215">
        <v>45991</v>
      </c>
      <c r="B18" t="s">
        <v>869</v>
      </c>
      <c r="C18" t="s">
        <v>863</v>
      </c>
      <c r="D18" s="5">
        <v>750188839.71000004</v>
      </c>
      <c r="E18" s="5">
        <v>0</v>
      </c>
      <c r="F18" s="5">
        <v>451717.36</v>
      </c>
      <c r="G18" s="5">
        <v>4901116.8899999922</v>
      </c>
      <c r="H18" s="5">
        <v>1014185.5799999998</v>
      </c>
      <c r="I18" s="5">
        <v>0</v>
      </c>
      <c r="J18" s="5">
        <v>7576.84</v>
      </c>
      <c r="K18" s="5">
        <v>0</v>
      </c>
      <c r="L18" s="5">
        <v>0</v>
      </c>
      <c r="M18" s="5">
        <v>57872.37</v>
      </c>
      <c r="N18" s="5">
        <v>0</v>
      </c>
      <c r="O18" s="5">
        <v>0</v>
      </c>
      <c r="P18" s="5">
        <v>0</v>
      </c>
      <c r="Q18" s="5">
        <v>744674959.07000017</v>
      </c>
      <c r="R18" s="5">
        <v>81390.670000000027</v>
      </c>
      <c r="S18" s="5">
        <v>14047.939999999999</v>
      </c>
      <c r="T18" s="5">
        <v>0</v>
      </c>
      <c r="U18" s="5">
        <v>83588.539999999979</v>
      </c>
      <c r="V18" s="5">
        <v>23771.280000000002</v>
      </c>
      <c r="W18" s="5">
        <v>0</v>
      </c>
      <c r="X18" s="5">
        <v>66397.549999999974</v>
      </c>
      <c r="Y18" s="5">
        <v>11819.249999999998</v>
      </c>
      <c r="Z18" s="5">
        <v>0</v>
      </c>
      <c r="AA18" s="5">
        <v>0</v>
      </c>
      <c r="AB18" s="5">
        <v>0</v>
      </c>
      <c r="AC18" s="5">
        <v>0</v>
      </c>
      <c r="AD18" s="5">
        <v>0</v>
      </c>
      <c r="AE18" s="5">
        <v>0</v>
      </c>
      <c r="AF18" s="5">
        <v>0</v>
      </c>
      <c r="AG18" s="5">
        <v>2545.96</v>
      </c>
      <c r="AH18" s="5">
        <v>356.8</v>
      </c>
      <c r="AI18" s="5">
        <v>0</v>
      </c>
      <c r="AJ18" s="5">
        <v>0</v>
      </c>
      <c r="AK18" s="5">
        <v>0</v>
      </c>
      <c r="AL18" s="5">
        <v>0</v>
      </c>
      <c r="AM18" s="5">
        <v>0</v>
      </c>
      <c r="AN18" s="5">
        <v>0</v>
      </c>
      <c r="AO18" s="5">
        <v>0</v>
      </c>
      <c r="AP18" s="5">
        <v>0</v>
      </c>
      <c r="AQ18" s="5">
        <v>0</v>
      </c>
      <c r="AR18" s="5">
        <v>0</v>
      </c>
      <c r="AS18" s="5">
        <v>96035.700000000026</v>
      </c>
      <c r="AT18" s="5">
        <v>25643.17</v>
      </c>
      <c r="AU18" s="5">
        <v>0</v>
      </c>
      <c r="AV18" s="5">
        <v>4817528.349999994</v>
      </c>
      <c r="AW18" s="5">
        <v>66397.549999999974</v>
      </c>
      <c r="AX18" s="5">
        <v>1014185.5799999998</v>
      </c>
      <c r="AY18" s="5">
        <v>5898111.4799999855</v>
      </c>
      <c r="AZ18" s="5">
        <v>993269.13999999978</v>
      </c>
      <c r="BA18" s="5">
        <v>11819.249999999998</v>
      </c>
      <c r="BB18" s="5">
        <v>119.08000000000003</v>
      </c>
      <c r="BC18" s="5">
        <v>114.53999999999998</v>
      </c>
      <c r="BD18" s="5">
        <v>0</v>
      </c>
      <c r="BE18" s="5">
        <v>3922.2600000000007</v>
      </c>
      <c r="BF18" s="5">
        <v>82.91</v>
      </c>
      <c r="BG18" s="5">
        <v>0</v>
      </c>
      <c r="BH18" s="5">
        <v>1009327.1799999997</v>
      </c>
      <c r="BI18" s="5">
        <v>0</v>
      </c>
      <c r="BJ18" s="5">
        <v>0</v>
      </c>
      <c r="BK18" s="5">
        <v>0</v>
      </c>
      <c r="BL18" s="5">
        <v>6907438.6600000085</v>
      </c>
      <c r="BM18" s="5">
        <v>6907438.6599999974</v>
      </c>
      <c r="BN18" s="5">
        <v>0</v>
      </c>
      <c r="BO18" s="5">
        <v>437830.0999999998</v>
      </c>
      <c r="BP18" s="5">
        <v>0</v>
      </c>
      <c r="BQ18" s="5">
        <v>0</v>
      </c>
      <c r="BR18" s="215">
        <v>45777</v>
      </c>
      <c r="BS18" s="5">
        <v>633048701.53000045</v>
      </c>
      <c r="BT18" s="5">
        <v>3362</v>
      </c>
      <c r="BU18" s="5">
        <v>6223007.6399999997</v>
      </c>
      <c r="BV18" s="5">
        <v>31</v>
      </c>
      <c r="BW18" s="5">
        <v>912553.32000000007</v>
      </c>
      <c r="BX18" s="5">
        <v>11</v>
      </c>
      <c r="BY18" s="5">
        <v>9071.5400000000009</v>
      </c>
      <c r="BZ18" s="5">
        <v>2</v>
      </c>
      <c r="CA18" s="5">
        <v>0</v>
      </c>
      <c r="CB18" s="5">
        <v>0</v>
      </c>
      <c r="CC18" s="5">
        <v>125749.9</v>
      </c>
      <c r="CD18" s="5">
        <v>2</v>
      </c>
      <c r="CE18" s="5">
        <v>0</v>
      </c>
      <c r="CF18" s="5">
        <v>380107.53</v>
      </c>
      <c r="CG18" s="5">
        <v>3237411.29</v>
      </c>
      <c r="CH18" s="5">
        <v>0</v>
      </c>
      <c r="CI18" s="5">
        <v>380107.53</v>
      </c>
      <c r="CJ18" s="691">
        <v>46203</v>
      </c>
      <c r="CK18" s="1031" t="s">
        <v>277</v>
      </c>
      <c r="CL18" s="1031" t="s">
        <v>281</v>
      </c>
      <c r="CM18" s="5">
        <v>6.1992610908743882E-2</v>
      </c>
      <c r="CN18" s="696"/>
      <c r="CO18" s="5"/>
    </row>
    <row r="19" spans="1:93">
      <c r="A19" s="215">
        <v>45991</v>
      </c>
      <c r="B19" t="s">
        <v>869</v>
      </c>
      <c r="C19" t="s">
        <v>864</v>
      </c>
      <c r="D19" s="5">
        <v>638541.44000000006</v>
      </c>
      <c r="E19" s="5">
        <v>0</v>
      </c>
      <c r="F19" s="5">
        <v>0</v>
      </c>
      <c r="G19" s="5">
        <v>10814.36</v>
      </c>
      <c r="H19" s="5">
        <v>0</v>
      </c>
      <c r="I19" s="5">
        <v>0</v>
      </c>
      <c r="J19" s="5">
        <v>0</v>
      </c>
      <c r="K19" s="5">
        <v>0</v>
      </c>
      <c r="L19" s="5">
        <v>0</v>
      </c>
      <c r="M19" s="5">
        <v>57872.37</v>
      </c>
      <c r="N19" s="5">
        <v>0</v>
      </c>
      <c r="O19" s="5">
        <v>0</v>
      </c>
      <c r="P19" s="5">
        <v>0</v>
      </c>
      <c r="Q19" s="5">
        <v>685599.44999999984</v>
      </c>
      <c r="R19" s="5">
        <v>10442.709999999999</v>
      </c>
      <c r="S19" s="5">
        <v>416.77</v>
      </c>
      <c r="T19" s="5">
        <v>0</v>
      </c>
      <c r="U19" s="5">
        <v>2314.0300000000002</v>
      </c>
      <c r="V19" s="5">
        <v>286.49</v>
      </c>
      <c r="W19" s="5">
        <v>0</v>
      </c>
      <c r="X19" s="5">
        <v>2801.54</v>
      </c>
      <c r="Y19" s="5">
        <v>275.17</v>
      </c>
      <c r="Z19" s="5">
        <v>0</v>
      </c>
      <c r="AA19" s="5">
        <v>0</v>
      </c>
      <c r="AB19" s="5">
        <v>0</v>
      </c>
      <c r="AC19" s="5">
        <v>0</v>
      </c>
      <c r="AD19" s="5">
        <v>0</v>
      </c>
      <c r="AE19" s="5">
        <v>0</v>
      </c>
      <c r="AF19" s="5">
        <v>0</v>
      </c>
      <c r="AG19" s="5">
        <v>2545.96</v>
      </c>
      <c r="AH19" s="5">
        <v>356.8</v>
      </c>
      <c r="AI19" s="5">
        <v>0</v>
      </c>
      <c r="AJ19" s="5">
        <v>0</v>
      </c>
      <c r="AK19" s="5">
        <v>0</v>
      </c>
      <c r="AL19" s="5">
        <v>0</v>
      </c>
      <c r="AM19" s="5">
        <v>0</v>
      </c>
      <c r="AN19" s="5">
        <v>0</v>
      </c>
      <c r="AO19" s="5">
        <v>0</v>
      </c>
      <c r="AP19" s="5">
        <v>0</v>
      </c>
      <c r="AQ19" s="5">
        <v>0</v>
      </c>
      <c r="AR19" s="5">
        <v>0</v>
      </c>
      <c r="AS19" s="5">
        <v>12501.16</v>
      </c>
      <c r="AT19" s="5">
        <v>784.8900000000001</v>
      </c>
      <c r="AU19" s="5">
        <v>0</v>
      </c>
      <c r="AV19" s="5">
        <v>8500.33</v>
      </c>
      <c r="AW19" s="5">
        <v>2801.54</v>
      </c>
      <c r="AX19" s="5">
        <v>0</v>
      </c>
      <c r="AY19" s="5">
        <v>11301.869999999999</v>
      </c>
      <c r="AZ19" s="5">
        <v>421.59999999999997</v>
      </c>
      <c r="BA19" s="5">
        <v>275.17</v>
      </c>
      <c r="BB19" s="5">
        <v>8.3600000000000012</v>
      </c>
      <c r="BC19" s="5">
        <v>6.23</v>
      </c>
      <c r="BD19" s="5">
        <v>0</v>
      </c>
      <c r="BE19" s="5">
        <v>0</v>
      </c>
      <c r="BF19" s="5">
        <v>0</v>
      </c>
      <c r="BG19" s="5">
        <v>0</v>
      </c>
      <c r="BH19" s="5">
        <v>711.3599999999999</v>
      </c>
      <c r="BI19" s="5">
        <v>0</v>
      </c>
      <c r="BJ19" s="5">
        <v>0</v>
      </c>
      <c r="BL19" s="5">
        <v>12013.23</v>
      </c>
      <c r="BM19" s="5">
        <v>12013.23</v>
      </c>
      <c r="BN19" s="5">
        <v>0</v>
      </c>
      <c r="BO19" s="5">
        <v>483.65999999999997</v>
      </c>
      <c r="BP19" s="5">
        <v>0</v>
      </c>
      <c r="BQ19" s="5">
        <v>0</v>
      </c>
      <c r="BR19" s="215">
        <v>45747</v>
      </c>
      <c r="BS19" s="5">
        <v>640449995.28999972</v>
      </c>
      <c r="BT19" s="5">
        <v>3433</v>
      </c>
      <c r="BU19" s="5">
        <v>4244523.54</v>
      </c>
      <c r="BV19" s="5">
        <v>28</v>
      </c>
      <c r="BW19" s="5">
        <v>990484.6399999999</v>
      </c>
      <c r="BX19" s="5">
        <v>8</v>
      </c>
      <c r="BY19" s="5">
        <v>168470.15</v>
      </c>
      <c r="BZ19" s="5">
        <v>2</v>
      </c>
      <c r="CA19" s="5">
        <v>123882.82</v>
      </c>
      <c r="CB19" s="5">
        <v>2</v>
      </c>
      <c r="CC19" s="5">
        <v>0</v>
      </c>
      <c r="CD19" s="5">
        <v>0</v>
      </c>
      <c r="CE19" s="5">
        <v>0</v>
      </c>
      <c r="CF19" s="5">
        <v>0</v>
      </c>
      <c r="CG19" s="5">
        <v>3623994.18</v>
      </c>
      <c r="CH19" s="5">
        <v>0</v>
      </c>
      <c r="CI19" s="5">
        <v>0</v>
      </c>
      <c r="CJ19" s="691">
        <v>46203</v>
      </c>
      <c r="CK19" s="1031" t="s">
        <v>279</v>
      </c>
      <c r="CL19" s="1031" t="s">
        <v>282</v>
      </c>
      <c r="CM19" s="5">
        <v>0.80762592984128789</v>
      </c>
      <c r="CN19" s="696"/>
      <c r="CO19" s="5"/>
    </row>
    <row r="20" spans="1:93">
      <c r="A20" s="215">
        <v>45961</v>
      </c>
      <c r="B20" t="s">
        <v>869</v>
      </c>
      <c r="C20" t="s">
        <v>863</v>
      </c>
      <c r="D20" s="5">
        <v>755556390.83000028</v>
      </c>
      <c r="E20" s="5">
        <v>0</v>
      </c>
      <c r="F20" s="5">
        <v>803214.92999999993</v>
      </c>
      <c r="G20" s="5">
        <v>4968207.9299999941</v>
      </c>
      <c r="H20" s="5">
        <v>1209634.6200000001</v>
      </c>
      <c r="I20" s="5">
        <v>-776.24</v>
      </c>
      <c r="J20" s="5">
        <v>7852.7400000000007</v>
      </c>
      <c r="K20" s="5">
        <v>0</v>
      </c>
      <c r="L20" s="5">
        <v>0</v>
      </c>
      <c r="M20" s="5">
        <v>0</v>
      </c>
      <c r="N20" s="5">
        <v>0</v>
      </c>
      <c r="O20" s="5">
        <v>0</v>
      </c>
      <c r="P20" s="5">
        <v>0</v>
      </c>
      <c r="Q20" s="5">
        <v>750188839.71000004</v>
      </c>
      <c r="R20" s="5">
        <v>77312.26999999996</v>
      </c>
      <c r="S20" s="5">
        <v>12445.850000000002</v>
      </c>
      <c r="T20" s="5">
        <v>0</v>
      </c>
      <c r="U20" s="5">
        <v>68425.76999999999</v>
      </c>
      <c r="V20" s="5">
        <v>12278.399999999998</v>
      </c>
      <c r="W20" s="5">
        <v>0</v>
      </c>
      <c r="X20" s="5">
        <v>64347.369999999988</v>
      </c>
      <c r="Y20" s="5">
        <v>10676.310000000001</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81390.670000000027</v>
      </c>
      <c r="AT20" s="5">
        <v>14047.939999999999</v>
      </c>
      <c r="AU20" s="5">
        <v>0</v>
      </c>
      <c r="AV20" s="5">
        <v>4899782.1599999974</v>
      </c>
      <c r="AW20" s="5">
        <v>64347.369999999988</v>
      </c>
      <c r="AX20" s="5">
        <v>1209634.6200000001</v>
      </c>
      <c r="AY20" s="5">
        <v>6173764.150000006</v>
      </c>
      <c r="AZ20" s="5">
        <v>1018362.8100000011</v>
      </c>
      <c r="BA20" s="5">
        <v>10676.310000000001</v>
      </c>
      <c r="BB20" s="5">
        <v>45.500000000000007</v>
      </c>
      <c r="BC20" s="5">
        <v>81.870000000000019</v>
      </c>
      <c r="BD20" s="5">
        <v>0</v>
      </c>
      <c r="BE20" s="5">
        <v>9808.260000000002</v>
      </c>
      <c r="BF20" s="5">
        <v>0</v>
      </c>
      <c r="BG20" s="5">
        <v>0</v>
      </c>
      <c r="BH20" s="5">
        <v>1038974.7500000012</v>
      </c>
      <c r="BI20" s="5">
        <v>0</v>
      </c>
      <c r="BJ20" s="5">
        <v>0</v>
      </c>
      <c r="BK20" s="5">
        <v>0</v>
      </c>
      <c r="BL20" s="5">
        <v>7212738.9000000013</v>
      </c>
      <c r="BM20" s="5">
        <v>7212738.9000000004</v>
      </c>
      <c r="BN20" s="5">
        <v>0</v>
      </c>
      <c r="BO20" s="5">
        <v>457776.74000000046</v>
      </c>
      <c r="BP20" s="5">
        <v>0</v>
      </c>
      <c r="BQ20" s="5">
        <v>0</v>
      </c>
      <c r="BR20" s="215">
        <v>45716</v>
      </c>
      <c r="BS20" s="5">
        <v>646817799.36999881</v>
      </c>
      <c r="BT20" s="5">
        <v>3441</v>
      </c>
      <c r="BU20" s="5">
        <v>4471765.5500000007</v>
      </c>
      <c r="BV20" s="5">
        <v>20</v>
      </c>
      <c r="BW20" s="5">
        <v>841202.37</v>
      </c>
      <c r="BX20" s="5">
        <v>8</v>
      </c>
      <c r="BY20" s="5">
        <v>119287.12999999999</v>
      </c>
      <c r="BZ20" s="5">
        <v>2</v>
      </c>
      <c r="CA20" s="5">
        <v>0</v>
      </c>
      <c r="CB20" s="5">
        <v>0</v>
      </c>
      <c r="CC20" s="5">
        <v>504215.32</v>
      </c>
      <c r="CD20" s="5">
        <v>2</v>
      </c>
      <c r="CE20" s="5">
        <v>0</v>
      </c>
      <c r="CF20" s="5">
        <v>0</v>
      </c>
      <c r="CG20" s="5">
        <v>3623994.18</v>
      </c>
      <c r="CH20" s="5">
        <v>0</v>
      </c>
      <c r="CI20" s="5">
        <v>0</v>
      </c>
      <c r="CJ20" s="691">
        <v>46203</v>
      </c>
      <c r="CK20" s="1031" t="s">
        <v>2448</v>
      </c>
      <c r="CL20" s="1031" t="s">
        <v>2449</v>
      </c>
      <c r="CM20" s="5">
        <v>0.28859342341486055</v>
      </c>
      <c r="CN20" s="696"/>
      <c r="CO20" s="5"/>
    </row>
    <row r="21" spans="1:93">
      <c r="A21" s="215">
        <v>45961</v>
      </c>
      <c r="B21" t="s">
        <v>869</v>
      </c>
      <c r="C21" t="s">
        <v>864</v>
      </c>
      <c r="D21" s="5">
        <v>646006.77</v>
      </c>
      <c r="E21" s="5">
        <v>0</v>
      </c>
      <c r="F21" s="5">
        <v>0</v>
      </c>
      <c r="G21" s="5">
        <v>7465.3300000000008</v>
      </c>
      <c r="H21" s="5">
        <v>0</v>
      </c>
      <c r="I21" s="5">
        <v>0</v>
      </c>
      <c r="J21" s="5">
        <v>0</v>
      </c>
      <c r="K21" s="5">
        <v>0</v>
      </c>
      <c r="L21" s="5">
        <v>0</v>
      </c>
      <c r="M21" s="5">
        <v>0</v>
      </c>
      <c r="N21" s="5">
        <v>0</v>
      </c>
      <c r="O21" s="5">
        <v>0</v>
      </c>
      <c r="P21" s="5">
        <v>0</v>
      </c>
      <c r="Q21" s="5">
        <v>638541.44000000006</v>
      </c>
      <c r="R21" s="5">
        <v>8753.5499999999993</v>
      </c>
      <c r="S21" s="5">
        <v>338.54</v>
      </c>
      <c r="T21" s="5">
        <v>0</v>
      </c>
      <c r="U21" s="5">
        <v>3179.33</v>
      </c>
      <c r="V21" s="5">
        <v>283.06</v>
      </c>
      <c r="W21" s="5">
        <v>0</v>
      </c>
      <c r="X21" s="5">
        <v>1490.17</v>
      </c>
      <c r="Y21" s="5">
        <v>204.83</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10442.709999999999</v>
      </c>
      <c r="AT21" s="5">
        <v>416.77</v>
      </c>
      <c r="AU21" s="5">
        <v>0</v>
      </c>
      <c r="AV21" s="5">
        <v>4286</v>
      </c>
      <c r="AW21" s="5">
        <v>1490.17</v>
      </c>
      <c r="AX21" s="5">
        <v>0</v>
      </c>
      <c r="AY21" s="5">
        <v>5776.170000000001</v>
      </c>
      <c r="AZ21" s="5">
        <v>393.79</v>
      </c>
      <c r="BA21" s="5">
        <v>204.83</v>
      </c>
      <c r="BB21" s="5">
        <v>5.91</v>
      </c>
      <c r="BC21" s="5">
        <v>4.29</v>
      </c>
      <c r="BD21" s="5">
        <v>0</v>
      </c>
      <c r="BE21" s="5">
        <v>0</v>
      </c>
      <c r="BF21" s="5">
        <v>0</v>
      </c>
      <c r="BG21" s="5">
        <v>0</v>
      </c>
      <c r="BH21" s="5">
        <v>608.81999999999994</v>
      </c>
      <c r="BI21" s="5">
        <v>0</v>
      </c>
      <c r="BJ21" s="5">
        <v>0</v>
      </c>
      <c r="BL21" s="5">
        <v>6384.9900000000007</v>
      </c>
      <c r="BM21" s="5">
        <v>6384.9900000000007</v>
      </c>
      <c r="BN21" s="5">
        <v>0</v>
      </c>
      <c r="BO21" s="5">
        <v>489.31</v>
      </c>
      <c r="BP21" s="5">
        <v>0</v>
      </c>
      <c r="BQ21" s="5">
        <v>0</v>
      </c>
      <c r="BR21" s="215">
        <v>45688</v>
      </c>
      <c r="BS21" s="5">
        <v>648263063.34000027</v>
      </c>
      <c r="BT21" s="5">
        <v>3482</v>
      </c>
      <c r="BU21" s="5">
        <v>7712227.5899999999</v>
      </c>
      <c r="BV21" s="5">
        <v>33</v>
      </c>
      <c r="BW21" s="5">
        <v>1561979.1300000001</v>
      </c>
      <c r="BX21" s="5">
        <v>13</v>
      </c>
      <c r="BY21" s="5">
        <v>8835.06</v>
      </c>
      <c r="BZ21" s="5">
        <v>1</v>
      </c>
      <c r="CA21" s="5">
        <v>0</v>
      </c>
      <c r="CB21" s="5">
        <v>0</v>
      </c>
      <c r="CC21" s="5">
        <v>515918.34</v>
      </c>
      <c r="CD21" s="5">
        <v>3</v>
      </c>
      <c r="CE21" s="5">
        <v>0</v>
      </c>
      <c r="CF21" s="5">
        <v>0</v>
      </c>
      <c r="CG21" s="5">
        <v>3668024.12</v>
      </c>
      <c r="CH21" s="5">
        <v>0</v>
      </c>
      <c r="CI21" s="5">
        <v>0</v>
      </c>
      <c r="CJ21" s="691">
        <v>46203</v>
      </c>
      <c r="CK21" s="1031" t="s">
        <v>288</v>
      </c>
      <c r="CL21" s="1031" t="s">
        <v>2450</v>
      </c>
      <c r="CM21" s="5">
        <v>616166.5499999997</v>
      </c>
      <c r="CN21" s="696">
        <v>148</v>
      </c>
      <c r="CO21" s="5">
        <v>22480890.040000003</v>
      </c>
    </row>
    <row r="22" spans="1:93">
      <c r="A22" s="215">
        <v>45930</v>
      </c>
      <c r="B22" t="s">
        <v>869</v>
      </c>
      <c r="C22" t="s">
        <v>863</v>
      </c>
      <c r="D22" s="5">
        <v>745075613.75000119</v>
      </c>
      <c r="E22" s="5">
        <v>16307666.240000002</v>
      </c>
      <c r="F22" s="5">
        <v>427685.51999999996</v>
      </c>
      <c r="G22" s="5">
        <v>5034844.1199999833</v>
      </c>
      <c r="H22" s="5">
        <v>1206284.69</v>
      </c>
      <c r="I22" s="5">
        <v>-21280</v>
      </c>
      <c r="J22" s="5">
        <v>7834.13</v>
      </c>
      <c r="K22" s="5">
        <v>0</v>
      </c>
      <c r="L22" s="5">
        <v>0</v>
      </c>
      <c r="M22" s="5">
        <v>0</v>
      </c>
      <c r="N22" s="5">
        <v>0</v>
      </c>
      <c r="O22" s="5">
        <v>0</v>
      </c>
      <c r="P22" s="5">
        <v>0</v>
      </c>
      <c r="Q22" s="5">
        <v>755556390.8300004</v>
      </c>
      <c r="R22" s="5">
        <v>104631.68000000001</v>
      </c>
      <c r="S22" s="5">
        <v>23028.12999999999</v>
      </c>
      <c r="T22" s="5">
        <v>0</v>
      </c>
      <c r="U22" s="5">
        <v>73166.809999999983</v>
      </c>
      <c r="V22" s="5">
        <v>11832.730000000001</v>
      </c>
      <c r="W22" s="5">
        <v>0</v>
      </c>
      <c r="X22" s="5">
        <v>100486.22</v>
      </c>
      <c r="Y22" s="5">
        <v>22415.009999999991</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77312.26999999996</v>
      </c>
      <c r="AT22" s="5">
        <v>12445.850000000002</v>
      </c>
      <c r="AU22" s="5">
        <v>0</v>
      </c>
      <c r="AV22" s="5">
        <v>4961677.3099999819</v>
      </c>
      <c r="AW22" s="5">
        <v>100486.22</v>
      </c>
      <c r="AX22" s="5">
        <v>1206284.69</v>
      </c>
      <c r="AY22" s="5">
        <v>6268448.2199999876</v>
      </c>
      <c r="AZ22" s="5">
        <v>1024095.5</v>
      </c>
      <c r="BA22" s="5">
        <v>22415.009999999991</v>
      </c>
      <c r="BB22" s="5">
        <v>116.41000000000001</v>
      </c>
      <c r="BC22" s="5">
        <v>127.18</v>
      </c>
      <c r="BD22" s="5">
        <v>0</v>
      </c>
      <c r="BE22" s="5">
        <v>949.82999999999993</v>
      </c>
      <c r="BF22" s="5">
        <v>182.25</v>
      </c>
      <c r="BG22" s="5">
        <v>0</v>
      </c>
      <c r="BH22" s="5">
        <v>1047886.1799999998</v>
      </c>
      <c r="BI22" s="5">
        <v>0</v>
      </c>
      <c r="BJ22" s="5">
        <v>0</v>
      </c>
      <c r="BK22" s="5">
        <v>0</v>
      </c>
      <c r="BL22" s="5">
        <v>7316334.3999999966</v>
      </c>
      <c r="BM22" s="5">
        <v>7316334.3999999948</v>
      </c>
      <c r="BN22" s="5">
        <v>0</v>
      </c>
      <c r="BO22" s="5">
        <v>444937.58000000025</v>
      </c>
      <c r="BP22" s="5">
        <v>0</v>
      </c>
      <c r="BQ22" s="5">
        <v>0</v>
      </c>
      <c r="BR22" s="215">
        <v>45657</v>
      </c>
      <c r="BS22" s="5">
        <v>658903565.76999998</v>
      </c>
      <c r="BT22" s="5">
        <v>3490</v>
      </c>
      <c r="BU22" s="5">
        <v>2694727.06</v>
      </c>
      <c r="BV22" s="5">
        <v>23</v>
      </c>
      <c r="BW22" s="5">
        <v>1801960.42</v>
      </c>
      <c r="BX22" s="5">
        <v>14</v>
      </c>
      <c r="BY22" s="5">
        <v>115467.37</v>
      </c>
      <c r="BZ22" s="5">
        <v>2</v>
      </c>
      <c r="CA22" s="5">
        <v>0</v>
      </c>
      <c r="CB22" s="5">
        <v>0</v>
      </c>
      <c r="CC22" s="5">
        <v>519339.54</v>
      </c>
      <c r="CD22" s="5">
        <v>3</v>
      </c>
      <c r="CE22" s="5">
        <v>0</v>
      </c>
      <c r="CF22" s="5">
        <v>0</v>
      </c>
      <c r="CG22" s="5">
        <v>3674480.11</v>
      </c>
      <c r="CH22" s="5">
        <v>0</v>
      </c>
      <c r="CI22" s="5">
        <v>0</v>
      </c>
      <c r="CJ22" s="691">
        <v>46203</v>
      </c>
      <c r="CK22" s="1031" t="s">
        <v>289</v>
      </c>
      <c r="CL22" s="1031" t="s">
        <v>883</v>
      </c>
      <c r="CM22" s="5">
        <v>16475752.300000004</v>
      </c>
      <c r="CN22" s="696">
        <v>542</v>
      </c>
      <c r="CO22" s="5">
        <v>81145242.670000002</v>
      </c>
    </row>
    <row r="23" spans="1:93">
      <c r="A23" s="215">
        <v>45930</v>
      </c>
      <c r="B23" t="s">
        <v>869</v>
      </c>
      <c r="C23" t="s">
        <v>864</v>
      </c>
      <c r="D23" s="5">
        <v>675985.79</v>
      </c>
      <c r="E23" s="5">
        <v>0</v>
      </c>
      <c r="F23" s="5">
        <v>0</v>
      </c>
      <c r="G23" s="5">
        <v>7999.81</v>
      </c>
      <c r="H23" s="5">
        <v>21979.21</v>
      </c>
      <c r="I23" s="5">
        <v>0</v>
      </c>
      <c r="J23" s="5">
        <v>0</v>
      </c>
      <c r="K23" s="5">
        <v>0</v>
      </c>
      <c r="L23" s="5">
        <v>0</v>
      </c>
      <c r="M23" s="5">
        <v>0</v>
      </c>
      <c r="N23" s="5">
        <v>0</v>
      </c>
      <c r="O23" s="5">
        <v>0</v>
      </c>
      <c r="P23" s="5">
        <v>0</v>
      </c>
      <c r="Q23" s="5">
        <v>646006.77</v>
      </c>
      <c r="R23" s="5">
        <v>14856.149999999998</v>
      </c>
      <c r="S23" s="5">
        <v>1306.51</v>
      </c>
      <c r="T23" s="5">
        <v>0</v>
      </c>
      <c r="U23" s="5">
        <v>2298.5100000000002</v>
      </c>
      <c r="V23" s="5">
        <v>215.33999999999997</v>
      </c>
      <c r="W23" s="5">
        <v>0</v>
      </c>
      <c r="X23" s="5">
        <v>8401.11</v>
      </c>
      <c r="Y23" s="5">
        <v>1183.31</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8753.5499999999993</v>
      </c>
      <c r="AT23" s="5">
        <v>338.54</v>
      </c>
      <c r="AU23" s="5">
        <v>0</v>
      </c>
      <c r="AV23" s="5">
        <v>5701.3</v>
      </c>
      <c r="AW23" s="5">
        <v>8401.11</v>
      </c>
      <c r="AX23" s="5">
        <v>21979.21</v>
      </c>
      <c r="AY23" s="5">
        <v>36081.619999999995</v>
      </c>
      <c r="AZ23" s="5">
        <v>571.24</v>
      </c>
      <c r="BA23" s="5">
        <v>1183.31</v>
      </c>
      <c r="BB23" s="5">
        <v>170.67000000000002</v>
      </c>
      <c r="BC23" s="5">
        <v>104.63999999999999</v>
      </c>
      <c r="BD23" s="5">
        <v>0</v>
      </c>
      <c r="BE23" s="5">
        <v>0</v>
      </c>
      <c r="BF23" s="5">
        <v>0</v>
      </c>
      <c r="BG23" s="5">
        <v>0</v>
      </c>
      <c r="BH23" s="5">
        <v>2029.8600000000001</v>
      </c>
      <c r="BI23" s="5">
        <v>0</v>
      </c>
      <c r="BJ23" s="5">
        <v>0</v>
      </c>
      <c r="BL23" s="5">
        <v>38111.479999999996</v>
      </c>
      <c r="BM23" s="5">
        <v>38111.479999999996</v>
      </c>
      <c r="BN23" s="5">
        <v>0</v>
      </c>
      <c r="BO23" s="5">
        <v>486.73000000000008</v>
      </c>
      <c r="BP23" s="5">
        <v>0</v>
      </c>
      <c r="BQ23" s="5">
        <v>0</v>
      </c>
      <c r="BR23" s="215">
        <v>45626</v>
      </c>
      <c r="BS23" s="5">
        <v>665911694.68999898</v>
      </c>
      <c r="BT23" s="5">
        <v>3525</v>
      </c>
      <c r="BU23" s="5">
        <v>2785849.18</v>
      </c>
      <c r="BV23" s="5">
        <v>15</v>
      </c>
      <c r="BW23" s="5">
        <v>806722.00999999989</v>
      </c>
      <c r="BX23" s="5">
        <v>10</v>
      </c>
      <c r="BY23" s="5">
        <v>16250.33</v>
      </c>
      <c r="BZ23" s="5">
        <v>2</v>
      </c>
      <c r="CA23" s="5">
        <v>522190.58999999997</v>
      </c>
      <c r="CB23" s="5">
        <v>2</v>
      </c>
      <c r="CC23" s="5">
        <v>1606.14</v>
      </c>
      <c r="CD23" s="5">
        <v>1</v>
      </c>
      <c r="CE23" s="5">
        <v>0</v>
      </c>
      <c r="CF23" s="5">
        <v>0</v>
      </c>
      <c r="CG23" s="5">
        <v>3674480.11</v>
      </c>
      <c r="CH23" s="5">
        <v>0</v>
      </c>
      <c r="CI23" s="5">
        <v>0</v>
      </c>
      <c r="CJ23" s="691">
        <v>46203</v>
      </c>
      <c r="CK23" s="1031" t="s">
        <v>290</v>
      </c>
      <c r="CL23" s="1031" t="s">
        <v>884</v>
      </c>
      <c r="CM23" s="5">
        <v>52428244.180000067</v>
      </c>
      <c r="CN23" s="696">
        <v>713</v>
      </c>
      <c r="CO23" s="5">
        <v>125002164.12999997</v>
      </c>
    </row>
    <row r="24" spans="1:93">
      <c r="A24" s="215">
        <v>45900</v>
      </c>
      <c r="B24" t="s">
        <v>869</v>
      </c>
      <c r="C24" t="s">
        <v>863</v>
      </c>
      <c r="D24" s="5">
        <v>750941511.05000126</v>
      </c>
      <c r="E24" s="5">
        <v>0</v>
      </c>
      <c r="F24" s="5">
        <v>317749.37</v>
      </c>
      <c r="G24" s="5">
        <v>4986382.1000000006</v>
      </c>
      <c r="H24" s="5">
        <v>1179293.54</v>
      </c>
      <c r="I24" s="5">
        <v>0</v>
      </c>
      <c r="J24" s="5">
        <v>4301.33</v>
      </c>
      <c r="K24" s="5">
        <v>0</v>
      </c>
      <c r="L24" s="5">
        <v>0</v>
      </c>
      <c r="M24" s="5">
        <v>22272.36</v>
      </c>
      <c r="N24" s="5">
        <v>0</v>
      </c>
      <c r="O24" s="5">
        <v>0</v>
      </c>
      <c r="P24" s="5">
        <v>0</v>
      </c>
      <c r="Q24" s="5">
        <v>745075613.75000119</v>
      </c>
      <c r="R24" s="5">
        <v>83565.530000000028</v>
      </c>
      <c r="S24" s="5">
        <v>12930.040000000003</v>
      </c>
      <c r="T24" s="5">
        <v>0</v>
      </c>
      <c r="U24" s="5">
        <v>98040.86</v>
      </c>
      <c r="V24" s="5">
        <v>22520.309999999998</v>
      </c>
      <c r="W24" s="5">
        <v>0</v>
      </c>
      <c r="X24" s="5">
        <v>76974.710000000006</v>
      </c>
      <c r="Y24" s="5">
        <v>12422.22</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104631.68000000001</v>
      </c>
      <c r="AT24" s="5">
        <v>23028.12999999999</v>
      </c>
      <c r="AU24" s="5">
        <v>0</v>
      </c>
      <c r="AV24" s="5">
        <v>4888341.2400000039</v>
      </c>
      <c r="AW24" s="5">
        <v>76974.710000000006</v>
      </c>
      <c r="AX24" s="5">
        <v>1179293.54</v>
      </c>
      <c r="AY24" s="5">
        <v>6144609.4900000142</v>
      </c>
      <c r="AZ24" s="5">
        <v>981520.82999999821</v>
      </c>
      <c r="BA24" s="5">
        <v>12422.22</v>
      </c>
      <c r="BB24" s="5">
        <v>111.16000000000001</v>
      </c>
      <c r="BC24" s="5">
        <v>127.05</v>
      </c>
      <c r="BD24" s="5">
        <v>0</v>
      </c>
      <c r="BE24" s="5">
        <v>3029.57</v>
      </c>
      <c r="BF24" s="5">
        <v>0</v>
      </c>
      <c r="BG24" s="5">
        <v>0</v>
      </c>
      <c r="BH24" s="5">
        <v>997210.82999999833</v>
      </c>
      <c r="BI24" s="5">
        <v>0</v>
      </c>
      <c r="BJ24" s="5">
        <v>0</v>
      </c>
      <c r="BK24" s="5">
        <v>0</v>
      </c>
      <c r="BL24" s="5">
        <v>7141820.3199999873</v>
      </c>
      <c r="BM24" s="5">
        <v>7141820.3200000077</v>
      </c>
      <c r="BN24" s="5">
        <v>0</v>
      </c>
      <c r="BO24" s="5">
        <v>448390.89000000007</v>
      </c>
      <c r="BP24" s="5">
        <v>0</v>
      </c>
      <c r="BQ24" s="5">
        <v>0</v>
      </c>
      <c r="BR24" s="215">
        <v>45596</v>
      </c>
      <c r="BS24" s="5">
        <v>671200538.42999947</v>
      </c>
      <c r="BT24" s="5">
        <v>3581</v>
      </c>
      <c r="BU24" s="5">
        <v>3147570.76</v>
      </c>
      <c r="BV24" s="5">
        <v>15</v>
      </c>
      <c r="BW24" s="5">
        <v>428053.22999999992</v>
      </c>
      <c r="BX24" s="5">
        <v>8</v>
      </c>
      <c r="BY24" s="5">
        <v>512483.55000000005</v>
      </c>
      <c r="BZ24" s="5">
        <v>4</v>
      </c>
      <c r="CA24" s="5">
        <v>0</v>
      </c>
      <c r="CB24" s="5">
        <v>0</v>
      </c>
      <c r="CC24" s="5">
        <v>1606.14</v>
      </c>
      <c r="CD24" s="5">
        <v>1</v>
      </c>
      <c r="CE24" s="5">
        <v>0</v>
      </c>
      <c r="CF24" s="5">
        <v>0</v>
      </c>
      <c r="CG24" s="5">
        <v>3718449.59</v>
      </c>
      <c r="CH24" s="5">
        <v>0</v>
      </c>
      <c r="CI24" s="5">
        <v>0</v>
      </c>
      <c r="CJ24" s="691">
        <v>46203</v>
      </c>
      <c r="CK24" s="1031" t="s">
        <v>291</v>
      </c>
      <c r="CL24" s="1031" t="s">
        <v>885</v>
      </c>
      <c r="CM24" s="5">
        <v>201906685.00000009</v>
      </c>
      <c r="CN24" s="696">
        <v>1221</v>
      </c>
      <c r="CO24" s="5">
        <v>303515798.77999985</v>
      </c>
    </row>
    <row r="25" spans="1:93">
      <c r="A25" s="215">
        <v>45900</v>
      </c>
      <c r="B25" t="s">
        <v>869</v>
      </c>
      <c r="C25" t="s">
        <v>864</v>
      </c>
      <c r="D25" s="5">
        <v>753552.79000000015</v>
      </c>
      <c r="E25" s="5">
        <v>0</v>
      </c>
      <c r="F25" s="5">
        <v>0</v>
      </c>
      <c r="G25" s="5">
        <v>9123.2099999999991</v>
      </c>
      <c r="H25" s="5">
        <v>90716.15</v>
      </c>
      <c r="I25" s="5">
        <v>0</v>
      </c>
      <c r="J25" s="5">
        <v>0</v>
      </c>
      <c r="K25" s="5">
        <v>0</v>
      </c>
      <c r="L25" s="5">
        <v>0</v>
      </c>
      <c r="M25" s="5">
        <v>22272.36</v>
      </c>
      <c r="N25" s="5">
        <v>0</v>
      </c>
      <c r="O25" s="5">
        <v>0</v>
      </c>
      <c r="P25" s="5">
        <v>0</v>
      </c>
      <c r="Q25" s="5">
        <v>675985.79</v>
      </c>
      <c r="R25" s="5">
        <v>18954.269999999997</v>
      </c>
      <c r="S25" s="5">
        <v>2392.36</v>
      </c>
      <c r="T25" s="5">
        <v>0</v>
      </c>
      <c r="U25" s="5">
        <v>3127.2799999999997</v>
      </c>
      <c r="V25" s="5">
        <v>250.34</v>
      </c>
      <c r="W25" s="5">
        <v>0</v>
      </c>
      <c r="X25" s="5">
        <v>7225.4</v>
      </c>
      <c r="Y25" s="5">
        <v>1336.19</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14856.149999999998</v>
      </c>
      <c r="AT25" s="5">
        <v>1306.51</v>
      </c>
      <c r="AU25" s="5">
        <v>0</v>
      </c>
      <c r="AV25" s="5">
        <v>5995.93</v>
      </c>
      <c r="AW25" s="5">
        <v>7225.4</v>
      </c>
      <c r="AX25" s="5">
        <v>90716.15</v>
      </c>
      <c r="AY25" s="5">
        <v>103937.48</v>
      </c>
      <c r="AZ25" s="5">
        <v>841.56</v>
      </c>
      <c r="BA25" s="5">
        <v>1336.19</v>
      </c>
      <c r="BB25" s="5">
        <v>57.800000000000004</v>
      </c>
      <c r="BC25" s="5">
        <v>53.920000000000009</v>
      </c>
      <c r="BD25" s="5">
        <v>0</v>
      </c>
      <c r="BE25" s="5">
        <v>0</v>
      </c>
      <c r="BF25" s="5">
        <v>0</v>
      </c>
      <c r="BG25" s="5">
        <v>0</v>
      </c>
      <c r="BH25" s="5">
        <v>2289.4700000000003</v>
      </c>
      <c r="BI25" s="5">
        <v>0</v>
      </c>
      <c r="BJ25" s="5">
        <v>0</v>
      </c>
      <c r="BL25" s="5">
        <v>106226.95</v>
      </c>
      <c r="BM25" s="5">
        <v>106226.95</v>
      </c>
      <c r="BN25" s="5">
        <v>0</v>
      </c>
      <c r="BO25" s="5">
        <v>586.66999999999996</v>
      </c>
      <c r="BP25" s="5">
        <v>0</v>
      </c>
      <c r="BQ25" s="5">
        <v>0</v>
      </c>
      <c r="BR25" s="215">
        <v>45565</v>
      </c>
      <c r="BS25" s="5">
        <v>679782033.38999784</v>
      </c>
      <c r="BT25" s="5">
        <v>3635</v>
      </c>
      <c r="BU25" s="5">
        <v>2576919.5900000003</v>
      </c>
      <c r="BV25" s="5">
        <v>16</v>
      </c>
      <c r="BW25" s="5">
        <v>607623</v>
      </c>
      <c r="BX25" s="5">
        <v>9</v>
      </c>
      <c r="BY25" s="5">
        <v>0</v>
      </c>
      <c r="BZ25" s="5">
        <v>0</v>
      </c>
      <c r="CA25" s="5">
        <v>3515.46</v>
      </c>
      <c r="CB25" s="5">
        <v>1</v>
      </c>
      <c r="CC25" s="5">
        <v>0</v>
      </c>
      <c r="CD25" s="5">
        <v>0</v>
      </c>
      <c r="CE25" s="5">
        <v>0</v>
      </c>
      <c r="CF25" s="5">
        <v>0</v>
      </c>
      <c r="CG25" s="5">
        <v>3724886.27</v>
      </c>
      <c r="CH25" s="5">
        <v>0</v>
      </c>
      <c r="CI25" s="5">
        <v>0</v>
      </c>
      <c r="CJ25" s="691">
        <v>46203</v>
      </c>
      <c r="CK25" s="1031" t="s">
        <v>292</v>
      </c>
      <c r="CL25" s="1031" t="s">
        <v>886</v>
      </c>
      <c r="CM25" s="5">
        <v>204445917.53000003</v>
      </c>
      <c r="CN25" s="696">
        <v>595</v>
      </c>
      <c r="CO25" s="5">
        <v>265913717.62999994</v>
      </c>
    </row>
    <row r="26" spans="1:93">
      <c r="A26" s="215">
        <v>45869</v>
      </c>
      <c r="B26" t="s">
        <v>869</v>
      </c>
      <c r="C26" t="s">
        <v>863</v>
      </c>
      <c r="D26" s="5">
        <v>757021994.38999987</v>
      </c>
      <c r="E26" s="5">
        <v>0</v>
      </c>
      <c r="F26" s="5">
        <v>801330.13</v>
      </c>
      <c r="G26" s="5">
        <v>5144340.6600000057</v>
      </c>
      <c r="H26" s="5">
        <v>1470425.3499999999</v>
      </c>
      <c r="I26" s="5">
        <v>0</v>
      </c>
      <c r="J26" s="5">
        <v>5045.04</v>
      </c>
      <c r="K26" s="5">
        <v>0</v>
      </c>
      <c r="L26" s="5">
        <v>0</v>
      </c>
      <c r="M26" s="5">
        <v>145403.74</v>
      </c>
      <c r="N26" s="5">
        <v>0</v>
      </c>
      <c r="O26" s="5">
        <v>0</v>
      </c>
      <c r="P26" s="5">
        <v>126688.76</v>
      </c>
      <c r="Q26" s="5">
        <v>750941511.05000126</v>
      </c>
      <c r="R26" s="5">
        <v>110908.45999999999</v>
      </c>
      <c r="S26" s="5">
        <v>31206.779999999995</v>
      </c>
      <c r="T26" s="5">
        <v>0</v>
      </c>
      <c r="U26" s="5">
        <v>66536.25999999998</v>
      </c>
      <c r="V26" s="5">
        <v>11312.039999999999</v>
      </c>
      <c r="W26" s="5">
        <v>0</v>
      </c>
      <c r="X26" s="5">
        <v>87039.29</v>
      </c>
      <c r="Y26" s="5">
        <v>28252.589999999993</v>
      </c>
      <c r="Z26" s="5">
        <v>0</v>
      </c>
      <c r="AA26" s="5">
        <v>0</v>
      </c>
      <c r="AB26" s="5">
        <v>0</v>
      </c>
      <c r="AC26" s="5">
        <v>0</v>
      </c>
      <c r="AD26" s="5">
        <v>0</v>
      </c>
      <c r="AE26" s="5">
        <v>0</v>
      </c>
      <c r="AF26" s="5">
        <v>0</v>
      </c>
      <c r="AG26" s="5">
        <v>6839.9000000000005</v>
      </c>
      <c r="AH26" s="5">
        <v>1336.19</v>
      </c>
      <c r="AI26" s="5">
        <v>0</v>
      </c>
      <c r="AJ26" s="5">
        <v>0</v>
      </c>
      <c r="AK26" s="5">
        <v>0</v>
      </c>
      <c r="AL26" s="5">
        <v>0</v>
      </c>
      <c r="AM26" s="5">
        <v>0</v>
      </c>
      <c r="AN26" s="5">
        <v>0</v>
      </c>
      <c r="AO26" s="5">
        <v>0</v>
      </c>
      <c r="AP26" s="5">
        <v>0</v>
      </c>
      <c r="AQ26" s="5">
        <v>0</v>
      </c>
      <c r="AR26" s="5">
        <v>0</v>
      </c>
      <c r="AS26" s="5">
        <v>83565.530000000028</v>
      </c>
      <c r="AT26" s="5">
        <v>12930.040000000003</v>
      </c>
      <c r="AU26" s="5">
        <v>0</v>
      </c>
      <c r="AV26" s="5">
        <v>5077804.4000000022</v>
      </c>
      <c r="AW26" s="5">
        <v>87039.29</v>
      </c>
      <c r="AX26" s="5">
        <v>1470425.3499999999</v>
      </c>
      <c r="AY26" s="5">
        <v>6635269.0400000112</v>
      </c>
      <c r="AZ26" s="5">
        <v>1005709.8500000007</v>
      </c>
      <c r="BA26" s="5">
        <v>28252.589999999993</v>
      </c>
      <c r="BB26" s="5">
        <v>100.64</v>
      </c>
      <c r="BC26" s="5">
        <v>114.49</v>
      </c>
      <c r="BD26" s="5">
        <v>0</v>
      </c>
      <c r="BE26" s="5">
        <v>2652.14</v>
      </c>
      <c r="BF26" s="5">
        <v>0</v>
      </c>
      <c r="BG26" s="5">
        <v>0</v>
      </c>
      <c r="BH26" s="5">
        <v>1036829.7100000003</v>
      </c>
      <c r="BI26" s="5">
        <v>0</v>
      </c>
      <c r="BJ26" s="5">
        <v>0</v>
      </c>
      <c r="BK26" s="5">
        <v>0</v>
      </c>
      <c r="BL26" s="5">
        <v>7668665.7399999937</v>
      </c>
      <c r="BM26" s="5">
        <v>7672098.750000013</v>
      </c>
      <c r="BN26" s="5">
        <v>0</v>
      </c>
      <c r="BO26" s="5">
        <v>451180.10999999894</v>
      </c>
      <c r="BP26" s="5">
        <v>0</v>
      </c>
      <c r="BQ26" s="5">
        <v>0</v>
      </c>
      <c r="BR26" s="215">
        <v>45535</v>
      </c>
      <c r="BS26" s="5">
        <v>685948666.13999975</v>
      </c>
      <c r="BT26" s="5">
        <v>3641</v>
      </c>
      <c r="BU26" s="5">
        <v>1927543.5699999998</v>
      </c>
      <c r="BV26" s="5">
        <v>11</v>
      </c>
      <c r="BW26" s="5">
        <v>716751.69</v>
      </c>
      <c r="BX26" s="5">
        <v>7</v>
      </c>
      <c r="BY26" s="5">
        <v>1181.3</v>
      </c>
      <c r="BZ26" s="5">
        <v>1</v>
      </c>
      <c r="CA26" s="5">
        <v>0</v>
      </c>
      <c r="CB26" s="5">
        <v>0</v>
      </c>
      <c r="CC26" s="5">
        <v>3272.83</v>
      </c>
      <c r="CD26" s="5">
        <v>1</v>
      </c>
      <c r="CE26" s="5">
        <v>0</v>
      </c>
      <c r="CF26" s="5">
        <v>0</v>
      </c>
      <c r="CG26" s="5">
        <v>3724886.27</v>
      </c>
      <c r="CH26" s="5">
        <v>0</v>
      </c>
      <c r="CI26" s="5">
        <v>0</v>
      </c>
      <c r="CJ26" s="691">
        <v>46203</v>
      </c>
      <c r="CK26" s="1031" t="s">
        <v>293</v>
      </c>
      <c r="CL26" s="1031" t="s">
        <v>887</v>
      </c>
      <c r="CM26" s="5">
        <v>168473979.5</v>
      </c>
      <c r="CN26" s="696">
        <v>245</v>
      </c>
      <c r="CO26" s="5">
        <v>208415367.05000001</v>
      </c>
    </row>
    <row r="27" spans="1:93">
      <c r="A27" s="215">
        <v>45869</v>
      </c>
      <c r="B27" t="s">
        <v>869</v>
      </c>
      <c r="C27" t="s">
        <v>864</v>
      </c>
      <c r="D27" s="5">
        <v>616170.73</v>
      </c>
      <c r="E27" s="5">
        <v>0</v>
      </c>
      <c r="F27" s="5">
        <v>0</v>
      </c>
      <c r="G27" s="5">
        <v>8021.68</v>
      </c>
      <c r="H27" s="5">
        <v>0</v>
      </c>
      <c r="I27" s="5">
        <v>0</v>
      </c>
      <c r="J27" s="5">
        <v>0</v>
      </c>
      <c r="K27" s="5">
        <v>0</v>
      </c>
      <c r="L27" s="5">
        <v>0</v>
      </c>
      <c r="M27" s="5">
        <v>145403.74</v>
      </c>
      <c r="N27" s="5">
        <v>0</v>
      </c>
      <c r="O27" s="5">
        <v>0</v>
      </c>
      <c r="P27" s="5">
        <v>0</v>
      </c>
      <c r="Q27" s="5">
        <v>753552.79</v>
      </c>
      <c r="R27" s="5">
        <v>9941.86</v>
      </c>
      <c r="S27" s="5">
        <v>924.61</v>
      </c>
      <c r="T27" s="5">
        <v>0</v>
      </c>
      <c r="U27" s="5">
        <v>2172.5099999999998</v>
      </c>
      <c r="V27" s="5">
        <v>131.56</v>
      </c>
      <c r="W27" s="5">
        <v>0</v>
      </c>
      <c r="X27" s="5">
        <v>0</v>
      </c>
      <c r="Y27" s="5">
        <v>0</v>
      </c>
      <c r="Z27" s="5">
        <v>0</v>
      </c>
      <c r="AA27" s="5">
        <v>0</v>
      </c>
      <c r="AB27" s="5">
        <v>0</v>
      </c>
      <c r="AC27" s="5">
        <v>0</v>
      </c>
      <c r="AD27" s="5">
        <v>0</v>
      </c>
      <c r="AE27" s="5">
        <v>0</v>
      </c>
      <c r="AF27" s="5">
        <v>0</v>
      </c>
      <c r="AG27" s="5">
        <v>6839.9000000000005</v>
      </c>
      <c r="AH27" s="5">
        <v>1336.19</v>
      </c>
      <c r="AI27" s="5">
        <v>0</v>
      </c>
      <c r="AJ27" s="5">
        <v>0</v>
      </c>
      <c r="AK27" s="5">
        <v>0</v>
      </c>
      <c r="AL27" s="5">
        <v>0</v>
      </c>
      <c r="AM27" s="5">
        <v>0</v>
      </c>
      <c r="AN27" s="5">
        <v>0</v>
      </c>
      <c r="AO27" s="5">
        <v>0</v>
      </c>
      <c r="AP27" s="5">
        <v>0</v>
      </c>
      <c r="AQ27" s="5">
        <v>0</v>
      </c>
      <c r="AR27" s="5">
        <v>0</v>
      </c>
      <c r="AS27" s="5">
        <v>18954.27</v>
      </c>
      <c r="AT27" s="5">
        <v>2392.36</v>
      </c>
      <c r="AU27" s="5">
        <v>0</v>
      </c>
      <c r="AV27" s="5">
        <v>5849.17</v>
      </c>
      <c r="AW27" s="5">
        <v>0</v>
      </c>
      <c r="AX27" s="5">
        <v>0</v>
      </c>
      <c r="AY27" s="5">
        <v>5849.17</v>
      </c>
      <c r="AZ27" s="5">
        <v>627.20000000000005</v>
      </c>
      <c r="BA27" s="5">
        <v>0</v>
      </c>
      <c r="BB27" s="5">
        <v>0</v>
      </c>
      <c r="BC27" s="5">
        <v>0</v>
      </c>
      <c r="BD27" s="5">
        <v>0</v>
      </c>
      <c r="BE27" s="5">
        <v>0</v>
      </c>
      <c r="BF27" s="5">
        <v>0</v>
      </c>
      <c r="BG27" s="5">
        <v>0</v>
      </c>
      <c r="BH27" s="5">
        <v>627.20000000000005</v>
      </c>
      <c r="BI27" s="5">
        <v>0</v>
      </c>
      <c r="BJ27" s="5">
        <v>0</v>
      </c>
      <c r="BL27" s="5">
        <v>6476.37</v>
      </c>
      <c r="BM27" s="5">
        <v>6476.37</v>
      </c>
      <c r="BN27" s="5">
        <v>0</v>
      </c>
      <c r="BO27" s="5">
        <v>1372.7</v>
      </c>
      <c r="BP27" s="5">
        <v>0</v>
      </c>
      <c r="BQ27" s="5">
        <v>0</v>
      </c>
      <c r="BR27" s="215">
        <v>45504</v>
      </c>
      <c r="BS27" s="5">
        <v>690082232.36000025</v>
      </c>
      <c r="BT27" s="5">
        <v>3627</v>
      </c>
      <c r="BU27" s="5">
        <v>5201616.7699999986</v>
      </c>
      <c r="BV27" s="5">
        <v>29</v>
      </c>
      <c r="BW27" s="5">
        <v>150051.77000000002</v>
      </c>
      <c r="BX27" s="5">
        <v>4</v>
      </c>
      <c r="BY27" s="5">
        <v>0</v>
      </c>
      <c r="BZ27" s="5">
        <v>0</v>
      </c>
      <c r="CA27" s="5">
        <v>3272.83</v>
      </c>
      <c r="CB27" s="5">
        <v>1</v>
      </c>
      <c r="CC27" s="5">
        <v>0</v>
      </c>
      <c r="CD27" s="5">
        <v>0</v>
      </c>
      <c r="CE27" s="5">
        <v>0</v>
      </c>
      <c r="CF27" s="5">
        <v>399475.56</v>
      </c>
      <c r="CG27" s="5">
        <v>3369319.82</v>
      </c>
      <c r="CH27" s="5">
        <v>0</v>
      </c>
      <c r="CI27" s="5">
        <v>399475.56</v>
      </c>
      <c r="CJ27" s="691">
        <v>46203</v>
      </c>
      <c r="CK27" s="1031" t="s">
        <v>294</v>
      </c>
      <c r="CL27" s="1031" t="s">
        <v>888</v>
      </c>
      <c r="CM27" s="5">
        <v>92330621.709999979</v>
      </c>
      <c r="CN27" s="696">
        <v>70</v>
      </c>
      <c r="CO27" s="5">
        <v>115039864.05000001</v>
      </c>
    </row>
    <row r="28" spans="1:93">
      <c r="A28" s="215">
        <v>45838</v>
      </c>
      <c r="B28" t="s">
        <v>869</v>
      </c>
      <c r="C28" t="s">
        <v>863</v>
      </c>
      <c r="D28" s="5">
        <v>634611562.37999856</v>
      </c>
      <c r="E28" s="5">
        <v>120500579.37000002</v>
      </c>
      <c r="F28" s="5">
        <v>8890214.8300000019</v>
      </c>
      <c r="G28" s="5">
        <v>5110443.6999999983</v>
      </c>
      <c r="H28" s="5">
        <v>1167911.44</v>
      </c>
      <c r="I28" s="5">
        <v>0</v>
      </c>
      <c r="J28" s="5">
        <v>5797.52</v>
      </c>
      <c r="K28" s="5">
        <v>0</v>
      </c>
      <c r="L28" s="5">
        <v>0</v>
      </c>
      <c r="M28" s="5">
        <v>9022.39</v>
      </c>
      <c r="N28" s="5">
        <v>0</v>
      </c>
      <c r="O28" s="5">
        <v>0</v>
      </c>
      <c r="P28" s="5">
        <v>698782.17999999993</v>
      </c>
      <c r="Q28" s="5">
        <v>757021994.39000046</v>
      </c>
      <c r="R28" s="5">
        <v>103366.31999999996</v>
      </c>
      <c r="S28" s="5">
        <v>8560.3799999999974</v>
      </c>
      <c r="T28" s="5">
        <v>0</v>
      </c>
      <c r="U28" s="5">
        <v>99273.839999999982</v>
      </c>
      <c r="V28" s="5">
        <v>30024.599999999995</v>
      </c>
      <c r="W28" s="5">
        <v>0</v>
      </c>
      <c r="X28" s="5">
        <v>85518.179999999978</v>
      </c>
      <c r="Y28" s="5">
        <v>7234.7200000000012</v>
      </c>
      <c r="Z28" s="5">
        <v>0</v>
      </c>
      <c r="AA28" s="5">
        <v>0</v>
      </c>
      <c r="AB28" s="5">
        <v>0</v>
      </c>
      <c r="AC28" s="5">
        <v>0</v>
      </c>
      <c r="AD28" s="5">
        <v>0</v>
      </c>
      <c r="AE28" s="5">
        <v>0</v>
      </c>
      <c r="AF28" s="5">
        <v>0</v>
      </c>
      <c r="AG28" s="5">
        <v>6213.52</v>
      </c>
      <c r="AH28" s="5">
        <v>143.47999999999999</v>
      </c>
      <c r="AI28" s="5">
        <v>0</v>
      </c>
      <c r="AJ28" s="5">
        <v>0</v>
      </c>
      <c r="AK28" s="5">
        <v>0</v>
      </c>
      <c r="AL28" s="5">
        <v>0</v>
      </c>
      <c r="AM28" s="5">
        <v>0</v>
      </c>
      <c r="AN28" s="5">
        <v>0</v>
      </c>
      <c r="AO28" s="5">
        <v>0</v>
      </c>
      <c r="AP28" s="5">
        <v>0</v>
      </c>
      <c r="AQ28" s="5">
        <v>0</v>
      </c>
      <c r="AR28" s="5">
        <v>0</v>
      </c>
      <c r="AS28" s="5">
        <v>110908.45999999999</v>
      </c>
      <c r="AT28" s="5">
        <v>31206.780000000002</v>
      </c>
      <c r="AU28" s="5">
        <v>0</v>
      </c>
      <c r="AV28" s="5">
        <v>5011169.8599999994</v>
      </c>
      <c r="AW28" s="5">
        <v>85518.179999999978</v>
      </c>
      <c r="AX28" s="5">
        <v>1167911.44</v>
      </c>
      <c r="AY28" s="5">
        <v>6264599.4799999949</v>
      </c>
      <c r="AZ28" s="5">
        <v>991423.72000000032</v>
      </c>
      <c r="BA28" s="5">
        <v>7234.7200000000012</v>
      </c>
      <c r="BB28" s="5">
        <v>151.58000000000004</v>
      </c>
      <c r="BC28" s="5">
        <v>205.62000000000009</v>
      </c>
      <c r="BD28" s="5">
        <v>0</v>
      </c>
      <c r="BE28" s="5">
        <v>2683.91</v>
      </c>
      <c r="BF28" s="5">
        <v>0</v>
      </c>
      <c r="BG28" s="5">
        <v>0</v>
      </c>
      <c r="BH28" s="5">
        <v>1001699.5500000004</v>
      </c>
      <c r="BI28" s="5">
        <v>0</v>
      </c>
      <c r="BJ28" s="5">
        <v>0</v>
      </c>
      <c r="BK28" s="5">
        <v>0</v>
      </c>
      <c r="BL28" s="5">
        <v>7266299.0299999891</v>
      </c>
      <c r="BM28" s="5">
        <v>7266299.0300000012</v>
      </c>
      <c r="BN28" s="5">
        <v>0</v>
      </c>
      <c r="BO28" s="5">
        <v>440906.76999999885</v>
      </c>
      <c r="BP28" s="5">
        <v>0</v>
      </c>
      <c r="BQ28" s="5">
        <v>0</v>
      </c>
      <c r="BR28" s="215">
        <v>45473</v>
      </c>
      <c r="BS28" s="5">
        <v>698965879.67999971</v>
      </c>
      <c r="BT28" s="5">
        <v>3669</v>
      </c>
      <c r="BU28" s="5">
        <v>2195802.83</v>
      </c>
      <c r="BV28" s="5">
        <v>15</v>
      </c>
      <c r="BW28" s="5">
        <v>125580.36</v>
      </c>
      <c r="BX28" s="5">
        <v>3</v>
      </c>
      <c r="BY28" s="5">
        <v>0</v>
      </c>
      <c r="BZ28" s="5">
        <v>1</v>
      </c>
      <c r="CA28" s="5">
        <v>0</v>
      </c>
      <c r="CB28" s="5">
        <v>0</v>
      </c>
      <c r="CC28" s="5">
        <v>0</v>
      </c>
      <c r="CD28" s="5">
        <v>0</v>
      </c>
      <c r="CE28" s="5">
        <v>0</v>
      </c>
      <c r="CF28" s="5">
        <v>0</v>
      </c>
      <c r="CG28" s="5">
        <v>3775212.81</v>
      </c>
      <c r="CH28" s="5">
        <v>0</v>
      </c>
      <c r="CI28" s="5">
        <v>0</v>
      </c>
      <c r="CJ28" s="691">
        <v>46203</v>
      </c>
      <c r="CK28" s="1031" t="s">
        <v>295</v>
      </c>
      <c r="CL28" s="1031" t="s">
        <v>2451</v>
      </c>
      <c r="CM28" s="5">
        <v>33049930.25</v>
      </c>
      <c r="CN28" s="696">
        <v>12</v>
      </c>
      <c r="CO28" s="5">
        <v>38505000</v>
      </c>
    </row>
    <row r="29" spans="1:93">
      <c r="A29" s="215">
        <v>45838</v>
      </c>
      <c r="B29" t="s">
        <v>869</v>
      </c>
      <c r="C29" t="s">
        <v>864</v>
      </c>
      <c r="D29" s="5">
        <v>610524.32000000007</v>
      </c>
      <c r="E29" s="5">
        <v>0</v>
      </c>
      <c r="F29" s="5">
        <v>0</v>
      </c>
      <c r="G29" s="5">
        <v>3622.7799999999997</v>
      </c>
      <c r="H29" s="5">
        <v>0</v>
      </c>
      <c r="I29" s="5">
        <v>0</v>
      </c>
      <c r="J29" s="5">
        <v>246.8</v>
      </c>
      <c r="K29" s="5">
        <v>0</v>
      </c>
      <c r="L29" s="5">
        <v>0</v>
      </c>
      <c r="M29" s="5">
        <v>9022.39</v>
      </c>
      <c r="N29" s="5">
        <v>0</v>
      </c>
      <c r="O29" s="5">
        <v>0</v>
      </c>
      <c r="P29" s="5">
        <v>0</v>
      </c>
      <c r="Q29" s="5">
        <v>616170.73</v>
      </c>
      <c r="R29" s="5">
        <v>4795.3899999999994</v>
      </c>
      <c r="S29" s="5">
        <v>751.72</v>
      </c>
      <c r="T29" s="5">
        <v>0</v>
      </c>
      <c r="U29" s="5">
        <v>539.54999999999995</v>
      </c>
      <c r="V29" s="5">
        <v>104.66</v>
      </c>
      <c r="W29" s="5">
        <v>0</v>
      </c>
      <c r="X29" s="5">
        <v>1606.6000000000001</v>
      </c>
      <c r="Y29" s="5">
        <v>75.25</v>
      </c>
      <c r="Z29" s="5">
        <v>0</v>
      </c>
      <c r="AA29" s="5">
        <v>0</v>
      </c>
      <c r="AB29" s="5">
        <v>0</v>
      </c>
      <c r="AC29" s="5">
        <v>0</v>
      </c>
      <c r="AD29" s="5">
        <v>0</v>
      </c>
      <c r="AE29" s="5">
        <v>0</v>
      </c>
      <c r="AF29" s="5">
        <v>0</v>
      </c>
      <c r="AG29" s="5">
        <v>6213.52</v>
      </c>
      <c r="AH29" s="5">
        <v>143.47999999999999</v>
      </c>
      <c r="AI29" s="5">
        <v>0</v>
      </c>
      <c r="AJ29" s="5">
        <v>0</v>
      </c>
      <c r="AK29" s="5">
        <v>0</v>
      </c>
      <c r="AL29" s="5">
        <v>0</v>
      </c>
      <c r="AM29" s="5">
        <v>0</v>
      </c>
      <c r="AN29" s="5">
        <v>0</v>
      </c>
      <c r="AO29" s="5">
        <v>0</v>
      </c>
      <c r="AP29" s="5">
        <v>0</v>
      </c>
      <c r="AQ29" s="5">
        <v>0</v>
      </c>
      <c r="AR29" s="5">
        <v>0</v>
      </c>
      <c r="AS29" s="5">
        <v>9941.86</v>
      </c>
      <c r="AT29" s="5">
        <v>924.61</v>
      </c>
      <c r="AU29" s="5">
        <v>0</v>
      </c>
      <c r="AV29" s="5">
        <v>3083.23</v>
      </c>
      <c r="AW29" s="5">
        <v>1606.6000000000001</v>
      </c>
      <c r="AX29" s="5">
        <v>0</v>
      </c>
      <c r="AY29" s="5">
        <v>4689.83</v>
      </c>
      <c r="AZ29" s="5">
        <v>387.09</v>
      </c>
      <c r="BA29" s="5">
        <v>75.25</v>
      </c>
      <c r="BB29" s="5">
        <v>1.46</v>
      </c>
      <c r="BC29" s="5">
        <v>3.08</v>
      </c>
      <c r="BD29" s="5">
        <v>0</v>
      </c>
      <c r="BE29" s="5">
        <v>0</v>
      </c>
      <c r="BF29" s="5">
        <v>0</v>
      </c>
      <c r="BG29" s="5">
        <v>0</v>
      </c>
      <c r="BH29" s="5">
        <v>466.88</v>
      </c>
      <c r="BI29" s="5">
        <v>0</v>
      </c>
      <c r="BJ29" s="5">
        <v>0</v>
      </c>
      <c r="BL29" s="5">
        <v>5156.71</v>
      </c>
      <c r="BM29" s="5">
        <v>5156.71</v>
      </c>
      <c r="BN29" s="5">
        <v>0</v>
      </c>
      <c r="BO29" s="5">
        <v>544.06999999999994</v>
      </c>
      <c r="BP29" s="5">
        <v>0</v>
      </c>
      <c r="BQ29" s="5">
        <v>0</v>
      </c>
      <c r="BR29" s="215">
        <v>45443</v>
      </c>
      <c r="BS29" s="5">
        <v>702398532.93000031</v>
      </c>
      <c r="BT29" s="5">
        <v>3682</v>
      </c>
      <c r="BU29" s="5">
        <v>4355821.4400000004</v>
      </c>
      <c r="BV29" s="5">
        <v>22</v>
      </c>
      <c r="BW29" s="5">
        <v>87910.75</v>
      </c>
      <c r="BX29" s="5">
        <v>2</v>
      </c>
      <c r="BY29" s="5">
        <v>0</v>
      </c>
      <c r="BZ29" s="5">
        <v>0</v>
      </c>
      <c r="CA29" s="5">
        <v>0</v>
      </c>
      <c r="CB29" s="5">
        <v>0</v>
      </c>
      <c r="CC29" s="5">
        <v>0</v>
      </c>
      <c r="CD29" s="5">
        <v>0</v>
      </c>
      <c r="CE29" s="5">
        <v>0</v>
      </c>
      <c r="CF29" s="5">
        <v>0</v>
      </c>
      <c r="CG29" s="5">
        <v>3780146.77</v>
      </c>
      <c r="CH29" s="5">
        <v>0</v>
      </c>
      <c r="CI29" s="5">
        <v>0</v>
      </c>
      <c r="CJ29" s="691">
        <v>46203</v>
      </c>
      <c r="CK29" s="1031" t="s">
        <v>298</v>
      </c>
      <c r="CL29" s="1031" t="s">
        <v>2450</v>
      </c>
      <c r="CM29" s="5">
        <v>4491.18</v>
      </c>
      <c r="CN29" s="696">
        <v>1</v>
      </c>
      <c r="CO29" s="5">
        <v>4519.2</v>
      </c>
    </row>
    <row r="30" spans="1:93">
      <c r="A30" s="215">
        <v>45808</v>
      </c>
      <c r="B30" t="s">
        <v>869</v>
      </c>
      <c r="C30" t="s">
        <v>863</v>
      </c>
      <c r="D30" s="5">
        <v>640193334.03000021</v>
      </c>
      <c r="E30" s="5">
        <v>0</v>
      </c>
      <c r="F30" s="5">
        <v>0</v>
      </c>
      <c r="G30" s="5">
        <v>4604252.1599999927</v>
      </c>
      <c r="H30" s="5">
        <v>482114.58999999997</v>
      </c>
      <c r="I30" s="5">
        <v>0</v>
      </c>
      <c r="J30" s="5">
        <v>1831.42</v>
      </c>
      <c r="K30" s="5">
        <v>0</v>
      </c>
      <c r="L30" s="5">
        <v>0</v>
      </c>
      <c r="M30" s="5">
        <v>497236.32</v>
      </c>
      <c r="N30" s="5">
        <v>0</v>
      </c>
      <c r="O30" s="5">
        <v>0</v>
      </c>
      <c r="P30" s="5">
        <v>0</v>
      </c>
      <c r="Q30" s="5">
        <v>634611562.37999856</v>
      </c>
      <c r="R30" s="5">
        <v>99345.190000000017</v>
      </c>
      <c r="S30" s="5">
        <v>9534.1400000000031</v>
      </c>
      <c r="T30" s="5">
        <v>0</v>
      </c>
      <c r="U30" s="5">
        <v>80275.53</v>
      </c>
      <c r="V30" s="5">
        <v>6524.1</v>
      </c>
      <c r="W30" s="5">
        <v>0</v>
      </c>
      <c r="X30" s="5">
        <v>74647.800000000017</v>
      </c>
      <c r="Y30" s="5">
        <v>7422.6100000000006</v>
      </c>
      <c r="Z30" s="5">
        <v>0</v>
      </c>
      <c r="AA30" s="5">
        <v>0</v>
      </c>
      <c r="AB30" s="5">
        <v>0</v>
      </c>
      <c r="AC30" s="5">
        <v>0</v>
      </c>
      <c r="AD30" s="5">
        <v>0</v>
      </c>
      <c r="AE30" s="5">
        <v>0</v>
      </c>
      <c r="AF30" s="5">
        <v>0</v>
      </c>
      <c r="AG30" s="5">
        <v>1606.6</v>
      </c>
      <c r="AH30" s="5">
        <v>75.25</v>
      </c>
      <c r="AI30" s="5">
        <v>0</v>
      </c>
      <c r="AJ30" s="5">
        <v>0</v>
      </c>
      <c r="AK30" s="5">
        <v>0</v>
      </c>
      <c r="AL30" s="5">
        <v>0</v>
      </c>
      <c r="AM30" s="5">
        <v>0</v>
      </c>
      <c r="AN30" s="5">
        <v>0</v>
      </c>
      <c r="AO30" s="5">
        <v>0</v>
      </c>
      <c r="AP30" s="5">
        <v>0</v>
      </c>
      <c r="AQ30" s="5">
        <v>0</v>
      </c>
      <c r="AR30" s="5">
        <v>0</v>
      </c>
      <c r="AS30" s="5">
        <v>103366.31999999996</v>
      </c>
      <c r="AT30" s="5">
        <v>8560.3799999999974</v>
      </c>
      <c r="AU30" s="5">
        <v>0</v>
      </c>
      <c r="AV30" s="5">
        <v>4523976.6299999943</v>
      </c>
      <c r="AW30" s="5">
        <v>74647.800000000017</v>
      </c>
      <c r="AX30" s="5">
        <v>482114.58999999997</v>
      </c>
      <c r="AY30" s="5">
        <v>5080739.019999994</v>
      </c>
      <c r="AZ30" s="5">
        <v>741815.00999999803</v>
      </c>
      <c r="BA30" s="5">
        <v>7422.6100000000006</v>
      </c>
      <c r="BB30" s="5">
        <v>145.22000000000006</v>
      </c>
      <c r="BC30" s="5">
        <v>173.07999999999993</v>
      </c>
      <c r="BD30" s="5">
        <v>0</v>
      </c>
      <c r="BE30" s="5">
        <v>3789.04</v>
      </c>
      <c r="BF30" s="5">
        <v>64.260000000000005</v>
      </c>
      <c r="BG30" s="5">
        <v>0</v>
      </c>
      <c r="BH30" s="5">
        <v>753409.21999999811</v>
      </c>
      <c r="BI30" s="5">
        <v>0</v>
      </c>
      <c r="BJ30" s="5">
        <v>0</v>
      </c>
      <c r="BK30" s="5">
        <v>0</v>
      </c>
      <c r="BL30" s="5">
        <v>5834148.2399999965</v>
      </c>
      <c r="BM30" s="5">
        <v>5834148.2400000077</v>
      </c>
      <c r="BN30" s="5">
        <v>0</v>
      </c>
      <c r="BO30" s="5">
        <v>352141.37999999942</v>
      </c>
      <c r="BP30" s="5">
        <v>0</v>
      </c>
      <c r="BQ30" s="5">
        <v>0</v>
      </c>
      <c r="BR30" s="215">
        <v>45412</v>
      </c>
      <c r="BS30" s="5">
        <v>706600362.5200007</v>
      </c>
      <c r="BT30" s="5">
        <v>3697</v>
      </c>
      <c r="BU30" s="5">
        <v>5711069.3900000015</v>
      </c>
      <c r="BV30" s="5">
        <v>31</v>
      </c>
      <c r="BW30" s="5">
        <v>3382.05</v>
      </c>
      <c r="BX30" s="5">
        <v>1</v>
      </c>
      <c r="BY30" s="5">
        <v>0</v>
      </c>
      <c r="BZ30" s="5">
        <v>0</v>
      </c>
      <c r="CA30" s="5">
        <v>0</v>
      </c>
      <c r="CB30" s="5">
        <v>0</v>
      </c>
      <c r="CC30" s="5">
        <v>0</v>
      </c>
      <c r="CD30" s="5">
        <v>0</v>
      </c>
      <c r="CE30" s="5">
        <v>0</v>
      </c>
      <c r="CF30" s="5">
        <v>405892.99</v>
      </c>
      <c r="CG30" s="5">
        <v>3418102.59</v>
      </c>
      <c r="CH30" s="5">
        <v>0</v>
      </c>
      <c r="CI30" s="5">
        <v>405892.99</v>
      </c>
      <c r="CJ30" s="691">
        <v>46203</v>
      </c>
      <c r="CK30" s="1031" t="s">
        <v>299</v>
      </c>
      <c r="CL30" s="1031" t="s">
        <v>883</v>
      </c>
      <c r="CM30" s="5">
        <v>1295471.2599999998</v>
      </c>
      <c r="CN30" s="696">
        <v>67</v>
      </c>
      <c r="CO30" s="5">
        <v>2664689.0100000002</v>
      </c>
    </row>
    <row r="31" spans="1:93">
      <c r="A31" s="215">
        <v>45808</v>
      </c>
      <c r="B31" t="s">
        <v>869</v>
      </c>
      <c r="C31" t="s">
        <v>864</v>
      </c>
      <c r="D31" s="5">
        <v>115295.06</v>
      </c>
      <c r="E31" s="5">
        <v>0</v>
      </c>
      <c r="F31" s="5">
        <v>0</v>
      </c>
      <c r="G31" s="5">
        <v>2007.06</v>
      </c>
      <c r="H31" s="5">
        <v>0</v>
      </c>
      <c r="I31" s="5">
        <v>0</v>
      </c>
      <c r="J31" s="5">
        <v>0</v>
      </c>
      <c r="K31" s="5">
        <v>0</v>
      </c>
      <c r="L31" s="5">
        <v>0</v>
      </c>
      <c r="M31" s="5">
        <v>497236.32</v>
      </c>
      <c r="N31" s="5">
        <v>0</v>
      </c>
      <c r="O31" s="5">
        <v>0</v>
      </c>
      <c r="P31" s="5">
        <v>0</v>
      </c>
      <c r="Q31" s="5">
        <v>610524.32000000007</v>
      </c>
      <c r="R31" s="5">
        <v>8587.76</v>
      </c>
      <c r="S31" s="5">
        <v>1867.08</v>
      </c>
      <c r="T31" s="5">
        <v>0</v>
      </c>
      <c r="U31" s="5">
        <v>537.23</v>
      </c>
      <c r="V31" s="5">
        <v>106.98</v>
      </c>
      <c r="W31" s="5">
        <v>0</v>
      </c>
      <c r="X31" s="5">
        <v>5936.2</v>
      </c>
      <c r="Y31" s="5">
        <v>1297.5899999999999</v>
      </c>
      <c r="Z31" s="5">
        <v>0</v>
      </c>
      <c r="AA31" s="5">
        <v>0</v>
      </c>
      <c r="AB31" s="5">
        <v>0</v>
      </c>
      <c r="AC31" s="5">
        <v>0</v>
      </c>
      <c r="AD31" s="5">
        <v>0</v>
      </c>
      <c r="AE31" s="5">
        <v>0</v>
      </c>
      <c r="AF31" s="5">
        <v>0</v>
      </c>
      <c r="AG31" s="5">
        <v>1606.6</v>
      </c>
      <c r="AH31" s="5">
        <v>75.25</v>
      </c>
      <c r="AI31" s="5">
        <v>0</v>
      </c>
      <c r="AJ31" s="5">
        <v>0</v>
      </c>
      <c r="AK31" s="5">
        <v>0</v>
      </c>
      <c r="AL31" s="5">
        <v>0</v>
      </c>
      <c r="AM31" s="5">
        <v>0</v>
      </c>
      <c r="AN31" s="5">
        <v>0</v>
      </c>
      <c r="AO31" s="5">
        <v>0</v>
      </c>
      <c r="AP31" s="5">
        <v>0</v>
      </c>
      <c r="AQ31" s="5">
        <v>0</v>
      </c>
      <c r="AR31" s="5">
        <v>0</v>
      </c>
      <c r="AS31" s="5">
        <v>4795.3899999999994</v>
      </c>
      <c r="AT31" s="5">
        <v>751.72</v>
      </c>
      <c r="AU31" s="5">
        <v>0</v>
      </c>
      <c r="AV31" s="5">
        <v>1469.83</v>
      </c>
      <c r="AW31" s="5">
        <v>5936.2</v>
      </c>
      <c r="AX31" s="5">
        <v>0</v>
      </c>
      <c r="AY31" s="5">
        <v>7406.03</v>
      </c>
      <c r="AZ31" s="5">
        <v>311.83999999999997</v>
      </c>
      <c r="BA31" s="5">
        <v>1297.5899999999999</v>
      </c>
      <c r="BB31" s="5">
        <v>71.459999999999994</v>
      </c>
      <c r="BC31" s="5">
        <v>51.849999999999994</v>
      </c>
      <c r="BD31" s="5">
        <v>0</v>
      </c>
      <c r="BE31" s="5">
        <v>0</v>
      </c>
      <c r="BF31" s="5">
        <v>0</v>
      </c>
      <c r="BG31" s="5">
        <v>0</v>
      </c>
      <c r="BH31" s="5">
        <v>1732.7399999999998</v>
      </c>
      <c r="BI31" s="5">
        <v>0</v>
      </c>
      <c r="BJ31" s="5">
        <v>0</v>
      </c>
      <c r="BL31" s="5">
        <v>9138.77</v>
      </c>
      <c r="BM31" s="5">
        <v>9138.77</v>
      </c>
      <c r="BN31" s="5">
        <v>0</v>
      </c>
      <c r="BO31" s="5">
        <v>510.93000000000006</v>
      </c>
      <c r="BP31" s="5">
        <v>0</v>
      </c>
      <c r="BQ31" s="5">
        <v>0</v>
      </c>
      <c r="BR31" s="215">
        <v>45382</v>
      </c>
      <c r="BS31" s="5">
        <v>714031765.05999994</v>
      </c>
      <c r="BT31" s="5">
        <v>3720</v>
      </c>
      <c r="BU31" s="5">
        <v>2648673.5900000003</v>
      </c>
      <c r="BV31" s="5">
        <v>19</v>
      </c>
      <c r="BW31" s="5">
        <v>998843.09</v>
      </c>
      <c r="BX31" s="5">
        <v>5</v>
      </c>
      <c r="BY31" s="5">
        <v>105122.68000000002</v>
      </c>
      <c r="BZ31" s="5">
        <v>4</v>
      </c>
      <c r="CA31" s="5">
        <v>0</v>
      </c>
      <c r="CB31" s="5">
        <v>0</v>
      </c>
      <c r="CC31" s="5">
        <v>0</v>
      </c>
      <c r="CD31" s="5">
        <v>0</v>
      </c>
      <c r="CE31" s="5">
        <v>0</v>
      </c>
      <c r="CF31" s="5">
        <v>0</v>
      </c>
      <c r="CG31" s="5">
        <v>3832111.27</v>
      </c>
      <c r="CH31" s="5">
        <v>0</v>
      </c>
      <c r="CI31" s="5">
        <v>0</v>
      </c>
      <c r="CJ31" s="691">
        <v>46203</v>
      </c>
      <c r="CK31" s="1031" t="s">
        <v>300</v>
      </c>
      <c r="CL31" s="1031" t="s">
        <v>884</v>
      </c>
      <c r="CM31" s="5">
        <v>14504873.100000009</v>
      </c>
      <c r="CN31" s="696">
        <v>317</v>
      </c>
      <c r="CO31" s="5">
        <v>26513011.279999997</v>
      </c>
    </row>
    <row r="32" spans="1:93">
      <c r="A32" s="215">
        <v>45777</v>
      </c>
      <c r="B32" t="s">
        <v>869</v>
      </c>
      <c r="C32" t="s">
        <v>863</v>
      </c>
      <c r="D32" s="5">
        <v>645853473.62000012</v>
      </c>
      <c r="E32" s="5">
        <v>0</v>
      </c>
      <c r="F32" s="5">
        <v>0</v>
      </c>
      <c r="G32" s="5">
        <v>4684664.3400000045</v>
      </c>
      <c r="H32" s="5">
        <v>981192.52999999991</v>
      </c>
      <c r="I32" s="5">
        <v>3735.11</v>
      </c>
      <c r="J32" s="5">
        <v>1982.17</v>
      </c>
      <c r="K32" s="5">
        <v>0</v>
      </c>
      <c r="L32" s="5">
        <v>0</v>
      </c>
      <c r="M32" s="5">
        <v>0</v>
      </c>
      <c r="N32" s="5">
        <v>0</v>
      </c>
      <c r="O32" s="5">
        <v>0</v>
      </c>
      <c r="P32" s="5">
        <v>0</v>
      </c>
      <c r="Q32" s="5">
        <v>640193334.03000021</v>
      </c>
      <c r="R32" s="5">
        <v>100084.04999999999</v>
      </c>
      <c r="S32" s="5">
        <v>7573.6800000000021</v>
      </c>
      <c r="T32" s="5">
        <v>0</v>
      </c>
      <c r="U32" s="5">
        <v>86671.32</v>
      </c>
      <c r="V32" s="5">
        <v>9380.4900000000016</v>
      </c>
      <c r="W32" s="5">
        <v>0</v>
      </c>
      <c r="X32" s="5">
        <v>83675.069999999992</v>
      </c>
      <c r="Y32" s="5">
        <v>6320.35</v>
      </c>
      <c r="Z32" s="5">
        <v>0</v>
      </c>
      <c r="AA32" s="5">
        <v>3735.11</v>
      </c>
      <c r="AB32" s="5">
        <v>1099.68</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99345.190000000017</v>
      </c>
      <c r="AT32" s="5">
        <v>9534.1400000000031</v>
      </c>
      <c r="AU32" s="5">
        <v>0</v>
      </c>
      <c r="AV32" s="5">
        <v>4597993.0200000023</v>
      </c>
      <c r="AW32" s="5">
        <v>83675.069999999992</v>
      </c>
      <c r="AX32" s="5">
        <v>981192.52999999991</v>
      </c>
      <c r="AY32" s="5">
        <v>5662860.6199999992</v>
      </c>
      <c r="AZ32" s="5">
        <v>751220.20999999798</v>
      </c>
      <c r="BA32" s="5">
        <v>6320.35</v>
      </c>
      <c r="BB32" s="5">
        <v>109.69</v>
      </c>
      <c r="BC32" s="5">
        <v>134.31000000000003</v>
      </c>
      <c r="BD32" s="5">
        <v>0</v>
      </c>
      <c r="BE32" s="5">
        <v>4069.59</v>
      </c>
      <c r="BF32" s="5">
        <v>0</v>
      </c>
      <c r="BG32" s="5">
        <v>0</v>
      </c>
      <c r="BH32" s="5">
        <v>761854.14999999804</v>
      </c>
      <c r="BI32" s="5">
        <v>0</v>
      </c>
      <c r="BJ32" s="5">
        <v>0</v>
      </c>
      <c r="BK32" s="5">
        <v>0</v>
      </c>
      <c r="BL32" s="5">
        <v>6424714.7699999893</v>
      </c>
      <c r="BM32" s="5">
        <v>6424714.7700000172</v>
      </c>
      <c r="BN32" s="5">
        <v>0</v>
      </c>
      <c r="BO32" s="5">
        <v>340891.24999999959</v>
      </c>
      <c r="BP32" s="5">
        <v>0</v>
      </c>
      <c r="BQ32" s="5">
        <v>0</v>
      </c>
      <c r="BR32" s="215">
        <v>45351</v>
      </c>
      <c r="BS32" s="5">
        <v>719723249.09000003</v>
      </c>
      <c r="BT32" s="5">
        <v>3739</v>
      </c>
      <c r="BU32" s="5">
        <v>3474341.62</v>
      </c>
      <c r="BV32" s="5">
        <v>19</v>
      </c>
      <c r="BW32" s="5">
        <v>709984.85</v>
      </c>
      <c r="BX32" s="5">
        <v>8</v>
      </c>
      <c r="BY32" s="5">
        <v>177091.55</v>
      </c>
      <c r="BZ32" s="5">
        <v>2</v>
      </c>
      <c r="CA32" s="5">
        <v>0</v>
      </c>
      <c r="CB32" s="5">
        <v>0</v>
      </c>
      <c r="CC32" s="5">
        <v>0</v>
      </c>
      <c r="CD32" s="5">
        <v>0</v>
      </c>
      <c r="CE32" s="5">
        <v>0</v>
      </c>
      <c r="CF32" s="5">
        <v>0</v>
      </c>
      <c r="CG32" s="5">
        <v>3837031.38</v>
      </c>
      <c r="CH32" s="5">
        <v>0</v>
      </c>
      <c r="CI32" s="5">
        <v>0</v>
      </c>
      <c r="CJ32" s="691">
        <v>46203</v>
      </c>
      <c r="CK32" s="1031" t="s">
        <v>301</v>
      </c>
      <c r="CL32" s="1031" t="s">
        <v>885</v>
      </c>
      <c r="CM32" s="5">
        <v>164543829.09000006</v>
      </c>
      <c r="CN32" s="696">
        <v>1604</v>
      </c>
      <c r="CO32" s="5">
        <v>285130236.05999988</v>
      </c>
    </row>
    <row r="33" spans="1:93">
      <c r="A33" s="215">
        <v>45777</v>
      </c>
      <c r="B33" t="s">
        <v>869</v>
      </c>
      <c r="C33" t="s">
        <v>864</v>
      </c>
      <c r="D33" s="5">
        <v>117294.76000000001</v>
      </c>
      <c r="E33" s="5">
        <v>0</v>
      </c>
      <c r="F33" s="5">
        <v>0</v>
      </c>
      <c r="G33" s="5">
        <v>1999.6999999999998</v>
      </c>
      <c r="H33" s="5">
        <v>0</v>
      </c>
      <c r="I33" s="5">
        <v>0</v>
      </c>
      <c r="J33" s="5">
        <v>0</v>
      </c>
      <c r="K33" s="5">
        <v>0</v>
      </c>
      <c r="L33" s="5">
        <v>0</v>
      </c>
      <c r="M33" s="5">
        <v>0</v>
      </c>
      <c r="N33" s="5">
        <v>0</v>
      </c>
      <c r="O33" s="5">
        <v>0</v>
      </c>
      <c r="P33" s="5">
        <v>0</v>
      </c>
      <c r="Q33" s="5">
        <v>115295.06</v>
      </c>
      <c r="R33" s="5">
        <v>6588.0599999999995</v>
      </c>
      <c r="S33" s="5">
        <v>1440.9</v>
      </c>
      <c r="T33" s="5">
        <v>0</v>
      </c>
      <c r="U33" s="5">
        <v>1999.6999999999998</v>
      </c>
      <c r="V33" s="5">
        <v>426.18</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8587.76</v>
      </c>
      <c r="AT33" s="5">
        <v>1867.08</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L33" s="5">
        <v>0</v>
      </c>
      <c r="BM33" s="5">
        <v>0</v>
      </c>
      <c r="BN33" s="5">
        <v>0</v>
      </c>
      <c r="BO33" s="5">
        <v>509.29</v>
      </c>
      <c r="BP33" s="5">
        <v>0</v>
      </c>
      <c r="BQ33" s="5">
        <v>0</v>
      </c>
      <c r="BR33" s="215">
        <v>45322</v>
      </c>
      <c r="BS33" s="5">
        <v>726618592.59000003</v>
      </c>
      <c r="BT33" s="5">
        <v>3767</v>
      </c>
      <c r="BU33" s="5">
        <v>4811753.3499999996</v>
      </c>
      <c r="BV33" s="5">
        <v>19</v>
      </c>
      <c r="BW33" s="5">
        <v>1267152.06</v>
      </c>
      <c r="BX33" s="5">
        <v>7</v>
      </c>
      <c r="BY33" s="5">
        <v>0</v>
      </c>
      <c r="BZ33" s="5">
        <v>0</v>
      </c>
      <c r="CA33" s="5">
        <v>0</v>
      </c>
      <c r="CB33" s="5">
        <v>0</v>
      </c>
      <c r="CC33" s="5">
        <v>0</v>
      </c>
      <c r="CD33" s="5">
        <v>0</v>
      </c>
      <c r="CE33" s="5">
        <v>0</v>
      </c>
      <c r="CF33" s="5">
        <v>1717.46</v>
      </c>
      <c r="CG33" s="5">
        <v>3879102.52</v>
      </c>
      <c r="CH33" s="5">
        <v>0</v>
      </c>
      <c r="CI33" s="5">
        <v>1717.46</v>
      </c>
      <c r="CJ33" s="691">
        <v>46203</v>
      </c>
      <c r="CK33" s="1031" t="s">
        <v>302</v>
      </c>
      <c r="CL33" s="1031" t="s">
        <v>886</v>
      </c>
      <c r="CM33" s="5">
        <v>229612926.56000018</v>
      </c>
      <c r="CN33" s="696">
        <v>1043</v>
      </c>
      <c r="CO33" s="5">
        <v>359516194.21999979</v>
      </c>
    </row>
    <row r="34" spans="1:93">
      <c r="A34" s="215">
        <v>45747</v>
      </c>
      <c r="B34" t="s">
        <v>869</v>
      </c>
      <c r="C34" t="s">
        <v>863</v>
      </c>
      <c r="D34" s="5">
        <v>652250054.41999888</v>
      </c>
      <c r="E34" s="5">
        <v>0</v>
      </c>
      <c r="F34" s="5">
        <v>0</v>
      </c>
      <c r="G34" s="5">
        <v>4865005.6400000006</v>
      </c>
      <c r="H34" s="5">
        <v>1914870.19</v>
      </c>
      <c r="I34" s="5">
        <v>0</v>
      </c>
      <c r="J34" s="5">
        <v>635.17000000000007</v>
      </c>
      <c r="K34" s="5">
        <v>0</v>
      </c>
      <c r="L34" s="5">
        <v>0</v>
      </c>
      <c r="M34" s="5">
        <v>117294.76000000001</v>
      </c>
      <c r="N34" s="5">
        <v>499954.62</v>
      </c>
      <c r="O34" s="5">
        <v>0</v>
      </c>
      <c r="P34" s="5">
        <v>0</v>
      </c>
      <c r="Q34" s="5">
        <v>645853473.62000012</v>
      </c>
      <c r="R34" s="5">
        <v>107593.26999999999</v>
      </c>
      <c r="S34" s="5">
        <v>12146.280000000002</v>
      </c>
      <c r="T34" s="5">
        <v>0</v>
      </c>
      <c r="U34" s="5">
        <v>80615.799999999974</v>
      </c>
      <c r="V34" s="5">
        <v>6587.760000000002</v>
      </c>
      <c r="W34" s="5">
        <v>0</v>
      </c>
      <c r="X34" s="5">
        <v>84933.37999999999</v>
      </c>
      <c r="Y34" s="5">
        <v>9875.0500000000029</v>
      </c>
      <c r="Z34" s="5">
        <v>0</v>
      </c>
      <c r="AA34" s="5">
        <v>0</v>
      </c>
      <c r="AB34" s="5">
        <v>0</v>
      </c>
      <c r="AC34" s="5">
        <v>0</v>
      </c>
      <c r="AD34" s="5">
        <v>0</v>
      </c>
      <c r="AE34" s="5">
        <v>0</v>
      </c>
      <c r="AF34" s="5">
        <v>0</v>
      </c>
      <c r="AG34" s="5">
        <v>6588.0599999999995</v>
      </c>
      <c r="AH34" s="5">
        <v>1440.9</v>
      </c>
      <c r="AI34" s="5">
        <v>0</v>
      </c>
      <c r="AJ34" s="5">
        <v>3396.42</v>
      </c>
      <c r="AK34" s="5">
        <v>155.59</v>
      </c>
      <c r="AL34" s="5">
        <v>0</v>
      </c>
      <c r="AM34" s="5">
        <v>0</v>
      </c>
      <c r="AN34" s="5">
        <v>0</v>
      </c>
      <c r="AO34" s="5">
        <v>0</v>
      </c>
      <c r="AP34" s="5">
        <v>0</v>
      </c>
      <c r="AQ34" s="5">
        <v>0</v>
      </c>
      <c r="AR34" s="5">
        <v>0</v>
      </c>
      <c r="AS34" s="5">
        <v>100084.04999999999</v>
      </c>
      <c r="AT34" s="5">
        <v>7573.6800000000021</v>
      </c>
      <c r="AU34" s="5">
        <v>0</v>
      </c>
      <c r="AV34" s="5">
        <v>4784389.8400000026</v>
      </c>
      <c r="AW34" s="5">
        <v>84933.37999999999</v>
      </c>
      <c r="AX34" s="5">
        <v>1914870.19</v>
      </c>
      <c r="AY34" s="5">
        <v>6784193.4100000057</v>
      </c>
      <c r="AZ34" s="5">
        <v>757450.20999999973</v>
      </c>
      <c r="BA34" s="5">
        <v>9875.0500000000029</v>
      </c>
      <c r="BB34" s="5">
        <v>77.660000000000011</v>
      </c>
      <c r="BC34" s="5">
        <v>124.70000000000003</v>
      </c>
      <c r="BD34" s="5">
        <v>0</v>
      </c>
      <c r="BE34" s="5">
        <v>2339.7399999999998</v>
      </c>
      <c r="BF34" s="5">
        <v>0</v>
      </c>
      <c r="BG34" s="5">
        <v>0</v>
      </c>
      <c r="BH34" s="5">
        <v>769867.35999999987</v>
      </c>
      <c r="BI34" s="5">
        <v>0</v>
      </c>
      <c r="BJ34" s="5">
        <v>0</v>
      </c>
      <c r="BK34" s="5">
        <v>0</v>
      </c>
      <c r="BL34" s="5">
        <v>7554060.7699999958</v>
      </c>
      <c r="BM34" s="5">
        <v>7554060.7699999912</v>
      </c>
      <c r="BN34" s="5">
        <v>0</v>
      </c>
      <c r="BO34" s="5">
        <v>360370.1199999993</v>
      </c>
      <c r="BP34" s="5">
        <v>0</v>
      </c>
      <c r="BQ34" s="5">
        <v>0</v>
      </c>
      <c r="BR34" s="215">
        <v>45291</v>
      </c>
      <c r="BS34" s="5">
        <v>735712836.07000005</v>
      </c>
      <c r="BT34" s="5">
        <v>3800</v>
      </c>
      <c r="BU34" s="5">
        <v>2818782.74</v>
      </c>
      <c r="BV34" s="5">
        <v>16</v>
      </c>
      <c r="BW34" s="5">
        <v>654738.47</v>
      </c>
      <c r="BX34" s="5">
        <v>2</v>
      </c>
      <c r="BY34" s="5">
        <v>0</v>
      </c>
      <c r="BZ34" s="5">
        <v>0</v>
      </c>
      <c r="CA34" s="5">
        <v>0</v>
      </c>
      <c r="CB34" s="5">
        <v>0</v>
      </c>
      <c r="CC34" s="5">
        <v>0</v>
      </c>
      <c r="CD34" s="5">
        <v>0</v>
      </c>
      <c r="CE34" s="5">
        <v>0</v>
      </c>
      <c r="CF34" s="5">
        <v>0</v>
      </c>
      <c r="CG34" s="5">
        <v>3888899.28</v>
      </c>
      <c r="CH34" s="5">
        <v>0</v>
      </c>
      <c r="CI34" s="5">
        <v>0</v>
      </c>
      <c r="CJ34" s="691">
        <v>46203</v>
      </c>
      <c r="CK34" s="1031" t="s">
        <v>303</v>
      </c>
      <c r="CL34" s="1031" t="s">
        <v>887</v>
      </c>
      <c r="CM34" s="5">
        <v>195106732.45999995</v>
      </c>
      <c r="CN34" s="696">
        <v>377</v>
      </c>
      <c r="CO34" s="5">
        <v>263381356.59999999</v>
      </c>
    </row>
    <row r="35" spans="1:93">
      <c r="A35" s="215">
        <v>45747</v>
      </c>
      <c r="B35" t="s">
        <v>869</v>
      </c>
      <c r="C35" t="s">
        <v>864</v>
      </c>
      <c r="D35" s="5">
        <v>501311.38</v>
      </c>
      <c r="E35" s="5">
        <v>0</v>
      </c>
      <c r="F35" s="5">
        <v>0</v>
      </c>
      <c r="G35" s="5">
        <v>1603.13</v>
      </c>
      <c r="H35" s="5">
        <v>0</v>
      </c>
      <c r="I35" s="5">
        <v>0</v>
      </c>
      <c r="J35" s="5">
        <v>246.37</v>
      </c>
      <c r="K35" s="5">
        <v>0</v>
      </c>
      <c r="L35" s="5">
        <v>0</v>
      </c>
      <c r="M35" s="5">
        <v>117294.76000000001</v>
      </c>
      <c r="N35" s="5">
        <v>499954.62</v>
      </c>
      <c r="O35" s="5">
        <v>0</v>
      </c>
      <c r="P35" s="5">
        <v>0</v>
      </c>
      <c r="Q35" s="5">
        <v>117294.76000000001</v>
      </c>
      <c r="R35" s="5">
        <v>2833.87</v>
      </c>
      <c r="S35" s="5">
        <v>70.069999999999993</v>
      </c>
      <c r="T35" s="5">
        <v>0</v>
      </c>
      <c r="U35" s="5">
        <v>1603.13</v>
      </c>
      <c r="V35" s="5">
        <v>85.52</v>
      </c>
      <c r="W35" s="5">
        <v>0</v>
      </c>
      <c r="X35" s="5">
        <v>1040.58</v>
      </c>
      <c r="Y35" s="5">
        <v>0</v>
      </c>
      <c r="Z35" s="5">
        <v>0</v>
      </c>
      <c r="AA35" s="5">
        <v>0</v>
      </c>
      <c r="AB35" s="5">
        <v>0</v>
      </c>
      <c r="AC35" s="5">
        <v>0</v>
      </c>
      <c r="AD35" s="5">
        <v>0</v>
      </c>
      <c r="AE35" s="5">
        <v>0</v>
      </c>
      <c r="AF35" s="5">
        <v>0</v>
      </c>
      <c r="AG35" s="5">
        <v>6588.0599999999995</v>
      </c>
      <c r="AH35" s="5">
        <v>1440.9</v>
      </c>
      <c r="AI35" s="5">
        <v>0</v>
      </c>
      <c r="AJ35" s="5">
        <v>3396.42</v>
      </c>
      <c r="AK35" s="5">
        <v>155.59</v>
      </c>
      <c r="AL35" s="5">
        <v>0</v>
      </c>
      <c r="AM35" s="5">
        <v>0</v>
      </c>
      <c r="AN35" s="5">
        <v>0</v>
      </c>
      <c r="AO35" s="5">
        <v>0</v>
      </c>
      <c r="AP35" s="5">
        <v>0</v>
      </c>
      <c r="AQ35" s="5">
        <v>0</v>
      </c>
      <c r="AR35" s="5">
        <v>0</v>
      </c>
      <c r="AS35" s="5">
        <v>6588.0599999999995</v>
      </c>
      <c r="AT35" s="5">
        <v>1440.9</v>
      </c>
      <c r="AU35" s="5">
        <v>0</v>
      </c>
      <c r="AV35" s="5">
        <v>0</v>
      </c>
      <c r="AW35" s="5">
        <v>1040.58</v>
      </c>
      <c r="AX35" s="5">
        <v>0</v>
      </c>
      <c r="AY35" s="5">
        <v>1040.58</v>
      </c>
      <c r="AZ35" s="5">
        <v>246.37</v>
      </c>
      <c r="BA35" s="5">
        <v>0</v>
      </c>
      <c r="BB35" s="5">
        <v>1.34</v>
      </c>
      <c r="BC35" s="5">
        <v>3.08</v>
      </c>
      <c r="BD35" s="5">
        <v>0</v>
      </c>
      <c r="BE35" s="5">
        <v>0</v>
      </c>
      <c r="BF35" s="5">
        <v>0</v>
      </c>
      <c r="BG35" s="5">
        <v>0</v>
      </c>
      <c r="BH35" s="5">
        <v>250.79</v>
      </c>
      <c r="BI35" s="5">
        <v>0</v>
      </c>
      <c r="BJ35" s="5">
        <v>0</v>
      </c>
      <c r="BL35" s="5">
        <v>1291.3699999999999</v>
      </c>
      <c r="BM35" s="5">
        <v>1291.3699999999999</v>
      </c>
      <c r="BN35" s="5">
        <v>0</v>
      </c>
      <c r="BO35" s="5">
        <v>183.21</v>
      </c>
      <c r="BP35" s="5">
        <v>0</v>
      </c>
      <c r="BQ35" s="5">
        <v>0</v>
      </c>
      <c r="BR35" s="215">
        <v>45260</v>
      </c>
      <c r="BS35" s="5">
        <v>742196949.74000001</v>
      </c>
      <c r="BT35" s="5">
        <v>3832</v>
      </c>
      <c r="BU35" s="5">
        <v>1801102.29</v>
      </c>
      <c r="BV35" s="5">
        <v>10</v>
      </c>
      <c r="BW35" s="5">
        <v>801737.43</v>
      </c>
      <c r="BX35" s="5">
        <v>5</v>
      </c>
      <c r="BY35" s="5">
        <v>0</v>
      </c>
      <c r="BZ35" s="5">
        <v>0</v>
      </c>
      <c r="CA35" s="5">
        <v>0</v>
      </c>
      <c r="CB35" s="5">
        <v>0</v>
      </c>
      <c r="CC35" s="5">
        <v>0</v>
      </c>
      <c r="CD35" s="5">
        <v>0</v>
      </c>
      <c r="CE35" s="5">
        <v>0</v>
      </c>
      <c r="CF35" s="5">
        <v>0</v>
      </c>
      <c r="CG35" s="5">
        <v>3893805.59</v>
      </c>
      <c r="CH35" s="5">
        <v>0</v>
      </c>
      <c r="CI35" s="5">
        <v>0</v>
      </c>
      <c r="CJ35" s="691">
        <v>46203</v>
      </c>
      <c r="CK35" s="1031" t="s">
        <v>304</v>
      </c>
      <c r="CL35" s="1031" t="s">
        <v>888</v>
      </c>
      <c r="CM35" s="5">
        <v>119322826.74999993</v>
      </c>
      <c r="CN35" s="696">
        <v>117</v>
      </c>
      <c r="CO35" s="5">
        <v>160066037.98000002</v>
      </c>
    </row>
    <row r="36" spans="1:93">
      <c r="A36" s="215">
        <v>45716</v>
      </c>
      <c r="B36" t="s">
        <v>869</v>
      </c>
      <c r="C36" t="s">
        <v>863</v>
      </c>
      <c r="D36" s="5">
        <v>657546105.12000012</v>
      </c>
      <c r="E36" s="5">
        <v>0</v>
      </c>
      <c r="F36" s="5">
        <v>0</v>
      </c>
      <c r="G36" s="5">
        <v>4705470.4400000004</v>
      </c>
      <c r="H36" s="5">
        <v>591214.62</v>
      </c>
      <c r="I36" s="5">
        <v>0</v>
      </c>
      <c r="J36" s="5">
        <v>634.3599999999999</v>
      </c>
      <c r="K36" s="5">
        <v>0</v>
      </c>
      <c r="L36" s="5">
        <v>0</v>
      </c>
      <c r="M36" s="5">
        <v>0</v>
      </c>
      <c r="N36" s="5">
        <v>0</v>
      </c>
      <c r="O36" s="5">
        <v>0</v>
      </c>
      <c r="P36" s="5">
        <v>0</v>
      </c>
      <c r="Q36" s="5">
        <v>652250054.41999888</v>
      </c>
      <c r="R36" s="5">
        <v>87713.279999999984</v>
      </c>
      <c r="S36" s="5">
        <v>13114.01</v>
      </c>
      <c r="T36" s="5">
        <v>0</v>
      </c>
      <c r="U36" s="5">
        <v>96657.999999999985</v>
      </c>
      <c r="V36" s="5">
        <v>10640.420000000004</v>
      </c>
      <c r="W36" s="5">
        <v>0</v>
      </c>
      <c r="X36" s="5">
        <v>76778.010000000009</v>
      </c>
      <c r="Y36" s="5">
        <v>11608.150000000001</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107593.26999999999</v>
      </c>
      <c r="AT36" s="5">
        <v>12146.280000000002</v>
      </c>
      <c r="AU36" s="5">
        <v>0</v>
      </c>
      <c r="AV36" s="5">
        <v>4608812.4399999967</v>
      </c>
      <c r="AW36" s="5">
        <v>76778.010000000009</v>
      </c>
      <c r="AX36" s="5">
        <v>591214.62</v>
      </c>
      <c r="AY36" s="5">
        <v>5276805.0699999994</v>
      </c>
      <c r="AZ36" s="5">
        <v>761220.23999999836</v>
      </c>
      <c r="BA36" s="5">
        <v>11608.150000000001</v>
      </c>
      <c r="BB36" s="5">
        <v>130.79000000000002</v>
      </c>
      <c r="BC36" s="5">
        <v>149.43</v>
      </c>
      <c r="BD36" s="5">
        <v>0</v>
      </c>
      <c r="BE36" s="5">
        <v>4545.7299999999996</v>
      </c>
      <c r="BF36" s="5">
        <v>0</v>
      </c>
      <c r="BG36" s="5">
        <v>0</v>
      </c>
      <c r="BH36" s="5">
        <v>777654.33999999822</v>
      </c>
      <c r="BI36" s="5">
        <v>0</v>
      </c>
      <c r="BJ36" s="5">
        <v>0</v>
      </c>
      <c r="BK36" s="5">
        <v>0</v>
      </c>
      <c r="BL36" s="5">
        <v>6054459.4100000011</v>
      </c>
      <c r="BM36" s="5">
        <v>6054459.410000016</v>
      </c>
      <c r="BN36" s="5">
        <v>0</v>
      </c>
      <c r="BO36" s="5">
        <v>329135.37999999989</v>
      </c>
      <c r="BP36" s="5">
        <v>0</v>
      </c>
      <c r="BQ36" s="5">
        <v>0</v>
      </c>
      <c r="BR36" s="215">
        <v>45230</v>
      </c>
      <c r="BS36" s="5">
        <v>751085014.37</v>
      </c>
      <c r="BT36" s="5">
        <v>3847</v>
      </c>
      <c r="BU36" s="5">
        <v>0</v>
      </c>
      <c r="BV36" s="5">
        <v>0</v>
      </c>
      <c r="BW36" s="5">
        <v>0</v>
      </c>
      <c r="BX36" s="5">
        <v>0</v>
      </c>
      <c r="BY36" s="5">
        <v>0</v>
      </c>
      <c r="BZ36" s="5">
        <v>0</v>
      </c>
      <c r="CA36" s="5">
        <v>0</v>
      </c>
      <c r="CB36" s="5">
        <v>0</v>
      </c>
      <c r="CC36" s="5">
        <v>0</v>
      </c>
      <c r="CD36" s="5">
        <v>0</v>
      </c>
      <c r="CJ36" s="691">
        <v>46203</v>
      </c>
      <c r="CK36" s="1031" t="s">
        <v>305</v>
      </c>
      <c r="CL36" s="1031" t="s">
        <v>2451</v>
      </c>
      <c r="CM36" s="5">
        <v>45336146.620000012</v>
      </c>
      <c r="CN36" s="696">
        <v>20</v>
      </c>
      <c r="CO36" s="5">
        <v>62742000</v>
      </c>
    </row>
    <row r="37" spans="1:93">
      <c r="A37" s="215">
        <v>45716</v>
      </c>
      <c r="B37" t="s">
        <v>869</v>
      </c>
      <c r="C37" t="s">
        <v>864</v>
      </c>
      <c r="D37" s="5">
        <v>502666.54</v>
      </c>
      <c r="E37" s="5">
        <v>0</v>
      </c>
      <c r="F37" s="5">
        <v>0</v>
      </c>
      <c r="G37" s="5">
        <v>1601.39</v>
      </c>
      <c r="H37" s="5">
        <v>0</v>
      </c>
      <c r="I37" s="5">
        <v>0</v>
      </c>
      <c r="J37" s="5">
        <v>246.23</v>
      </c>
      <c r="K37" s="5">
        <v>0</v>
      </c>
      <c r="L37" s="5">
        <v>0</v>
      </c>
      <c r="M37" s="5">
        <v>0</v>
      </c>
      <c r="N37" s="5">
        <v>0</v>
      </c>
      <c r="O37" s="5">
        <v>0</v>
      </c>
      <c r="P37" s="5">
        <v>0</v>
      </c>
      <c r="Q37" s="5">
        <v>501311.38</v>
      </c>
      <c r="R37" s="5">
        <v>12565.78</v>
      </c>
      <c r="S37" s="5">
        <v>686.02</v>
      </c>
      <c r="T37" s="5">
        <v>0</v>
      </c>
      <c r="U37" s="5">
        <v>1601.39</v>
      </c>
      <c r="V37" s="5">
        <v>70.070000000000007</v>
      </c>
      <c r="W37" s="5">
        <v>0</v>
      </c>
      <c r="X37" s="5">
        <v>11333.300000000001</v>
      </c>
      <c r="Y37" s="5">
        <v>686.02</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2833.87</v>
      </c>
      <c r="AT37" s="5">
        <v>70.069999999999993</v>
      </c>
      <c r="AU37" s="5">
        <v>0</v>
      </c>
      <c r="AV37" s="5">
        <v>0</v>
      </c>
      <c r="AW37" s="5">
        <v>11333.300000000001</v>
      </c>
      <c r="AX37" s="5">
        <v>0</v>
      </c>
      <c r="AY37" s="5">
        <v>11333.300000000001</v>
      </c>
      <c r="AZ37" s="5">
        <v>263.42</v>
      </c>
      <c r="BA37" s="5">
        <v>686.02</v>
      </c>
      <c r="BB37" s="5">
        <v>55.290000000000006</v>
      </c>
      <c r="BC37" s="5">
        <v>83.1</v>
      </c>
      <c r="BD37" s="5">
        <v>0</v>
      </c>
      <c r="BE37" s="5">
        <v>0</v>
      </c>
      <c r="BF37" s="5">
        <v>0</v>
      </c>
      <c r="BG37" s="5">
        <v>0</v>
      </c>
      <c r="BH37" s="5">
        <v>1087.83</v>
      </c>
      <c r="BI37" s="5">
        <v>0</v>
      </c>
      <c r="BJ37" s="5">
        <v>0</v>
      </c>
      <c r="BL37" s="5">
        <v>12421.130000000001</v>
      </c>
      <c r="BM37" s="5">
        <v>12421.130000000001</v>
      </c>
      <c r="BN37" s="5">
        <v>0</v>
      </c>
      <c r="BO37" s="5">
        <v>167.54</v>
      </c>
      <c r="BP37" s="5">
        <v>0</v>
      </c>
      <c r="BQ37" s="5">
        <v>0</v>
      </c>
      <c r="BR37" s="215"/>
      <c r="BW37" s="5"/>
      <c r="BX37" s="5"/>
      <c r="BY37" s="5"/>
      <c r="BZ37" s="5"/>
      <c r="CA37" s="5"/>
      <c r="CB37" s="5"/>
      <c r="CJ37" s="691">
        <v>46203</v>
      </c>
      <c r="CK37" s="1031" t="s">
        <v>308</v>
      </c>
      <c r="CL37" s="1031" t="s">
        <v>2452</v>
      </c>
      <c r="CM37" s="5">
        <v>85550904.73999998</v>
      </c>
      <c r="CN37" s="696">
        <v>256</v>
      </c>
      <c r="CO37" s="5">
        <v>87187188.290000007</v>
      </c>
    </row>
    <row r="38" spans="1:93">
      <c r="A38" s="215">
        <v>45688</v>
      </c>
      <c r="B38" t="s">
        <v>869</v>
      </c>
      <c r="C38" t="s">
        <v>863</v>
      </c>
      <c r="D38" s="5">
        <v>663515720.61999917</v>
      </c>
      <c r="E38" s="5">
        <v>0</v>
      </c>
      <c r="F38" s="5">
        <v>0</v>
      </c>
      <c r="G38" s="5">
        <v>4775823.26000001</v>
      </c>
      <c r="H38" s="5">
        <v>1194425.79</v>
      </c>
      <c r="I38" s="5">
        <v>0</v>
      </c>
      <c r="J38" s="5">
        <v>633.54999999999995</v>
      </c>
      <c r="K38" s="5">
        <v>0</v>
      </c>
      <c r="L38" s="5">
        <v>0</v>
      </c>
      <c r="M38" s="5">
        <v>0</v>
      </c>
      <c r="N38" s="5">
        <v>0</v>
      </c>
      <c r="O38" s="5">
        <v>0</v>
      </c>
      <c r="P38" s="5">
        <v>0</v>
      </c>
      <c r="Q38" s="5">
        <v>657546105.12000012</v>
      </c>
      <c r="R38" s="5">
        <v>80755.87</v>
      </c>
      <c r="S38" s="5">
        <v>6704.7600000000011</v>
      </c>
      <c r="T38" s="5">
        <v>0</v>
      </c>
      <c r="U38" s="5">
        <v>79994.129999999961</v>
      </c>
      <c r="V38" s="5">
        <v>12390.800000000001</v>
      </c>
      <c r="W38" s="5">
        <v>0</v>
      </c>
      <c r="X38" s="5">
        <v>73036.719999999987</v>
      </c>
      <c r="Y38" s="5">
        <v>5981.5499999999993</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87713.279999999984</v>
      </c>
      <c r="AT38" s="5">
        <v>13114.01</v>
      </c>
      <c r="AU38" s="5">
        <v>0</v>
      </c>
      <c r="AV38" s="5">
        <v>4695829.1300000111</v>
      </c>
      <c r="AW38" s="5">
        <v>73036.719999999987</v>
      </c>
      <c r="AX38" s="5">
        <v>1194425.79</v>
      </c>
      <c r="AY38" s="5">
        <v>5963291.6400000127</v>
      </c>
      <c r="AZ38" s="5">
        <v>772612.07000000076</v>
      </c>
      <c r="BA38" s="5">
        <v>5981.5499999999993</v>
      </c>
      <c r="BB38" s="5">
        <v>100.40999999999997</v>
      </c>
      <c r="BC38" s="5">
        <v>146.09</v>
      </c>
      <c r="BD38" s="5">
        <v>0</v>
      </c>
      <c r="BE38" s="5">
        <v>3128.91</v>
      </c>
      <c r="BF38" s="5">
        <v>0</v>
      </c>
      <c r="BG38" s="5">
        <v>0</v>
      </c>
      <c r="BH38" s="5">
        <v>781969.03000000014</v>
      </c>
      <c r="BI38" s="5">
        <v>0</v>
      </c>
      <c r="BJ38" s="5">
        <v>0</v>
      </c>
      <c r="BK38" s="5">
        <v>0</v>
      </c>
      <c r="BL38" s="5">
        <v>6745260.6699999971</v>
      </c>
      <c r="BM38" s="5">
        <v>6745260.6700000297</v>
      </c>
      <c r="BN38" s="5">
        <v>0</v>
      </c>
      <c r="BO38" s="5">
        <v>366206.6499999995</v>
      </c>
      <c r="BP38" s="5">
        <v>0</v>
      </c>
      <c r="BQ38" s="5">
        <v>0</v>
      </c>
      <c r="BR38" s="215"/>
      <c r="BW38" s="5"/>
      <c r="BX38" s="5"/>
      <c r="BY38" s="5"/>
      <c r="BZ38" s="5"/>
      <c r="CA38" s="5"/>
      <c r="CB38" s="5"/>
      <c r="CJ38" s="691">
        <v>46203</v>
      </c>
      <c r="CK38" s="1031" t="s">
        <v>309</v>
      </c>
      <c r="CL38" s="1031" t="s">
        <v>889</v>
      </c>
      <c r="CM38" s="5">
        <v>367082546.04999971</v>
      </c>
      <c r="CN38" s="696">
        <v>1108</v>
      </c>
      <c r="CO38" s="5">
        <v>437687139.69999987</v>
      </c>
    </row>
    <row r="39" spans="1:93">
      <c r="A39" s="215">
        <v>45688</v>
      </c>
      <c r="B39" t="s">
        <v>869</v>
      </c>
      <c r="C39" t="s">
        <v>864</v>
      </c>
      <c r="D39" s="5">
        <v>504020.12</v>
      </c>
      <c r="E39" s="5">
        <v>0</v>
      </c>
      <c r="F39" s="5">
        <v>0</v>
      </c>
      <c r="G39" s="5">
        <v>1599.66</v>
      </c>
      <c r="H39" s="5">
        <v>0</v>
      </c>
      <c r="I39" s="5">
        <v>0</v>
      </c>
      <c r="J39" s="5">
        <v>246.08</v>
      </c>
      <c r="K39" s="5">
        <v>0</v>
      </c>
      <c r="L39" s="5">
        <v>0</v>
      </c>
      <c r="M39" s="5">
        <v>0</v>
      </c>
      <c r="N39" s="5">
        <v>0</v>
      </c>
      <c r="O39" s="5">
        <v>0</v>
      </c>
      <c r="P39" s="5">
        <v>0</v>
      </c>
      <c r="Q39" s="5">
        <v>502666.54</v>
      </c>
      <c r="R39" s="5">
        <v>14379.25</v>
      </c>
      <c r="S39" s="5">
        <v>940.17</v>
      </c>
      <c r="T39" s="5">
        <v>0</v>
      </c>
      <c r="U39" s="5">
        <v>1599.66</v>
      </c>
      <c r="V39" s="5">
        <v>88.99</v>
      </c>
      <c r="W39" s="5">
        <v>0</v>
      </c>
      <c r="X39" s="5">
        <v>3413.13</v>
      </c>
      <c r="Y39" s="5">
        <v>343.14</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12565.78</v>
      </c>
      <c r="AT39" s="5">
        <v>686.02</v>
      </c>
      <c r="AU39" s="5">
        <v>0</v>
      </c>
      <c r="AV39" s="5">
        <v>0</v>
      </c>
      <c r="AW39" s="5">
        <v>3413.13</v>
      </c>
      <c r="AX39" s="5">
        <v>0</v>
      </c>
      <c r="AY39" s="5">
        <v>3413.13</v>
      </c>
      <c r="AZ39" s="5">
        <v>246.08</v>
      </c>
      <c r="BA39" s="5">
        <v>343.14</v>
      </c>
      <c r="BB39" s="5">
        <v>12.139999999999999</v>
      </c>
      <c r="BC39" s="5">
        <v>37.270000000000003</v>
      </c>
      <c r="BD39" s="5">
        <v>0</v>
      </c>
      <c r="BE39" s="5">
        <v>0</v>
      </c>
      <c r="BF39" s="5">
        <v>0</v>
      </c>
      <c r="BG39" s="5">
        <v>0</v>
      </c>
      <c r="BH39" s="5">
        <v>638.63</v>
      </c>
      <c r="BI39" s="5">
        <v>0</v>
      </c>
      <c r="BJ39" s="5">
        <v>0</v>
      </c>
      <c r="BL39" s="5">
        <v>4051.76</v>
      </c>
      <c r="BM39" s="5">
        <v>4051.76</v>
      </c>
      <c r="BN39" s="5">
        <v>0</v>
      </c>
      <c r="BO39" s="5">
        <v>183.69</v>
      </c>
      <c r="BP39" s="5">
        <v>0</v>
      </c>
      <c r="BQ39" s="5">
        <v>0</v>
      </c>
      <c r="BR39" s="215"/>
      <c r="BW39" s="5"/>
      <c r="BX39" s="5"/>
      <c r="BY39" s="5"/>
      <c r="BZ39" s="5"/>
      <c r="CA39" s="5"/>
      <c r="CB39" s="5"/>
      <c r="CJ39" s="691">
        <v>46203</v>
      </c>
      <c r="CK39" s="1031" t="s">
        <v>310</v>
      </c>
      <c r="CL39" s="1031" t="s">
        <v>890</v>
      </c>
      <c r="CM39" s="5">
        <v>257075454.3100003</v>
      </c>
      <c r="CN39" s="694">
        <v>1268</v>
      </c>
      <c r="CO39" s="5">
        <v>408834749.46999997</v>
      </c>
    </row>
    <row r="40" spans="1:93">
      <c r="A40" s="215">
        <v>45657</v>
      </c>
      <c r="B40" t="s">
        <v>869</v>
      </c>
      <c r="C40" t="s">
        <v>863</v>
      </c>
      <c r="D40" s="5">
        <v>669520516.21000004</v>
      </c>
      <c r="E40" s="5">
        <v>0</v>
      </c>
      <c r="F40" s="5">
        <v>0</v>
      </c>
      <c r="G40" s="5">
        <v>5022731.91</v>
      </c>
      <c r="H40" s="5">
        <v>982640.81</v>
      </c>
      <c r="I40" s="5">
        <v>0</v>
      </c>
      <c r="J40" s="5">
        <v>577.13</v>
      </c>
      <c r="K40" s="5">
        <v>0</v>
      </c>
      <c r="L40" s="5">
        <v>0</v>
      </c>
      <c r="M40" s="5">
        <v>0</v>
      </c>
      <c r="N40" s="5">
        <v>0</v>
      </c>
      <c r="O40" s="5">
        <v>0</v>
      </c>
      <c r="P40" s="5">
        <v>0</v>
      </c>
      <c r="Q40" s="5">
        <v>663515720.62</v>
      </c>
      <c r="R40" s="5">
        <v>77894.490000000005</v>
      </c>
      <c r="S40" s="5">
        <v>7838.21</v>
      </c>
      <c r="T40" s="5">
        <v>0</v>
      </c>
      <c r="U40" s="5">
        <v>70205.87</v>
      </c>
      <c r="V40" s="5">
        <v>5444.81</v>
      </c>
      <c r="W40" s="5">
        <v>0</v>
      </c>
      <c r="X40" s="5">
        <v>67344.490000000005</v>
      </c>
      <c r="Y40" s="5">
        <v>6578.26</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80755.87</v>
      </c>
      <c r="AT40" s="5">
        <v>6704.76</v>
      </c>
      <c r="AU40" s="5">
        <v>0</v>
      </c>
      <c r="AV40" s="5">
        <v>4952526.04</v>
      </c>
      <c r="AW40" s="5">
        <v>67344.490000000005</v>
      </c>
      <c r="AX40" s="5">
        <v>982640.81</v>
      </c>
      <c r="AY40" s="5">
        <v>6002511.3399999999</v>
      </c>
      <c r="AZ40" s="5">
        <v>784644.39</v>
      </c>
      <c r="BA40" s="5">
        <v>6578.26</v>
      </c>
      <c r="BB40" s="5">
        <v>95.45</v>
      </c>
      <c r="BC40" s="5">
        <v>111.14</v>
      </c>
      <c r="BD40" s="5">
        <v>0</v>
      </c>
      <c r="BE40" s="5">
        <v>1201.3</v>
      </c>
      <c r="BF40" s="5">
        <v>103.61</v>
      </c>
      <c r="BG40" s="5">
        <v>0</v>
      </c>
      <c r="BH40" s="5">
        <v>792734.15</v>
      </c>
      <c r="BI40" s="5">
        <v>0</v>
      </c>
      <c r="BJ40" s="5">
        <v>0</v>
      </c>
      <c r="BK40" s="5">
        <v>0</v>
      </c>
      <c r="BL40" s="5">
        <v>6795245.4900000002</v>
      </c>
      <c r="BM40" s="5">
        <v>6795245.4900000002</v>
      </c>
      <c r="BN40" s="5">
        <v>0</v>
      </c>
      <c r="BO40" s="5">
        <v>372780.67</v>
      </c>
      <c r="BP40" s="5">
        <v>0</v>
      </c>
      <c r="BQ40" s="5">
        <v>0</v>
      </c>
      <c r="BR40" s="215"/>
      <c r="BW40" s="5"/>
      <c r="BX40" s="5"/>
      <c r="BY40" s="5"/>
      <c r="BZ40" s="5"/>
      <c r="CA40" s="5"/>
      <c r="CB40" s="5"/>
      <c r="CJ40" s="691">
        <v>46203</v>
      </c>
      <c r="CK40" s="1031" t="s">
        <v>311</v>
      </c>
      <c r="CL40" s="1031" t="s">
        <v>891</v>
      </c>
      <c r="CM40" s="5">
        <v>19297965.019999992</v>
      </c>
      <c r="CN40" s="694">
        <v>229</v>
      </c>
      <c r="CO40" s="5">
        <v>57154188.280000001</v>
      </c>
    </row>
    <row r="41" spans="1:93">
      <c r="A41" s="215">
        <v>45657</v>
      </c>
      <c r="B41" t="s">
        <v>869</v>
      </c>
      <c r="C41" t="s">
        <v>864</v>
      </c>
      <c r="D41" s="5">
        <v>508253.47</v>
      </c>
      <c r="E41" s="5">
        <v>0</v>
      </c>
      <c r="F41" s="5">
        <v>0</v>
      </c>
      <c r="G41" s="5">
        <v>4233.3500000000004</v>
      </c>
      <c r="H41" s="5">
        <v>0</v>
      </c>
      <c r="I41" s="5">
        <v>0</v>
      </c>
      <c r="J41" s="5">
        <v>0</v>
      </c>
      <c r="K41" s="5">
        <v>0</v>
      </c>
      <c r="L41" s="5">
        <v>0</v>
      </c>
      <c r="M41" s="5">
        <v>0</v>
      </c>
      <c r="N41" s="5">
        <v>0</v>
      </c>
      <c r="O41" s="5">
        <v>0</v>
      </c>
      <c r="P41" s="5">
        <v>0</v>
      </c>
      <c r="Q41" s="5">
        <v>504020.12</v>
      </c>
      <c r="R41" s="5">
        <v>15533.73</v>
      </c>
      <c r="S41" s="5">
        <v>1015.13</v>
      </c>
      <c r="T41" s="5">
        <v>0</v>
      </c>
      <c r="U41" s="5">
        <v>4233.3500000000004</v>
      </c>
      <c r="V41" s="5">
        <v>338.34</v>
      </c>
      <c r="W41" s="5">
        <v>0</v>
      </c>
      <c r="X41" s="5">
        <v>5387.83</v>
      </c>
      <c r="Y41" s="5">
        <v>413.3</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14379.25</v>
      </c>
      <c r="AT41" s="5">
        <v>940.17</v>
      </c>
      <c r="AU41" s="5">
        <v>0</v>
      </c>
      <c r="AV41" s="5">
        <v>0</v>
      </c>
      <c r="AW41" s="5">
        <v>5387.83</v>
      </c>
      <c r="AX41" s="5">
        <v>0</v>
      </c>
      <c r="AY41" s="5">
        <v>5387.83</v>
      </c>
      <c r="AZ41" s="5">
        <v>0</v>
      </c>
      <c r="BA41" s="5">
        <v>413.3</v>
      </c>
      <c r="BB41" s="5">
        <v>13.23</v>
      </c>
      <c r="BC41" s="5">
        <v>39.07</v>
      </c>
      <c r="BD41" s="5">
        <v>0</v>
      </c>
      <c r="BE41" s="5">
        <v>0</v>
      </c>
      <c r="BF41" s="5">
        <v>0</v>
      </c>
      <c r="BG41" s="5">
        <v>0</v>
      </c>
      <c r="BH41" s="5">
        <v>465.6</v>
      </c>
      <c r="BI41" s="5">
        <v>0</v>
      </c>
      <c r="BJ41" s="5">
        <v>0</v>
      </c>
      <c r="BL41" s="5">
        <v>5853.43</v>
      </c>
      <c r="BM41" s="5">
        <v>5853.43</v>
      </c>
      <c r="BN41" s="5">
        <v>0</v>
      </c>
      <c r="BO41" s="5">
        <v>183.92</v>
      </c>
      <c r="BP41" s="5">
        <v>0</v>
      </c>
      <c r="BQ41" s="5">
        <v>0</v>
      </c>
      <c r="BR41" s="215"/>
      <c r="BW41" s="5"/>
      <c r="BX41" s="5"/>
      <c r="BY41" s="5"/>
      <c r="BZ41" s="5"/>
      <c r="CA41" s="5"/>
      <c r="CB41" s="5"/>
      <c r="CJ41" s="691">
        <v>46203</v>
      </c>
      <c r="CK41" s="1031" t="s">
        <v>312</v>
      </c>
      <c r="CL41" s="1031" t="s">
        <v>892</v>
      </c>
      <c r="CM41" s="5">
        <v>38926351.450000018</v>
      </c>
      <c r="CN41" s="694">
        <v>640</v>
      </c>
      <c r="CO41" s="5">
        <v>160153213.56999996</v>
      </c>
    </row>
    <row r="42" spans="1:93">
      <c r="A42" s="215">
        <v>45626</v>
      </c>
      <c r="B42" t="s">
        <v>869</v>
      </c>
      <c r="C42" t="s">
        <v>863</v>
      </c>
      <c r="D42" s="5">
        <v>675288645.96999931</v>
      </c>
      <c r="E42" s="5">
        <v>0</v>
      </c>
      <c r="F42" s="5">
        <v>0</v>
      </c>
      <c r="G42" s="5">
        <v>4780622.2199999932</v>
      </c>
      <c r="H42" s="5">
        <v>479363.94000000006</v>
      </c>
      <c r="I42" s="5">
        <v>0</v>
      </c>
      <c r="J42" s="5">
        <v>109.87</v>
      </c>
      <c r="K42" s="5">
        <v>0</v>
      </c>
      <c r="L42" s="5">
        <v>0</v>
      </c>
      <c r="M42" s="5">
        <v>508253.47</v>
      </c>
      <c r="N42" s="5">
        <v>0</v>
      </c>
      <c r="O42" s="5">
        <v>0</v>
      </c>
      <c r="P42" s="5">
        <v>0</v>
      </c>
      <c r="Q42" s="5">
        <v>669520516.2099992</v>
      </c>
      <c r="R42" s="5">
        <v>66545.22</v>
      </c>
      <c r="S42" s="5">
        <v>5431.21</v>
      </c>
      <c r="T42" s="5">
        <v>0</v>
      </c>
      <c r="U42" s="5">
        <v>72569.229999999981</v>
      </c>
      <c r="V42" s="5">
        <v>6678.2200000000012</v>
      </c>
      <c r="W42" s="5">
        <v>0</v>
      </c>
      <c r="X42" s="5">
        <v>47282.84</v>
      </c>
      <c r="Y42" s="5">
        <v>3265.62</v>
      </c>
      <c r="Z42" s="5">
        <v>0</v>
      </c>
      <c r="AA42" s="5">
        <v>0</v>
      </c>
      <c r="AB42" s="5">
        <v>0</v>
      </c>
      <c r="AC42" s="5">
        <v>0</v>
      </c>
      <c r="AD42" s="5">
        <v>0</v>
      </c>
      <c r="AE42" s="5">
        <v>0</v>
      </c>
      <c r="AF42" s="5">
        <v>0</v>
      </c>
      <c r="AG42" s="5">
        <v>13937.119999999999</v>
      </c>
      <c r="AH42" s="5">
        <v>1005.6</v>
      </c>
      <c r="AI42" s="5">
        <v>0</v>
      </c>
      <c r="AJ42" s="5">
        <v>0</v>
      </c>
      <c r="AK42" s="5">
        <v>0</v>
      </c>
      <c r="AL42" s="5">
        <v>0</v>
      </c>
      <c r="AM42" s="5">
        <v>0</v>
      </c>
      <c r="AN42" s="5">
        <v>0</v>
      </c>
      <c r="AO42" s="5">
        <v>0</v>
      </c>
      <c r="AP42" s="5">
        <v>0</v>
      </c>
      <c r="AQ42" s="5">
        <v>0</v>
      </c>
      <c r="AR42" s="5">
        <v>0</v>
      </c>
      <c r="AS42" s="5">
        <v>77894.489999999991</v>
      </c>
      <c r="AT42" s="5">
        <v>7838.2100000000009</v>
      </c>
      <c r="AU42" s="5">
        <v>0</v>
      </c>
      <c r="AV42" s="5">
        <v>4708052.9899999974</v>
      </c>
      <c r="AW42" s="5">
        <v>47282.84</v>
      </c>
      <c r="AX42" s="5">
        <v>479363.94000000006</v>
      </c>
      <c r="AY42" s="5">
        <v>5234699.7700000033</v>
      </c>
      <c r="AZ42" s="5">
        <v>789777.86000000173</v>
      </c>
      <c r="BA42" s="5">
        <v>3265.62</v>
      </c>
      <c r="BB42" s="5">
        <v>89.2</v>
      </c>
      <c r="BC42" s="5">
        <v>98.70999999999998</v>
      </c>
      <c r="BD42" s="5">
        <v>0</v>
      </c>
      <c r="BE42" s="5">
        <v>1253.1799999999998</v>
      </c>
      <c r="BF42" s="5">
        <v>0</v>
      </c>
      <c r="BG42" s="5">
        <v>0</v>
      </c>
      <c r="BH42" s="5">
        <v>794484.5700000017</v>
      </c>
      <c r="BI42" s="5">
        <v>0</v>
      </c>
      <c r="BJ42" s="5">
        <v>0</v>
      </c>
      <c r="BK42" s="5">
        <v>0</v>
      </c>
      <c r="BL42" s="5">
        <v>6029184.3400000008</v>
      </c>
      <c r="BM42" s="5">
        <v>6029184.3400000008</v>
      </c>
      <c r="BN42" s="5">
        <v>0</v>
      </c>
      <c r="BO42" s="5">
        <v>362867.1599999998</v>
      </c>
      <c r="BP42" s="5">
        <v>0</v>
      </c>
      <c r="BQ42" s="5">
        <v>0</v>
      </c>
      <c r="BR42" s="215"/>
      <c r="BW42" s="5"/>
      <c r="BX42" s="5"/>
      <c r="BY42" s="5"/>
      <c r="BZ42" s="5"/>
      <c r="CA42" s="5"/>
      <c r="CB42" s="5"/>
      <c r="CJ42" s="691">
        <v>46203</v>
      </c>
      <c r="CK42" s="1031" t="s">
        <v>313</v>
      </c>
      <c r="CL42" s="1031" t="s">
        <v>2453</v>
      </c>
      <c r="CM42" s="5">
        <v>1794075.4499999995</v>
      </c>
      <c r="CN42" s="694">
        <v>45</v>
      </c>
      <c r="CO42" s="5">
        <v>9001565.0399999991</v>
      </c>
    </row>
    <row r="43" spans="1:93">
      <c r="A43" s="215">
        <v>45626</v>
      </c>
      <c r="B43" t="s">
        <v>869</v>
      </c>
      <c r="C43" t="s">
        <v>864</v>
      </c>
      <c r="D43" s="5">
        <v>0</v>
      </c>
      <c r="E43" s="5">
        <v>0</v>
      </c>
      <c r="F43" s="5">
        <v>0</v>
      </c>
      <c r="G43" s="5">
        <v>0</v>
      </c>
      <c r="H43" s="5">
        <v>0</v>
      </c>
      <c r="I43" s="5">
        <v>0</v>
      </c>
      <c r="J43" s="5">
        <v>0</v>
      </c>
      <c r="K43" s="5">
        <v>0</v>
      </c>
      <c r="L43" s="5">
        <v>0</v>
      </c>
      <c r="M43" s="5">
        <v>508253.47</v>
      </c>
      <c r="N43" s="5">
        <v>0</v>
      </c>
      <c r="O43" s="5">
        <v>0</v>
      </c>
      <c r="P43" s="5">
        <v>0</v>
      </c>
      <c r="Q43" s="5">
        <v>508253.47</v>
      </c>
      <c r="R43" s="5">
        <v>1596.61</v>
      </c>
      <c r="S43" s="5">
        <v>9.5299999999999994</v>
      </c>
      <c r="T43" s="5">
        <v>0</v>
      </c>
      <c r="U43" s="5">
        <v>0</v>
      </c>
      <c r="V43" s="5">
        <v>0</v>
      </c>
      <c r="W43" s="5">
        <v>0</v>
      </c>
      <c r="X43" s="5">
        <v>0</v>
      </c>
      <c r="Y43" s="5">
        <v>0</v>
      </c>
      <c r="Z43" s="5">
        <v>0</v>
      </c>
      <c r="AA43" s="5">
        <v>0</v>
      </c>
      <c r="AB43" s="5">
        <v>0</v>
      </c>
      <c r="AC43" s="5">
        <v>0</v>
      </c>
      <c r="AD43" s="5">
        <v>0</v>
      </c>
      <c r="AE43" s="5">
        <v>0</v>
      </c>
      <c r="AF43" s="5">
        <v>0</v>
      </c>
      <c r="AG43" s="5">
        <v>13937.119999999999</v>
      </c>
      <c r="AH43" s="5">
        <v>1005.6</v>
      </c>
      <c r="AI43" s="5">
        <v>0</v>
      </c>
      <c r="AJ43" s="5">
        <v>0</v>
      </c>
      <c r="AK43" s="5">
        <v>0</v>
      </c>
      <c r="AL43" s="5">
        <v>0</v>
      </c>
      <c r="AM43" s="5">
        <v>0</v>
      </c>
      <c r="AN43" s="5">
        <v>0</v>
      </c>
      <c r="AO43" s="5">
        <v>0</v>
      </c>
      <c r="AP43" s="5">
        <v>0</v>
      </c>
      <c r="AQ43" s="5">
        <v>0</v>
      </c>
      <c r="AR43" s="5">
        <v>0</v>
      </c>
      <c r="AS43" s="5">
        <v>15533.73</v>
      </c>
      <c r="AT43" s="5">
        <v>1015.13</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L43" s="5">
        <v>0</v>
      </c>
      <c r="BM43" s="5">
        <v>0</v>
      </c>
      <c r="BN43" s="5">
        <v>0</v>
      </c>
      <c r="BO43" s="5">
        <v>180.20000000000002</v>
      </c>
      <c r="BP43" s="5">
        <v>0</v>
      </c>
      <c r="BQ43" s="5">
        <v>0</v>
      </c>
      <c r="BR43" s="215"/>
      <c r="BW43" s="5"/>
      <c r="BX43" s="5"/>
      <c r="BY43" s="5"/>
      <c r="BZ43" s="5"/>
      <c r="CA43" s="5"/>
      <c r="CB43" s="5"/>
      <c r="CJ43" s="691">
        <v>46203</v>
      </c>
      <c r="CK43" s="1031" t="s">
        <v>316</v>
      </c>
      <c r="CL43" s="1031" t="s">
        <v>2452</v>
      </c>
      <c r="CM43" s="5">
        <v>1939008.7199999995</v>
      </c>
      <c r="CN43" s="694">
        <v>154</v>
      </c>
      <c r="CO43" s="5">
        <v>30136494.34</v>
      </c>
    </row>
    <row r="44" spans="1:93">
      <c r="A44" s="215">
        <v>45596</v>
      </c>
      <c r="B44" t="s">
        <v>869</v>
      </c>
      <c r="C44" t="s">
        <v>863</v>
      </c>
      <c r="D44" s="5">
        <v>682966575.97999787</v>
      </c>
      <c r="E44" s="5">
        <v>0</v>
      </c>
      <c r="F44" s="5">
        <v>0</v>
      </c>
      <c r="G44" s="5">
        <v>6830391.719999996</v>
      </c>
      <c r="H44" s="5">
        <v>847789.26</v>
      </c>
      <c r="I44" s="5">
        <v>0</v>
      </c>
      <c r="J44" s="5">
        <v>250.97</v>
      </c>
      <c r="K44" s="5">
        <v>0</v>
      </c>
      <c r="L44" s="5">
        <v>0</v>
      </c>
      <c r="M44" s="5">
        <v>0</v>
      </c>
      <c r="N44" s="5">
        <v>0</v>
      </c>
      <c r="O44" s="5">
        <v>0</v>
      </c>
      <c r="P44" s="5">
        <v>0</v>
      </c>
      <c r="Q44" s="5">
        <v>675288645.96999931</v>
      </c>
      <c r="R44" s="5">
        <v>68316.850000000006</v>
      </c>
      <c r="S44" s="5">
        <v>4764.66</v>
      </c>
      <c r="T44" s="5">
        <v>0</v>
      </c>
      <c r="U44" s="5">
        <v>50860.539999999994</v>
      </c>
      <c r="V44" s="5">
        <v>4195.57</v>
      </c>
      <c r="W44" s="5">
        <v>0</v>
      </c>
      <c r="X44" s="5">
        <v>52632.169999999991</v>
      </c>
      <c r="Y44" s="5">
        <v>3529.0200000000009</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66545.22</v>
      </c>
      <c r="AT44" s="5">
        <v>5431.21</v>
      </c>
      <c r="AU44" s="5">
        <v>0</v>
      </c>
      <c r="AV44" s="5">
        <v>6779531.1799999997</v>
      </c>
      <c r="AW44" s="5">
        <v>52632.169999999991</v>
      </c>
      <c r="AX44" s="5">
        <v>847789.26</v>
      </c>
      <c r="AY44" s="5">
        <v>7679952.610000005</v>
      </c>
      <c r="AZ44" s="5">
        <v>811483.23999999696</v>
      </c>
      <c r="BA44" s="5">
        <v>3529.0200000000009</v>
      </c>
      <c r="BB44" s="5">
        <v>84.580000000000027</v>
      </c>
      <c r="BC44" s="5">
        <v>84.080000000000013</v>
      </c>
      <c r="BD44" s="5">
        <v>0</v>
      </c>
      <c r="BE44" s="5">
        <v>3385.6400000000003</v>
      </c>
      <c r="BF44" s="5">
        <v>115.12</v>
      </c>
      <c r="BG44" s="5">
        <v>0</v>
      </c>
      <c r="BH44" s="5">
        <v>818681.67999999668</v>
      </c>
      <c r="BI44" s="5">
        <v>0</v>
      </c>
      <c r="BJ44" s="5">
        <v>0</v>
      </c>
      <c r="BK44" s="5">
        <v>0</v>
      </c>
      <c r="BL44" s="5">
        <v>8498634.2899999935</v>
      </c>
      <c r="BM44" s="5">
        <v>8498634.2899999935</v>
      </c>
      <c r="BN44" s="5">
        <v>0</v>
      </c>
      <c r="BO44" s="5">
        <v>378397.29999999859</v>
      </c>
      <c r="BP44" s="5">
        <v>0</v>
      </c>
      <c r="BQ44" s="5">
        <v>0</v>
      </c>
      <c r="BR44" s="215"/>
      <c r="BW44" s="5"/>
      <c r="BX44" s="5"/>
      <c r="BY44" s="5"/>
      <c r="BZ44" s="5"/>
      <c r="CA44" s="5"/>
      <c r="CB44" s="5"/>
      <c r="CJ44" s="691">
        <v>46203</v>
      </c>
      <c r="CK44" s="1031" t="s">
        <v>317</v>
      </c>
      <c r="CL44" s="1031" t="s">
        <v>889</v>
      </c>
      <c r="CM44" s="5">
        <v>40888391.13000004</v>
      </c>
      <c r="CN44" s="694">
        <v>665</v>
      </c>
      <c r="CO44" s="5">
        <v>164025475.28000003</v>
      </c>
    </row>
    <row r="45" spans="1:93">
      <c r="A45" s="215">
        <v>45596</v>
      </c>
      <c r="B45" t="s">
        <v>869</v>
      </c>
      <c r="C45" t="s">
        <v>864</v>
      </c>
      <c r="D45" s="5">
        <v>0</v>
      </c>
      <c r="E45" s="5">
        <v>0</v>
      </c>
      <c r="F45" s="5">
        <v>0</v>
      </c>
      <c r="G45" s="5">
        <v>0</v>
      </c>
      <c r="H45" s="5">
        <v>0</v>
      </c>
      <c r="I45" s="5">
        <v>0</v>
      </c>
      <c r="J45" s="5">
        <v>0</v>
      </c>
      <c r="K45" s="5">
        <v>0</v>
      </c>
      <c r="L45" s="5">
        <v>0</v>
      </c>
      <c r="M45" s="5">
        <v>0</v>
      </c>
      <c r="N45" s="5">
        <v>0</v>
      </c>
      <c r="O45" s="5">
        <v>0</v>
      </c>
      <c r="P45" s="5">
        <v>0</v>
      </c>
      <c r="Q45" s="5">
        <v>0</v>
      </c>
      <c r="R45" s="5">
        <v>3515.46</v>
      </c>
      <c r="S45" s="5">
        <v>42.78</v>
      </c>
      <c r="T45" s="5">
        <v>0</v>
      </c>
      <c r="U45" s="5">
        <v>0</v>
      </c>
      <c r="V45" s="5">
        <v>0</v>
      </c>
      <c r="W45" s="5">
        <v>0</v>
      </c>
      <c r="X45" s="5">
        <v>1918.85</v>
      </c>
      <c r="Y45" s="5">
        <v>33.25</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1596.61</v>
      </c>
      <c r="AT45" s="5">
        <v>9.5299999999999994</v>
      </c>
      <c r="AU45" s="5">
        <v>0</v>
      </c>
      <c r="AV45" s="5">
        <v>0</v>
      </c>
      <c r="AW45" s="5">
        <v>1918.85</v>
      </c>
      <c r="AX45" s="5">
        <v>0</v>
      </c>
      <c r="AY45" s="5">
        <v>1918.85</v>
      </c>
      <c r="AZ45" s="5">
        <v>0</v>
      </c>
      <c r="BA45" s="5">
        <v>33.25</v>
      </c>
      <c r="BB45" s="5">
        <v>29.720000000000002</v>
      </c>
      <c r="BC45" s="5">
        <v>18.18</v>
      </c>
      <c r="BD45" s="5">
        <v>0</v>
      </c>
      <c r="BE45" s="5">
        <v>0</v>
      </c>
      <c r="BF45" s="5">
        <v>0</v>
      </c>
      <c r="BG45" s="5">
        <v>0</v>
      </c>
      <c r="BH45" s="5">
        <v>81.150000000000006</v>
      </c>
      <c r="BI45" s="5">
        <v>0</v>
      </c>
      <c r="BJ45" s="5">
        <v>0</v>
      </c>
      <c r="BL45" s="5">
        <v>2000</v>
      </c>
      <c r="BM45" s="5">
        <v>2000</v>
      </c>
      <c r="BN45" s="5">
        <v>0</v>
      </c>
      <c r="BO45" s="5">
        <v>0</v>
      </c>
      <c r="BP45" s="5">
        <v>0</v>
      </c>
      <c r="BQ45" s="5">
        <v>0</v>
      </c>
      <c r="BR45" s="215"/>
      <c r="BW45" s="5"/>
      <c r="BX45" s="5"/>
      <c r="BY45" s="5"/>
      <c r="BZ45" s="5"/>
      <c r="CA45" s="5"/>
      <c r="CB45" s="5"/>
      <c r="CJ45" s="691">
        <v>46203</v>
      </c>
      <c r="CK45" s="1031" t="s">
        <v>318</v>
      </c>
      <c r="CL45" s="1031" t="s">
        <v>890</v>
      </c>
      <c r="CM45" s="5">
        <v>101663912.92000012</v>
      </c>
      <c r="CN45" s="694">
        <v>745</v>
      </c>
      <c r="CO45" s="5">
        <v>194672122.39000002</v>
      </c>
    </row>
    <row r="46" spans="1:93">
      <c r="A46" s="215">
        <v>45565</v>
      </c>
      <c r="B46" t="s">
        <v>869</v>
      </c>
      <c r="C46" t="s">
        <v>863</v>
      </c>
      <c r="D46" s="5">
        <v>688594142.69999981</v>
      </c>
      <c r="E46" s="5">
        <v>0</v>
      </c>
      <c r="F46" s="5">
        <v>0</v>
      </c>
      <c r="G46" s="5">
        <v>4821644.0899999896</v>
      </c>
      <c r="H46" s="5">
        <v>806173.41</v>
      </c>
      <c r="I46" s="5">
        <v>0</v>
      </c>
      <c r="J46" s="5">
        <v>250.78000000000003</v>
      </c>
      <c r="K46" s="5">
        <v>0</v>
      </c>
      <c r="L46" s="5">
        <v>0</v>
      </c>
      <c r="M46" s="5">
        <v>0</v>
      </c>
      <c r="N46" s="5">
        <v>0</v>
      </c>
      <c r="O46" s="5">
        <v>0</v>
      </c>
      <c r="P46" s="5">
        <v>0</v>
      </c>
      <c r="Q46" s="5">
        <v>682966575.97999787</v>
      </c>
      <c r="R46" s="5">
        <v>65309.620000000024</v>
      </c>
      <c r="S46" s="5">
        <v>3102.21</v>
      </c>
      <c r="T46" s="5">
        <v>0</v>
      </c>
      <c r="U46" s="5">
        <v>58910.87</v>
      </c>
      <c r="V46" s="5">
        <v>4311.2500000000009</v>
      </c>
      <c r="W46" s="5">
        <v>0</v>
      </c>
      <c r="X46" s="5">
        <v>52388.180000000015</v>
      </c>
      <c r="Y46" s="5">
        <v>2606.0200000000004</v>
      </c>
      <c r="Z46" s="5">
        <v>0</v>
      </c>
      <c r="AA46" s="5">
        <v>0</v>
      </c>
      <c r="AB46" s="5">
        <v>0</v>
      </c>
      <c r="AC46" s="5">
        <v>0</v>
      </c>
      <c r="AD46" s="5">
        <v>0</v>
      </c>
      <c r="AE46" s="5">
        <v>0</v>
      </c>
      <c r="AF46" s="5">
        <v>0</v>
      </c>
      <c r="AG46" s="5">
        <v>3515.46</v>
      </c>
      <c r="AH46" s="5">
        <v>42.78</v>
      </c>
      <c r="AI46" s="5">
        <v>0</v>
      </c>
      <c r="AJ46" s="5">
        <v>0</v>
      </c>
      <c r="AK46" s="5">
        <v>0</v>
      </c>
      <c r="AL46" s="5">
        <v>0</v>
      </c>
      <c r="AM46" s="5">
        <v>0</v>
      </c>
      <c r="AN46" s="5">
        <v>0</v>
      </c>
      <c r="AO46" s="5">
        <v>0</v>
      </c>
      <c r="AP46" s="5">
        <v>0</v>
      </c>
      <c r="AQ46" s="5">
        <v>0</v>
      </c>
      <c r="AR46" s="5">
        <v>0</v>
      </c>
      <c r="AS46" s="5">
        <v>68316.850000000006</v>
      </c>
      <c r="AT46" s="5">
        <v>4764.66</v>
      </c>
      <c r="AU46" s="5">
        <v>0</v>
      </c>
      <c r="AV46" s="5">
        <v>4762733.2199999914</v>
      </c>
      <c r="AW46" s="5">
        <v>52388.180000000015</v>
      </c>
      <c r="AX46" s="5">
        <v>806173.41</v>
      </c>
      <c r="AY46" s="5">
        <v>5621294.8099999875</v>
      </c>
      <c r="AZ46" s="5">
        <v>817489.45999999822</v>
      </c>
      <c r="BA46" s="5">
        <v>2606.0200000000004</v>
      </c>
      <c r="BB46" s="5">
        <v>119.48</v>
      </c>
      <c r="BC46" s="5">
        <v>124.23000000000002</v>
      </c>
      <c r="BD46" s="5">
        <v>0</v>
      </c>
      <c r="BE46" s="5">
        <v>2669.09</v>
      </c>
      <c r="BF46" s="5">
        <v>33.29</v>
      </c>
      <c r="BG46" s="5">
        <v>0</v>
      </c>
      <c r="BH46" s="5">
        <v>823041.56999999809</v>
      </c>
      <c r="BI46" s="5">
        <v>0</v>
      </c>
      <c r="BJ46" s="5">
        <v>0</v>
      </c>
      <c r="BK46" s="5">
        <v>0</v>
      </c>
      <c r="BL46" s="5">
        <v>6444336.3800000008</v>
      </c>
      <c r="BM46" s="5">
        <v>6444336.3800000008</v>
      </c>
      <c r="BN46" s="5">
        <v>0</v>
      </c>
      <c r="BO46" s="5">
        <v>402267.31000000058</v>
      </c>
      <c r="BP46" s="5">
        <v>0</v>
      </c>
      <c r="BQ46" s="5">
        <v>0</v>
      </c>
      <c r="BR46" s="215"/>
      <c r="BW46" s="5"/>
      <c r="BX46" s="5"/>
      <c r="BY46" s="5"/>
      <c r="BZ46" s="5"/>
      <c r="CA46" s="5"/>
      <c r="CB46" s="5"/>
      <c r="CJ46" s="691">
        <v>46203</v>
      </c>
      <c r="CK46" s="1031" t="s">
        <v>319</v>
      </c>
      <c r="CL46" s="1031" t="s">
        <v>891</v>
      </c>
      <c r="CM46" s="5">
        <v>220267532.51000023</v>
      </c>
      <c r="CN46" s="694">
        <v>924</v>
      </c>
      <c r="CO46" s="5">
        <v>297814236.56999993</v>
      </c>
    </row>
    <row r="47" spans="1:93">
      <c r="A47" s="215">
        <v>45565</v>
      </c>
      <c r="B47" t="s">
        <v>869</v>
      </c>
      <c r="C47" t="s">
        <v>864</v>
      </c>
      <c r="D47" s="5">
        <v>0</v>
      </c>
      <c r="E47" s="5">
        <v>0</v>
      </c>
      <c r="F47" s="5">
        <v>0</v>
      </c>
      <c r="G47" s="5">
        <v>0</v>
      </c>
      <c r="H47" s="5">
        <v>0</v>
      </c>
      <c r="I47" s="5">
        <v>0</v>
      </c>
      <c r="J47" s="5">
        <v>0</v>
      </c>
      <c r="K47" s="5">
        <v>0</v>
      </c>
      <c r="L47" s="5">
        <v>0</v>
      </c>
      <c r="M47" s="5">
        <v>0</v>
      </c>
      <c r="N47" s="5">
        <v>0</v>
      </c>
      <c r="O47" s="5">
        <v>0</v>
      </c>
      <c r="P47" s="5">
        <v>0</v>
      </c>
      <c r="Q47" s="5">
        <v>0</v>
      </c>
      <c r="R47" s="5">
        <v>3272.83</v>
      </c>
      <c r="S47" s="5">
        <v>0</v>
      </c>
      <c r="T47" s="5">
        <v>0</v>
      </c>
      <c r="U47" s="5">
        <v>0</v>
      </c>
      <c r="V47" s="5">
        <v>0</v>
      </c>
      <c r="W47" s="5">
        <v>0</v>
      </c>
      <c r="X47" s="5">
        <v>3272.83</v>
      </c>
      <c r="Y47" s="5">
        <v>0</v>
      </c>
      <c r="Z47" s="5">
        <v>0</v>
      </c>
      <c r="AA47" s="5">
        <v>0</v>
      </c>
      <c r="AB47" s="5">
        <v>0</v>
      </c>
      <c r="AC47" s="5">
        <v>0</v>
      </c>
      <c r="AD47" s="5">
        <v>0</v>
      </c>
      <c r="AE47" s="5">
        <v>0</v>
      </c>
      <c r="AF47" s="5">
        <v>0</v>
      </c>
      <c r="AG47" s="5">
        <v>3515.46</v>
      </c>
      <c r="AH47" s="5">
        <v>42.78</v>
      </c>
      <c r="AI47" s="5">
        <v>0</v>
      </c>
      <c r="AJ47" s="5">
        <v>0</v>
      </c>
      <c r="AK47" s="5">
        <v>0</v>
      </c>
      <c r="AL47" s="5">
        <v>0</v>
      </c>
      <c r="AM47" s="5">
        <v>0</v>
      </c>
      <c r="AN47" s="5">
        <v>0</v>
      </c>
      <c r="AO47" s="5">
        <v>0</v>
      </c>
      <c r="AP47" s="5">
        <v>0</v>
      </c>
      <c r="AQ47" s="5">
        <v>0</v>
      </c>
      <c r="AR47" s="5">
        <v>0</v>
      </c>
      <c r="AS47" s="5">
        <v>3515.46</v>
      </c>
      <c r="AT47" s="5">
        <v>42.78</v>
      </c>
      <c r="AU47" s="5">
        <v>0</v>
      </c>
      <c r="AV47" s="5">
        <v>0</v>
      </c>
      <c r="AW47" s="5">
        <v>3272.83</v>
      </c>
      <c r="AX47" s="5">
        <v>0</v>
      </c>
      <c r="AY47" s="5">
        <v>3272.83</v>
      </c>
      <c r="AZ47" s="5">
        <v>0</v>
      </c>
      <c r="BA47" s="5">
        <v>0</v>
      </c>
      <c r="BB47" s="5">
        <v>14.7</v>
      </c>
      <c r="BC47" s="5">
        <v>39.54</v>
      </c>
      <c r="BD47" s="5">
        <v>0</v>
      </c>
      <c r="BE47" s="5">
        <v>0</v>
      </c>
      <c r="BF47" s="5">
        <v>0</v>
      </c>
      <c r="BG47" s="5">
        <v>0</v>
      </c>
      <c r="BH47" s="5">
        <v>54.239999999999995</v>
      </c>
      <c r="BI47" s="5">
        <v>0</v>
      </c>
      <c r="BJ47" s="5">
        <v>0</v>
      </c>
      <c r="BL47" s="5">
        <v>3327.0699999999997</v>
      </c>
      <c r="BM47" s="5">
        <v>3327.0699999999997</v>
      </c>
      <c r="BN47" s="5">
        <v>0</v>
      </c>
      <c r="BO47" s="5">
        <v>0</v>
      </c>
      <c r="BP47" s="5">
        <v>0</v>
      </c>
      <c r="BQ47" s="5">
        <v>0</v>
      </c>
      <c r="BR47" s="215"/>
      <c r="BW47" s="5"/>
      <c r="BX47" s="5"/>
      <c r="BY47" s="5"/>
      <c r="BZ47" s="5"/>
      <c r="CA47" s="5"/>
      <c r="CB47" s="5"/>
      <c r="CJ47" s="691">
        <v>46203</v>
      </c>
      <c r="CK47" s="1031" t="s">
        <v>320</v>
      </c>
      <c r="CL47" s="1031" t="s">
        <v>892</v>
      </c>
      <c r="CM47" s="5">
        <v>316693360.59000003</v>
      </c>
      <c r="CN47" s="694">
        <v>893</v>
      </c>
      <c r="CO47" s="5">
        <v>374654648.98000002</v>
      </c>
    </row>
    <row r="48" spans="1:93">
      <c r="A48" s="215">
        <v>45535</v>
      </c>
      <c r="B48" t="s">
        <v>869</v>
      </c>
      <c r="C48" t="s">
        <v>863</v>
      </c>
      <c r="D48" s="5">
        <v>695433900.90000021</v>
      </c>
      <c r="E48" s="5">
        <v>0</v>
      </c>
      <c r="F48" s="5">
        <v>0</v>
      </c>
      <c r="G48" s="5">
        <v>4836308.9699999942</v>
      </c>
      <c r="H48" s="5">
        <v>2003699.8000000003</v>
      </c>
      <c r="I48" s="5">
        <v>0</v>
      </c>
      <c r="J48" s="5">
        <v>250.57</v>
      </c>
      <c r="K48" s="5">
        <v>0</v>
      </c>
      <c r="L48" s="5">
        <v>0</v>
      </c>
      <c r="M48" s="5">
        <v>0</v>
      </c>
      <c r="N48" s="5">
        <v>0</v>
      </c>
      <c r="O48" s="5">
        <v>0</v>
      </c>
      <c r="P48" s="5">
        <v>0</v>
      </c>
      <c r="Q48" s="5">
        <v>688594142.69999981</v>
      </c>
      <c r="R48" s="5">
        <v>75125.440000000017</v>
      </c>
      <c r="S48" s="5">
        <v>10516.199999999999</v>
      </c>
      <c r="T48" s="5">
        <v>0</v>
      </c>
      <c r="U48" s="5">
        <v>50700.250000000007</v>
      </c>
      <c r="V48" s="5">
        <v>2636.61</v>
      </c>
      <c r="W48" s="5">
        <v>0</v>
      </c>
      <c r="X48" s="5">
        <v>60516.070000000022</v>
      </c>
      <c r="Y48" s="5">
        <v>10050.6</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65309.620000000024</v>
      </c>
      <c r="AT48" s="5">
        <v>3102.21</v>
      </c>
      <c r="AU48" s="5">
        <v>0</v>
      </c>
      <c r="AV48" s="5">
        <v>4785608.7199999951</v>
      </c>
      <c r="AW48" s="5">
        <v>60516.070000000022</v>
      </c>
      <c r="AX48" s="5">
        <v>2003699.8000000003</v>
      </c>
      <c r="AY48" s="5">
        <v>6849824.5899999999</v>
      </c>
      <c r="AZ48" s="5">
        <v>827128.17999999854</v>
      </c>
      <c r="BA48" s="5">
        <v>10050.6</v>
      </c>
      <c r="BB48" s="5">
        <v>97.660000000000025</v>
      </c>
      <c r="BC48" s="5">
        <v>103.45000000000003</v>
      </c>
      <c r="BD48" s="5">
        <v>0</v>
      </c>
      <c r="BE48" s="5">
        <v>8134.32</v>
      </c>
      <c r="BF48" s="5">
        <v>169.44</v>
      </c>
      <c r="BG48" s="5">
        <v>0</v>
      </c>
      <c r="BH48" s="5">
        <v>845683.64999999839</v>
      </c>
      <c r="BI48" s="5">
        <v>0</v>
      </c>
      <c r="BJ48" s="5">
        <v>0</v>
      </c>
      <c r="BK48" s="5">
        <v>0</v>
      </c>
      <c r="BL48" s="5">
        <v>7695508.240000003</v>
      </c>
      <c r="BM48" s="5">
        <v>7695508.2400000012</v>
      </c>
      <c r="BN48" s="5">
        <v>0</v>
      </c>
      <c r="BO48" s="5">
        <v>406617.28999999905</v>
      </c>
      <c r="BP48" s="5">
        <v>0</v>
      </c>
      <c r="BQ48" s="5">
        <v>0</v>
      </c>
      <c r="BR48" s="215"/>
      <c r="BW48" s="5"/>
      <c r="BX48" s="5"/>
      <c r="BY48" s="5"/>
      <c r="BZ48" s="5"/>
      <c r="CA48" s="5"/>
      <c r="CB48" s="5"/>
      <c r="CJ48" s="691">
        <v>46203</v>
      </c>
      <c r="CK48" s="1031" t="s">
        <v>321</v>
      </c>
      <c r="CL48" s="1031" t="s">
        <v>2453</v>
      </c>
      <c r="CM48" s="5">
        <v>88275091.150000006</v>
      </c>
      <c r="CN48" s="694">
        <v>165</v>
      </c>
      <c r="CO48" s="5">
        <v>98715066.789999992</v>
      </c>
    </row>
    <row r="49" spans="1:93">
      <c r="A49" s="215">
        <v>45535</v>
      </c>
      <c r="B49" t="s">
        <v>869</v>
      </c>
      <c r="C49" t="s">
        <v>864</v>
      </c>
      <c r="D49" s="5">
        <v>0</v>
      </c>
      <c r="E49" s="5">
        <v>0</v>
      </c>
      <c r="F49" s="5">
        <v>0</v>
      </c>
      <c r="G49" s="5">
        <v>0</v>
      </c>
      <c r="H49" s="5">
        <v>0</v>
      </c>
      <c r="I49" s="5">
        <v>0</v>
      </c>
      <c r="J49" s="5">
        <v>0</v>
      </c>
      <c r="K49" s="5">
        <v>0</v>
      </c>
      <c r="L49" s="5">
        <v>0</v>
      </c>
      <c r="M49" s="5">
        <v>0</v>
      </c>
      <c r="N49" s="5">
        <v>0</v>
      </c>
      <c r="O49" s="5">
        <v>0</v>
      </c>
      <c r="P49" s="5">
        <v>0</v>
      </c>
      <c r="Q49" s="5">
        <v>0</v>
      </c>
      <c r="R49" s="5">
        <v>3272.83</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3272.83</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L49" s="5">
        <v>0</v>
      </c>
      <c r="BM49" s="5">
        <v>0</v>
      </c>
      <c r="BN49" s="5">
        <v>0</v>
      </c>
      <c r="BO49" s="5">
        <v>0</v>
      </c>
      <c r="BP49" s="5">
        <v>0</v>
      </c>
      <c r="BQ49" s="5">
        <v>0</v>
      </c>
      <c r="BR49" s="215"/>
      <c r="BW49" s="5"/>
      <c r="BX49" s="5"/>
      <c r="BY49" s="5"/>
      <c r="BZ49" s="5"/>
      <c r="CA49" s="5"/>
      <c r="CB49" s="5"/>
      <c r="CJ49" s="691">
        <v>46203</v>
      </c>
      <c r="CK49" s="1031" t="s">
        <v>323</v>
      </c>
      <c r="CL49" s="1031" t="s">
        <v>2452</v>
      </c>
      <c r="CM49" s="5">
        <v>0</v>
      </c>
      <c r="CN49" s="694">
        <v>0</v>
      </c>
      <c r="CO49" s="5">
        <v>0</v>
      </c>
    </row>
    <row r="50" spans="1:93">
      <c r="A50" s="215">
        <v>45504</v>
      </c>
      <c r="B50" t="s">
        <v>869</v>
      </c>
      <c r="C50" t="s">
        <v>863</v>
      </c>
      <c r="D50" s="5">
        <v>701287262.86999977</v>
      </c>
      <c r="E50" s="5">
        <v>0</v>
      </c>
      <c r="F50" s="5">
        <v>0</v>
      </c>
      <c r="G50" s="5">
        <v>4936030.2500000084</v>
      </c>
      <c r="H50" s="5">
        <v>917582.09000000008</v>
      </c>
      <c r="I50" s="5">
        <v>0</v>
      </c>
      <c r="J50" s="5">
        <v>250.37</v>
      </c>
      <c r="K50" s="5">
        <v>0</v>
      </c>
      <c r="L50" s="5">
        <v>0</v>
      </c>
      <c r="M50" s="5">
        <v>0</v>
      </c>
      <c r="N50" s="5">
        <v>0</v>
      </c>
      <c r="O50" s="5">
        <v>0</v>
      </c>
      <c r="P50" s="5">
        <v>0</v>
      </c>
      <c r="Q50" s="5">
        <v>695433900.90000021</v>
      </c>
      <c r="R50" s="5">
        <v>104466.44</v>
      </c>
      <c r="S50" s="5">
        <v>12795.280000000002</v>
      </c>
      <c r="T50" s="5">
        <v>0</v>
      </c>
      <c r="U50" s="5">
        <v>66126.87000000001</v>
      </c>
      <c r="V50" s="5">
        <v>9647.9500000000007</v>
      </c>
      <c r="W50" s="5">
        <v>0</v>
      </c>
      <c r="X50" s="5">
        <v>92195.04</v>
      </c>
      <c r="Y50" s="5">
        <v>11927.030000000002</v>
      </c>
      <c r="Z50" s="5">
        <v>0</v>
      </c>
      <c r="AA50" s="5">
        <v>0</v>
      </c>
      <c r="AB50" s="5">
        <v>0</v>
      </c>
      <c r="AC50" s="5">
        <v>0</v>
      </c>
      <c r="AD50" s="5">
        <v>0</v>
      </c>
      <c r="AE50" s="5">
        <v>0</v>
      </c>
      <c r="AF50" s="5">
        <v>0</v>
      </c>
      <c r="AG50" s="5">
        <v>3272.83</v>
      </c>
      <c r="AH50" s="5">
        <v>0</v>
      </c>
      <c r="AI50" s="5">
        <v>0</v>
      </c>
      <c r="AJ50" s="5">
        <v>0</v>
      </c>
      <c r="AK50" s="5">
        <v>0</v>
      </c>
      <c r="AL50" s="5">
        <v>0</v>
      </c>
      <c r="AM50" s="5">
        <v>0</v>
      </c>
      <c r="AN50" s="5">
        <v>0</v>
      </c>
      <c r="AO50" s="5">
        <v>0</v>
      </c>
      <c r="AP50" s="5">
        <v>0</v>
      </c>
      <c r="AQ50" s="5">
        <v>0</v>
      </c>
      <c r="AR50" s="5">
        <v>0</v>
      </c>
      <c r="AS50" s="5">
        <v>75125.440000000017</v>
      </c>
      <c r="AT50" s="5">
        <v>10516.199999999999</v>
      </c>
      <c r="AU50" s="5">
        <v>0</v>
      </c>
      <c r="AV50" s="5">
        <v>4869903.3800000055</v>
      </c>
      <c r="AW50" s="5">
        <v>92195.04</v>
      </c>
      <c r="AX50" s="5">
        <v>917582.09000000008</v>
      </c>
      <c r="AY50" s="5">
        <v>5879680.5100000147</v>
      </c>
      <c r="AZ50" s="5">
        <v>835676.32000000228</v>
      </c>
      <c r="BA50" s="5">
        <v>11927.030000000002</v>
      </c>
      <c r="BB50" s="5">
        <v>85.460000000000022</v>
      </c>
      <c r="BC50" s="5">
        <v>101.62</v>
      </c>
      <c r="BD50" s="5">
        <v>0</v>
      </c>
      <c r="BE50" s="5">
        <v>5107.01</v>
      </c>
      <c r="BF50" s="5">
        <v>0</v>
      </c>
      <c r="BG50" s="5">
        <v>0</v>
      </c>
      <c r="BH50" s="5">
        <v>852897.44000000262</v>
      </c>
      <c r="BI50" s="5">
        <v>0</v>
      </c>
      <c r="BJ50" s="5">
        <v>0</v>
      </c>
      <c r="BK50" s="5">
        <v>0</v>
      </c>
      <c r="BL50" s="5">
        <v>6732577.9499999853</v>
      </c>
      <c r="BM50" s="5">
        <v>6732577.9500000132</v>
      </c>
      <c r="BN50" s="5">
        <v>0</v>
      </c>
      <c r="BO50" s="5">
        <v>396989.32999999961</v>
      </c>
      <c r="BP50" s="5">
        <v>0</v>
      </c>
      <c r="BQ50" s="5">
        <v>0</v>
      </c>
      <c r="BR50" s="215"/>
      <c r="BW50" s="5"/>
      <c r="BX50" s="5"/>
      <c r="BY50" s="5"/>
      <c r="BZ50" s="5"/>
      <c r="CA50" s="5"/>
      <c r="CB50" s="5"/>
      <c r="CJ50" s="691">
        <v>46203</v>
      </c>
      <c r="CK50" s="1031" t="s">
        <v>324</v>
      </c>
      <c r="CL50" s="1031" t="s">
        <v>889</v>
      </c>
      <c r="CM50" s="5">
        <v>892829</v>
      </c>
      <c r="CN50" s="694">
        <v>2</v>
      </c>
      <c r="CO50" s="5">
        <v>892829</v>
      </c>
    </row>
    <row r="51" spans="1:93">
      <c r="A51" s="215">
        <v>45504</v>
      </c>
      <c r="B51" t="s">
        <v>869</v>
      </c>
      <c r="C51" t="s">
        <v>864</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3272.83</v>
      </c>
      <c r="AH51" s="5">
        <v>0</v>
      </c>
      <c r="AI51" s="5">
        <v>0</v>
      </c>
      <c r="AJ51" s="5">
        <v>0</v>
      </c>
      <c r="AK51" s="5">
        <v>0</v>
      </c>
      <c r="AL51" s="5">
        <v>0</v>
      </c>
      <c r="AM51" s="5">
        <v>0</v>
      </c>
      <c r="AN51" s="5">
        <v>0</v>
      </c>
      <c r="AO51" s="5">
        <v>0</v>
      </c>
      <c r="AP51" s="5">
        <v>0</v>
      </c>
      <c r="AQ51" s="5">
        <v>0</v>
      </c>
      <c r="AR51" s="5">
        <v>0</v>
      </c>
      <c r="AS51" s="5">
        <v>3272.83</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L51" s="5">
        <v>0</v>
      </c>
      <c r="BM51" s="5">
        <v>0</v>
      </c>
      <c r="BN51" s="5">
        <v>0</v>
      </c>
      <c r="BO51" s="5">
        <v>0</v>
      </c>
      <c r="BP51" s="5">
        <v>0</v>
      </c>
      <c r="BQ51" s="5">
        <v>0</v>
      </c>
      <c r="BR51" s="215"/>
      <c r="BW51" s="5"/>
      <c r="BX51" s="5"/>
      <c r="BY51" s="5"/>
      <c r="BZ51" s="5"/>
      <c r="CA51" s="5"/>
      <c r="CB51" s="5"/>
      <c r="CJ51" s="691">
        <v>46203</v>
      </c>
      <c r="CK51" s="1031" t="s">
        <v>325</v>
      </c>
      <c r="CL51" s="1031" t="s">
        <v>890</v>
      </c>
      <c r="CM51" s="5">
        <v>24629948.27999999</v>
      </c>
      <c r="CN51" s="694">
        <v>235</v>
      </c>
      <c r="CO51" s="5">
        <v>50433571.009999998</v>
      </c>
    </row>
    <row r="52" spans="1:93">
      <c r="A52" s="215">
        <v>45473</v>
      </c>
      <c r="B52" t="s">
        <v>869</v>
      </c>
      <c r="C52" t="s">
        <v>863</v>
      </c>
      <c r="D52" s="5">
        <v>706842265.12000024</v>
      </c>
      <c r="E52" s="5">
        <v>0</v>
      </c>
      <c r="F52" s="5">
        <v>0</v>
      </c>
      <c r="G52" s="5">
        <v>4887596.6399999978</v>
      </c>
      <c r="H52" s="5">
        <v>667655.79</v>
      </c>
      <c r="I52" s="5">
        <v>0</v>
      </c>
      <c r="J52" s="5">
        <v>250.18</v>
      </c>
      <c r="K52" s="5">
        <v>0</v>
      </c>
      <c r="L52" s="5">
        <v>0</v>
      </c>
      <c r="M52" s="5">
        <v>0</v>
      </c>
      <c r="N52" s="5">
        <v>0</v>
      </c>
      <c r="O52" s="5">
        <v>0</v>
      </c>
      <c r="P52" s="5">
        <v>0</v>
      </c>
      <c r="Q52" s="5">
        <v>701287262.86999977</v>
      </c>
      <c r="R52" s="5">
        <v>57532.390000000014</v>
      </c>
      <c r="S52" s="5">
        <v>7687.0799999999981</v>
      </c>
      <c r="T52" s="5">
        <v>0</v>
      </c>
      <c r="U52" s="5">
        <v>92567.569999999992</v>
      </c>
      <c r="V52" s="5">
        <v>12093.820000000002</v>
      </c>
      <c r="W52" s="5">
        <v>0</v>
      </c>
      <c r="X52" s="5">
        <v>45633.520000000019</v>
      </c>
      <c r="Y52" s="5">
        <v>6985.619999999999</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104466.44</v>
      </c>
      <c r="AT52" s="5">
        <v>12795.280000000002</v>
      </c>
      <c r="AU52" s="5">
        <v>0</v>
      </c>
      <c r="AV52" s="5">
        <v>4795029.0699999994</v>
      </c>
      <c r="AW52" s="5">
        <v>45633.520000000019</v>
      </c>
      <c r="AX52" s="5">
        <v>667655.79</v>
      </c>
      <c r="AY52" s="5">
        <v>5508318.3800000045</v>
      </c>
      <c r="AZ52" s="5">
        <v>836869.96000000054</v>
      </c>
      <c r="BA52" s="5">
        <v>6985.619999999999</v>
      </c>
      <c r="BB52" s="5">
        <v>66.449999999999989</v>
      </c>
      <c r="BC52" s="5">
        <v>94.960000000000022</v>
      </c>
      <c r="BD52" s="5">
        <v>0</v>
      </c>
      <c r="BE52" s="5">
        <v>746.26</v>
      </c>
      <c r="BF52" s="5">
        <v>334.82</v>
      </c>
      <c r="BG52" s="5">
        <v>0</v>
      </c>
      <c r="BH52" s="5">
        <v>845098.0700000003</v>
      </c>
      <c r="BI52" s="5">
        <v>0</v>
      </c>
      <c r="BJ52" s="5">
        <v>0</v>
      </c>
      <c r="BK52" s="5">
        <v>0</v>
      </c>
      <c r="BL52" s="5">
        <v>6353416.4499999937</v>
      </c>
      <c r="BM52" s="5">
        <v>6353416.4499999927</v>
      </c>
      <c r="BN52" s="5">
        <v>0</v>
      </c>
      <c r="BO52" s="5">
        <v>392184.97000000055</v>
      </c>
      <c r="BP52" s="5">
        <v>0</v>
      </c>
      <c r="BQ52" s="5">
        <v>0</v>
      </c>
      <c r="BR52" s="215"/>
      <c r="BW52" s="5"/>
      <c r="BX52" s="5"/>
      <c r="BY52" s="5"/>
      <c r="BZ52" s="5"/>
      <c r="CA52" s="5"/>
      <c r="CB52" s="5"/>
      <c r="CJ52" s="691">
        <v>46203</v>
      </c>
      <c r="CK52" s="1031" t="s">
        <v>326</v>
      </c>
      <c r="CL52" s="1031" t="s">
        <v>891</v>
      </c>
      <c r="CM52" s="5">
        <v>123126954.8200001</v>
      </c>
      <c r="CN52" s="694">
        <v>698</v>
      </c>
      <c r="CO52" s="5">
        <v>199027105.28999996</v>
      </c>
    </row>
    <row r="53" spans="1:93">
      <c r="A53" s="215">
        <v>45473</v>
      </c>
      <c r="B53" t="s">
        <v>869</v>
      </c>
      <c r="C53" t="s">
        <v>864</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L53" s="5">
        <v>0</v>
      </c>
      <c r="BM53" s="5">
        <v>0</v>
      </c>
      <c r="BN53" s="5">
        <v>0</v>
      </c>
      <c r="BO53" s="5">
        <v>0</v>
      </c>
      <c r="BP53" s="5">
        <v>0</v>
      </c>
      <c r="BQ53" s="5">
        <v>0</v>
      </c>
      <c r="BR53" s="215"/>
      <c r="BW53" s="5"/>
      <c r="BX53" s="5"/>
      <c r="BY53" s="5"/>
      <c r="BZ53" s="5"/>
      <c r="CA53" s="5"/>
      <c r="CB53" s="5"/>
      <c r="CJ53" s="691">
        <v>46203</v>
      </c>
      <c r="CK53" s="1031" t="s">
        <v>327</v>
      </c>
      <c r="CL53" s="1031" t="s">
        <v>892</v>
      </c>
      <c r="CM53" s="5">
        <v>358334267.43000001</v>
      </c>
      <c r="CN53" s="694">
        <v>1592</v>
      </c>
      <c r="CO53" s="5">
        <v>518715287.78000003</v>
      </c>
    </row>
    <row r="54" spans="1:93">
      <c r="A54" s="215">
        <v>45443</v>
      </c>
      <c r="B54" t="s">
        <v>869</v>
      </c>
      <c r="C54" t="s">
        <v>863</v>
      </c>
      <c r="D54" s="5">
        <v>712314813.96000087</v>
      </c>
      <c r="E54" s="5">
        <v>0</v>
      </c>
      <c r="F54" s="5">
        <v>0</v>
      </c>
      <c r="G54" s="5">
        <v>4892047.1100000022</v>
      </c>
      <c r="H54" s="5">
        <v>581914.99</v>
      </c>
      <c r="I54" s="5">
        <v>0</v>
      </c>
      <c r="J54" s="5">
        <v>1413.2599999999998</v>
      </c>
      <c r="K54" s="5">
        <v>0</v>
      </c>
      <c r="L54" s="5">
        <v>0</v>
      </c>
      <c r="M54" s="5">
        <v>0</v>
      </c>
      <c r="N54" s="5">
        <v>0</v>
      </c>
      <c r="O54" s="5">
        <v>0</v>
      </c>
      <c r="P54" s="5">
        <v>0</v>
      </c>
      <c r="Q54" s="5">
        <v>706842265.12000024</v>
      </c>
      <c r="R54" s="5">
        <v>83181.740000000005</v>
      </c>
      <c r="S54" s="5">
        <v>5249.6399999999994</v>
      </c>
      <c r="T54" s="5">
        <v>0</v>
      </c>
      <c r="U54" s="5">
        <v>45638.840000000011</v>
      </c>
      <c r="V54" s="5">
        <v>6830.32</v>
      </c>
      <c r="W54" s="5">
        <v>0</v>
      </c>
      <c r="X54" s="5">
        <v>71288.189999999988</v>
      </c>
      <c r="Y54" s="5">
        <v>4392.8799999999992</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57532.390000000014</v>
      </c>
      <c r="AT54" s="5">
        <v>7687.0799999999981</v>
      </c>
      <c r="AU54" s="5">
        <v>0</v>
      </c>
      <c r="AV54" s="5">
        <v>4846408.2700000014</v>
      </c>
      <c r="AW54" s="5">
        <v>71288.189999999988</v>
      </c>
      <c r="AX54" s="5">
        <v>581914.99</v>
      </c>
      <c r="AY54" s="5">
        <v>5499611.4499999927</v>
      </c>
      <c r="AZ54" s="5">
        <v>848277.42000000027</v>
      </c>
      <c r="BA54" s="5">
        <v>4392.8799999999992</v>
      </c>
      <c r="BB54" s="5">
        <v>66.680000000000021</v>
      </c>
      <c r="BC54" s="5">
        <v>83.94999999999996</v>
      </c>
      <c r="BD54" s="5">
        <v>0</v>
      </c>
      <c r="BE54" s="5">
        <v>1290.83</v>
      </c>
      <c r="BF54" s="5">
        <v>11.33</v>
      </c>
      <c r="BG54" s="5">
        <v>0</v>
      </c>
      <c r="BH54" s="5">
        <v>854123.09000000055</v>
      </c>
      <c r="BI54" s="5">
        <v>0</v>
      </c>
      <c r="BJ54" s="5">
        <v>0</v>
      </c>
      <c r="BK54" s="5">
        <v>0</v>
      </c>
      <c r="BL54" s="5">
        <v>6353734.540000001</v>
      </c>
      <c r="BM54" s="5">
        <v>6353734.540000001</v>
      </c>
      <c r="BN54" s="5">
        <v>0</v>
      </c>
      <c r="BO54" s="5">
        <v>410525.70000000106</v>
      </c>
      <c r="BP54" s="5">
        <v>0</v>
      </c>
      <c r="BQ54" s="5">
        <v>0</v>
      </c>
      <c r="BR54" s="215"/>
      <c r="BW54" s="5"/>
      <c r="BX54" s="5"/>
      <c r="BY54" s="5"/>
      <c r="BZ54" s="5"/>
      <c r="CA54" s="5"/>
      <c r="CB54" s="5"/>
      <c r="CJ54" s="691">
        <v>46203</v>
      </c>
      <c r="CK54" s="1031" t="s">
        <v>328</v>
      </c>
      <c r="CL54" s="1031" t="s">
        <v>893</v>
      </c>
      <c r="CM54" s="5">
        <v>226885220.11000031</v>
      </c>
      <c r="CN54" s="694">
        <v>888</v>
      </c>
      <c r="CO54" s="5">
        <v>335604194.29999989</v>
      </c>
    </row>
    <row r="55" spans="1:93">
      <c r="A55" s="215">
        <v>45443</v>
      </c>
      <c r="B55" t="s">
        <v>869</v>
      </c>
      <c r="C55" t="s">
        <v>864</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L55" s="5">
        <v>0</v>
      </c>
      <c r="BM55" s="5">
        <v>0</v>
      </c>
      <c r="BN55" s="5">
        <v>0</v>
      </c>
      <c r="BO55" s="5">
        <v>0</v>
      </c>
      <c r="BP55" s="5">
        <v>0</v>
      </c>
      <c r="BQ55" s="5">
        <v>0</v>
      </c>
      <c r="BR55" s="215"/>
      <c r="BW55" s="5"/>
      <c r="BX55" s="5"/>
      <c r="BY55" s="5"/>
      <c r="BZ55" s="5"/>
      <c r="CA55" s="5"/>
      <c r="CB55" s="5"/>
      <c r="CJ55" s="691">
        <v>46203</v>
      </c>
      <c r="CK55" s="1031" t="s">
        <v>329</v>
      </c>
      <c r="CL55" s="1031" t="s">
        <v>2454</v>
      </c>
      <c r="CM55" s="5">
        <v>35858077.379999988</v>
      </c>
      <c r="CN55" s="694">
        <v>131</v>
      </c>
      <c r="CO55" s="5">
        <v>55345056.969999999</v>
      </c>
    </row>
    <row r="56" spans="1:93">
      <c r="A56" s="215">
        <v>45412</v>
      </c>
      <c r="B56" t="s">
        <v>869</v>
      </c>
      <c r="C56" t="s">
        <v>863</v>
      </c>
      <c r="D56" s="5">
        <v>717784404.42000175</v>
      </c>
      <c r="E56" s="5">
        <v>0</v>
      </c>
      <c r="F56" s="5">
        <v>0</v>
      </c>
      <c r="G56" s="5">
        <v>4955354.1600000011</v>
      </c>
      <c r="H56" s="5">
        <v>515506.72</v>
      </c>
      <c r="I56" s="5">
        <v>0</v>
      </c>
      <c r="J56" s="5">
        <v>1270.4199999999998</v>
      </c>
      <c r="K56" s="5">
        <v>0</v>
      </c>
      <c r="L56" s="5">
        <v>0</v>
      </c>
      <c r="M56" s="5">
        <v>0</v>
      </c>
      <c r="N56" s="5">
        <v>0</v>
      </c>
      <c r="O56" s="5">
        <v>0</v>
      </c>
      <c r="P56" s="5">
        <v>0</v>
      </c>
      <c r="Q56" s="5">
        <v>712314813.96000087</v>
      </c>
      <c r="R56" s="5">
        <v>84046.089999999967</v>
      </c>
      <c r="S56" s="5">
        <v>5659.4600000000009</v>
      </c>
      <c r="T56" s="5">
        <v>0</v>
      </c>
      <c r="U56" s="5">
        <v>74590.569999999992</v>
      </c>
      <c r="V56" s="5">
        <v>4421.66</v>
      </c>
      <c r="W56" s="5">
        <v>0</v>
      </c>
      <c r="X56" s="5">
        <v>75454.919999999984</v>
      </c>
      <c r="Y56" s="5">
        <v>4831.4800000000014</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83181.740000000005</v>
      </c>
      <c r="AT56" s="5">
        <v>5249.6399999999994</v>
      </c>
      <c r="AU56" s="5">
        <v>0</v>
      </c>
      <c r="AV56" s="5">
        <v>4880763.589999998</v>
      </c>
      <c r="AW56" s="5">
        <v>75454.919999999984</v>
      </c>
      <c r="AX56" s="5">
        <v>515506.72</v>
      </c>
      <c r="AY56" s="5">
        <v>5471725.2299999967</v>
      </c>
      <c r="AZ56" s="5">
        <v>863157.00999999978</v>
      </c>
      <c r="BA56" s="5">
        <v>4831.4800000000014</v>
      </c>
      <c r="BB56" s="5">
        <v>94.38000000000001</v>
      </c>
      <c r="BC56" s="5">
        <v>118.33999999999997</v>
      </c>
      <c r="BD56" s="5">
        <v>0</v>
      </c>
      <c r="BE56" s="5">
        <v>3335.81</v>
      </c>
      <c r="BF56" s="5">
        <v>42.980000000000004</v>
      </c>
      <c r="BG56" s="5">
        <v>0</v>
      </c>
      <c r="BH56" s="5">
        <v>871579.99999999942</v>
      </c>
      <c r="BI56" s="5">
        <v>0</v>
      </c>
      <c r="BJ56" s="5">
        <v>0</v>
      </c>
      <c r="BK56" s="5">
        <v>0</v>
      </c>
      <c r="BL56" s="5">
        <v>6343305.2299999986</v>
      </c>
      <c r="BM56" s="5">
        <v>6343305.2299999986</v>
      </c>
      <c r="BN56" s="5">
        <v>0</v>
      </c>
      <c r="BO56" s="5">
        <v>397980.56000000017</v>
      </c>
      <c r="BP56" s="5">
        <v>0</v>
      </c>
      <c r="BQ56" s="5">
        <v>0</v>
      </c>
      <c r="BR56" s="215"/>
      <c r="BW56" s="5"/>
      <c r="BX56" s="5"/>
      <c r="BY56" s="5"/>
      <c r="BZ56" s="5"/>
      <c r="CA56" s="5"/>
      <c r="CB56" s="5"/>
      <c r="CJ56" s="691">
        <v>46203</v>
      </c>
      <c r="CK56" s="1031" t="s">
        <v>331</v>
      </c>
      <c r="CL56" s="1031">
        <v>2003</v>
      </c>
      <c r="CM56" s="5">
        <v>0</v>
      </c>
      <c r="CN56" s="694">
        <v>0</v>
      </c>
      <c r="CO56" s="5">
        <v>0</v>
      </c>
    </row>
    <row r="57" spans="1:93">
      <c r="A57" s="215">
        <v>45412</v>
      </c>
      <c r="B57" t="s">
        <v>869</v>
      </c>
      <c r="C57" t="s">
        <v>864</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L57" s="5">
        <v>0</v>
      </c>
      <c r="BM57" s="5">
        <v>0</v>
      </c>
      <c r="BN57" s="5">
        <v>0</v>
      </c>
      <c r="BO57" s="5">
        <v>0</v>
      </c>
      <c r="BP57" s="5">
        <v>0</v>
      </c>
      <c r="BQ57" s="5">
        <v>0</v>
      </c>
      <c r="BR57" s="215"/>
      <c r="BW57" s="5"/>
      <c r="BX57" s="5"/>
      <c r="BY57" s="5"/>
      <c r="BZ57" s="5"/>
      <c r="CA57" s="5"/>
      <c r="CB57" s="5"/>
      <c r="CJ57" s="691">
        <v>46203</v>
      </c>
      <c r="CK57" s="1031" t="s">
        <v>332</v>
      </c>
      <c r="CL57" s="1031">
        <v>2004</v>
      </c>
      <c r="CM57" s="5">
        <v>19056.98</v>
      </c>
      <c r="CN57" s="694">
        <v>1</v>
      </c>
      <c r="CO57" s="5">
        <v>103329.46</v>
      </c>
    </row>
    <row r="58" spans="1:93">
      <c r="A58" s="215">
        <v>45382</v>
      </c>
      <c r="B58" t="s">
        <v>869</v>
      </c>
      <c r="C58" t="s">
        <v>863</v>
      </c>
      <c r="D58" s="5">
        <v>724084667.10999954</v>
      </c>
      <c r="E58" s="5">
        <v>0</v>
      </c>
      <c r="F58" s="5">
        <v>0</v>
      </c>
      <c r="G58" s="5">
        <v>4929820.2499999972</v>
      </c>
      <c r="H58" s="5">
        <v>1371710.64</v>
      </c>
      <c r="I58" s="5">
        <v>0</v>
      </c>
      <c r="J58" s="5">
        <v>1268.2</v>
      </c>
      <c r="K58" s="5">
        <v>0</v>
      </c>
      <c r="L58" s="5">
        <v>0</v>
      </c>
      <c r="M58" s="5">
        <v>0</v>
      </c>
      <c r="N58" s="5">
        <v>0</v>
      </c>
      <c r="O58" s="5">
        <v>0</v>
      </c>
      <c r="P58" s="5">
        <v>0</v>
      </c>
      <c r="Q58" s="5">
        <v>717784404.41999996</v>
      </c>
      <c r="R58" s="5">
        <v>86286.680000000022</v>
      </c>
      <c r="S58" s="5">
        <v>6989.1299999999992</v>
      </c>
      <c r="T58" s="5">
        <v>0</v>
      </c>
      <c r="U58" s="5">
        <v>70299.989999999962</v>
      </c>
      <c r="V58" s="5">
        <v>4775.9099999999989</v>
      </c>
      <c r="W58" s="5">
        <v>0</v>
      </c>
      <c r="X58" s="5">
        <v>72540.579999999973</v>
      </c>
      <c r="Y58" s="5">
        <v>6105.58</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84046.089999999967</v>
      </c>
      <c r="AT58" s="5">
        <v>5659.4600000000009</v>
      </c>
      <c r="AU58" s="5">
        <v>0</v>
      </c>
      <c r="AV58" s="5">
        <v>4859520.2599999951</v>
      </c>
      <c r="AW58" s="5">
        <v>72540.579999999973</v>
      </c>
      <c r="AX58" s="5">
        <v>1371710.64</v>
      </c>
      <c r="AY58" s="5">
        <v>6303771.4799999986</v>
      </c>
      <c r="AZ58" s="5">
        <v>868476.57</v>
      </c>
      <c r="BA58" s="5">
        <v>6105.58</v>
      </c>
      <c r="BB58" s="5">
        <v>93.37</v>
      </c>
      <c r="BC58" s="5">
        <v>98.68</v>
      </c>
      <c r="BD58" s="5">
        <v>0</v>
      </c>
      <c r="BE58" s="5">
        <v>9027.6500000000015</v>
      </c>
      <c r="BF58" s="5">
        <v>57.430000000000007</v>
      </c>
      <c r="BG58" s="5">
        <v>0</v>
      </c>
      <c r="BH58" s="5">
        <v>883859.28</v>
      </c>
      <c r="BI58" s="5">
        <v>0</v>
      </c>
      <c r="BJ58" s="5">
        <v>0</v>
      </c>
      <c r="BK58" s="5">
        <v>0</v>
      </c>
      <c r="BL58" s="5">
        <v>7187630.7599999998</v>
      </c>
      <c r="BM58" s="5">
        <v>7187630.7599999998</v>
      </c>
      <c r="BN58" s="5">
        <v>419128.93</v>
      </c>
      <c r="BO58" s="5">
        <v>419128.93</v>
      </c>
      <c r="BP58" s="5">
        <v>0</v>
      </c>
      <c r="BQ58" s="5">
        <v>0</v>
      </c>
      <c r="BR58" s="215"/>
      <c r="BW58" s="5"/>
      <c r="BX58" s="5"/>
      <c r="BY58" s="5"/>
      <c r="BZ58" s="5"/>
      <c r="CA58" s="5"/>
      <c r="CB58" s="5"/>
      <c r="CJ58" s="691">
        <v>46203</v>
      </c>
      <c r="CK58" s="1031" t="s">
        <v>333</v>
      </c>
      <c r="CL58" s="1031">
        <v>2005</v>
      </c>
      <c r="CM58" s="5">
        <v>1064567.99</v>
      </c>
      <c r="CN58" s="694">
        <v>24</v>
      </c>
      <c r="CO58" s="5">
        <v>5146616.38</v>
      </c>
    </row>
    <row r="59" spans="1:93">
      <c r="A59" s="215">
        <v>45382</v>
      </c>
      <c r="B59" t="s">
        <v>869</v>
      </c>
      <c r="C59" t="s">
        <v>864</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215"/>
      <c r="BW59" s="5"/>
      <c r="BX59" s="5"/>
      <c r="BY59" s="5"/>
      <c r="BZ59" s="5"/>
      <c r="CA59" s="5"/>
      <c r="CB59" s="5"/>
      <c r="CJ59" s="691">
        <v>46203</v>
      </c>
      <c r="CK59" s="1031" t="s">
        <v>334</v>
      </c>
      <c r="CL59" s="1031">
        <v>2006</v>
      </c>
      <c r="CM59" s="5">
        <v>2390323.67</v>
      </c>
      <c r="CN59" s="694">
        <v>91</v>
      </c>
      <c r="CO59" s="5">
        <v>17649745.620000001</v>
      </c>
    </row>
    <row r="60" spans="1:93">
      <c r="A60" s="215">
        <v>45351</v>
      </c>
      <c r="B60" t="s">
        <v>869</v>
      </c>
      <c r="C60" t="s">
        <v>863</v>
      </c>
      <c r="D60" s="5">
        <v>732697498</v>
      </c>
      <c r="E60" s="5">
        <v>0</v>
      </c>
      <c r="F60" s="5">
        <v>0</v>
      </c>
      <c r="G60" s="5">
        <v>4937474.88</v>
      </c>
      <c r="H60" s="5">
        <v>3676512.91</v>
      </c>
      <c r="I60" s="5">
        <v>0</v>
      </c>
      <c r="J60" s="5">
        <v>1156.9000000000001</v>
      </c>
      <c r="K60" s="5">
        <v>0</v>
      </c>
      <c r="L60" s="5">
        <v>0</v>
      </c>
      <c r="M60" s="5">
        <v>0</v>
      </c>
      <c r="N60" s="5">
        <v>0</v>
      </c>
      <c r="O60" s="5">
        <v>0</v>
      </c>
      <c r="P60" s="5">
        <v>0</v>
      </c>
      <c r="Q60" s="5">
        <v>724084667.11000001</v>
      </c>
      <c r="R60" s="5">
        <v>75111.850000000006</v>
      </c>
      <c r="S60" s="5">
        <v>8781.85</v>
      </c>
      <c r="T60" s="5">
        <v>0</v>
      </c>
      <c r="U60" s="5">
        <v>75747.429999999993</v>
      </c>
      <c r="V60" s="5">
        <v>5365.94</v>
      </c>
      <c r="W60" s="5">
        <v>0</v>
      </c>
      <c r="X60" s="5">
        <v>64572.6</v>
      </c>
      <c r="Y60" s="5">
        <v>7158.66</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86286.68</v>
      </c>
      <c r="AT60" s="5">
        <v>6989.13</v>
      </c>
      <c r="AU60" s="5">
        <v>0</v>
      </c>
      <c r="AV60" s="5">
        <v>4861727.45</v>
      </c>
      <c r="AW60" s="5">
        <v>64572.6</v>
      </c>
      <c r="AX60" s="5">
        <v>3676512.91</v>
      </c>
      <c r="AY60" s="5">
        <v>8602812.9600000009</v>
      </c>
      <c r="AZ60" s="5">
        <v>875993.2</v>
      </c>
      <c r="BA60" s="5">
        <v>7158.66</v>
      </c>
      <c r="BB60" s="5">
        <v>104.95</v>
      </c>
      <c r="BC60" s="5">
        <v>115.6</v>
      </c>
      <c r="BD60" s="5">
        <v>0</v>
      </c>
      <c r="BE60" s="5">
        <v>1176.25</v>
      </c>
      <c r="BF60" s="5">
        <v>4.59</v>
      </c>
      <c r="BG60" s="5">
        <v>0</v>
      </c>
      <c r="BH60" s="5">
        <v>884553.25</v>
      </c>
      <c r="BI60" s="5">
        <v>0</v>
      </c>
      <c r="BJ60" s="5">
        <v>0</v>
      </c>
      <c r="BK60" s="5">
        <v>0</v>
      </c>
      <c r="BL60" s="5">
        <v>9487366.2100000009</v>
      </c>
      <c r="BM60" s="5">
        <v>9487366.2100000009</v>
      </c>
      <c r="BN60" s="5">
        <v>396472.88</v>
      </c>
      <c r="BO60" s="5">
        <v>396472.88</v>
      </c>
      <c r="BP60" s="5">
        <v>0</v>
      </c>
      <c r="BQ60" s="5">
        <v>0</v>
      </c>
      <c r="BR60" s="215"/>
      <c r="BW60" s="5"/>
      <c r="BX60" s="5"/>
      <c r="BY60" s="5"/>
      <c r="BZ60" s="5"/>
      <c r="CA60" s="5"/>
      <c r="CB60" s="5"/>
      <c r="CJ60" s="691">
        <v>46203</v>
      </c>
      <c r="CK60" s="1031" t="s">
        <v>335</v>
      </c>
      <c r="CL60" s="1031">
        <v>2007</v>
      </c>
      <c r="CM60" s="5">
        <v>4804605.9399999967</v>
      </c>
      <c r="CN60" s="694">
        <v>127</v>
      </c>
      <c r="CO60" s="5">
        <v>26004206.75</v>
      </c>
    </row>
    <row r="61" spans="1:93">
      <c r="A61" s="215">
        <v>45351</v>
      </c>
      <c r="B61" t="s">
        <v>869</v>
      </c>
      <c r="C61" t="s">
        <v>864</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215"/>
      <c r="BW61" s="5"/>
      <c r="BX61" s="5"/>
      <c r="BY61" s="5"/>
      <c r="BZ61" s="5"/>
      <c r="CA61" s="5"/>
      <c r="CB61" s="5"/>
      <c r="CJ61" s="691">
        <v>46203</v>
      </c>
      <c r="CK61" s="1031" t="s">
        <v>336</v>
      </c>
      <c r="CL61" s="1031">
        <v>2008</v>
      </c>
      <c r="CM61" s="5">
        <v>5232243.0999999996</v>
      </c>
      <c r="CN61" s="694">
        <v>105</v>
      </c>
      <c r="CO61" s="5">
        <v>25108063.52</v>
      </c>
    </row>
    <row r="62" spans="1:93">
      <c r="A62" s="215">
        <v>45322</v>
      </c>
      <c r="B62" t="s">
        <v>869</v>
      </c>
      <c r="C62" t="s">
        <v>863</v>
      </c>
      <c r="D62" s="5">
        <v>739186357.27999997</v>
      </c>
      <c r="E62" s="5">
        <v>0</v>
      </c>
      <c r="F62" s="5">
        <v>0</v>
      </c>
      <c r="G62" s="5">
        <v>5002402.3099999996</v>
      </c>
      <c r="H62" s="5">
        <v>1486537.02</v>
      </c>
      <c r="I62" s="5">
        <v>0</v>
      </c>
      <c r="J62" s="5">
        <v>80.05</v>
      </c>
      <c r="K62" s="5">
        <v>0</v>
      </c>
      <c r="L62" s="5">
        <v>0</v>
      </c>
      <c r="M62" s="5">
        <v>0</v>
      </c>
      <c r="N62" s="5">
        <v>0</v>
      </c>
      <c r="O62" s="5">
        <v>0</v>
      </c>
      <c r="P62" s="5">
        <v>0</v>
      </c>
      <c r="Q62" s="5">
        <v>732697498</v>
      </c>
      <c r="R62" s="5">
        <v>92529.64</v>
      </c>
      <c r="S62" s="5">
        <v>10202.25</v>
      </c>
      <c r="T62" s="5">
        <v>0</v>
      </c>
      <c r="U62" s="5">
        <v>69781.22</v>
      </c>
      <c r="V62" s="5">
        <v>8565.07</v>
      </c>
      <c r="W62" s="5">
        <v>0</v>
      </c>
      <c r="X62" s="5">
        <v>87199.01</v>
      </c>
      <c r="Y62" s="5">
        <v>9985.4699999999993</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75111.850000000006</v>
      </c>
      <c r="AT62" s="5">
        <v>8781.85</v>
      </c>
      <c r="AU62" s="5">
        <v>0</v>
      </c>
      <c r="AV62" s="5">
        <v>4932621.09</v>
      </c>
      <c r="AW62" s="5">
        <v>87199.01</v>
      </c>
      <c r="AX62" s="5">
        <v>1486537.02</v>
      </c>
      <c r="AY62" s="5">
        <v>6506357.1200000001</v>
      </c>
      <c r="AZ62" s="5">
        <v>886080.03</v>
      </c>
      <c r="BA62" s="5">
        <v>9985.4699999999993</v>
      </c>
      <c r="BB62" s="5">
        <v>108.96</v>
      </c>
      <c r="BC62" s="5">
        <v>148.88</v>
      </c>
      <c r="BD62" s="5">
        <v>0</v>
      </c>
      <c r="BE62" s="5">
        <v>7187.84</v>
      </c>
      <c r="BF62" s="5">
        <v>126.23</v>
      </c>
      <c r="BG62" s="5">
        <v>0</v>
      </c>
      <c r="BH62" s="5">
        <v>903637.41</v>
      </c>
      <c r="BI62" s="5">
        <v>0</v>
      </c>
      <c r="BJ62" s="5">
        <v>0</v>
      </c>
      <c r="BK62" s="5">
        <v>0</v>
      </c>
      <c r="BL62" s="5">
        <v>7409994.5300000003</v>
      </c>
      <c r="BM62" s="5">
        <v>7409994.5300000003</v>
      </c>
      <c r="BN62" s="5">
        <v>425064.34</v>
      </c>
      <c r="BO62" s="5">
        <v>425064.34</v>
      </c>
      <c r="BP62" s="5">
        <v>0</v>
      </c>
      <c r="BQ62" s="5">
        <v>0</v>
      </c>
      <c r="BR62" s="215"/>
      <c r="BW62" s="5"/>
      <c r="BX62" s="5"/>
      <c r="BY62" s="5"/>
      <c r="BZ62" s="5"/>
      <c r="CA62" s="5"/>
      <c r="CB62" s="5"/>
      <c r="CJ62" s="691">
        <v>46203</v>
      </c>
      <c r="CK62" s="1031" t="s">
        <v>337</v>
      </c>
      <c r="CL62" s="1031">
        <v>2009</v>
      </c>
      <c r="CM62" s="5">
        <v>16798177.750000004</v>
      </c>
      <c r="CN62" s="694">
        <v>208</v>
      </c>
      <c r="CO62" s="5">
        <v>59047887.279999994</v>
      </c>
    </row>
    <row r="63" spans="1:93">
      <c r="A63" s="215">
        <v>45322</v>
      </c>
      <c r="B63" t="s">
        <v>869</v>
      </c>
      <c r="C63" t="s">
        <v>864</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215"/>
      <c r="BW63" s="5"/>
      <c r="BX63" s="5"/>
      <c r="BY63" s="5"/>
      <c r="BZ63" s="5"/>
      <c r="CA63" s="5"/>
      <c r="CB63" s="5"/>
      <c r="CJ63" s="691">
        <v>46203</v>
      </c>
      <c r="CK63" s="1031" t="s">
        <v>338</v>
      </c>
      <c r="CL63" s="1031">
        <v>2010</v>
      </c>
      <c r="CM63" s="5">
        <v>10013219.569999998</v>
      </c>
      <c r="CN63" s="694">
        <v>122</v>
      </c>
      <c r="CO63" s="5">
        <v>34898644.380000003</v>
      </c>
    </row>
    <row r="64" spans="1:93">
      <c r="A64" s="215">
        <v>45291</v>
      </c>
      <c r="B64" t="s">
        <v>869</v>
      </c>
      <c r="C64" t="s">
        <v>863</v>
      </c>
      <c r="D64" s="5">
        <v>744799789.46000004</v>
      </c>
      <c r="E64" s="5">
        <v>0</v>
      </c>
      <c r="F64" s="5">
        <v>0</v>
      </c>
      <c r="G64" s="5">
        <v>4997383.97</v>
      </c>
      <c r="H64" s="5">
        <v>616128.16</v>
      </c>
      <c r="I64" s="5">
        <v>0</v>
      </c>
      <c r="J64" s="5">
        <v>79.95</v>
      </c>
      <c r="K64" s="5">
        <v>0</v>
      </c>
      <c r="L64" s="5">
        <v>0</v>
      </c>
      <c r="M64" s="5">
        <v>0</v>
      </c>
      <c r="N64" s="5">
        <v>0</v>
      </c>
      <c r="O64" s="5">
        <v>0</v>
      </c>
      <c r="P64" s="5">
        <v>0</v>
      </c>
      <c r="Q64" s="5">
        <v>739186357.27999997</v>
      </c>
      <c r="R64" s="5">
        <v>66580.289999999994</v>
      </c>
      <c r="S64" s="5">
        <v>8602.0499999999993</v>
      </c>
      <c r="T64" s="5">
        <v>0</v>
      </c>
      <c r="U64" s="5">
        <v>85973.3</v>
      </c>
      <c r="V64" s="5">
        <v>9514.19</v>
      </c>
      <c r="W64" s="5">
        <v>0</v>
      </c>
      <c r="X64" s="5">
        <v>60023.95</v>
      </c>
      <c r="Y64" s="5">
        <v>7913.99</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v>0</v>
      </c>
      <c r="AQ64" s="5">
        <v>0</v>
      </c>
      <c r="AR64" s="5">
        <v>0</v>
      </c>
      <c r="AS64" s="5">
        <v>92529.64</v>
      </c>
      <c r="AT64" s="5">
        <v>10202.25</v>
      </c>
      <c r="AU64" s="5">
        <v>0</v>
      </c>
      <c r="AV64" s="5">
        <v>4911410.67</v>
      </c>
      <c r="AW64" s="5">
        <v>60023.95</v>
      </c>
      <c r="AX64" s="5">
        <v>616128.16</v>
      </c>
      <c r="AY64" s="5">
        <v>5587562.7800000003</v>
      </c>
      <c r="AZ64" s="5">
        <v>890581.77</v>
      </c>
      <c r="BA64" s="5">
        <v>7913.99</v>
      </c>
      <c r="BB64" s="5">
        <v>51.69</v>
      </c>
      <c r="BC64" s="5">
        <v>73.59</v>
      </c>
      <c r="BD64" s="5">
        <v>0</v>
      </c>
      <c r="BE64" s="5">
        <v>3663.44</v>
      </c>
      <c r="BF64" s="5">
        <v>206.23</v>
      </c>
      <c r="BG64" s="5">
        <v>0</v>
      </c>
      <c r="BH64" s="5">
        <v>902490.71</v>
      </c>
      <c r="BI64" s="5">
        <v>0</v>
      </c>
      <c r="BJ64" s="5">
        <v>0</v>
      </c>
      <c r="BK64" s="5">
        <v>0</v>
      </c>
      <c r="BL64" s="5">
        <v>6490053.4900000002</v>
      </c>
      <c r="BM64" s="5">
        <v>6490053.4900000002</v>
      </c>
      <c r="BN64" s="5">
        <v>433477.01</v>
      </c>
      <c r="BO64" s="5">
        <v>433477.01</v>
      </c>
      <c r="BP64" s="5">
        <v>0</v>
      </c>
      <c r="BQ64" s="5">
        <v>0</v>
      </c>
      <c r="BR64" s="215"/>
      <c r="BW64" s="5"/>
      <c r="BX64" s="5"/>
      <c r="BY64" s="5"/>
      <c r="BZ64" s="5"/>
      <c r="CA64" s="5"/>
      <c r="CB64" s="5"/>
      <c r="CJ64" s="691">
        <v>46203</v>
      </c>
      <c r="CK64" s="1031" t="s">
        <v>339</v>
      </c>
      <c r="CL64" s="1031">
        <v>2011</v>
      </c>
      <c r="CM64" s="5">
        <v>3291982.439999999</v>
      </c>
      <c r="CN64" s="694">
        <v>60</v>
      </c>
      <c r="CO64" s="5">
        <v>13659116.620000003</v>
      </c>
    </row>
    <row r="65" spans="1:93">
      <c r="A65" s="215">
        <v>45291</v>
      </c>
      <c r="B65" t="s">
        <v>869</v>
      </c>
      <c r="C65" t="s">
        <v>864</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0</v>
      </c>
      <c r="BR65" s="215"/>
      <c r="BW65" s="5"/>
      <c r="BX65" s="5"/>
      <c r="BY65" s="5"/>
      <c r="BZ65" s="5"/>
      <c r="CA65" s="5"/>
      <c r="CB65" s="5"/>
      <c r="CJ65" s="691">
        <v>46203</v>
      </c>
      <c r="CK65" s="1031" t="s">
        <v>340</v>
      </c>
      <c r="CL65" s="1031">
        <v>2012</v>
      </c>
      <c r="CM65" s="5">
        <v>510737.90999999992</v>
      </c>
      <c r="CN65" s="694">
        <v>14</v>
      </c>
      <c r="CO65" s="5">
        <v>2227995.65</v>
      </c>
    </row>
    <row r="66" spans="1:93">
      <c r="A66" s="215">
        <v>45260</v>
      </c>
      <c r="B66" t="s">
        <v>869</v>
      </c>
      <c r="C66" t="s">
        <v>863</v>
      </c>
      <c r="D66" s="5">
        <v>751085014.37</v>
      </c>
      <c r="E66" s="5">
        <v>0</v>
      </c>
      <c r="F66" s="5">
        <v>0</v>
      </c>
      <c r="G66" s="5">
        <v>4999969.28</v>
      </c>
      <c r="H66" s="5">
        <v>1285255.6299999999</v>
      </c>
      <c r="I66" s="5">
        <v>0</v>
      </c>
      <c r="J66" s="5">
        <v>0</v>
      </c>
      <c r="K66" s="5">
        <v>0</v>
      </c>
      <c r="L66" s="5">
        <v>0</v>
      </c>
      <c r="M66" s="5">
        <v>0</v>
      </c>
      <c r="N66" s="5">
        <v>0</v>
      </c>
      <c r="O66" s="5">
        <v>0</v>
      </c>
      <c r="P66" s="5">
        <v>0</v>
      </c>
      <c r="Q66" s="5">
        <v>744799789.46000004</v>
      </c>
      <c r="R66" s="5">
        <v>0</v>
      </c>
      <c r="S66" s="5">
        <v>0</v>
      </c>
      <c r="T66" s="5">
        <v>0</v>
      </c>
      <c r="U66" s="5">
        <v>66580.289999999994</v>
      </c>
      <c r="V66" s="5">
        <v>8602.0499999999993</v>
      </c>
      <c r="W66" s="5">
        <v>0</v>
      </c>
      <c r="X66" s="5">
        <v>0</v>
      </c>
      <c r="Y66" s="5">
        <v>0</v>
      </c>
      <c r="Z66" s="5">
        <v>0</v>
      </c>
      <c r="AA66" s="5">
        <v>0</v>
      </c>
      <c r="AB66" s="5">
        <v>0</v>
      </c>
      <c r="AC66" s="5">
        <v>0</v>
      </c>
      <c r="AD66" s="5">
        <v>0</v>
      </c>
      <c r="AE66" s="5">
        <v>0</v>
      </c>
      <c r="AF66" s="5">
        <v>0</v>
      </c>
      <c r="AG66" s="5">
        <v>0</v>
      </c>
      <c r="AH66" s="5">
        <v>0</v>
      </c>
      <c r="AI66" s="5">
        <v>0</v>
      </c>
      <c r="AJ66" s="5">
        <v>0</v>
      </c>
      <c r="AK66" s="5">
        <v>0</v>
      </c>
      <c r="AL66" s="5">
        <v>0</v>
      </c>
      <c r="AM66" s="5">
        <v>0</v>
      </c>
      <c r="AN66" s="5">
        <v>0</v>
      </c>
      <c r="AO66" s="5">
        <v>0</v>
      </c>
      <c r="AP66" s="5">
        <v>0</v>
      </c>
      <c r="AQ66" s="5">
        <v>0</v>
      </c>
      <c r="AR66" s="5">
        <v>0</v>
      </c>
      <c r="AS66" s="5">
        <v>66580.289999999994</v>
      </c>
      <c r="AT66" s="5">
        <v>8602.0499999999993</v>
      </c>
      <c r="AU66" s="5">
        <v>0</v>
      </c>
      <c r="AV66" s="5">
        <v>4933388.99</v>
      </c>
      <c r="AW66" s="5">
        <v>0</v>
      </c>
      <c r="AX66" s="5">
        <v>1285255.6299999999</v>
      </c>
      <c r="AY66" s="5">
        <v>6218644.6200000001</v>
      </c>
      <c r="AZ66" s="5">
        <v>893922.74</v>
      </c>
      <c r="BA66" s="5">
        <v>0</v>
      </c>
      <c r="BB66" s="5">
        <v>0</v>
      </c>
      <c r="BC66" s="5">
        <v>0</v>
      </c>
      <c r="BD66" s="5">
        <v>0</v>
      </c>
      <c r="BE66" s="5">
        <v>8208.68</v>
      </c>
      <c r="BF66" s="5">
        <v>349.35</v>
      </c>
      <c r="BG66" s="5">
        <v>0</v>
      </c>
      <c r="BH66" s="5">
        <v>902480.77</v>
      </c>
      <c r="BI66" s="5">
        <v>0</v>
      </c>
      <c r="BJ66" s="5">
        <v>0</v>
      </c>
      <c r="BK66" s="5">
        <v>0</v>
      </c>
      <c r="BL66" s="5">
        <v>7121125.3899999997</v>
      </c>
      <c r="BM66" s="5">
        <v>7121125.3899999997</v>
      </c>
      <c r="BN66" s="5">
        <v>418685.79</v>
      </c>
      <c r="BO66" s="5">
        <v>418685.79</v>
      </c>
      <c r="BP66" s="5">
        <v>0</v>
      </c>
      <c r="BQ66" s="5">
        <v>0</v>
      </c>
      <c r="BR66" s="215"/>
      <c r="BW66" s="5"/>
      <c r="BX66" s="5"/>
      <c r="BY66" s="5"/>
      <c r="BZ66" s="5"/>
      <c r="CA66" s="5"/>
      <c r="CB66" s="5"/>
      <c r="CJ66" s="691">
        <v>46203</v>
      </c>
      <c r="CK66" s="1031" t="s">
        <v>341</v>
      </c>
      <c r="CL66" s="1031">
        <v>2013</v>
      </c>
      <c r="CM66" s="5">
        <v>1550468.2600000002</v>
      </c>
      <c r="CN66" s="694">
        <v>21</v>
      </c>
      <c r="CO66" s="5">
        <v>4131225.61</v>
      </c>
    </row>
    <row r="67" spans="1:93">
      <c r="A67" s="215">
        <v>45260</v>
      </c>
      <c r="B67" t="s">
        <v>869</v>
      </c>
      <c r="C67" t="s">
        <v>864</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215"/>
      <c r="BW67" s="5"/>
      <c r="BX67" s="5"/>
      <c r="BY67" s="5"/>
      <c r="BZ67" s="5"/>
      <c r="CA67" s="5"/>
      <c r="CB67" s="5"/>
      <c r="CJ67" s="691">
        <v>46203</v>
      </c>
      <c r="CK67" s="1031" t="s">
        <v>342</v>
      </c>
      <c r="CL67" s="1031">
        <v>2014</v>
      </c>
      <c r="CM67" s="5">
        <v>3967596.4899999998</v>
      </c>
      <c r="CN67" s="694">
        <v>52</v>
      </c>
      <c r="CO67" s="5">
        <v>12238403.330000002</v>
      </c>
    </row>
    <row r="68" spans="1:93">
      <c r="A68" s="215">
        <v>45230</v>
      </c>
      <c r="B68" t="s">
        <v>869</v>
      </c>
      <c r="C68" t="s">
        <v>863</v>
      </c>
      <c r="D68" s="5">
        <v>0</v>
      </c>
      <c r="E68" s="5">
        <v>751085014.37</v>
      </c>
      <c r="F68" s="5">
        <v>0</v>
      </c>
      <c r="G68" s="5">
        <v>0</v>
      </c>
      <c r="H68" s="5">
        <v>0</v>
      </c>
      <c r="I68" s="5">
        <v>0</v>
      </c>
      <c r="J68" s="5">
        <v>0</v>
      </c>
      <c r="K68" s="5">
        <v>0</v>
      </c>
      <c r="L68" s="5">
        <v>0</v>
      </c>
      <c r="M68" s="5">
        <v>0</v>
      </c>
      <c r="N68" s="5">
        <v>0</v>
      </c>
      <c r="O68" s="5">
        <v>0</v>
      </c>
      <c r="P68" s="5">
        <v>0</v>
      </c>
      <c r="Q68" s="5">
        <v>751085014.37</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474668.81</v>
      </c>
      <c r="BO68" s="5">
        <v>474668.81</v>
      </c>
      <c r="BP68" s="5">
        <v>0</v>
      </c>
      <c r="BQ68" s="5">
        <v>0</v>
      </c>
      <c r="BR68" s="215"/>
      <c r="BW68" s="5"/>
      <c r="BX68" s="5"/>
      <c r="BY68" s="5"/>
      <c r="BZ68" s="5"/>
      <c r="CA68" s="5"/>
      <c r="CB68" s="5"/>
      <c r="CJ68" s="691">
        <v>46203</v>
      </c>
      <c r="CK68" s="1031" t="s">
        <v>343</v>
      </c>
      <c r="CL68" s="1031">
        <v>2015</v>
      </c>
      <c r="CM68" s="5">
        <v>8805056.7600000016</v>
      </c>
      <c r="CN68" s="694">
        <v>74</v>
      </c>
      <c r="CO68" s="5">
        <v>22841095.290000003</v>
      </c>
    </row>
    <row r="69" spans="1:93">
      <c r="A69" s="215">
        <v>45230</v>
      </c>
      <c r="B69" t="s">
        <v>869</v>
      </c>
      <c r="C69" t="s">
        <v>864</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215"/>
      <c r="BW69" s="5"/>
      <c r="BX69" s="5"/>
      <c r="BY69" s="5"/>
      <c r="BZ69" s="5"/>
      <c r="CA69" s="5"/>
      <c r="CB69" s="5"/>
      <c r="CJ69" s="691">
        <v>46203</v>
      </c>
      <c r="CK69" s="1031" t="s">
        <v>344</v>
      </c>
      <c r="CL69" s="1031">
        <v>2016</v>
      </c>
      <c r="CM69" s="5">
        <v>5793384.1599999992</v>
      </c>
      <c r="CN69" s="694">
        <v>59</v>
      </c>
      <c r="CO69" s="5">
        <v>12645476.130000001</v>
      </c>
    </row>
    <row r="70" spans="1:93">
      <c r="BN70" s="5"/>
      <c r="BR70" s="215"/>
      <c r="BW70" s="5"/>
      <c r="BX70" s="5"/>
      <c r="BY70" s="5"/>
      <c r="BZ70" s="5"/>
      <c r="CA70" s="5"/>
      <c r="CB70" s="5"/>
      <c r="CJ70" s="691">
        <v>46203</v>
      </c>
      <c r="CK70" s="1031" t="s">
        <v>345</v>
      </c>
      <c r="CL70" s="1031">
        <v>2017</v>
      </c>
      <c r="CM70" s="5">
        <v>32465463.470000003</v>
      </c>
      <c r="CN70" s="694">
        <v>198</v>
      </c>
      <c r="CO70" s="5">
        <v>63186389.990000002</v>
      </c>
    </row>
    <row r="71" spans="1:93">
      <c r="BN71" s="5"/>
      <c r="BR71" s="215"/>
      <c r="BW71" s="5"/>
      <c r="BX71" s="5"/>
      <c r="BY71" s="5"/>
      <c r="BZ71" s="5"/>
      <c r="CA71" s="5"/>
      <c r="CB71" s="5"/>
      <c r="CJ71" s="691">
        <v>46203</v>
      </c>
      <c r="CK71" s="1031" t="s">
        <v>346</v>
      </c>
      <c r="CL71" s="1031">
        <v>2018</v>
      </c>
      <c r="CM71" s="5">
        <v>34636673.139999986</v>
      </c>
      <c r="CN71" s="694">
        <v>213</v>
      </c>
      <c r="CO71" s="5">
        <v>69510403.400000006</v>
      </c>
    </row>
    <row r="72" spans="1:93">
      <c r="BN72" s="5"/>
      <c r="BR72" s="215"/>
      <c r="BW72" s="5"/>
      <c r="BX72" s="5"/>
      <c r="BY72" s="5"/>
      <c r="BZ72" s="5"/>
      <c r="CA72" s="5"/>
      <c r="CB72" s="5"/>
      <c r="CJ72" s="691">
        <v>46203</v>
      </c>
      <c r="CK72" s="1031" t="s">
        <v>894</v>
      </c>
      <c r="CL72" s="1031">
        <v>2019</v>
      </c>
      <c r="CM72" s="5">
        <v>49463671.230000027</v>
      </c>
      <c r="CN72" s="694">
        <v>282</v>
      </c>
      <c r="CO72" s="5">
        <v>77490430.610000014</v>
      </c>
    </row>
    <row r="73" spans="1:93">
      <c r="BN73" s="5"/>
      <c r="BR73" s="215"/>
      <c r="BW73" s="5"/>
      <c r="BX73" s="5"/>
      <c r="BY73" s="5"/>
      <c r="BZ73" s="5"/>
      <c r="CA73" s="5"/>
      <c r="CB73" s="5"/>
      <c r="CJ73" s="691">
        <v>46203</v>
      </c>
      <c r="CK73" s="1031" t="s">
        <v>895</v>
      </c>
      <c r="CL73" s="1031">
        <v>2020</v>
      </c>
      <c r="CM73" s="5">
        <v>107019400.43000002</v>
      </c>
      <c r="CN73" s="694">
        <v>413</v>
      </c>
      <c r="CO73" s="5">
        <v>150240392.31999999</v>
      </c>
    </row>
    <row r="74" spans="1:93">
      <c r="BN74" s="5"/>
      <c r="BR74" s="215"/>
      <c r="BW74" s="5"/>
      <c r="BX74" s="5"/>
      <c r="BY74" s="5"/>
      <c r="BZ74" s="5"/>
      <c r="CA74" s="5"/>
      <c r="CB74" s="5"/>
      <c r="CJ74" s="691">
        <v>46203</v>
      </c>
      <c r="CK74" s="1031" t="s">
        <v>896</v>
      </c>
      <c r="CL74" s="1031">
        <v>2021</v>
      </c>
      <c r="CM74" s="5">
        <v>92312079.250000015</v>
      </c>
      <c r="CN74" s="694">
        <v>365</v>
      </c>
      <c r="CO74" s="5">
        <v>121422240.44000001</v>
      </c>
    </row>
    <row r="75" spans="1:93">
      <c r="BN75" s="5"/>
      <c r="BR75" s="215"/>
      <c r="BW75" s="5"/>
      <c r="BX75" s="5"/>
      <c r="BY75" s="5"/>
      <c r="BZ75" s="5"/>
      <c r="CA75" s="5"/>
      <c r="CB75" s="5"/>
      <c r="CJ75" s="691">
        <v>46203</v>
      </c>
      <c r="CK75" s="1031" t="s">
        <v>897</v>
      </c>
      <c r="CL75" s="1031">
        <v>2022</v>
      </c>
      <c r="CM75" s="5">
        <v>151266370.34999987</v>
      </c>
      <c r="CN75" s="694">
        <v>426</v>
      </c>
      <c r="CO75" s="5">
        <v>183612076.90999997</v>
      </c>
    </row>
    <row r="76" spans="1:93">
      <c r="BN76" s="5"/>
      <c r="BR76" s="215"/>
      <c r="BW76" s="5"/>
      <c r="BX76" s="5"/>
      <c r="BY76" s="5"/>
      <c r="BZ76" s="5"/>
      <c r="CA76" s="5"/>
      <c r="CB76" s="5"/>
      <c r="CJ76" s="691">
        <v>46203</v>
      </c>
      <c r="CK76" s="1031" t="s">
        <v>898</v>
      </c>
      <c r="CL76" s="1031">
        <v>2023</v>
      </c>
      <c r="CM76" s="5">
        <v>87278606.01000005</v>
      </c>
      <c r="CN76" s="694">
        <v>252</v>
      </c>
      <c r="CO76" s="5">
        <v>101600968.66</v>
      </c>
    </row>
    <row r="77" spans="1:93">
      <c r="BN77" s="5"/>
      <c r="BR77" s="215"/>
      <c r="BW77" s="5"/>
      <c r="BX77" s="5"/>
      <c r="BY77" s="5"/>
      <c r="BZ77" s="5"/>
      <c r="CA77" s="5"/>
      <c r="CB77" s="5"/>
      <c r="CJ77" s="691">
        <v>46203</v>
      </c>
      <c r="CK77" s="1031" t="s">
        <v>2455</v>
      </c>
      <c r="CL77" s="1031">
        <v>2024</v>
      </c>
      <c r="CM77" s="5">
        <v>46687295.559999995</v>
      </c>
      <c r="CN77" s="694">
        <v>129</v>
      </c>
      <c r="CO77" s="5">
        <v>50447916.239999995</v>
      </c>
    </row>
    <row r="78" spans="1:93">
      <c r="BN78" s="5"/>
      <c r="BR78" s="215"/>
      <c r="BW78" s="5"/>
      <c r="BX78" s="5"/>
      <c r="BY78" s="5"/>
      <c r="BZ78" s="5"/>
      <c r="CA78" s="5"/>
      <c r="CB78" s="5"/>
      <c r="CJ78" s="691">
        <v>46203</v>
      </c>
      <c r="CK78" s="1031" t="s">
        <v>2456</v>
      </c>
      <c r="CL78" s="1031">
        <v>2025</v>
      </c>
      <c r="CM78" s="5">
        <v>63057347.110000029</v>
      </c>
      <c r="CN78" s="694">
        <v>193</v>
      </c>
      <c r="CO78" s="5">
        <v>65143291.220000014</v>
      </c>
    </row>
    <row r="79" spans="1:93">
      <c r="BN79" s="5"/>
      <c r="BR79" s="215"/>
      <c r="BW79" s="5"/>
      <c r="BX79" s="5"/>
      <c r="BY79" s="5"/>
      <c r="BZ79" s="5"/>
      <c r="CA79" s="5"/>
      <c r="CB79" s="5"/>
      <c r="CJ79" s="691">
        <v>46203</v>
      </c>
      <c r="CK79" s="1031" t="s">
        <v>2457</v>
      </c>
      <c r="CL79" s="1031">
        <v>2026</v>
      </c>
      <c r="CM79" s="5">
        <v>41298969.449999988</v>
      </c>
      <c r="CN79" s="694">
        <v>117</v>
      </c>
      <c r="CO79" s="5">
        <v>41662128.539999999</v>
      </c>
    </row>
    <row r="80" spans="1:93">
      <c r="BN80" s="5"/>
      <c r="BR80" s="215"/>
      <c r="BW80" s="5"/>
      <c r="BX80" s="5"/>
      <c r="BY80" s="5"/>
      <c r="BZ80" s="5"/>
      <c r="CA80" s="5"/>
      <c r="CB80" s="5"/>
      <c r="CJ80" s="691">
        <v>46203</v>
      </c>
      <c r="CK80" s="1031" t="s">
        <v>2458</v>
      </c>
      <c r="CL80" s="1031">
        <v>2027</v>
      </c>
      <c r="CM80" s="5">
        <v>0</v>
      </c>
      <c r="CN80" s="694">
        <v>0</v>
      </c>
      <c r="CO80" s="5">
        <v>0</v>
      </c>
    </row>
    <row r="81" spans="66:93">
      <c r="BN81" s="5"/>
      <c r="BR81" s="215"/>
      <c r="BW81" s="5"/>
      <c r="BX81" s="5"/>
      <c r="BY81" s="5"/>
      <c r="BZ81" s="5"/>
      <c r="CA81" s="5"/>
      <c r="CB81" s="5"/>
      <c r="CJ81" s="691">
        <v>46203</v>
      </c>
      <c r="CK81" s="1031" t="s">
        <v>2459</v>
      </c>
      <c r="CL81" s="1031">
        <v>2028</v>
      </c>
      <c r="CM81" s="5">
        <v>0</v>
      </c>
      <c r="CN81" s="694">
        <v>0</v>
      </c>
      <c r="CO81" s="5">
        <v>0</v>
      </c>
    </row>
    <row r="82" spans="66:93">
      <c r="BN82" s="5"/>
      <c r="BR82" s="215"/>
      <c r="BW82" s="5"/>
      <c r="BX82" s="5"/>
      <c r="BY82" s="5"/>
      <c r="BZ82" s="5"/>
      <c r="CA82" s="5"/>
      <c r="CB82" s="5"/>
      <c r="CJ82" s="691">
        <v>46203</v>
      </c>
      <c r="CK82" s="1031" t="s">
        <v>2460</v>
      </c>
      <c r="CL82" s="1031">
        <v>2029</v>
      </c>
      <c r="CM82" s="5">
        <v>0</v>
      </c>
      <c r="CN82" s="694">
        <v>0</v>
      </c>
      <c r="CO82" s="5">
        <v>0</v>
      </c>
    </row>
    <row r="83" spans="66:93">
      <c r="BN83" s="5"/>
      <c r="BR83" s="215"/>
      <c r="BW83" s="5"/>
      <c r="BX83" s="5"/>
      <c r="BY83" s="5"/>
      <c r="BZ83" s="5"/>
      <c r="CA83" s="5"/>
      <c r="CB83" s="5"/>
      <c r="CJ83" s="691">
        <v>46203</v>
      </c>
      <c r="CK83" s="1031" t="s">
        <v>2461</v>
      </c>
      <c r="CL83" s="1031">
        <v>2030</v>
      </c>
      <c r="CM83" s="5">
        <v>0</v>
      </c>
      <c r="CN83" s="694">
        <v>0</v>
      </c>
      <c r="CO83" s="5">
        <v>0</v>
      </c>
    </row>
    <row r="84" spans="66:93">
      <c r="BN84" s="5"/>
      <c r="BR84" s="215"/>
      <c r="BW84" s="5"/>
      <c r="BX84" s="5"/>
      <c r="BY84" s="5"/>
      <c r="BZ84" s="5"/>
      <c r="CA84" s="5"/>
      <c r="CB84" s="5"/>
      <c r="CJ84" s="691">
        <v>46203</v>
      </c>
      <c r="CK84" s="1031" t="s">
        <v>348</v>
      </c>
      <c r="CL84" s="1031" t="s">
        <v>2462</v>
      </c>
      <c r="CM84" s="5">
        <v>253194570.86000019</v>
      </c>
      <c r="CN84" s="694">
        <v>1193</v>
      </c>
      <c r="CO84" s="5">
        <v>394394434.26999998</v>
      </c>
    </row>
    <row r="85" spans="66:93">
      <c r="BN85" s="5"/>
      <c r="BR85" s="215"/>
      <c r="BW85" s="5"/>
      <c r="BX85" s="5"/>
      <c r="BY85" s="5"/>
      <c r="BZ85" s="5"/>
      <c r="CA85" s="5"/>
      <c r="CB85" s="5"/>
      <c r="CJ85" s="691">
        <v>46203</v>
      </c>
      <c r="CK85" s="1031" t="s">
        <v>350</v>
      </c>
      <c r="CL85" s="1031" t="s">
        <v>899</v>
      </c>
      <c r="CM85" s="5">
        <v>262467085.72999996</v>
      </c>
      <c r="CN85" s="694">
        <v>1276</v>
      </c>
      <c r="CO85" s="5">
        <v>422506239.41999984</v>
      </c>
    </row>
    <row r="86" spans="66:93">
      <c r="BN86" s="5"/>
      <c r="BR86" s="215"/>
      <c r="BW86" s="5"/>
      <c r="BX86" s="5"/>
      <c r="BY86" s="5"/>
      <c r="BZ86" s="5"/>
      <c r="CA86" s="5"/>
      <c r="CB86" s="5"/>
      <c r="CJ86" s="691">
        <v>46203</v>
      </c>
      <c r="CK86" s="1031" t="s">
        <v>352</v>
      </c>
      <c r="CL86" s="1031" t="s">
        <v>900</v>
      </c>
      <c r="CM86" s="5">
        <v>122509025.79000002</v>
      </c>
      <c r="CN86" s="694">
        <v>450</v>
      </c>
      <c r="CO86" s="5">
        <v>150795771.80000001</v>
      </c>
    </row>
    <row r="87" spans="66:93">
      <c r="BN87" s="5"/>
      <c r="BR87" s="215"/>
      <c r="BW87" s="5"/>
      <c r="BX87" s="5"/>
      <c r="BY87" s="5"/>
      <c r="BZ87" s="5"/>
      <c r="CA87" s="5"/>
      <c r="CB87" s="5"/>
      <c r="CJ87" s="691">
        <v>46203</v>
      </c>
      <c r="CK87" s="1031" t="s">
        <v>354</v>
      </c>
      <c r="CL87" s="1031" t="s">
        <v>901</v>
      </c>
      <c r="CM87" s="5">
        <v>123675508.12999998</v>
      </c>
      <c r="CN87" s="694">
        <v>510</v>
      </c>
      <c r="CO87" s="5">
        <v>170841272.12000003</v>
      </c>
    </row>
    <row r="88" spans="66:93">
      <c r="BN88" s="5"/>
      <c r="BR88" s="215"/>
      <c r="BW88" s="5"/>
      <c r="BX88" s="5"/>
      <c r="BY88" s="5"/>
      <c r="BZ88" s="5"/>
      <c r="CA88" s="5"/>
      <c r="CB88" s="5"/>
      <c r="CJ88" s="691">
        <v>46203</v>
      </c>
      <c r="CK88" s="1031" t="s">
        <v>356</v>
      </c>
      <c r="CL88" s="1031" t="s">
        <v>902</v>
      </c>
      <c r="CM88" s="5">
        <v>7149271.3799999999</v>
      </c>
      <c r="CN88" s="694">
        <v>102</v>
      </c>
      <c r="CO88" s="5">
        <v>19043231.740000002</v>
      </c>
    </row>
    <row r="89" spans="66:93">
      <c r="BN89" s="5"/>
      <c r="BR89" s="215"/>
      <c r="BW89" s="5"/>
      <c r="BX89" s="5"/>
      <c r="BY89" s="5"/>
      <c r="BZ89" s="5"/>
      <c r="CA89" s="5"/>
      <c r="CB89" s="5"/>
      <c r="CJ89" s="691">
        <v>46203</v>
      </c>
      <c r="CK89" s="1031" t="s">
        <v>358</v>
      </c>
      <c r="CL89" s="1031" t="s">
        <v>2463</v>
      </c>
      <c r="CM89" s="5">
        <v>731835.13000000012</v>
      </c>
      <c r="CN89" s="694">
        <v>15</v>
      </c>
      <c r="CO89" s="5">
        <v>2437095</v>
      </c>
    </row>
    <row r="90" spans="66:93">
      <c r="BN90" s="5"/>
      <c r="BR90" s="215"/>
      <c r="BW90" s="5"/>
      <c r="BX90" s="5"/>
      <c r="BY90" s="5"/>
      <c r="BZ90" s="5"/>
      <c r="CA90" s="5"/>
      <c r="CB90" s="5"/>
      <c r="CJ90" s="691">
        <v>46203</v>
      </c>
      <c r="CK90" s="1031" t="s">
        <v>368</v>
      </c>
      <c r="CL90" s="1031" t="s">
        <v>2464</v>
      </c>
      <c r="CM90" s="5">
        <v>150095.50999999998</v>
      </c>
      <c r="CN90" s="694">
        <v>8</v>
      </c>
      <c r="CO90" s="5">
        <v>1379949.46</v>
      </c>
    </row>
    <row r="91" spans="66:93">
      <c r="BN91" s="5"/>
      <c r="BR91" s="215"/>
      <c r="BW91" s="5"/>
      <c r="BX91" s="5"/>
      <c r="BY91" s="5"/>
      <c r="BZ91" s="5"/>
      <c r="CA91" s="5"/>
      <c r="CB91" s="5"/>
      <c r="CJ91" s="691">
        <v>46203</v>
      </c>
      <c r="CK91" s="1031" t="s">
        <v>370</v>
      </c>
      <c r="CL91" s="1031" t="s">
        <v>2465</v>
      </c>
      <c r="CM91" s="5">
        <v>0</v>
      </c>
      <c r="CN91" s="694">
        <v>0</v>
      </c>
      <c r="CO91" s="5">
        <v>0</v>
      </c>
    </row>
    <row r="92" spans="66:93">
      <c r="BN92" s="5"/>
      <c r="BR92" s="215"/>
      <c r="BW92" s="5"/>
      <c r="BX92" s="5"/>
      <c r="BY92" s="5"/>
      <c r="BZ92" s="5"/>
      <c r="CA92" s="5"/>
      <c r="CB92" s="5"/>
      <c r="CJ92" s="691">
        <v>46203</v>
      </c>
      <c r="CK92" s="1031" t="s">
        <v>372</v>
      </c>
      <c r="CL92" s="1031" t="s">
        <v>2466</v>
      </c>
      <c r="CM92" s="5">
        <v>760265215.23999989</v>
      </c>
      <c r="CN92" s="694">
        <v>3418</v>
      </c>
      <c r="CO92" s="5">
        <v>1120782941.230001</v>
      </c>
    </row>
    <row r="93" spans="66:93">
      <c r="BN93" s="5"/>
      <c r="BR93" s="215"/>
      <c r="BW93" s="5"/>
      <c r="BX93" s="5"/>
      <c r="BY93" s="5"/>
      <c r="BZ93" s="5"/>
      <c r="CA93" s="5"/>
      <c r="CB93" s="5"/>
      <c r="CJ93" s="691">
        <v>46203</v>
      </c>
      <c r="CK93" s="1031" t="s">
        <v>374</v>
      </c>
      <c r="CL93" s="1031" t="s">
        <v>2467</v>
      </c>
      <c r="CM93" s="5">
        <v>0</v>
      </c>
      <c r="CN93" s="694">
        <v>0</v>
      </c>
      <c r="CO93" s="5">
        <v>0</v>
      </c>
    </row>
    <row r="94" spans="66:93">
      <c r="BN94" s="5"/>
      <c r="BR94" s="215"/>
      <c r="BW94" s="5"/>
      <c r="BX94" s="5"/>
      <c r="BY94" s="5"/>
      <c r="BZ94" s="5"/>
      <c r="CA94" s="5"/>
      <c r="CB94" s="5"/>
      <c r="CJ94" s="691">
        <v>46203</v>
      </c>
      <c r="CK94" s="1031" t="s">
        <v>376</v>
      </c>
      <c r="CL94" s="1031" t="s">
        <v>2468</v>
      </c>
      <c r="CM94" s="5">
        <v>0</v>
      </c>
      <c r="CN94" s="694">
        <v>0</v>
      </c>
      <c r="CO94" s="5">
        <v>0</v>
      </c>
    </row>
    <row r="95" spans="66:93">
      <c r="BN95" s="5"/>
      <c r="BR95" s="215"/>
      <c r="BW95" s="5"/>
      <c r="BX95" s="5"/>
      <c r="BY95" s="5"/>
      <c r="BZ95" s="5"/>
      <c r="CA95" s="5"/>
      <c r="CB95" s="5"/>
      <c r="CJ95" s="691">
        <v>46203</v>
      </c>
      <c r="CK95" s="1031" t="s">
        <v>378</v>
      </c>
      <c r="CL95" s="1031" t="s">
        <v>2469</v>
      </c>
      <c r="CM95" s="5">
        <v>0</v>
      </c>
      <c r="CN95" s="694">
        <v>0</v>
      </c>
      <c r="CO95" s="5">
        <v>0</v>
      </c>
    </row>
    <row r="96" spans="66:93">
      <c r="BN96" s="5"/>
      <c r="BR96" s="215"/>
      <c r="BW96" s="5"/>
      <c r="BX96" s="5"/>
      <c r="BY96" s="5"/>
      <c r="BZ96" s="5"/>
      <c r="CA96" s="5"/>
      <c r="CB96" s="5"/>
      <c r="CJ96" s="691">
        <v>46203</v>
      </c>
      <c r="CK96" s="1031" t="s">
        <v>380</v>
      </c>
      <c r="CL96" s="1031" t="s">
        <v>2470</v>
      </c>
      <c r="CM96" s="5">
        <v>9311986.2700000014</v>
      </c>
      <c r="CN96" s="694">
        <v>120</v>
      </c>
      <c r="CO96" s="5">
        <v>37855153.659999996</v>
      </c>
    </row>
    <row r="97" spans="66:93">
      <c r="BN97" s="5"/>
      <c r="BR97" s="215"/>
      <c r="BW97" s="5"/>
      <c r="BX97" s="5"/>
      <c r="BY97" s="5"/>
      <c r="BZ97" s="5"/>
      <c r="CA97" s="5"/>
      <c r="CB97" s="5"/>
      <c r="CJ97" s="691">
        <v>46203</v>
      </c>
      <c r="CK97" s="1031" t="s">
        <v>382</v>
      </c>
      <c r="CL97" s="1031" t="s">
        <v>2471</v>
      </c>
      <c r="CM97" s="5">
        <v>0</v>
      </c>
      <c r="CN97" s="694">
        <v>0</v>
      </c>
      <c r="CO97" s="5">
        <v>0</v>
      </c>
    </row>
    <row r="98" spans="66:93">
      <c r="BN98" s="5"/>
      <c r="BR98" s="215"/>
      <c r="BW98" s="5"/>
      <c r="BX98" s="5"/>
      <c r="BY98" s="5"/>
      <c r="BZ98" s="5"/>
      <c r="CA98" s="5"/>
      <c r="CB98" s="5"/>
      <c r="CJ98" s="691">
        <v>46203</v>
      </c>
      <c r="CK98" s="1031" t="s">
        <v>384</v>
      </c>
      <c r="CL98" s="1031" t="s">
        <v>2472</v>
      </c>
      <c r="CM98" s="5">
        <v>0</v>
      </c>
      <c r="CN98" s="694">
        <v>0</v>
      </c>
      <c r="CO98" s="5">
        <v>0</v>
      </c>
    </row>
    <row r="99" spans="66:93">
      <c r="BN99" s="5"/>
      <c r="BR99" s="215"/>
      <c r="BW99" s="5"/>
      <c r="BX99" s="5"/>
      <c r="BY99" s="5"/>
      <c r="BZ99" s="5"/>
      <c r="CA99" s="5"/>
      <c r="CB99" s="5"/>
      <c r="CJ99" s="691">
        <v>46203</v>
      </c>
      <c r="CK99" s="1031" t="s">
        <v>386</v>
      </c>
      <c r="CL99" s="1031" t="s">
        <v>2473</v>
      </c>
      <c r="CM99" s="5">
        <v>0</v>
      </c>
      <c r="CN99" s="694">
        <v>0</v>
      </c>
      <c r="CO99" s="5">
        <v>0</v>
      </c>
    </row>
    <row r="100" spans="66:93">
      <c r="BN100" s="5"/>
      <c r="BR100" s="215"/>
      <c r="BW100" s="5"/>
      <c r="BX100" s="5"/>
      <c r="BY100" s="5"/>
      <c r="BZ100" s="5"/>
      <c r="CA100" s="5"/>
      <c r="CB100" s="5"/>
      <c r="CJ100" s="691">
        <v>46203</v>
      </c>
      <c r="CK100" s="1031" t="s">
        <v>388</v>
      </c>
      <c r="CL100" s="1031" t="s">
        <v>2474</v>
      </c>
      <c r="CM100" s="5">
        <v>0</v>
      </c>
      <c r="CN100" s="694">
        <v>0</v>
      </c>
      <c r="CO100" s="5">
        <v>0</v>
      </c>
    </row>
    <row r="101" spans="66:93">
      <c r="BN101" s="5"/>
      <c r="BR101" s="215"/>
      <c r="BW101" s="5"/>
      <c r="BX101" s="5"/>
      <c r="BY101" s="5"/>
      <c r="BZ101" s="5"/>
      <c r="CA101" s="5"/>
      <c r="CB101" s="5"/>
      <c r="CJ101" s="691">
        <v>46203</v>
      </c>
      <c r="CK101" s="1031" t="s">
        <v>389</v>
      </c>
      <c r="CL101" s="1031" t="s">
        <v>2475</v>
      </c>
      <c r="CM101" s="5">
        <v>0</v>
      </c>
      <c r="CN101" s="694">
        <v>0</v>
      </c>
      <c r="CO101" s="5">
        <v>0</v>
      </c>
    </row>
    <row r="102" spans="66:93">
      <c r="BN102" s="5"/>
      <c r="BR102" s="215"/>
      <c r="BW102" s="5"/>
      <c r="BX102" s="5"/>
      <c r="BY102" s="5"/>
      <c r="BZ102" s="5"/>
      <c r="CA102" s="5"/>
      <c r="CB102" s="5"/>
      <c r="CJ102" s="691">
        <v>46203</v>
      </c>
      <c r="CK102" s="1031" t="s">
        <v>390</v>
      </c>
      <c r="CL102" s="1031" t="s">
        <v>865</v>
      </c>
      <c r="CM102" s="5">
        <v>0</v>
      </c>
      <c r="CN102" s="694">
        <v>0</v>
      </c>
      <c r="CO102" s="5">
        <v>0</v>
      </c>
    </row>
    <row r="103" spans="66:93">
      <c r="BN103" s="5"/>
      <c r="BR103" s="215"/>
      <c r="BW103" s="5"/>
      <c r="BX103" s="5"/>
      <c r="BY103" s="5"/>
      <c r="BZ103" s="5"/>
      <c r="CA103" s="5"/>
      <c r="CB103" s="5"/>
      <c r="CJ103" s="691">
        <v>46203</v>
      </c>
      <c r="CK103" s="1031" t="s">
        <v>391</v>
      </c>
      <c r="CL103" s="1031">
        <v>3</v>
      </c>
      <c r="CM103" s="5">
        <v>47717404.830000006</v>
      </c>
      <c r="CN103" s="694">
        <v>522</v>
      </c>
      <c r="CO103" s="5">
        <v>127751067.96999998</v>
      </c>
    </row>
    <row r="104" spans="66:93">
      <c r="BN104" s="5"/>
      <c r="BR104" s="215"/>
      <c r="BW104" s="5"/>
      <c r="BX104" s="5"/>
      <c r="BY104" s="5"/>
      <c r="BZ104" s="5"/>
      <c r="CA104" s="5"/>
      <c r="CB104" s="5"/>
      <c r="CJ104" s="691">
        <v>46203</v>
      </c>
      <c r="CK104" s="1031" t="s">
        <v>392</v>
      </c>
      <c r="CL104" s="1031">
        <v>1</v>
      </c>
      <c r="CM104" s="5">
        <v>621651723.97999883</v>
      </c>
      <c r="CN104" s="694">
        <v>2189</v>
      </c>
      <c r="CO104" s="5">
        <v>777144685.92000008</v>
      </c>
    </row>
    <row r="105" spans="66:93">
      <c r="BN105" s="5"/>
      <c r="BR105" s="215"/>
      <c r="BW105" s="5"/>
      <c r="BX105" s="5"/>
      <c r="BY105" s="5"/>
      <c r="BZ105" s="5"/>
      <c r="CA105" s="5"/>
      <c r="CB105" s="5"/>
      <c r="CJ105" s="691">
        <v>46203</v>
      </c>
      <c r="CK105" s="1031" t="s">
        <v>393</v>
      </c>
      <c r="CL105" s="1031">
        <v>4</v>
      </c>
      <c r="CM105" s="5">
        <v>83313929.799999982</v>
      </c>
      <c r="CN105" s="694">
        <v>578</v>
      </c>
      <c r="CO105" s="5">
        <v>187027124.44999999</v>
      </c>
    </row>
    <row r="106" spans="66:93">
      <c r="BN106" s="5"/>
      <c r="BR106" s="215"/>
      <c r="BW106" s="5"/>
      <c r="BX106" s="5"/>
      <c r="BY106" s="5"/>
      <c r="BZ106" s="5"/>
      <c r="CA106" s="5"/>
      <c r="CB106" s="5"/>
      <c r="CJ106" s="691">
        <v>46203</v>
      </c>
      <c r="CK106" s="1031" t="s">
        <v>394</v>
      </c>
      <c r="CL106" s="1031">
        <v>2</v>
      </c>
      <c r="CM106" s="5">
        <v>17044238.409999989</v>
      </c>
      <c r="CN106" s="694">
        <v>257</v>
      </c>
      <c r="CO106" s="5">
        <v>68095166.009999976</v>
      </c>
    </row>
    <row r="107" spans="66:93">
      <c r="BN107" s="5"/>
      <c r="BR107" s="215"/>
      <c r="BW107" s="5"/>
      <c r="BX107" s="5"/>
      <c r="BY107" s="5"/>
      <c r="BZ107" s="5"/>
      <c r="CA107" s="5"/>
      <c r="CB107" s="5"/>
      <c r="CJ107" s="691">
        <v>46203</v>
      </c>
      <c r="CK107" s="1031" t="s">
        <v>395</v>
      </c>
      <c r="CL107" s="1031" t="s">
        <v>2476</v>
      </c>
      <c r="CM107" s="5">
        <v>9558663.7100000009</v>
      </c>
      <c r="CN107" s="694">
        <v>389</v>
      </c>
      <c r="CO107" s="5"/>
    </row>
    <row r="108" spans="66:93">
      <c r="BN108" s="5"/>
      <c r="BR108" s="215"/>
      <c r="BW108" s="5"/>
      <c r="BX108" s="5"/>
      <c r="BY108" s="5"/>
      <c r="BZ108" s="5"/>
      <c r="CA108" s="5"/>
      <c r="CB108" s="5"/>
      <c r="CJ108" s="691">
        <v>46203</v>
      </c>
      <c r="CK108" s="1031" t="s">
        <v>396</v>
      </c>
      <c r="CL108" s="1031" t="s">
        <v>371</v>
      </c>
      <c r="CM108" s="5">
        <v>38043604.429999977</v>
      </c>
      <c r="CN108" s="694">
        <v>463</v>
      </c>
      <c r="CO108" s="5"/>
    </row>
    <row r="109" spans="66:93">
      <c r="BN109" s="5"/>
      <c r="BR109" s="215"/>
      <c r="BW109" s="5"/>
      <c r="BX109" s="5"/>
      <c r="BY109" s="5"/>
      <c r="BZ109" s="5"/>
      <c r="CA109" s="5"/>
      <c r="CB109" s="5"/>
      <c r="CJ109" s="691">
        <v>46203</v>
      </c>
      <c r="CK109" s="1031" t="s">
        <v>397</v>
      </c>
      <c r="CL109" s="1031" t="s">
        <v>373</v>
      </c>
      <c r="CM109" s="5">
        <v>60952459.209999993</v>
      </c>
      <c r="CN109" s="694">
        <v>439</v>
      </c>
      <c r="CO109" s="5"/>
    </row>
    <row r="110" spans="66:93">
      <c r="BN110" s="5"/>
      <c r="BR110" s="215"/>
      <c r="BW110" s="5"/>
      <c r="BX110" s="5"/>
      <c r="BY110" s="5"/>
      <c r="BZ110" s="5"/>
      <c r="CA110" s="5"/>
      <c r="CB110" s="5"/>
      <c r="CJ110" s="691">
        <v>46203</v>
      </c>
      <c r="CK110" s="1031" t="s">
        <v>398</v>
      </c>
      <c r="CL110" s="1031" t="s">
        <v>375</v>
      </c>
      <c r="CM110" s="5">
        <v>69746266.460000008</v>
      </c>
      <c r="CN110" s="694">
        <v>372</v>
      </c>
      <c r="CO110" s="5"/>
    </row>
    <row r="111" spans="66:93">
      <c r="BN111" s="5"/>
      <c r="BR111" s="215"/>
      <c r="BW111" s="5"/>
      <c r="BX111" s="5"/>
      <c r="BY111" s="5"/>
      <c r="BZ111" s="5"/>
      <c r="CA111" s="5"/>
      <c r="CB111" s="5"/>
      <c r="CJ111" s="691">
        <v>46203</v>
      </c>
      <c r="CK111" s="1031" t="s">
        <v>399</v>
      </c>
      <c r="CL111" s="1031" t="s">
        <v>377</v>
      </c>
      <c r="CM111" s="5">
        <v>82381348.410000041</v>
      </c>
      <c r="CN111" s="694">
        <v>319</v>
      </c>
      <c r="CO111" s="5"/>
    </row>
    <row r="112" spans="66:93">
      <c r="BN112" s="5"/>
      <c r="BR112" s="215"/>
      <c r="BW112" s="5"/>
      <c r="BX112" s="5"/>
      <c r="BY112" s="5"/>
      <c r="BZ112" s="5"/>
      <c r="CA112" s="5"/>
      <c r="CB112" s="5"/>
      <c r="CJ112" s="691">
        <v>46203</v>
      </c>
      <c r="CK112" s="1031" t="s">
        <v>400</v>
      </c>
      <c r="CL112" s="1031" t="s">
        <v>379</v>
      </c>
      <c r="CM112" s="5">
        <v>82724441.640000015</v>
      </c>
      <c r="CN112" s="694">
        <v>302</v>
      </c>
      <c r="CO112" s="5"/>
    </row>
    <row r="113" spans="66:93">
      <c r="BN113" s="5"/>
      <c r="BR113" s="215"/>
      <c r="BW113" s="5"/>
      <c r="BX113" s="5"/>
      <c r="BY113" s="5"/>
      <c r="BZ113" s="5"/>
      <c r="CA113" s="5"/>
      <c r="CB113" s="5"/>
      <c r="CJ113" s="691">
        <v>46203</v>
      </c>
      <c r="CK113" s="1031" t="s">
        <v>401</v>
      </c>
      <c r="CL113" s="1031" t="s">
        <v>381</v>
      </c>
      <c r="CM113" s="5">
        <v>106507097.30000012</v>
      </c>
      <c r="CN113" s="694">
        <v>342</v>
      </c>
      <c r="CO113" s="5"/>
    </row>
    <row r="114" spans="66:93">
      <c r="BN114" s="5"/>
      <c r="BR114" s="215"/>
      <c r="BW114" s="5"/>
      <c r="BX114" s="5"/>
      <c r="BY114" s="5"/>
      <c r="BZ114" s="5"/>
      <c r="CA114" s="5"/>
      <c r="CB114" s="5"/>
      <c r="CJ114" s="691">
        <v>46203</v>
      </c>
      <c r="CK114" s="1031" t="s">
        <v>402</v>
      </c>
      <c r="CL114" s="1031" t="s">
        <v>383</v>
      </c>
      <c r="CM114" s="5">
        <v>101051422.59999995</v>
      </c>
      <c r="CN114" s="694">
        <v>321</v>
      </c>
      <c r="CO114" s="5"/>
    </row>
    <row r="115" spans="66:93">
      <c r="BN115" s="5"/>
      <c r="BR115" s="215"/>
      <c r="BW115" s="5"/>
      <c r="BX115" s="5"/>
      <c r="BY115" s="5"/>
      <c r="BZ115" s="5"/>
      <c r="CA115" s="5"/>
      <c r="CB115" s="5"/>
      <c r="CJ115" s="691">
        <v>46203</v>
      </c>
      <c r="CK115" s="1031" t="s">
        <v>403</v>
      </c>
      <c r="CL115" s="1031" t="s">
        <v>385</v>
      </c>
      <c r="CM115" s="5">
        <v>104234921.59</v>
      </c>
      <c r="CN115" s="694">
        <v>269</v>
      </c>
      <c r="CO115" s="5"/>
    </row>
    <row r="116" spans="66:93">
      <c r="BN116" s="5"/>
      <c r="BR116" s="215"/>
      <c r="BW116" s="5"/>
      <c r="BX116" s="5"/>
      <c r="BY116" s="5"/>
      <c r="BZ116" s="5"/>
      <c r="CA116" s="5"/>
      <c r="CB116" s="5"/>
      <c r="CJ116" s="691">
        <v>46203</v>
      </c>
      <c r="CK116" s="1031" t="s">
        <v>404</v>
      </c>
      <c r="CL116" s="1031" t="s">
        <v>387</v>
      </c>
      <c r="CM116" s="5">
        <v>63066946.339999989</v>
      </c>
      <c r="CN116" s="694">
        <v>175</v>
      </c>
      <c r="CO116" s="5"/>
    </row>
    <row r="117" spans="66:93">
      <c r="BN117" s="5"/>
      <c r="BR117" s="215"/>
      <c r="BW117" s="5"/>
      <c r="BX117" s="5"/>
      <c r="BY117" s="5"/>
      <c r="BZ117" s="5"/>
      <c r="CA117" s="5"/>
      <c r="CB117" s="5"/>
      <c r="CJ117" s="691">
        <v>46203</v>
      </c>
      <c r="CK117" s="1031" t="s">
        <v>405</v>
      </c>
      <c r="CL117" s="1031" t="s">
        <v>2477</v>
      </c>
      <c r="CM117" s="5">
        <v>51460125.329999998</v>
      </c>
      <c r="CN117" s="694">
        <v>155</v>
      </c>
      <c r="CO117" s="5"/>
    </row>
    <row r="118" spans="66:93">
      <c r="BN118" s="5"/>
      <c r="BR118" s="215"/>
      <c r="BW118" s="5"/>
      <c r="BX118" s="5"/>
      <c r="BY118" s="5"/>
      <c r="BZ118" s="5"/>
      <c r="CA118" s="5"/>
      <c r="CB118" s="5"/>
      <c r="CJ118" s="691">
        <v>46203</v>
      </c>
      <c r="CK118" s="1031" t="s">
        <v>407</v>
      </c>
      <c r="CL118" s="1031" t="s">
        <v>2476</v>
      </c>
      <c r="CM118" s="5">
        <v>912174.39999999991</v>
      </c>
      <c r="CN118" s="694">
        <v>49</v>
      </c>
      <c r="CO118" s="5"/>
    </row>
    <row r="119" spans="66:93">
      <c r="BN119" s="5"/>
      <c r="BR119" s="215"/>
      <c r="BW119" s="5"/>
      <c r="BX119" s="5"/>
      <c r="BY119" s="5"/>
      <c r="BZ119" s="5"/>
      <c r="CA119" s="5"/>
      <c r="CB119" s="5"/>
      <c r="CJ119" s="691">
        <v>46203</v>
      </c>
      <c r="CK119" s="1031" t="s">
        <v>408</v>
      </c>
      <c r="CL119" s="1031" t="s">
        <v>371</v>
      </c>
      <c r="CM119" s="5">
        <v>7385873.75</v>
      </c>
      <c r="CN119" s="694">
        <v>80</v>
      </c>
      <c r="CO119" s="5"/>
    </row>
    <row r="120" spans="66:93">
      <c r="BN120" s="5"/>
      <c r="BR120" s="215"/>
      <c r="BW120" s="5"/>
      <c r="BX120" s="5"/>
      <c r="BY120" s="5"/>
      <c r="BZ120" s="5"/>
      <c r="CA120" s="5"/>
      <c r="CB120" s="5"/>
      <c r="CJ120" s="691">
        <v>46203</v>
      </c>
      <c r="CK120" s="1031" t="s">
        <v>409</v>
      </c>
      <c r="CL120" s="1031" t="s">
        <v>373</v>
      </c>
      <c r="CM120" s="5">
        <v>23404710.619999994</v>
      </c>
      <c r="CN120" s="694">
        <v>172</v>
      </c>
      <c r="CO120" s="5"/>
    </row>
    <row r="121" spans="66:93">
      <c r="BN121" s="5"/>
      <c r="BR121" s="215"/>
      <c r="BW121" s="5"/>
      <c r="BX121" s="5"/>
      <c r="BY121" s="5"/>
      <c r="BZ121" s="5"/>
      <c r="CA121" s="5"/>
      <c r="CB121" s="5"/>
      <c r="CJ121" s="691">
        <v>46203</v>
      </c>
      <c r="CK121" s="1031" t="s">
        <v>410</v>
      </c>
      <c r="CL121" s="1031" t="s">
        <v>375</v>
      </c>
      <c r="CM121" s="5">
        <v>30760371.570000008</v>
      </c>
      <c r="CN121" s="694">
        <v>216</v>
      </c>
      <c r="CO121" s="5"/>
    </row>
    <row r="122" spans="66:93">
      <c r="BN122" s="5"/>
      <c r="BR122" s="215"/>
      <c r="BW122" s="5"/>
      <c r="BX122" s="5"/>
      <c r="BY122" s="5"/>
      <c r="BZ122" s="5"/>
      <c r="CA122" s="5"/>
      <c r="CB122" s="5"/>
      <c r="CJ122" s="691">
        <v>46203</v>
      </c>
      <c r="CK122" s="1031" t="s">
        <v>411</v>
      </c>
      <c r="CL122" s="1031" t="s">
        <v>377</v>
      </c>
      <c r="CM122" s="5">
        <v>58603296.850000024</v>
      </c>
      <c r="CN122" s="694">
        <v>315</v>
      </c>
      <c r="CO122" s="5"/>
    </row>
    <row r="123" spans="66:93">
      <c r="BN123" s="5"/>
      <c r="BR123" s="215"/>
      <c r="BW123" s="5"/>
      <c r="BX123" s="5"/>
      <c r="BY123" s="5"/>
      <c r="BZ123" s="5"/>
      <c r="CA123" s="5"/>
      <c r="CB123" s="5"/>
      <c r="CJ123" s="691">
        <v>46203</v>
      </c>
      <c r="CK123" s="1031" t="s">
        <v>412</v>
      </c>
      <c r="CL123" s="1031" t="s">
        <v>379</v>
      </c>
      <c r="CM123" s="5">
        <v>68151347.740000039</v>
      </c>
      <c r="CN123" s="694">
        <v>362</v>
      </c>
      <c r="CO123" s="5"/>
    </row>
    <row r="124" spans="66:93">
      <c r="BN124" s="5"/>
      <c r="BR124" s="215"/>
      <c r="BW124" s="5"/>
      <c r="BX124" s="5"/>
      <c r="BY124" s="5"/>
      <c r="BZ124" s="5"/>
      <c r="CA124" s="5"/>
      <c r="CB124" s="5"/>
      <c r="CJ124" s="691">
        <v>46203</v>
      </c>
      <c r="CK124" s="1031" t="s">
        <v>413</v>
      </c>
      <c r="CL124" s="1031" t="s">
        <v>381</v>
      </c>
      <c r="CM124" s="5">
        <v>76692787.070000023</v>
      </c>
      <c r="CN124" s="694">
        <v>364</v>
      </c>
      <c r="CO124" s="5"/>
    </row>
    <row r="125" spans="66:93">
      <c r="BN125" s="5"/>
      <c r="BR125" s="215"/>
      <c r="BW125" s="5"/>
      <c r="BX125" s="5"/>
      <c r="BY125" s="5"/>
      <c r="BZ125" s="5"/>
      <c r="CA125" s="5"/>
      <c r="CB125" s="5"/>
      <c r="CJ125" s="691">
        <v>46203</v>
      </c>
      <c r="CK125" s="1031" t="s">
        <v>414</v>
      </c>
      <c r="CL125" s="1031" t="s">
        <v>383</v>
      </c>
      <c r="CM125" s="5">
        <v>72449533.929999992</v>
      </c>
      <c r="CN125" s="694">
        <v>308</v>
      </c>
      <c r="CO125" s="5"/>
    </row>
    <row r="126" spans="66:93">
      <c r="BN126" s="5"/>
      <c r="BR126" s="215"/>
      <c r="BW126" s="5"/>
      <c r="BX126" s="5"/>
      <c r="BY126" s="5"/>
      <c r="BZ126" s="5"/>
      <c r="CA126" s="5"/>
      <c r="CB126" s="5"/>
      <c r="CJ126" s="691">
        <v>46203</v>
      </c>
      <c r="CK126" s="1031" t="s">
        <v>415</v>
      </c>
      <c r="CL126" s="1031" t="s">
        <v>385</v>
      </c>
      <c r="CM126" s="5">
        <v>93254125.390000045</v>
      </c>
      <c r="CN126" s="694">
        <v>366</v>
      </c>
      <c r="CO126" s="5"/>
    </row>
    <row r="127" spans="66:93">
      <c r="BN127" s="5"/>
      <c r="BR127" s="215"/>
      <c r="BW127" s="5"/>
      <c r="BX127" s="5"/>
      <c r="BY127" s="5"/>
      <c r="BZ127" s="5"/>
      <c r="CA127" s="5"/>
      <c r="CB127" s="5"/>
      <c r="CJ127" s="691">
        <v>46203</v>
      </c>
      <c r="CK127" s="1031" t="s">
        <v>416</v>
      </c>
      <c r="CL127" s="1031" t="s">
        <v>387</v>
      </c>
      <c r="CM127" s="5">
        <v>227523048.50999987</v>
      </c>
      <c r="CN127" s="694">
        <v>916</v>
      </c>
      <c r="CO127" s="5"/>
    </row>
    <row r="128" spans="66:93">
      <c r="BN128" s="5"/>
      <c r="BR128" s="215"/>
      <c r="BW128" s="5"/>
      <c r="BX128" s="5"/>
      <c r="BY128" s="5"/>
      <c r="BZ128" s="5"/>
      <c r="CA128" s="5"/>
      <c r="CB128" s="5"/>
      <c r="CJ128" s="691">
        <v>46203</v>
      </c>
      <c r="CK128" s="1031" t="s">
        <v>417</v>
      </c>
      <c r="CL128" s="1031" t="s">
        <v>2477</v>
      </c>
      <c r="CM128" s="5">
        <v>110590027.19000003</v>
      </c>
      <c r="CN128" s="694">
        <v>398</v>
      </c>
      <c r="CO128" s="5"/>
    </row>
    <row r="129" spans="66:93">
      <c r="BN129" s="5"/>
      <c r="BR129" s="215"/>
      <c r="BW129" s="5"/>
      <c r="BX129" s="5"/>
      <c r="BY129" s="5"/>
      <c r="BZ129" s="5"/>
      <c r="CA129" s="5"/>
      <c r="CB129" s="5"/>
      <c r="CJ129" s="691">
        <v>46203</v>
      </c>
      <c r="CK129" s="1031" t="s">
        <v>418</v>
      </c>
      <c r="CL129" s="1031" t="s">
        <v>2476</v>
      </c>
      <c r="CM129" s="5">
        <v>3300965.02</v>
      </c>
      <c r="CN129" s="694">
        <v>161</v>
      </c>
      <c r="CO129" s="5"/>
    </row>
    <row r="130" spans="66:93">
      <c r="BN130" s="5"/>
      <c r="BR130" s="215"/>
      <c r="BW130" s="5"/>
      <c r="BX130" s="5"/>
      <c r="BY130" s="5"/>
      <c r="BZ130" s="5"/>
      <c r="CA130" s="5"/>
      <c r="CB130" s="5"/>
      <c r="CJ130" s="691">
        <v>46203</v>
      </c>
      <c r="CK130" s="1031" t="s">
        <v>419</v>
      </c>
      <c r="CL130" s="1031" t="s">
        <v>371</v>
      </c>
      <c r="CM130" s="5">
        <v>9761647.9600000046</v>
      </c>
      <c r="CN130" s="694">
        <v>131</v>
      </c>
      <c r="CO130" s="5"/>
    </row>
    <row r="131" spans="66:93">
      <c r="BN131" s="5"/>
      <c r="BR131" s="215"/>
      <c r="BW131" s="5"/>
      <c r="BX131" s="5"/>
      <c r="BY131" s="5"/>
      <c r="BZ131" s="5"/>
      <c r="CA131" s="5"/>
      <c r="CB131" s="5"/>
      <c r="CJ131" s="691">
        <v>46203</v>
      </c>
      <c r="CK131" s="1031" t="s">
        <v>420</v>
      </c>
      <c r="CL131" s="1031" t="s">
        <v>373</v>
      </c>
      <c r="CM131" s="5">
        <v>13133869.34</v>
      </c>
      <c r="CN131" s="694">
        <v>93</v>
      </c>
      <c r="CO131" s="5"/>
    </row>
    <row r="132" spans="66:93">
      <c r="BN132" s="5"/>
      <c r="BR132" s="215"/>
      <c r="BW132" s="5"/>
      <c r="BX132" s="5"/>
      <c r="BY132" s="5"/>
      <c r="BZ132" s="5"/>
      <c r="CA132" s="5"/>
      <c r="CB132" s="5"/>
      <c r="CJ132" s="691">
        <v>46203</v>
      </c>
      <c r="CK132" s="1031" t="s">
        <v>421</v>
      </c>
      <c r="CL132" s="1031" t="s">
        <v>375</v>
      </c>
      <c r="CM132" s="5">
        <v>12068340.469999995</v>
      </c>
      <c r="CN132" s="694">
        <v>70</v>
      </c>
      <c r="CO132" s="5"/>
    </row>
    <row r="133" spans="66:93">
      <c r="BN133" s="5"/>
      <c r="BR133" s="215"/>
      <c r="BW133" s="5"/>
      <c r="BX133" s="5"/>
      <c r="BY133" s="5"/>
      <c r="BZ133" s="5"/>
      <c r="CA133" s="5"/>
      <c r="CB133" s="5"/>
      <c r="CJ133" s="691">
        <v>46203</v>
      </c>
      <c r="CK133" s="1031" t="s">
        <v>422</v>
      </c>
      <c r="CL133" s="1031" t="s">
        <v>377</v>
      </c>
      <c r="CM133" s="5">
        <v>11061845.910000002</v>
      </c>
      <c r="CN133" s="694">
        <v>38</v>
      </c>
      <c r="CO133" s="5"/>
    </row>
    <row r="134" spans="66:93">
      <c r="BN134" s="5"/>
      <c r="BR134" s="215"/>
      <c r="BW134" s="5"/>
      <c r="BX134" s="5"/>
      <c r="BY134" s="5"/>
      <c r="BZ134" s="5"/>
      <c r="CA134" s="5"/>
      <c r="CB134" s="5"/>
      <c r="CJ134" s="691">
        <v>46203</v>
      </c>
      <c r="CK134" s="1031" t="s">
        <v>423</v>
      </c>
      <c r="CL134" s="1031" t="s">
        <v>379</v>
      </c>
      <c r="CM134" s="5">
        <v>7804061.5299999984</v>
      </c>
      <c r="CN134" s="694">
        <v>22</v>
      </c>
      <c r="CO134" s="5"/>
    </row>
    <row r="135" spans="66:93">
      <c r="BN135" s="5"/>
      <c r="BR135" s="215"/>
      <c r="BW135" s="5"/>
      <c r="BX135" s="5"/>
      <c r="BY135" s="5"/>
      <c r="BZ135" s="5"/>
      <c r="CA135" s="5"/>
      <c r="CB135" s="5"/>
      <c r="CJ135" s="691">
        <v>46203</v>
      </c>
      <c r="CK135" s="1031" t="s">
        <v>424</v>
      </c>
      <c r="CL135" s="1031" t="s">
        <v>381</v>
      </c>
      <c r="CM135" s="5">
        <v>7969875.5200000005</v>
      </c>
      <c r="CN135" s="694">
        <v>25</v>
      </c>
      <c r="CO135" s="5"/>
    </row>
    <row r="136" spans="66:93">
      <c r="BN136" s="5"/>
      <c r="BR136" s="215"/>
      <c r="BW136" s="5"/>
      <c r="BX136" s="5"/>
      <c r="BY136" s="5"/>
      <c r="BZ136" s="5"/>
      <c r="CA136" s="5"/>
      <c r="CB136" s="5"/>
      <c r="CJ136" s="691">
        <v>46203</v>
      </c>
      <c r="CK136" s="1031" t="s">
        <v>425</v>
      </c>
      <c r="CL136" s="1031" t="s">
        <v>383</v>
      </c>
      <c r="CM136" s="5">
        <v>5712008.1500000004</v>
      </c>
      <c r="CN136" s="694">
        <v>14</v>
      </c>
      <c r="CO136" s="5"/>
    </row>
    <row r="137" spans="66:93">
      <c r="BN137" s="5"/>
      <c r="BR137" s="215"/>
      <c r="BW137" s="5"/>
      <c r="BX137" s="5"/>
      <c r="BY137" s="5"/>
      <c r="BZ137" s="5"/>
      <c r="CA137" s="5"/>
      <c r="CB137" s="5"/>
      <c r="CJ137" s="691">
        <v>46203</v>
      </c>
      <c r="CK137" s="1031" t="s">
        <v>426</v>
      </c>
      <c r="CL137" s="1031" t="s">
        <v>385</v>
      </c>
      <c r="CM137" s="5">
        <v>6572425.6999999993</v>
      </c>
      <c r="CN137" s="694">
        <v>11</v>
      </c>
      <c r="CO137" s="5"/>
    </row>
    <row r="138" spans="66:93">
      <c r="BN138" s="5"/>
      <c r="BR138" s="215"/>
      <c r="BW138" s="5"/>
      <c r="BX138" s="5"/>
      <c r="BY138" s="5"/>
      <c r="BZ138" s="5"/>
      <c r="CA138" s="5"/>
      <c r="CB138" s="5"/>
      <c r="CJ138" s="691">
        <v>46203</v>
      </c>
      <c r="CK138" s="1031" t="s">
        <v>427</v>
      </c>
      <c r="CL138" s="1031" t="s">
        <v>387</v>
      </c>
      <c r="CM138" s="5">
        <v>3846980.92</v>
      </c>
      <c r="CN138" s="694">
        <v>10</v>
      </c>
      <c r="CO138" s="5"/>
    </row>
    <row r="139" spans="66:93">
      <c r="BN139" s="5"/>
      <c r="BR139" s="215"/>
      <c r="BW139" s="5"/>
      <c r="BX139" s="5"/>
      <c r="BY139" s="5"/>
      <c r="BZ139" s="5"/>
      <c r="CA139" s="5"/>
      <c r="CB139" s="5"/>
      <c r="CJ139" s="691">
        <v>46203</v>
      </c>
      <c r="CK139" s="1031" t="s">
        <v>428</v>
      </c>
      <c r="CL139" s="1031" t="s">
        <v>2477</v>
      </c>
      <c r="CM139" s="5">
        <v>2081909.2800000003</v>
      </c>
      <c r="CN139" s="694">
        <v>3</v>
      </c>
      <c r="CO139" s="5"/>
    </row>
    <row r="140" spans="66:93">
      <c r="BN140" s="5"/>
      <c r="BR140" s="215"/>
      <c r="BW140" s="5"/>
      <c r="BX140" s="5"/>
      <c r="BY140" s="5"/>
      <c r="BZ140" s="5"/>
      <c r="CA140" s="5"/>
      <c r="CB140" s="5"/>
      <c r="CJ140" s="691">
        <v>46203</v>
      </c>
      <c r="CK140" s="1031" t="s">
        <v>429</v>
      </c>
      <c r="CL140" s="1031" t="s">
        <v>2476</v>
      </c>
      <c r="CM140" s="5">
        <v>117575.69</v>
      </c>
      <c r="CN140" s="694">
        <v>17</v>
      </c>
      <c r="CO140" s="5"/>
    </row>
    <row r="141" spans="66:93">
      <c r="BN141" s="5"/>
      <c r="BR141" s="215"/>
      <c r="BW141" s="5"/>
      <c r="BX141" s="5"/>
      <c r="BY141" s="5"/>
      <c r="BZ141" s="5"/>
      <c r="CA141" s="5"/>
      <c r="CB141" s="5"/>
      <c r="CJ141" s="691">
        <v>46203</v>
      </c>
      <c r="CK141" s="1031" t="s">
        <v>430</v>
      </c>
      <c r="CL141" s="1031" t="s">
        <v>371</v>
      </c>
      <c r="CM141" s="5">
        <v>1311984.9099999997</v>
      </c>
      <c r="CN141" s="694">
        <v>19</v>
      </c>
      <c r="CO141" s="5"/>
    </row>
    <row r="142" spans="66:93">
      <c r="BN142" s="5"/>
      <c r="BR142" s="215"/>
      <c r="BW142" s="5"/>
      <c r="BX142" s="5"/>
      <c r="BY142" s="5"/>
      <c r="BZ142" s="5"/>
      <c r="CA142" s="5"/>
      <c r="CB142" s="5"/>
      <c r="CJ142" s="691">
        <v>46203</v>
      </c>
      <c r="CK142" s="1031" t="s">
        <v>431</v>
      </c>
      <c r="CL142" s="1031" t="s">
        <v>373</v>
      </c>
      <c r="CM142" s="5">
        <v>3486149.600000001</v>
      </c>
      <c r="CN142" s="694">
        <v>40</v>
      </c>
      <c r="CO142" s="5"/>
    </row>
    <row r="143" spans="66:93">
      <c r="BN143" s="5"/>
      <c r="BR143" s="215"/>
      <c r="BW143" s="5"/>
      <c r="BX143" s="5"/>
      <c r="BY143" s="5"/>
      <c r="BZ143" s="5"/>
      <c r="CA143" s="5"/>
      <c r="CB143" s="5"/>
      <c r="CJ143" s="691">
        <v>46203</v>
      </c>
      <c r="CK143" s="1031" t="s">
        <v>432</v>
      </c>
      <c r="CL143" s="1031" t="s">
        <v>375</v>
      </c>
      <c r="CM143" s="5">
        <v>3892941.870000001</v>
      </c>
      <c r="CN143" s="694">
        <v>57</v>
      </c>
      <c r="CO143" s="5"/>
    </row>
    <row r="144" spans="66:93">
      <c r="BN144" s="5"/>
      <c r="BR144" s="215"/>
      <c r="BW144" s="5"/>
      <c r="BX144" s="5"/>
      <c r="BY144" s="5"/>
      <c r="BZ144" s="5"/>
      <c r="CA144" s="5"/>
      <c r="CB144" s="5"/>
      <c r="CJ144" s="691">
        <v>46203</v>
      </c>
      <c r="CK144" s="1031" t="s">
        <v>433</v>
      </c>
      <c r="CL144" s="1031" t="s">
        <v>377</v>
      </c>
      <c r="CM144" s="5">
        <v>10976859.9</v>
      </c>
      <c r="CN144" s="694">
        <v>81</v>
      </c>
      <c r="CO144" s="5"/>
    </row>
    <row r="145" spans="66:93">
      <c r="BN145" s="5"/>
      <c r="BR145" s="215"/>
      <c r="BW145" s="5"/>
      <c r="BX145" s="5"/>
      <c r="BY145" s="5"/>
      <c r="BZ145" s="5"/>
      <c r="CA145" s="5"/>
      <c r="CB145" s="5"/>
      <c r="CJ145" s="691">
        <v>46203</v>
      </c>
      <c r="CK145" s="1031" t="s">
        <v>434</v>
      </c>
      <c r="CL145" s="1031" t="s">
        <v>379</v>
      </c>
      <c r="CM145" s="5">
        <v>6209569.0699999994</v>
      </c>
      <c r="CN145" s="694">
        <v>89</v>
      </c>
      <c r="CO145" s="5"/>
    </row>
    <row r="146" spans="66:93">
      <c r="BN146" s="5"/>
      <c r="BR146" s="215"/>
      <c r="BW146" s="5"/>
      <c r="BX146" s="5"/>
      <c r="BY146" s="5"/>
      <c r="BZ146" s="5"/>
      <c r="CA146" s="5"/>
      <c r="CB146" s="5"/>
      <c r="CJ146" s="691">
        <v>46203</v>
      </c>
      <c r="CK146" s="1031" t="s">
        <v>435</v>
      </c>
      <c r="CL146" s="1031" t="s">
        <v>381</v>
      </c>
      <c r="CM146" s="5">
        <v>7946729.2200000044</v>
      </c>
      <c r="CN146" s="694">
        <v>80</v>
      </c>
      <c r="CO146" s="5"/>
    </row>
    <row r="147" spans="66:93">
      <c r="BN147" s="5"/>
      <c r="BR147" s="215"/>
      <c r="BW147" s="5"/>
      <c r="BX147" s="5"/>
      <c r="BY147" s="5"/>
      <c r="BZ147" s="5"/>
      <c r="CA147" s="5"/>
      <c r="CB147" s="5"/>
      <c r="CJ147" s="691">
        <v>46203</v>
      </c>
      <c r="CK147" s="1031" t="s">
        <v>436</v>
      </c>
      <c r="CL147" s="1031" t="s">
        <v>383</v>
      </c>
      <c r="CM147" s="5">
        <v>13016616.83</v>
      </c>
      <c r="CN147" s="694">
        <v>80</v>
      </c>
      <c r="CO147" s="5"/>
    </row>
    <row r="148" spans="66:93">
      <c r="BN148" s="5"/>
      <c r="BR148" s="215"/>
      <c r="BW148" s="5"/>
      <c r="BX148" s="5"/>
      <c r="BY148" s="5"/>
      <c r="BZ148" s="5"/>
      <c r="CA148" s="5"/>
      <c r="CB148" s="5"/>
      <c r="CJ148" s="691">
        <v>46203</v>
      </c>
      <c r="CK148" s="1031" t="s">
        <v>437</v>
      </c>
      <c r="CL148" s="1031" t="s">
        <v>385</v>
      </c>
      <c r="CM148" s="5">
        <v>7497395.6900000023</v>
      </c>
      <c r="CN148" s="694">
        <v>37</v>
      </c>
      <c r="CO148" s="5"/>
    </row>
    <row r="149" spans="66:93">
      <c r="BN149" s="5"/>
      <c r="BR149" s="215"/>
      <c r="BW149" s="5"/>
      <c r="BX149" s="5"/>
      <c r="BY149" s="5"/>
      <c r="BZ149" s="5"/>
      <c r="CA149" s="5"/>
      <c r="CB149" s="5"/>
      <c r="CJ149" s="691">
        <v>46203</v>
      </c>
      <c r="CK149" s="1031" t="s">
        <v>438</v>
      </c>
      <c r="CL149" s="1031" t="s">
        <v>387</v>
      </c>
      <c r="CM149" s="5">
        <v>21317609.329999998</v>
      </c>
      <c r="CN149" s="694">
        <v>66</v>
      </c>
      <c r="CO149" s="5"/>
    </row>
    <row r="150" spans="66:93">
      <c r="BN150" s="5"/>
      <c r="BR150" s="215"/>
      <c r="BW150" s="5"/>
      <c r="BX150" s="5"/>
      <c r="BY150" s="5"/>
      <c r="BZ150" s="5"/>
      <c r="CA150" s="5"/>
      <c r="CB150" s="5"/>
      <c r="CJ150" s="691">
        <v>46203</v>
      </c>
      <c r="CK150" s="1031" t="s">
        <v>439</v>
      </c>
      <c r="CL150" s="1031" t="s">
        <v>2477</v>
      </c>
      <c r="CM150" s="5">
        <v>7540497.6899999995</v>
      </c>
      <c r="CN150" s="694">
        <v>12</v>
      </c>
      <c r="CO150" s="5"/>
    </row>
    <row r="151" spans="66:93">
      <c r="BN151" s="5"/>
      <c r="BR151" s="215"/>
      <c r="BW151" s="5"/>
      <c r="BX151" s="5"/>
      <c r="BY151" s="5"/>
      <c r="BZ151" s="5"/>
      <c r="CA151" s="5"/>
      <c r="CB151" s="5"/>
      <c r="CJ151" s="691">
        <v>46203</v>
      </c>
      <c r="CK151" s="1031" t="s">
        <v>440</v>
      </c>
      <c r="CL151" s="1031" t="s">
        <v>903</v>
      </c>
      <c r="CM151" s="5">
        <v>386222357.0599997</v>
      </c>
      <c r="CN151" s="694">
        <v>1547</v>
      </c>
      <c r="CO151" s="5"/>
    </row>
    <row r="152" spans="66:93">
      <c r="BN152" s="5"/>
      <c r="BR152" s="215"/>
      <c r="BW152" s="5"/>
      <c r="BX152" s="5"/>
      <c r="BY152" s="5"/>
      <c r="BZ152" s="5"/>
      <c r="CA152" s="5"/>
      <c r="CB152" s="5"/>
      <c r="CJ152" s="691">
        <v>46203</v>
      </c>
      <c r="CK152" s="1031" t="s">
        <v>441</v>
      </c>
      <c r="CL152" s="1031" t="s">
        <v>904</v>
      </c>
      <c r="CM152" s="5">
        <v>134785435.85000002</v>
      </c>
      <c r="CN152" s="694">
        <v>778</v>
      </c>
      <c r="CO152" s="5"/>
    </row>
    <row r="153" spans="66:93">
      <c r="BN153" s="5"/>
      <c r="BR153" s="215"/>
      <c r="BW153" s="5"/>
      <c r="BX153" s="5"/>
      <c r="BY153" s="5"/>
      <c r="BZ153" s="5"/>
      <c r="CA153" s="5"/>
      <c r="CB153" s="5"/>
      <c r="CJ153" s="691">
        <v>46203</v>
      </c>
      <c r="CK153" s="1031" t="s">
        <v>442</v>
      </c>
      <c r="CL153" s="1031" t="s">
        <v>905</v>
      </c>
      <c r="CM153" s="5">
        <v>72280623.660000011</v>
      </c>
      <c r="CN153" s="694">
        <v>255</v>
      </c>
      <c r="CO153" s="5"/>
    </row>
    <row r="154" spans="66:93">
      <c r="BN154" s="5"/>
      <c r="BR154" s="215"/>
      <c r="BW154" s="5"/>
      <c r="BX154" s="5"/>
      <c r="BY154" s="5"/>
      <c r="BZ154" s="5"/>
      <c r="CA154" s="5"/>
      <c r="CB154" s="5"/>
      <c r="CJ154" s="691">
        <v>46203</v>
      </c>
      <c r="CK154" s="1031" t="s">
        <v>443</v>
      </c>
      <c r="CL154" s="1031" t="s">
        <v>906</v>
      </c>
      <c r="CM154" s="5">
        <v>63038401.430000015</v>
      </c>
      <c r="CN154" s="694">
        <v>485</v>
      </c>
      <c r="CO154" s="5"/>
    </row>
    <row r="155" spans="66:93">
      <c r="BN155" s="5"/>
      <c r="BR155" s="215"/>
      <c r="BW155" s="5"/>
      <c r="BX155" s="5"/>
      <c r="BY155" s="5"/>
      <c r="BZ155" s="5"/>
      <c r="CA155" s="5"/>
      <c r="CB155" s="5"/>
      <c r="CJ155" s="691">
        <v>46203</v>
      </c>
      <c r="CK155" s="1031" t="s">
        <v>444</v>
      </c>
      <c r="CL155" s="1031" t="s">
        <v>907</v>
      </c>
      <c r="CM155" s="5">
        <v>42097854.840000004</v>
      </c>
      <c r="CN155" s="694">
        <v>142</v>
      </c>
      <c r="CO155" s="5"/>
    </row>
    <row r="156" spans="66:93">
      <c r="BN156" s="5"/>
      <c r="BR156" s="215"/>
      <c r="BW156" s="5"/>
      <c r="BX156" s="5"/>
      <c r="BY156" s="5"/>
      <c r="BZ156" s="5"/>
      <c r="CA156" s="5"/>
      <c r="CB156" s="5"/>
      <c r="CJ156" s="691">
        <v>46203</v>
      </c>
      <c r="CK156" s="1031" t="s">
        <v>445</v>
      </c>
      <c r="CL156" s="1031" t="s">
        <v>908</v>
      </c>
      <c r="CM156" s="5">
        <v>38370653.669999987</v>
      </c>
      <c r="CN156" s="694">
        <v>177</v>
      </c>
      <c r="CO156" s="5"/>
    </row>
    <row r="157" spans="66:93">
      <c r="BN157" s="5"/>
      <c r="BR157" s="215"/>
      <c r="BW157" s="5"/>
      <c r="BX157" s="5"/>
      <c r="BY157" s="5"/>
      <c r="BZ157" s="5"/>
      <c r="CA157" s="5"/>
      <c r="CB157" s="5"/>
      <c r="CJ157" s="691">
        <v>46203</v>
      </c>
      <c r="CK157" s="1031" t="s">
        <v>446</v>
      </c>
      <c r="CL157" s="1031" t="s">
        <v>909</v>
      </c>
      <c r="CM157" s="5">
        <v>24315271.309999999</v>
      </c>
      <c r="CN157" s="694">
        <v>118</v>
      </c>
      <c r="CO157" s="5"/>
    </row>
    <row r="158" spans="66:93">
      <c r="BN158" s="5"/>
      <c r="BR158" s="215"/>
      <c r="BW158" s="5"/>
      <c r="BX158" s="5"/>
      <c r="BY158" s="5"/>
      <c r="BZ158" s="5"/>
      <c r="CA158" s="5"/>
      <c r="CB158" s="5"/>
      <c r="CJ158" s="691">
        <v>46203</v>
      </c>
      <c r="CK158" s="1031" t="s">
        <v>447</v>
      </c>
      <c r="CL158" s="1031" t="s">
        <v>910</v>
      </c>
      <c r="CM158" s="5">
        <v>5091186.16</v>
      </c>
      <c r="CN158" s="694">
        <v>30</v>
      </c>
      <c r="CO158" s="5"/>
    </row>
    <row r="159" spans="66:93">
      <c r="BN159" s="5"/>
      <c r="BR159" s="215"/>
      <c r="BW159" s="5"/>
      <c r="BX159" s="5"/>
      <c r="BY159" s="5"/>
      <c r="BZ159" s="5"/>
      <c r="CA159" s="5"/>
      <c r="CB159" s="5"/>
      <c r="CJ159" s="691">
        <v>46203</v>
      </c>
      <c r="CK159" s="1031" t="s">
        <v>448</v>
      </c>
      <c r="CL159" s="1031" t="s">
        <v>911</v>
      </c>
      <c r="CM159" s="5">
        <v>3148075.93</v>
      </c>
      <c r="CN159" s="694">
        <v>11</v>
      </c>
      <c r="CO159" s="5"/>
    </row>
    <row r="160" spans="66:93">
      <c r="BN160" s="5"/>
      <c r="BR160" s="215"/>
      <c r="BW160" s="5"/>
      <c r="BX160" s="5"/>
      <c r="BY160" s="5"/>
      <c r="BZ160" s="5"/>
      <c r="CA160" s="5"/>
      <c r="CB160" s="5"/>
      <c r="CJ160" s="691">
        <v>46203</v>
      </c>
      <c r="CK160" s="1031" t="s">
        <v>449</v>
      </c>
      <c r="CL160" s="1031" t="s">
        <v>366</v>
      </c>
      <c r="CM160" s="5">
        <v>339303.7</v>
      </c>
      <c r="CN160" s="694">
        <v>1</v>
      </c>
      <c r="CO160" s="5"/>
    </row>
    <row r="161" spans="66:93">
      <c r="BN161" s="5"/>
      <c r="BR161" s="215"/>
      <c r="BW161" s="5"/>
      <c r="BX161" s="5"/>
      <c r="BY161" s="5"/>
      <c r="BZ161" s="5"/>
      <c r="CA161" s="5"/>
      <c r="CB161" s="5"/>
      <c r="CJ161" s="691">
        <v>46203</v>
      </c>
      <c r="CK161" s="1031" t="s">
        <v>450</v>
      </c>
      <c r="CL161" s="1031" t="s">
        <v>912</v>
      </c>
      <c r="CM161" s="5">
        <v>38133.410000000003</v>
      </c>
      <c r="CN161" s="694">
        <v>2</v>
      </c>
      <c r="CO161" s="5"/>
    </row>
    <row r="162" spans="66:93">
      <c r="BN162" s="5"/>
      <c r="BR162" s="215"/>
      <c r="BW162" s="5"/>
      <c r="BX162" s="5"/>
      <c r="BY162" s="5"/>
      <c r="BZ162" s="5"/>
      <c r="CA162" s="5"/>
      <c r="CB162" s="5"/>
      <c r="CJ162" s="691">
        <v>46203</v>
      </c>
      <c r="CK162" s="1031" t="s">
        <v>451</v>
      </c>
      <c r="CL162" s="1031" t="s">
        <v>2478</v>
      </c>
      <c r="CM162" s="5">
        <v>742058687.32999992</v>
      </c>
      <c r="CN162" s="694">
        <v>3478</v>
      </c>
      <c r="CO162" s="5"/>
    </row>
    <row r="163" spans="66:93">
      <c r="BN163" s="5"/>
      <c r="BR163" s="215"/>
      <c r="BW163" s="5"/>
      <c r="BX163" s="5"/>
      <c r="BY163" s="5"/>
      <c r="BZ163" s="5"/>
      <c r="CA163" s="5"/>
      <c r="CB163" s="5"/>
      <c r="CJ163" s="691">
        <v>46203</v>
      </c>
      <c r="CK163" s="1031" t="s">
        <v>452</v>
      </c>
      <c r="CL163" s="1031" t="s">
        <v>2479</v>
      </c>
      <c r="CM163" s="5">
        <v>0</v>
      </c>
      <c r="CN163" s="694">
        <v>0</v>
      </c>
      <c r="CO163" s="5"/>
    </row>
    <row r="164" spans="66:93">
      <c r="BN164" s="5"/>
      <c r="BR164" s="215"/>
      <c r="BW164" s="5"/>
      <c r="BX164" s="5"/>
      <c r="BY164" s="5"/>
      <c r="BZ164" s="5"/>
      <c r="CA164" s="5"/>
      <c r="CB164" s="5"/>
      <c r="CJ164" s="691">
        <v>46203</v>
      </c>
      <c r="CK164" s="1031" t="s">
        <v>453</v>
      </c>
      <c r="CL164" s="1031" t="s">
        <v>2480</v>
      </c>
      <c r="CM164" s="5">
        <v>0</v>
      </c>
      <c r="CN164" s="694">
        <v>0</v>
      </c>
      <c r="CO164" s="5"/>
    </row>
    <row r="165" spans="66:93">
      <c r="BN165" s="5"/>
      <c r="BR165" s="215"/>
      <c r="BW165" s="5"/>
      <c r="BX165" s="5"/>
      <c r="BY165" s="5"/>
      <c r="BZ165" s="5"/>
      <c r="CA165" s="5"/>
      <c r="CB165" s="5"/>
      <c r="CJ165" s="691">
        <v>46203</v>
      </c>
      <c r="CK165" s="1031" t="s">
        <v>454</v>
      </c>
      <c r="CL165" s="1031" t="s">
        <v>2481</v>
      </c>
      <c r="CM165" s="5">
        <v>27668609.690000001</v>
      </c>
      <c r="CN165" s="694">
        <v>68</v>
      </c>
      <c r="CO165" s="5"/>
    </row>
    <row r="166" spans="66:93">
      <c r="BN166" s="5"/>
      <c r="BR166" s="215"/>
      <c r="BW166" s="5"/>
      <c r="BX166" s="5"/>
      <c r="BY166" s="5"/>
      <c r="BZ166" s="5"/>
      <c r="CA166" s="5"/>
      <c r="CB166" s="5"/>
      <c r="CJ166" s="691">
        <v>46203</v>
      </c>
      <c r="CK166" s="1031" t="s">
        <v>455</v>
      </c>
      <c r="CL166" s="1031" t="s">
        <v>865</v>
      </c>
      <c r="CM166" s="5">
        <v>0</v>
      </c>
      <c r="CN166" s="694">
        <v>0</v>
      </c>
      <c r="CO166" s="5"/>
    </row>
    <row r="167" spans="66:93">
      <c r="BN167" s="5"/>
      <c r="BR167" s="215"/>
      <c r="BW167" s="5"/>
      <c r="BX167" s="5"/>
      <c r="BY167" s="5"/>
      <c r="BZ167" s="5"/>
      <c r="CA167" s="5"/>
      <c r="CB167" s="5"/>
      <c r="CJ167" s="691">
        <v>46203</v>
      </c>
      <c r="CK167" s="1031" t="s">
        <v>456</v>
      </c>
      <c r="CL167" s="1031" t="s">
        <v>2482</v>
      </c>
      <c r="CM167" s="5">
        <v>766166879.64000034</v>
      </c>
      <c r="CN167" s="694">
        <v>3543</v>
      </c>
      <c r="CO167" s="5">
        <v>1155558327.7500012</v>
      </c>
    </row>
    <row r="168" spans="66:93">
      <c r="BN168" s="5"/>
      <c r="BR168" s="215"/>
      <c r="BW168" s="5"/>
      <c r="BX168" s="5"/>
      <c r="BY168" s="5"/>
      <c r="BZ168" s="5"/>
      <c r="CA168" s="5"/>
      <c r="CB168" s="5"/>
      <c r="CJ168" s="691">
        <v>46203</v>
      </c>
      <c r="CK168" s="1031" t="s">
        <v>457</v>
      </c>
      <c r="CL168" s="1031" t="s">
        <v>866</v>
      </c>
      <c r="CM168" s="5">
        <v>3560417.38</v>
      </c>
      <c r="CN168" s="694">
        <v>3</v>
      </c>
      <c r="CO168" s="5">
        <v>4459716.6000000006</v>
      </c>
    </row>
    <row r="169" spans="66:93">
      <c r="BN169" s="5"/>
      <c r="BR169" s="215"/>
      <c r="BW169" s="5"/>
      <c r="BX169" s="5"/>
      <c r="BY169" s="5"/>
      <c r="BZ169" s="5"/>
      <c r="CA169" s="5"/>
      <c r="CB169" s="5"/>
      <c r="CJ169" s="691">
        <v>46203</v>
      </c>
      <c r="CK169" s="1031" t="s">
        <v>458</v>
      </c>
      <c r="CL169" s="1031" t="s">
        <v>2483</v>
      </c>
      <c r="CM169" s="5">
        <v>0</v>
      </c>
      <c r="CN169" s="694">
        <v>0</v>
      </c>
      <c r="CO169" s="5">
        <v>0</v>
      </c>
    </row>
    <row r="170" spans="66:93">
      <c r="BN170" s="5"/>
      <c r="BR170" s="215"/>
      <c r="BW170" s="5"/>
      <c r="BX170" s="5"/>
      <c r="BY170" s="5"/>
      <c r="BZ170" s="5"/>
      <c r="CA170" s="5"/>
      <c r="CB170" s="5"/>
      <c r="CJ170" s="691">
        <v>46203</v>
      </c>
      <c r="CK170" s="1031" t="s">
        <v>459</v>
      </c>
      <c r="CL170" s="1031" t="s">
        <v>2484</v>
      </c>
      <c r="CM170" s="5">
        <v>0</v>
      </c>
      <c r="CN170" s="694">
        <v>0</v>
      </c>
      <c r="CO170" s="5">
        <v>0</v>
      </c>
    </row>
    <row r="171" spans="66:93">
      <c r="BN171" s="5"/>
      <c r="BR171" s="215"/>
      <c r="BW171" s="5"/>
      <c r="BX171" s="5"/>
      <c r="BY171" s="5"/>
      <c r="BZ171" s="5"/>
      <c r="CA171" s="5"/>
      <c r="CB171" s="5"/>
      <c r="CJ171" s="691">
        <v>46203</v>
      </c>
      <c r="CK171" s="1031" t="s">
        <v>460</v>
      </c>
      <c r="CL171" s="1031" t="s">
        <v>865</v>
      </c>
      <c r="CM171" s="5">
        <v>0</v>
      </c>
      <c r="CN171" s="694">
        <v>0</v>
      </c>
      <c r="CO171" s="5">
        <v>0</v>
      </c>
    </row>
    <row r="172" spans="66:93">
      <c r="BN172" s="5"/>
      <c r="BR172" s="215"/>
      <c r="BW172" s="5"/>
      <c r="BX172" s="5"/>
      <c r="BY172" s="5"/>
      <c r="BZ172" s="5"/>
      <c r="CA172" s="5"/>
      <c r="CB172" s="5"/>
      <c r="CJ172" s="691">
        <v>46203</v>
      </c>
      <c r="CK172" s="1031" t="s">
        <v>462</v>
      </c>
      <c r="CL172" s="1031" t="s">
        <v>2485</v>
      </c>
      <c r="CM172" s="5">
        <v>505070548.5199998</v>
      </c>
      <c r="CN172" s="694">
        <v>2027</v>
      </c>
      <c r="CO172" s="5">
        <v>754836210.51000035</v>
      </c>
    </row>
    <row r="173" spans="66:93">
      <c r="BN173" s="5"/>
      <c r="BR173" s="215"/>
      <c r="BW173" s="5"/>
      <c r="BX173" s="5"/>
      <c r="BY173" s="5"/>
      <c r="BZ173" s="5"/>
      <c r="CA173" s="5"/>
      <c r="CB173" s="5"/>
      <c r="CJ173" s="691">
        <v>46203</v>
      </c>
      <c r="CK173" s="1031" t="s">
        <v>463</v>
      </c>
      <c r="CL173" s="1031" t="s">
        <v>2486</v>
      </c>
      <c r="CM173" s="5">
        <v>30368888.27999999</v>
      </c>
      <c r="CN173" s="694">
        <v>169</v>
      </c>
      <c r="CO173" s="5">
        <v>45992122.539999992</v>
      </c>
    </row>
    <row r="174" spans="66:93">
      <c r="BN174" s="5"/>
      <c r="BR174" s="215"/>
      <c r="BW174" s="5"/>
      <c r="BX174" s="5"/>
      <c r="BY174" s="5"/>
      <c r="BZ174" s="5"/>
      <c r="CA174" s="5"/>
      <c r="CB174" s="5"/>
      <c r="CJ174" s="691">
        <v>46203</v>
      </c>
      <c r="CK174" s="1031" t="s">
        <v>464</v>
      </c>
      <c r="CL174" s="1031" t="s">
        <v>2487</v>
      </c>
      <c r="CM174" s="5">
        <v>33870017.449999996</v>
      </c>
      <c r="CN174" s="694">
        <v>93</v>
      </c>
      <c r="CO174" s="5">
        <v>52305762.450000003</v>
      </c>
    </row>
    <row r="175" spans="66:93">
      <c r="BN175" s="5"/>
      <c r="BR175" s="215"/>
      <c r="BW175" s="5"/>
      <c r="BX175" s="5"/>
      <c r="BY175" s="5"/>
      <c r="BZ175" s="5"/>
      <c r="CA175" s="5"/>
      <c r="CB175" s="5"/>
      <c r="CJ175" s="691">
        <v>46203</v>
      </c>
      <c r="CK175" s="1031" t="s">
        <v>465</v>
      </c>
      <c r="CL175" s="1031" t="s">
        <v>2488</v>
      </c>
      <c r="CM175" s="5">
        <v>16310728.380000001</v>
      </c>
      <c r="CN175" s="694">
        <v>91</v>
      </c>
      <c r="CO175" s="5">
        <v>27542814.140000004</v>
      </c>
    </row>
    <row r="176" spans="66:93">
      <c r="BN176" s="5"/>
      <c r="BR176" s="215"/>
      <c r="BW176" s="5"/>
      <c r="BX176" s="5"/>
      <c r="BY176" s="5"/>
      <c r="BZ176" s="5"/>
      <c r="CA176" s="5"/>
      <c r="CB176" s="5"/>
      <c r="CJ176" s="691">
        <v>46203</v>
      </c>
      <c r="CK176" s="1031" t="s">
        <v>466</v>
      </c>
      <c r="CL176" s="1031" t="s">
        <v>2489</v>
      </c>
      <c r="CM176" s="5">
        <v>60057785.49999997</v>
      </c>
      <c r="CN176" s="694">
        <v>262</v>
      </c>
      <c r="CO176" s="5">
        <v>91531842.939999983</v>
      </c>
    </row>
    <row r="177" spans="66:93">
      <c r="BN177" s="5"/>
      <c r="BR177" s="215"/>
      <c r="BW177" s="5"/>
      <c r="BX177" s="5"/>
      <c r="BY177" s="5"/>
      <c r="BZ177" s="5"/>
      <c r="CA177" s="5"/>
      <c r="CB177" s="5"/>
      <c r="CJ177" s="691">
        <v>46203</v>
      </c>
      <c r="CK177" s="1031" t="s">
        <v>467</v>
      </c>
      <c r="CL177" s="1031" t="s">
        <v>2490</v>
      </c>
      <c r="CM177" s="5">
        <v>0</v>
      </c>
      <c r="CN177" s="694">
        <v>0</v>
      </c>
      <c r="CO177" s="5">
        <v>0</v>
      </c>
    </row>
    <row r="178" spans="66:93">
      <c r="BN178" s="5"/>
      <c r="BR178" s="215"/>
      <c r="BW178" s="5"/>
      <c r="BX178" s="5"/>
      <c r="BY178" s="5"/>
      <c r="BZ178" s="5"/>
      <c r="CA178" s="5"/>
      <c r="CB178" s="5"/>
      <c r="CJ178" s="691">
        <v>46203</v>
      </c>
      <c r="CK178" s="1031" t="s">
        <v>468</v>
      </c>
      <c r="CL178" s="1031" t="s">
        <v>2491</v>
      </c>
      <c r="CM178" s="5">
        <v>494796.61</v>
      </c>
      <c r="CN178" s="694">
        <v>3</v>
      </c>
      <c r="CO178" s="5">
        <v>767078.75</v>
      </c>
    </row>
    <row r="179" spans="66:93">
      <c r="BN179" s="5"/>
      <c r="BR179" s="215"/>
      <c r="BW179" s="5"/>
      <c r="BX179" s="5"/>
      <c r="BY179" s="5"/>
      <c r="BZ179" s="5"/>
      <c r="CA179" s="5"/>
      <c r="CB179" s="5"/>
      <c r="CJ179" s="691">
        <v>46203</v>
      </c>
      <c r="CK179" s="1031" t="s">
        <v>469</v>
      </c>
      <c r="CL179" s="1031" t="s">
        <v>2492</v>
      </c>
      <c r="CM179" s="5">
        <v>17199532.649999991</v>
      </c>
      <c r="CN179" s="694">
        <v>146</v>
      </c>
      <c r="CO179" s="5">
        <v>40304544.609999999</v>
      </c>
    </row>
    <row r="180" spans="66:93">
      <c r="BN180" s="5"/>
      <c r="BR180" s="215"/>
      <c r="BW180" s="5"/>
      <c r="BX180" s="5"/>
      <c r="BY180" s="5"/>
      <c r="BZ180" s="5"/>
      <c r="CA180" s="5"/>
      <c r="CB180" s="5"/>
      <c r="CJ180" s="691">
        <v>46203</v>
      </c>
      <c r="CK180" s="1031" t="s">
        <v>470</v>
      </c>
      <c r="CL180" s="1031" t="s">
        <v>865</v>
      </c>
      <c r="CM180" s="5">
        <v>2437029.6599999997</v>
      </c>
      <c r="CN180" s="694">
        <v>8</v>
      </c>
      <c r="CO180" s="5">
        <v>5607629.5</v>
      </c>
    </row>
    <row r="181" spans="66:93">
      <c r="BN181" s="5"/>
      <c r="BR181" s="215"/>
      <c r="BW181" s="5"/>
      <c r="BX181" s="5"/>
      <c r="BY181" s="5"/>
      <c r="BZ181" s="5"/>
      <c r="CA181" s="5"/>
      <c r="CB181" s="5"/>
      <c r="CJ181" s="691">
        <v>46203</v>
      </c>
      <c r="CK181" s="1031" t="s">
        <v>913</v>
      </c>
      <c r="CL181" s="1031" t="s">
        <v>2493</v>
      </c>
      <c r="CM181" s="5">
        <v>103917969.96999997</v>
      </c>
      <c r="CN181" s="694">
        <v>299</v>
      </c>
      <c r="CO181" s="5">
        <v>141130038.91</v>
      </c>
    </row>
    <row r="182" spans="66:93">
      <c r="BN182" s="5"/>
      <c r="BR182" s="215"/>
      <c r="BW182" s="5"/>
      <c r="BX182" s="5"/>
      <c r="BY182" s="5"/>
      <c r="BZ182" s="5"/>
      <c r="CA182" s="5"/>
      <c r="CB182" s="5"/>
      <c r="CJ182" s="691">
        <v>46203</v>
      </c>
      <c r="CK182" s="1031" t="s">
        <v>471</v>
      </c>
      <c r="CL182" s="1031">
        <v>1</v>
      </c>
      <c r="CM182" s="5">
        <v>4003540.28</v>
      </c>
      <c r="CN182" s="694">
        <v>1</v>
      </c>
      <c r="CO182" s="5"/>
    </row>
    <row r="183" spans="66:93">
      <c r="BN183" s="5"/>
      <c r="BR183" s="215"/>
      <c r="BW183" s="5"/>
      <c r="BX183" s="5"/>
      <c r="BY183" s="5"/>
      <c r="BZ183" s="5"/>
      <c r="CA183" s="5"/>
      <c r="CB183" s="5"/>
      <c r="CJ183" s="691">
        <v>46203</v>
      </c>
      <c r="CK183" s="1031" t="s">
        <v>472</v>
      </c>
      <c r="CL183" s="1031">
        <v>2</v>
      </c>
      <c r="CM183" s="5">
        <v>3728001.13</v>
      </c>
      <c r="CN183" s="694">
        <v>2</v>
      </c>
      <c r="CO183" s="5"/>
    </row>
    <row r="184" spans="66:93">
      <c r="BN184" s="5"/>
      <c r="BR184" s="215"/>
      <c r="BW184" s="5"/>
      <c r="BX184" s="5"/>
      <c r="BY184" s="5"/>
      <c r="BZ184" s="5"/>
      <c r="CA184" s="5"/>
      <c r="CB184" s="5"/>
      <c r="CJ184" s="691">
        <v>46203</v>
      </c>
      <c r="CK184" s="1031" t="s">
        <v>473</v>
      </c>
      <c r="CL184" s="1031">
        <v>3</v>
      </c>
      <c r="CM184" s="5">
        <v>3574595.64</v>
      </c>
      <c r="CN184" s="694">
        <v>1</v>
      </c>
      <c r="CO184" s="5"/>
    </row>
    <row r="185" spans="66:93">
      <c r="BN185" s="5"/>
      <c r="BR185" s="215"/>
      <c r="BW185" s="5"/>
      <c r="BX185" s="5"/>
      <c r="BY185" s="5"/>
      <c r="BZ185" s="5"/>
      <c r="CA185" s="5"/>
      <c r="CB185" s="5"/>
      <c r="CJ185" s="691">
        <v>46203</v>
      </c>
      <c r="CK185" s="1031" t="s">
        <v>474</v>
      </c>
      <c r="CL185" s="1031">
        <v>4</v>
      </c>
      <c r="CM185" s="5">
        <v>3473518.6799999997</v>
      </c>
      <c r="CN185" s="694">
        <v>2</v>
      </c>
      <c r="CO185" s="5"/>
    </row>
    <row r="186" spans="66:93">
      <c r="BN186" s="5"/>
      <c r="BR186" s="215"/>
      <c r="BW186" s="5"/>
      <c r="BX186" s="5"/>
      <c r="BY186" s="5"/>
      <c r="BZ186" s="5"/>
      <c r="CA186" s="5"/>
      <c r="CB186" s="5"/>
      <c r="CJ186" s="691">
        <v>46203</v>
      </c>
      <c r="CK186" s="1031" t="s">
        <v>475</v>
      </c>
      <c r="CL186" s="1031">
        <v>5</v>
      </c>
      <c r="CM186" s="5">
        <v>3142849.84</v>
      </c>
      <c r="CN186" s="694">
        <v>2</v>
      </c>
      <c r="CO186" s="5"/>
    </row>
    <row r="187" spans="66:93">
      <c r="BN187" s="5"/>
      <c r="BR187" s="215"/>
      <c r="BW187" s="5"/>
      <c r="BX187" s="5"/>
      <c r="BY187" s="5"/>
      <c r="BZ187" s="5"/>
      <c r="CA187" s="5"/>
      <c r="CB187" s="5"/>
      <c r="CJ187" s="691">
        <v>46203</v>
      </c>
      <c r="CK187" s="1031" t="s">
        <v>476</v>
      </c>
      <c r="CL187" s="1031">
        <v>6</v>
      </c>
      <c r="CM187" s="5">
        <v>3118064.75</v>
      </c>
      <c r="CN187" s="694">
        <v>2</v>
      </c>
      <c r="CO187" s="5"/>
    </row>
    <row r="188" spans="66:93">
      <c r="BN188" s="5"/>
      <c r="BR188" s="215"/>
      <c r="BW188" s="5"/>
      <c r="BX188" s="5"/>
      <c r="BY188" s="5"/>
      <c r="BZ188" s="5"/>
      <c r="CA188" s="5"/>
      <c r="CB188" s="5"/>
      <c r="CJ188" s="691">
        <v>46203</v>
      </c>
      <c r="CK188" s="1031" t="s">
        <v>477</v>
      </c>
      <c r="CL188" s="1031">
        <v>7</v>
      </c>
      <c r="CM188" s="5">
        <v>3046765.52</v>
      </c>
      <c r="CN188" s="694">
        <v>3</v>
      </c>
      <c r="CO188" s="5"/>
    </row>
    <row r="189" spans="66:93">
      <c r="BN189" s="5"/>
      <c r="BR189" s="215"/>
      <c r="BW189" s="5"/>
      <c r="BX189" s="5"/>
      <c r="BY189" s="5"/>
      <c r="BZ189" s="5"/>
      <c r="CA189" s="5"/>
      <c r="CB189" s="5"/>
      <c r="CJ189" s="691">
        <v>46203</v>
      </c>
      <c r="CK189" s="1031" t="s">
        <v>478</v>
      </c>
      <c r="CL189" s="1031">
        <v>8</v>
      </c>
      <c r="CM189" s="5">
        <v>3016351.82</v>
      </c>
      <c r="CN189" s="694">
        <v>1</v>
      </c>
      <c r="CO189" s="5"/>
    </row>
    <row r="190" spans="66:93">
      <c r="BN190" s="5"/>
      <c r="BR190" s="215"/>
      <c r="BW190" s="5"/>
      <c r="BX190" s="5"/>
      <c r="BY190" s="5"/>
      <c r="BZ190" s="5"/>
      <c r="CA190" s="5"/>
      <c r="CB190" s="5"/>
      <c r="CJ190" s="691">
        <v>46203</v>
      </c>
      <c r="CK190" s="1031" t="s">
        <v>479</v>
      </c>
      <c r="CL190" s="1031">
        <v>9</v>
      </c>
      <c r="CM190" s="5">
        <v>2783851</v>
      </c>
      <c r="CN190" s="694">
        <v>10</v>
      </c>
      <c r="CO190" s="5"/>
    </row>
    <row r="191" spans="66:93">
      <c r="BN191" s="5"/>
      <c r="BR191" s="215"/>
      <c r="BW191" s="5"/>
      <c r="BX191" s="5"/>
      <c r="BY191" s="5"/>
      <c r="BZ191" s="5"/>
      <c r="CA191" s="5"/>
      <c r="CB191" s="5"/>
      <c r="CJ191" s="691">
        <v>46203</v>
      </c>
      <c r="CK191" s="1031" t="s">
        <v>480</v>
      </c>
      <c r="CL191" s="1031">
        <v>10</v>
      </c>
      <c r="CM191" s="5">
        <v>2678386.9700000002</v>
      </c>
      <c r="CN191" s="694">
        <v>1</v>
      </c>
      <c r="CO191" s="5"/>
    </row>
    <row r="192" spans="66:93">
      <c r="BN192" s="5"/>
      <c r="BR192" s="215"/>
      <c r="BW192" s="5"/>
      <c r="BX192" s="5"/>
      <c r="BY192" s="5"/>
      <c r="BZ192" s="5"/>
      <c r="CA192" s="5"/>
      <c r="CB192" s="5"/>
      <c r="CJ192" s="691">
        <v>46203</v>
      </c>
      <c r="CK192" s="1031" t="s">
        <v>481</v>
      </c>
      <c r="CL192" s="1031">
        <v>11</v>
      </c>
      <c r="CM192" s="5">
        <v>2485588.33</v>
      </c>
      <c r="CN192" s="694">
        <v>2</v>
      </c>
      <c r="CO192" s="5"/>
    </row>
    <row r="193" spans="66:93">
      <c r="BN193" s="5"/>
      <c r="BR193" s="215"/>
      <c r="BW193" s="5"/>
      <c r="BX193" s="5"/>
      <c r="BY193" s="5"/>
      <c r="BZ193" s="5"/>
      <c r="CA193" s="5"/>
      <c r="CB193" s="5"/>
      <c r="CJ193" s="691">
        <v>46203</v>
      </c>
      <c r="CK193" s="1031" t="s">
        <v>482</v>
      </c>
      <c r="CL193" s="1031">
        <v>12</v>
      </c>
      <c r="CM193" s="5">
        <v>2455478.7599999998</v>
      </c>
      <c r="CN193" s="694">
        <v>2</v>
      </c>
      <c r="CO193" s="5"/>
    </row>
    <row r="194" spans="66:93">
      <c r="BN194" s="5"/>
      <c r="BR194" s="215"/>
      <c r="BW194" s="5"/>
      <c r="BX194" s="5"/>
      <c r="BY194" s="5"/>
      <c r="BZ194" s="5"/>
      <c r="CA194" s="5"/>
      <c r="CB194" s="5"/>
      <c r="CJ194" s="691">
        <v>46203</v>
      </c>
      <c r="CK194" s="1031" t="s">
        <v>483</v>
      </c>
      <c r="CL194" s="1031">
        <v>13</v>
      </c>
      <c r="CM194" s="5">
        <v>2186609.0999999996</v>
      </c>
      <c r="CN194" s="694">
        <v>2</v>
      </c>
      <c r="CO194" s="5"/>
    </row>
    <row r="195" spans="66:93">
      <c r="BN195" s="5"/>
      <c r="BR195" s="215"/>
      <c r="BW195" s="5"/>
      <c r="BX195" s="5"/>
      <c r="BY195" s="5"/>
      <c r="BZ195" s="5"/>
      <c r="CA195" s="5"/>
      <c r="CB195" s="5"/>
      <c r="CJ195" s="691">
        <v>46203</v>
      </c>
      <c r="CK195" s="1031" t="s">
        <v>484</v>
      </c>
      <c r="CL195" s="1031">
        <v>14</v>
      </c>
      <c r="CM195" s="5">
        <v>2141383.38</v>
      </c>
      <c r="CN195" s="694">
        <v>1</v>
      </c>
      <c r="CO195" s="5"/>
    </row>
    <row r="196" spans="66:93">
      <c r="BN196" s="5"/>
      <c r="BR196" s="215"/>
      <c r="BW196" s="5"/>
      <c r="BX196" s="5"/>
      <c r="BY196" s="5"/>
      <c r="BZ196" s="5"/>
      <c r="CA196" s="5"/>
      <c r="CB196" s="5"/>
      <c r="CJ196" s="691">
        <v>46203</v>
      </c>
      <c r="CK196" s="1031" t="s">
        <v>485</v>
      </c>
      <c r="CL196" s="1031">
        <v>15</v>
      </c>
      <c r="CM196" s="5">
        <v>2126983.25</v>
      </c>
      <c r="CN196" s="694">
        <v>1</v>
      </c>
      <c r="CO196" s="5"/>
    </row>
    <row r="197" spans="66:93">
      <c r="BN197" s="5"/>
      <c r="BR197" s="215"/>
      <c r="BW197" s="5"/>
      <c r="BX197" s="5"/>
      <c r="BY197" s="5"/>
      <c r="BZ197" s="5"/>
      <c r="CA197" s="5"/>
      <c r="CB197" s="5"/>
      <c r="CJ197" s="691">
        <v>46203</v>
      </c>
      <c r="CK197" s="1031" t="s">
        <v>914</v>
      </c>
      <c r="CL197" s="1031">
        <v>16</v>
      </c>
      <c r="CM197" s="5">
        <v>1958599.28</v>
      </c>
      <c r="CN197" s="694">
        <v>2</v>
      </c>
      <c r="CO197" s="5"/>
    </row>
    <row r="198" spans="66:93">
      <c r="BN198" s="5"/>
      <c r="BR198" s="215"/>
      <c r="BW198" s="5"/>
      <c r="BX198" s="5"/>
      <c r="BY198" s="5"/>
      <c r="BZ198" s="5"/>
      <c r="CA198" s="5"/>
      <c r="CB198" s="5"/>
      <c r="CJ198" s="691">
        <v>46203</v>
      </c>
      <c r="CK198" s="1031" t="s">
        <v>915</v>
      </c>
      <c r="CL198" s="1031">
        <v>17</v>
      </c>
      <c r="CM198" s="5">
        <v>1944990.45</v>
      </c>
      <c r="CN198" s="694">
        <v>2</v>
      </c>
      <c r="CO198" s="5"/>
    </row>
    <row r="199" spans="66:93">
      <c r="BN199" s="5"/>
      <c r="BR199" s="215"/>
      <c r="BW199" s="5"/>
      <c r="BX199" s="5"/>
      <c r="BY199" s="5"/>
      <c r="BZ199" s="5"/>
      <c r="CA199" s="5"/>
      <c r="CB199" s="5"/>
      <c r="CJ199" s="691">
        <v>46203</v>
      </c>
      <c r="CK199" s="1031" t="s">
        <v>916</v>
      </c>
      <c r="CL199" s="1031">
        <v>18</v>
      </c>
      <c r="CM199" s="5">
        <v>1887489.68</v>
      </c>
      <c r="CN199" s="694">
        <v>1</v>
      </c>
      <c r="CO199" s="5"/>
    </row>
    <row r="200" spans="66:93">
      <c r="BN200" s="5"/>
      <c r="BR200" s="215"/>
      <c r="BW200" s="5"/>
      <c r="BX200" s="5"/>
      <c r="BY200" s="5"/>
      <c r="BZ200" s="5"/>
      <c r="CA200" s="5"/>
      <c r="CB200" s="5"/>
      <c r="CJ200" s="691">
        <v>46203</v>
      </c>
      <c r="CK200" s="1031" t="s">
        <v>917</v>
      </c>
      <c r="CL200" s="1031">
        <v>19</v>
      </c>
      <c r="CM200" s="5">
        <v>1823035.19</v>
      </c>
      <c r="CN200" s="694">
        <v>2</v>
      </c>
      <c r="CO200" s="5"/>
    </row>
    <row r="201" spans="66:93">
      <c r="BN201" s="5"/>
      <c r="BR201" s="215"/>
      <c r="BW201" s="5"/>
      <c r="BX201" s="5"/>
      <c r="BY201" s="5"/>
      <c r="BZ201" s="5"/>
      <c r="CA201" s="5"/>
      <c r="CB201" s="5"/>
      <c r="CJ201" s="691">
        <v>46203</v>
      </c>
      <c r="CK201" s="1031" t="s">
        <v>918</v>
      </c>
      <c r="CL201" s="1031">
        <v>20</v>
      </c>
      <c r="CM201" s="5">
        <v>1759957.87</v>
      </c>
      <c r="CN201" s="694">
        <v>1</v>
      </c>
      <c r="CO201" s="5"/>
    </row>
    <row r="202" spans="66:93">
      <c r="BN202" s="5"/>
      <c r="BR202" s="215"/>
      <c r="BW202" s="5"/>
      <c r="BX202" s="5"/>
      <c r="BY202" s="5"/>
      <c r="BZ202" s="5"/>
      <c r="CA202" s="5"/>
      <c r="CB202" s="5"/>
      <c r="CJ202" s="691">
        <v>46203</v>
      </c>
      <c r="CK202" s="1031" t="s">
        <v>487</v>
      </c>
      <c r="CL202" s="1031" t="s">
        <v>2494</v>
      </c>
      <c r="CM202" s="5">
        <v>517490370</v>
      </c>
      <c r="CN202" s="694">
        <v>600</v>
      </c>
      <c r="CO202" s="5">
        <v>521374197.10000008</v>
      </c>
    </row>
    <row r="203" spans="66:93">
      <c r="BN203" s="5"/>
      <c r="BR203" s="215"/>
      <c r="BW203" s="5"/>
      <c r="BX203" s="5"/>
      <c r="BY203" s="5"/>
      <c r="BZ203" s="5"/>
      <c r="CA203" s="5"/>
      <c r="CB203" s="5"/>
      <c r="CJ203" s="691">
        <v>46203</v>
      </c>
      <c r="CK203" s="1031" t="s">
        <v>489</v>
      </c>
      <c r="CL203" s="1031" t="s">
        <v>2495</v>
      </c>
      <c r="CM203" s="5">
        <v>16290325</v>
      </c>
      <c r="CN203" s="694">
        <v>44</v>
      </c>
      <c r="CO203" s="5">
        <v>16749242.579999996</v>
      </c>
    </row>
    <row r="204" spans="66:93">
      <c r="BN204" s="5"/>
      <c r="BR204" s="215"/>
      <c r="BW204" s="5"/>
      <c r="BX204" s="5"/>
      <c r="BY204" s="5"/>
      <c r="BZ204" s="5"/>
      <c r="CA204" s="5"/>
      <c r="CB204" s="5"/>
      <c r="CJ204" s="691">
        <v>46203</v>
      </c>
      <c r="CK204" s="1031" t="s">
        <v>491</v>
      </c>
      <c r="CL204" s="1031" t="s">
        <v>2496</v>
      </c>
      <c r="CM204" s="5">
        <v>85074083.5</v>
      </c>
      <c r="CN204" s="694">
        <v>131</v>
      </c>
      <c r="CO204" s="5">
        <v>86301176.700000003</v>
      </c>
    </row>
    <row r="205" spans="66:93">
      <c r="BN205" s="5"/>
      <c r="BR205" s="215"/>
      <c r="BW205" s="5"/>
      <c r="BX205" s="5"/>
      <c r="BY205" s="5"/>
      <c r="BZ205" s="5"/>
      <c r="CA205" s="5"/>
      <c r="CB205" s="5"/>
      <c r="CJ205" s="691">
        <v>46203</v>
      </c>
      <c r="CK205" s="1031" t="s">
        <v>493</v>
      </c>
      <c r="CL205" s="1031" t="s">
        <v>2497</v>
      </c>
      <c r="CM205" s="5">
        <v>20399086</v>
      </c>
      <c r="CN205" s="694">
        <v>52</v>
      </c>
      <c r="CO205" s="5">
        <v>20594158.339999996</v>
      </c>
    </row>
    <row r="206" spans="66:93">
      <c r="BN206" s="5"/>
      <c r="BR206" s="215"/>
      <c r="BW206" s="5"/>
      <c r="BX206" s="5"/>
      <c r="BY206" s="5"/>
      <c r="BZ206" s="5"/>
      <c r="CA206" s="5"/>
      <c r="CB206" s="5"/>
      <c r="CJ206" s="691">
        <v>46203</v>
      </c>
      <c r="CK206" s="1031" t="s">
        <v>495</v>
      </c>
      <c r="CL206" s="1031" t="s">
        <v>2498</v>
      </c>
      <c r="CM206" s="5">
        <v>197025513.06</v>
      </c>
      <c r="CN206" s="694">
        <v>298</v>
      </c>
      <c r="CO206" s="5">
        <v>200400752.55000001</v>
      </c>
    </row>
    <row r="207" spans="66:93">
      <c r="BN207" s="5"/>
      <c r="BR207" s="215"/>
      <c r="BW207" s="5"/>
      <c r="BX207" s="5"/>
      <c r="BY207" s="5"/>
      <c r="BZ207" s="5"/>
      <c r="CA207" s="5"/>
      <c r="CB207" s="5"/>
      <c r="CJ207" s="691">
        <v>46203</v>
      </c>
      <c r="CK207" s="1031" t="s">
        <v>919</v>
      </c>
      <c r="CL207" s="1031" t="s">
        <v>2499</v>
      </c>
      <c r="CM207" s="5">
        <v>32055185.800000001</v>
      </c>
      <c r="CN207" s="694">
        <v>90</v>
      </c>
      <c r="CO207" s="5">
        <v>35013452.830000006</v>
      </c>
    </row>
    <row r="208" spans="66:93">
      <c r="BN208" s="5"/>
      <c r="BR208" s="215"/>
      <c r="BW208" s="5"/>
      <c r="BX208" s="5"/>
      <c r="BY208" s="5"/>
      <c r="BZ208" s="5"/>
      <c r="CA208" s="5"/>
      <c r="CB208" s="5"/>
      <c r="CJ208" s="691">
        <v>46203</v>
      </c>
      <c r="CK208" s="1031" t="s">
        <v>920</v>
      </c>
      <c r="CL208" s="1031" t="s">
        <v>2500</v>
      </c>
      <c r="CM208" s="5">
        <v>68697605</v>
      </c>
      <c r="CN208" s="694">
        <v>135</v>
      </c>
      <c r="CO208" s="5">
        <v>69801661.959999993</v>
      </c>
    </row>
    <row r="209" spans="66:93">
      <c r="BN209" s="5"/>
      <c r="BR209" s="215"/>
      <c r="BW209" s="5"/>
      <c r="BX209" s="5"/>
      <c r="BY209" s="5"/>
      <c r="BZ209" s="5"/>
      <c r="CA209" s="5"/>
      <c r="CB209" s="5"/>
      <c r="CJ209" s="691">
        <v>46203</v>
      </c>
      <c r="CK209" s="1031" t="s">
        <v>921</v>
      </c>
      <c r="CL209" s="1031" t="s">
        <v>2501</v>
      </c>
      <c r="CM209" s="5">
        <v>21366205</v>
      </c>
      <c r="CN209" s="694">
        <v>74</v>
      </c>
      <c r="CO209" s="5">
        <v>21652194.990000002</v>
      </c>
    </row>
    <row r="210" spans="66:93">
      <c r="BN210" s="5"/>
      <c r="BR210" s="215"/>
      <c r="BW210" s="5"/>
      <c r="BX210" s="5"/>
      <c r="BY210" s="5"/>
      <c r="BZ210" s="5"/>
      <c r="CA210" s="5"/>
      <c r="CB210" s="5"/>
      <c r="CJ210" s="691">
        <v>46203</v>
      </c>
      <c r="CK210" s="1031" t="s">
        <v>922</v>
      </c>
      <c r="CL210" s="1031" t="s">
        <v>2502</v>
      </c>
      <c r="CM210" s="5">
        <v>0</v>
      </c>
      <c r="CN210" s="694">
        <v>0</v>
      </c>
      <c r="CO210" s="5">
        <v>0</v>
      </c>
    </row>
    <row r="211" spans="66:93">
      <c r="BN211" s="5"/>
      <c r="BR211" s="215"/>
      <c r="BW211" s="5"/>
      <c r="BX211" s="5"/>
      <c r="BY211" s="5"/>
      <c r="BZ211" s="5"/>
      <c r="CA211" s="5"/>
      <c r="CB211" s="5"/>
      <c r="CJ211" s="691">
        <v>46203</v>
      </c>
      <c r="CK211" s="1031" t="s">
        <v>923</v>
      </c>
      <c r="CL211" s="1031" t="s">
        <v>2503</v>
      </c>
      <c r="CM211" s="5">
        <v>4951963</v>
      </c>
      <c r="CN211" s="694">
        <v>17</v>
      </c>
      <c r="CO211" s="5">
        <v>4934114</v>
      </c>
    </row>
    <row r="212" spans="66:93">
      <c r="BN212" s="5"/>
      <c r="BR212" s="215"/>
      <c r="BW212" s="5"/>
      <c r="BX212" s="5"/>
      <c r="BY212" s="5"/>
      <c r="BZ212" s="5"/>
      <c r="CA212" s="5"/>
      <c r="CB212" s="5"/>
      <c r="CJ212" s="691">
        <v>46203</v>
      </c>
      <c r="CK212" s="1031" t="s">
        <v>924</v>
      </c>
      <c r="CL212" s="1031" t="s">
        <v>2504</v>
      </c>
      <c r="CM212" s="5">
        <v>0</v>
      </c>
      <c r="CN212" s="694">
        <v>0</v>
      </c>
      <c r="CO212" s="5">
        <v>0</v>
      </c>
    </row>
    <row r="213" spans="66:93">
      <c r="BN213" s="5"/>
      <c r="BR213" s="215"/>
      <c r="BW213" s="5"/>
      <c r="BX213" s="5"/>
      <c r="BY213" s="5"/>
      <c r="BZ213" s="5"/>
      <c r="CA213" s="5"/>
      <c r="CB213" s="5"/>
      <c r="CJ213" s="691">
        <v>46203</v>
      </c>
      <c r="CK213" s="1031" t="s">
        <v>925</v>
      </c>
      <c r="CL213" s="1031" t="s">
        <v>2505</v>
      </c>
      <c r="CM213" s="5">
        <v>8402446</v>
      </c>
      <c r="CN213" s="694">
        <v>30</v>
      </c>
      <c r="CO213" s="5">
        <v>8554705.0899999999</v>
      </c>
    </row>
    <row r="214" spans="66:93">
      <c r="BN214" s="5"/>
      <c r="BR214" s="215"/>
      <c r="BW214" s="5"/>
      <c r="BX214" s="5"/>
      <c r="BY214" s="5"/>
      <c r="BZ214" s="5"/>
      <c r="CA214" s="5"/>
      <c r="CB214" s="5"/>
      <c r="CJ214" s="691">
        <v>46203</v>
      </c>
      <c r="CK214" s="1031" t="s">
        <v>926</v>
      </c>
      <c r="CL214" s="1031" t="s">
        <v>2506</v>
      </c>
      <c r="CM214" s="5">
        <v>651000</v>
      </c>
      <c r="CN214" s="694">
        <v>3</v>
      </c>
      <c r="CO214" s="5">
        <v>668601.05000000005</v>
      </c>
    </row>
    <row r="215" spans="66:93">
      <c r="BN215" s="5"/>
      <c r="BR215" s="215"/>
      <c r="BW215" s="5"/>
      <c r="BX215" s="5"/>
      <c r="BY215" s="5"/>
      <c r="BZ215" s="5"/>
      <c r="CA215" s="5"/>
      <c r="CB215" s="5"/>
      <c r="CJ215" s="691">
        <v>46203</v>
      </c>
      <c r="CK215" s="1031" t="s">
        <v>927</v>
      </c>
      <c r="CL215" s="1031" t="s">
        <v>2507</v>
      </c>
      <c r="CM215" s="5">
        <v>2068000</v>
      </c>
      <c r="CN215" s="694">
        <v>8</v>
      </c>
      <c r="CO215" s="5">
        <v>1944259.14</v>
      </c>
    </row>
    <row r="216" spans="66:93">
      <c r="BN216" s="5"/>
      <c r="BR216" s="215"/>
      <c r="BW216" s="5"/>
      <c r="BX216" s="5"/>
      <c r="BY216" s="5"/>
      <c r="BZ216" s="5"/>
      <c r="CA216" s="5"/>
      <c r="CB216" s="5"/>
      <c r="CJ216" s="691">
        <v>46203</v>
      </c>
      <c r="CK216" s="1031" t="s">
        <v>928</v>
      </c>
      <c r="CL216" s="1031" t="s">
        <v>2508</v>
      </c>
      <c r="CM216" s="5">
        <v>4321881</v>
      </c>
      <c r="CN216" s="694">
        <v>19</v>
      </c>
      <c r="CO216" s="5">
        <v>4321881</v>
      </c>
    </row>
    <row r="217" spans="66:93">
      <c r="BN217" s="5"/>
      <c r="BR217" s="215"/>
      <c r="BW217" s="5"/>
      <c r="BX217" s="5"/>
      <c r="BY217" s="5"/>
      <c r="BZ217" s="5"/>
      <c r="CA217" s="5"/>
      <c r="CB217" s="5"/>
      <c r="CJ217" s="691">
        <v>46203</v>
      </c>
      <c r="CK217" s="1031" t="s">
        <v>929</v>
      </c>
      <c r="CL217" s="1031" t="s">
        <v>2509</v>
      </c>
      <c r="CM217" s="5">
        <v>244200</v>
      </c>
      <c r="CN217" s="694">
        <v>2</v>
      </c>
      <c r="CO217" s="5">
        <v>244200</v>
      </c>
    </row>
    <row r="218" spans="66:93">
      <c r="BN218" s="5"/>
      <c r="BR218" s="215"/>
      <c r="BW218" s="5"/>
      <c r="BX218" s="5"/>
      <c r="BY218" s="5"/>
      <c r="BZ218" s="5"/>
      <c r="CA218" s="5"/>
      <c r="CB218" s="5"/>
      <c r="CJ218" s="691">
        <v>46203</v>
      </c>
      <c r="CK218" s="1031" t="s">
        <v>930</v>
      </c>
      <c r="CL218" s="1031" t="s">
        <v>2510</v>
      </c>
      <c r="CM218" s="5">
        <v>1276000</v>
      </c>
      <c r="CN218" s="694">
        <v>5</v>
      </c>
      <c r="CO218" s="5">
        <v>1276000</v>
      </c>
    </row>
    <row r="219" spans="66:93">
      <c r="BN219" s="5"/>
      <c r="BR219" s="215"/>
      <c r="BW219" s="5"/>
      <c r="BX219" s="5"/>
      <c r="BY219" s="5"/>
      <c r="BZ219" s="5"/>
      <c r="CA219" s="5"/>
      <c r="CB219" s="5"/>
      <c r="CJ219" s="691">
        <v>46203</v>
      </c>
      <c r="CK219" s="1031" t="s">
        <v>931</v>
      </c>
      <c r="CL219" s="1031" t="s">
        <v>2511</v>
      </c>
      <c r="CM219" s="5">
        <v>421527</v>
      </c>
      <c r="CN219" s="694">
        <v>2</v>
      </c>
      <c r="CO219" s="5">
        <v>421527</v>
      </c>
    </row>
    <row r="220" spans="66:93">
      <c r="BN220" s="5"/>
      <c r="BR220" s="215"/>
      <c r="BW220" s="5"/>
      <c r="BX220" s="5"/>
      <c r="BY220" s="5"/>
      <c r="BZ220" s="5"/>
      <c r="CA220" s="5"/>
      <c r="CB220" s="5"/>
      <c r="CJ220" s="691">
        <v>46203</v>
      </c>
      <c r="CK220" s="1031" t="s">
        <v>932</v>
      </c>
      <c r="CL220" s="1031" t="s">
        <v>2512</v>
      </c>
      <c r="CM220" s="5">
        <v>1110069</v>
      </c>
      <c r="CN220" s="694">
        <v>3</v>
      </c>
      <c r="CO220" s="5">
        <v>1070069</v>
      </c>
    </row>
    <row r="221" spans="66:93">
      <c r="BN221" s="5"/>
      <c r="BR221" s="215"/>
      <c r="BW221" s="5"/>
      <c r="BX221" s="5"/>
      <c r="BY221" s="5"/>
      <c r="BZ221" s="5"/>
      <c r="CA221" s="5"/>
      <c r="CB221" s="5"/>
      <c r="CJ221" s="691">
        <v>46203</v>
      </c>
      <c r="CK221" s="1031" t="s">
        <v>933</v>
      </c>
      <c r="CL221" s="1031" t="s">
        <v>2513</v>
      </c>
      <c r="CM221" s="5">
        <v>506335</v>
      </c>
      <c r="CN221" s="694">
        <v>4</v>
      </c>
      <c r="CO221" s="5">
        <v>506335</v>
      </c>
    </row>
    <row r="222" spans="66:93">
      <c r="BN222" s="5"/>
      <c r="BR222" s="215"/>
      <c r="BW222" s="5"/>
      <c r="BX222" s="5"/>
      <c r="BY222" s="5"/>
      <c r="BZ222" s="5"/>
      <c r="CA222" s="5"/>
      <c r="CB222" s="5"/>
      <c r="CJ222" s="691">
        <v>46203</v>
      </c>
      <c r="CK222" s="1031" t="s">
        <v>934</v>
      </c>
      <c r="CL222" s="1031" t="s">
        <v>2514</v>
      </c>
      <c r="CM222" s="5">
        <v>0</v>
      </c>
      <c r="CN222" s="694">
        <v>0</v>
      </c>
      <c r="CO222" s="5">
        <v>0</v>
      </c>
    </row>
    <row r="223" spans="66:93">
      <c r="BN223" s="5"/>
      <c r="BR223" s="215"/>
      <c r="BW223" s="5"/>
      <c r="BX223" s="5"/>
      <c r="BY223" s="5"/>
      <c r="BZ223" s="5"/>
      <c r="CA223" s="5"/>
      <c r="CB223" s="5"/>
      <c r="CJ223" s="691">
        <v>46203</v>
      </c>
      <c r="CK223" s="1031" t="s">
        <v>935</v>
      </c>
      <c r="CL223" s="1031" t="s">
        <v>2515</v>
      </c>
      <c r="CM223" s="5">
        <v>0</v>
      </c>
      <c r="CN223" s="694">
        <v>0</v>
      </c>
      <c r="CO223" s="5">
        <v>0</v>
      </c>
    </row>
    <row r="224" spans="66:93">
      <c r="BN224" s="5"/>
      <c r="BR224" s="215"/>
      <c r="BW224" s="5"/>
      <c r="BX224" s="5"/>
      <c r="BY224" s="5"/>
      <c r="BZ224" s="5"/>
      <c r="CA224" s="5"/>
      <c r="CB224" s="5"/>
      <c r="CJ224" s="691">
        <v>46203</v>
      </c>
      <c r="CK224" s="1031" t="s">
        <v>936</v>
      </c>
      <c r="CL224" s="1031" t="s">
        <v>2516</v>
      </c>
      <c r="CM224" s="5">
        <v>17333381</v>
      </c>
      <c r="CN224" s="694">
        <v>35</v>
      </c>
      <c r="CO224" s="5">
        <v>16961187.440000001</v>
      </c>
    </row>
    <row r="225" spans="66:93">
      <c r="BN225" s="5"/>
      <c r="BR225" s="215"/>
      <c r="BW225" s="5"/>
      <c r="BX225" s="5"/>
      <c r="BY225" s="5"/>
      <c r="BZ225" s="5"/>
      <c r="CA225" s="5"/>
      <c r="CB225" s="5"/>
      <c r="CJ225" s="691">
        <v>46203</v>
      </c>
      <c r="CK225" s="1031" t="s">
        <v>937</v>
      </c>
      <c r="CL225" s="1031" t="s">
        <v>2517</v>
      </c>
      <c r="CM225" s="5">
        <v>3282655</v>
      </c>
      <c r="CN225" s="694">
        <v>8</v>
      </c>
      <c r="CO225" s="5">
        <v>3282655</v>
      </c>
    </row>
    <row r="226" spans="66:93">
      <c r="BN226" s="5"/>
      <c r="BR226" s="215"/>
      <c r="BW226" s="5"/>
      <c r="BX226" s="5"/>
      <c r="BY226" s="5"/>
      <c r="BZ226" s="5"/>
      <c r="CA226" s="5"/>
      <c r="CB226" s="5"/>
      <c r="CJ226" s="691">
        <v>46203</v>
      </c>
      <c r="CK226" s="1031" t="s">
        <v>938</v>
      </c>
      <c r="CL226" s="1031" t="s">
        <v>2518</v>
      </c>
      <c r="CM226" s="5">
        <v>1438000</v>
      </c>
      <c r="CN226" s="694">
        <v>4</v>
      </c>
      <c r="CO226" s="5">
        <v>1438000</v>
      </c>
    </row>
    <row r="227" spans="66:93">
      <c r="BN227" s="5"/>
      <c r="BR227" s="215"/>
      <c r="BW227" s="5"/>
      <c r="BX227" s="5"/>
      <c r="BY227" s="5"/>
      <c r="BZ227" s="5"/>
      <c r="CA227" s="5"/>
      <c r="CB227" s="5"/>
      <c r="CJ227" s="691">
        <v>46203</v>
      </c>
      <c r="CK227" s="1031" t="s">
        <v>939</v>
      </c>
      <c r="CL227" s="1031" t="s">
        <v>2519</v>
      </c>
      <c r="CM227" s="5">
        <v>5401550</v>
      </c>
      <c r="CN227" s="694">
        <v>16</v>
      </c>
      <c r="CO227" s="5">
        <v>5602442.9100000001</v>
      </c>
    </row>
    <row r="228" spans="66:93">
      <c r="BN228" s="5"/>
      <c r="BR228" s="215"/>
      <c r="BW228" s="5"/>
      <c r="BX228" s="5"/>
      <c r="BY228" s="5"/>
      <c r="BZ228" s="5"/>
      <c r="CA228" s="5"/>
      <c r="CB228" s="5"/>
      <c r="CJ228" s="691">
        <v>46203</v>
      </c>
      <c r="CK228" s="1031" t="s">
        <v>940</v>
      </c>
      <c r="CL228" s="1031" t="s">
        <v>2520</v>
      </c>
      <c r="CM228" s="5">
        <v>9946123</v>
      </c>
      <c r="CN228" s="694">
        <v>44</v>
      </c>
      <c r="CO228" s="5">
        <v>10141888.98</v>
      </c>
    </row>
    <row r="229" spans="66:93">
      <c r="BN229" s="5"/>
      <c r="BR229" s="215"/>
      <c r="BW229" s="5"/>
      <c r="BX229" s="5"/>
      <c r="BY229" s="5"/>
      <c r="BZ229" s="5"/>
      <c r="CA229" s="5"/>
      <c r="CB229" s="5"/>
      <c r="CJ229" s="691">
        <v>46203</v>
      </c>
      <c r="CK229" s="1031" t="s">
        <v>941</v>
      </c>
      <c r="CL229" s="1031" t="s">
        <v>2521</v>
      </c>
      <c r="CM229" s="5">
        <v>32977552.390000001</v>
      </c>
      <c r="CN229" s="694">
        <v>106</v>
      </c>
      <c r="CO229" s="5">
        <v>33137559.510000002</v>
      </c>
    </row>
    <row r="230" spans="66:93">
      <c r="BN230" s="5"/>
      <c r="BR230" s="215"/>
      <c r="BW230" s="5"/>
      <c r="BX230" s="5"/>
      <c r="BY230" s="5"/>
      <c r="BZ230" s="5"/>
      <c r="CA230" s="5"/>
      <c r="CB230" s="5"/>
      <c r="CJ230" s="691">
        <v>46203</v>
      </c>
      <c r="CK230" s="1031" t="s">
        <v>942</v>
      </c>
      <c r="CL230" s="1031" t="s">
        <v>2522</v>
      </c>
      <c r="CM230" s="5">
        <v>5602825</v>
      </c>
      <c r="CN230" s="694">
        <v>16</v>
      </c>
      <c r="CO230" s="5">
        <v>5146965.8900000006</v>
      </c>
    </row>
    <row r="231" spans="66:93">
      <c r="BN231" s="5"/>
      <c r="BR231" s="215"/>
      <c r="BW231" s="5"/>
      <c r="BX231" s="5"/>
      <c r="BY231" s="5"/>
      <c r="BZ231" s="5"/>
      <c r="CA231" s="5"/>
      <c r="CB231" s="5"/>
      <c r="CJ231" s="691">
        <v>46203</v>
      </c>
      <c r="CK231" s="1031" t="s">
        <v>943</v>
      </c>
      <c r="CL231" s="1031" t="s">
        <v>2523</v>
      </c>
      <c r="CM231" s="5">
        <v>1290860</v>
      </c>
      <c r="CN231" s="694">
        <v>5</v>
      </c>
      <c r="CO231" s="5">
        <v>1379252.1400000001</v>
      </c>
    </row>
    <row r="232" spans="66:93">
      <c r="BN232" s="5"/>
      <c r="BR232" s="215"/>
      <c r="BW232" s="5"/>
      <c r="BX232" s="5"/>
      <c r="BY232" s="5"/>
      <c r="BZ232" s="5"/>
      <c r="CA232" s="5"/>
      <c r="CB232" s="5"/>
      <c r="CJ232" s="691">
        <v>46203</v>
      </c>
      <c r="CK232" s="1031" t="s">
        <v>944</v>
      </c>
      <c r="CL232" s="1031" t="s">
        <v>2524</v>
      </c>
      <c r="CM232" s="5">
        <v>6821310</v>
      </c>
      <c r="CN232" s="694">
        <v>18</v>
      </c>
      <c r="CO232" s="5">
        <v>7023081.4199999999</v>
      </c>
    </row>
    <row r="233" spans="66:93">
      <c r="BN233" s="5"/>
      <c r="BR233" s="215"/>
      <c r="BW233" s="5"/>
      <c r="BX233" s="5"/>
      <c r="BY233" s="5"/>
      <c r="BZ233" s="5"/>
      <c r="CA233" s="5"/>
      <c r="CB233" s="5"/>
      <c r="CJ233" s="691">
        <v>46203</v>
      </c>
      <c r="CK233" s="1031" t="s">
        <v>945</v>
      </c>
      <c r="CL233" s="1031" t="s">
        <v>2525</v>
      </c>
      <c r="CM233" s="5">
        <v>1119000</v>
      </c>
      <c r="CN233" s="694">
        <v>6</v>
      </c>
      <c r="CO233" s="5">
        <v>1150894.8500000001</v>
      </c>
    </row>
    <row r="234" spans="66:93">
      <c r="BN234" s="5"/>
      <c r="BR234" s="215"/>
      <c r="BW234" s="5"/>
      <c r="BX234" s="5"/>
      <c r="BY234" s="5"/>
      <c r="BZ234" s="5"/>
      <c r="CA234" s="5"/>
      <c r="CB234" s="5"/>
      <c r="CJ234" s="691">
        <v>46203</v>
      </c>
      <c r="CK234" s="1031" t="s">
        <v>946</v>
      </c>
      <c r="CL234" s="1031" t="s">
        <v>2526</v>
      </c>
      <c r="CM234" s="5">
        <v>13283745</v>
      </c>
      <c r="CN234" s="694">
        <v>40</v>
      </c>
      <c r="CO234" s="5">
        <v>12971014.42</v>
      </c>
    </row>
    <row r="235" spans="66:93">
      <c r="BN235" s="5"/>
      <c r="BR235" s="215"/>
      <c r="BW235" s="5"/>
      <c r="BX235" s="5"/>
      <c r="BY235" s="5"/>
      <c r="BZ235" s="5"/>
      <c r="CA235" s="5"/>
      <c r="CB235" s="5"/>
      <c r="CJ235" s="691">
        <v>46203</v>
      </c>
      <c r="CK235" s="1031" t="s">
        <v>947</v>
      </c>
      <c r="CL235" s="1031" t="s">
        <v>2527</v>
      </c>
      <c r="CM235" s="5">
        <v>0</v>
      </c>
      <c r="CN235" s="694">
        <v>0</v>
      </c>
      <c r="CO235" s="5">
        <v>0</v>
      </c>
    </row>
    <row r="236" spans="66:93">
      <c r="BN236" s="5"/>
      <c r="BR236" s="215"/>
      <c r="BW236" s="5"/>
      <c r="BX236" s="5"/>
      <c r="BY236" s="5"/>
      <c r="BZ236" s="5"/>
      <c r="CA236" s="5"/>
      <c r="CB236" s="5"/>
      <c r="CJ236" s="691">
        <v>46203</v>
      </c>
      <c r="CK236" s="1031" t="s">
        <v>948</v>
      </c>
      <c r="CL236" s="1031" t="s">
        <v>2528</v>
      </c>
      <c r="CM236" s="5">
        <v>762840</v>
      </c>
      <c r="CN236" s="694">
        <v>3</v>
      </c>
      <c r="CO236" s="5">
        <v>762840</v>
      </c>
    </row>
    <row r="237" spans="66:93">
      <c r="BN237" s="5"/>
      <c r="BR237" s="215"/>
      <c r="BW237" s="5"/>
      <c r="BX237" s="5"/>
      <c r="BY237" s="5"/>
      <c r="BZ237" s="5"/>
      <c r="CA237" s="5"/>
      <c r="CB237" s="5"/>
      <c r="CJ237" s="691">
        <v>46203</v>
      </c>
      <c r="CK237" s="1031" t="s">
        <v>949</v>
      </c>
      <c r="CL237" s="1031" t="s">
        <v>2529</v>
      </c>
      <c r="CM237" s="5">
        <v>253240</v>
      </c>
      <c r="CN237" s="694">
        <v>3</v>
      </c>
      <c r="CO237" s="5">
        <v>253240</v>
      </c>
    </row>
    <row r="238" spans="66:93">
      <c r="BN238" s="5"/>
      <c r="BR238" s="215"/>
      <c r="BW238" s="5"/>
      <c r="BX238" s="5"/>
      <c r="BY238" s="5"/>
      <c r="BZ238" s="5"/>
      <c r="CA238" s="5"/>
      <c r="CB238" s="5"/>
      <c r="CJ238" s="691">
        <v>46203</v>
      </c>
      <c r="CK238" s="1031" t="s">
        <v>950</v>
      </c>
      <c r="CL238" s="1031" t="s">
        <v>2530</v>
      </c>
      <c r="CM238" s="5">
        <v>266732</v>
      </c>
      <c r="CN238" s="694">
        <v>2</v>
      </c>
      <c r="CO238" s="5">
        <v>266732</v>
      </c>
    </row>
    <row r="239" spans="66:93">
      <c r="BN239" s="5"/>
      <c r="BR239" s="215"/>
      <c r="BW239" s="5"/>
      <c r="BX239" s="5"/>
      <c r="BY239" s="5"/>
      <c r="BZ239" s="5"/>
      <c r="CA239" s="5"/>
      <c r="CB239" s="5"/>
      <c r="CJ239" s="691">
        <v>46203</v>
      </c>
      <c r="CK239" s="1031" t="s">
        <v>951</v>
      </c>
      <c r="CL239" s="1031" t="s">
        <v>2531</v>
      </c>
      <c r="CM239" s="5">
        <v>0</v>
      </c>
      <c r="CN239" s="694">
        <v>0</v>
      </c>
      <c r="CO239" s="5">
        <v>0</v>
      </c>
    </row>
    <row r="240" spans="66:93">
      <c r="BN240" s="5"/>
      <c r="BR240" s="215"/>
      <c r="BW240" s="5"/>
      <c r="BX240" s="5"/>
      <c r="BY240" s="5"/>
      <c r="BZ240" s="5"/>
      <c r="CA240" s="5"/>
      <c r="CB240" s="5"/>
      <c r="CJ240" s="691">
        <v>46203</v>
      </c>
      <c r="CK240" s="1031" t="s">
        <v>952</v>
      </c>
      <c r="CL240" s="1031" t="s">
        <v>2532</v>
      </c>
      <c r="CM240" s="5">
        <v>5601202</v>
      </c>
      <c r="CN240" s="694">
        <v>22</v>
      </c>
      <c r="CO240" s="5">
        <v>5608337.9500000002</v>
      </c>
    </row>
    <row r="241" spans="66:93">
      <c r="BN241" s="5"/>
      <c r="BR241" s="215"/>
      <c r="BW241" s="5"/>
      <c r="BX241" s="5"/>
      <c r="BY241" s="5"/>
      <c r="BZ241" s="5"/>
      <c r="CA241" s="5"/>
      <c r="CB241" s="5"/>
      <c r="CJ241" s="691">
        <v>46203</v>
      </c>
      <c r="CK241" s="1031" t="s">
        <v>953</v>
      </c>
      <c r="CL241" s="1031" t="s">
        <v>2533</v>
      </c>
      <c r="CM241" s="5">
        <v>0</v>
      </c>
      <c r="CN241" s="694">
        <v>0</v>
      </c>
      <c r="CO241" s="5">
        <v>0</v>
      </c>
    </row>
    <row r="242" spans="66:93">
      <c r="BN242" s="5"/>
      <c r="BR242" s="215"/>
      <c r="BW242" s="5"/>
      <c r="BX242" s="5"/>
      <c r="BY242" s="5"/>
      <c r="BZ242" s="5"/>
      <c r="CA242" s="5"/>
      <c r="CB242" s="5"/>
      <c r="CJ242" s="691">
        <v>46203</v>
      </c>
      <c r="CK242" s="1031" t="s">
        <v>954</v>
      </c>
      <c r="CL242" s="1031" t="s">
        <v>2534</v>
      </c>
      <c r="CM242" s="5">
        <v>6039762</v>
      </c>
      <c r="CN242" s="694">
        <v>18</v>
      </c>
      <c r="CO242" s="5">
        <v>6240461.0599999996</v>
      </c>
    </row>
    <row r="243" spans="66:93">
      <c r="BN243" s="5"/>
      <c r="BR243" s="215"/>
      <c r="BW243" s="5"/>
      <c r="BX243" s="5"/>
      <c r="BY243" s="5"/>
      <c r="BZ243" s="5"/>
      <c r="CA243" s="5"/>
      <c r="CB243" s="5"/>
      <c r="CJ243" s="691">
        <v>46203</v>
      </c>
      <c r="CK243" s="1031" t="s">
        <v>955</v>
      </c>
      <c r="CL243" s="1031" t="s">
        <v>2535</v>
      </c>
      <c r="CM243" s="5">
        <v>265000</v>
      </c>
      <c r="CN243" s="694">
        <v>1</v>
      </c>
      <c r="CO243" s="5">
        <v>265000</v>
      </c>
    </row>
    <row r="244" spans="66:93">
      <c r="BN244" s="5"/>
      <c r="BR244" s="215"/>
      <c r="BW244" s="5"/>
      <c r="BX244" s="5"/>
      <c r="BY244" s="5"/>
      <c r="BZ244" s="5"/>
      <c r="CA244" s="5"/>
      <c r="CB244" s="5"/>
      <c r="CJ244" s="691">
        <v>46203</v>
      </c>
      <c r="CK244" s="1031" t="s">
        <v>956</v>
      </c>
      <c r="CL244" s="1031" t="s">
        <v>2536</v>
      </c>
      <c r="CM244" s="5">
        <v>23584599</v>
      </c>
      <c r="CN244" s="694">
        <v>62</v>
      </c>
      <c r="CO244" s="5">
        <v>24466525.249999996</v>
      </c>
    </row>
    <row r="245" spans="66:93">
      <c r="BN245" s="5"/>
      <c r="BR245" s="215"/>
      <c r="BW245" s="5"/>
      <c r="BX245" s="5"/>
      <c r="BY245" s="5"/>
      <c r="BZ245" s="5"/>
      <c r="CA245" s="5"/>
      <c r="CB245" s="5"/>
      <c r="CJ245" s="691">
        <v>46203</v>
      </c>
      <c r="CK245" s="1031" t="s">
        <v>957</v>
      </c>
      <c r="CL245" s="1031" t="s">
        <v>2537</v>
      </c>
      <c r="CM245" s="5">
        <v>2055429</v>
      </c>
      <c r="CN245" s="694">
        <v>13</v>
      </c>
      <c r="CO245" s="5">
        <v>2121545.5300000003</v>
      </c>
    </row>
    <row r="246" spans="66:93">
      <c r="BN246" s="5"/>
      <c r="BR246" s="215"/>
      <c r="BW246" s="5"/>
      <c r="BX246" s="5"/>
      <c r="BY246" s="5"/>
      <c r="BZ246" s="5"/>
      <c r="CA246" s="5"/>
      <c r="CB246" s="5"/>
      <c r="CJ246" s="691">
        <v>46203</v>
      </c>
      <c r="CK246" s="1031" t="s">
        <v>958</v>
      </c>
      <c r="CL246" s="1031" t="s">
        <v>2538</v>
      </c>
      <c r="CM246" s="5">
        <v>483296</v>
      </c>
      <c r="CN246" s="694">
        <v>3</v>
      </c>
      <c r="CO246" s="5">
        <v>529140.64</v>
      </c>
    </row>
    <row r="247" spans="66:93">
      <c r="BN247" s="5"/>
      <c r="BR247" s="215"/>
      <c r="BW247" s="5"/>
      <c r="BX247" s="5"/>
      <c r="BY247" s="5"/>
      <c r="BZ247" s="5"/>
      <c r="CA247" s="5"/>
      <c r="CB247" s="5"/>
      <c r="CJ247" s="691">
        <v>46203</v>
      </c>
      <c r="CK247" s="1031" t="s">
        <v>959</v>
      </c>
      <c r="CL247" s="1031" t="s">
        <v>2539</v>
      </c>
      <c r="CM247" s="5">
        <v>1797096</v>
      </c>
      <c r="CN247" s="694">
        <v>10</v>
      </c>
      <c r="CO247" s="5">
        <v>1943880.02</v>
      </c>
    </row>
    <row r="248" spans="66:93">
      <c r="BN248" s="5"/>
      <c r="BR248" s="215"/>
      <c r="BW248" s="5"/>
      <c r="BX248" s="5"/>
      <c r="BY248" s="5"/>
      <c r="BZ248" s="5"/>
      <c r="CA248" s="5"/>
      <c r="CB248" s="5"/>
      <c r="CJ248" s="691">
        <v>46203</v>
      </c>
      <c r="CK248" s="1031" t="s">
        <v>960</v>
      </c>
      <c r="CL248" s="1031" t="s">
        <v>2540</v>
      </c>
      <c r="CM248" s="5">
        <v>7041813</v>
      </c>
      <c r="CN248" s="694">
        <v>13</v>
      </c>
      <c r="CO248" s="5">
        <v>6795978.7400000002</v>
      </c>
    </row>
    <row r="249" spans="66:93">
      <c r="BN249" s="5"/>
      <c r="BR249" s="215"/>
      <c r="BW249" s="5"/>
      <c r="BX249" s="5"/>
      <c r="BY249" s="5"/>
      <c r="BZ249" s="5"/>
      <c r="CA249" s="5"/>
      <c r="CB249" s="5"/>
      <c r="CJ249" s="691">
        <v>46203</v>
      </c>
      <c r="CK249" s="1031" t="s">
        <v>961</v>
      </c>
      <c r="CL249" s="1031" t="s">
        <v>2541</v>
      </c>
      <c r="CM249" s="5">
        <v>4387148</v>
      </c>
      <c r="CN249" s="694">
        <v>10</v>
      </c>
      <c r="CO249" s="5">
        <v>4387148</v>
      </c>
    </row>
    <row r="250" spans="66:93">
      <c r="BN250" s="5"/>
      <c r="BR250" s="215"/>
      <c r="BW250" s="5"/>
      <c r="BX250" s="5"/>
      <c r="BY250" s="5"/>
      <c r="BZ250" s="5"/>
      <c r="CA250" s="5"/>
      <c r="CB250" s="5"/>
      <c r="CJ250" s="691">
        <v>46203</v>
      </c>
      <c r="CK250" s="1031" t="s">
        <v>962</v>
      </c>
      <c r="CL250" s="1031" t="s">
        <v>2542</v>
      </c>
      <c r="CM250" s="5">
        <v>3146000</v>
      </c>
      <c r="CN250" s="694">
        <v>13</v>
      </c>
      <c r="CO250" s="5">
        <v>3421724.03</v>
      </c>
    </row>
    <row r="251" spans="66:93">
      <c r="BN251" s="5"/>
      <c r="BR251" s="215"/>
      <c r="BW251" s="5"/>
      <c r="BX251" s="5"/>
      <c r="BY251" s="5"/>
      <c r="BZ251" s="5"/>
      <c r="CA251" s="5"/>
      <c r="CB251" s="5"/>
      <c r="CJ251" s="691">
        <v>46203</v>
      </c>
      <c r="CK251" s="1031" t="s">
        <v>963</v>
      </c>
      <c r="CL251" s="1031" t="s">
        <v>2543</v>
      </c>
      <c r="CM251" s="5">
        <v>7335062</v>
      </c>
      <c r="CN251" s="694">
        <v>24</v>
      </c>
      <c r="CO251" s="5">
        <v>8866973.3300000001</v>
      </c>
    </row>
    <row r="252" spans="66:93">
      <c r="BN252" s="5"/>
      <c r="BR252" s="215"/>
      <c r="BW252" s="5"/>
      <c r="BX252" s="5"/>
      <c r="BY252" s="5"/>
      <c r="BZ252" s="5"/>
      <c r="CA252" s="5"/>
      <c r="CB252" s="5"/>
      <c r="CJ252" s="691">
        <v>46203</v>
      </c>
      <c r="CK252" s="1031" t="s">
        <v>964</v>
      </c>
      <c r="CL252" s="1031" t="s">
        <v>2544</v>
      </c>
      <c r="CM252" s="5">
        <v>13529497</v>
      </c>
      <c r="CN252" s="694">
        <v>31</v>
      </c>
      <c r="CO252" s="5">
        <v>14418067.500000002</v>
      </c>
    </row>
    <row r="253" spans="66:93">
      <c r="BN253" s="5"/>
      <c r="BR253" s="215"/>
      <c r="BW253" s="5"/>
      <c r="BX253" s="5"/>
      <c r="BY253" s="5"/>
      <c r="BZ253" s="5"/>
      <c r="CA253" s="5"/>
      <c r="CB253" s="5"/>
      <c r="CJ253" s="691">
        <v>46203</v>
      </c>
      <c r="CK253" s="1031" t="s">
        <v>965</v>
      </c>
      <c r="CL253" s="1031" t="s">
        <v>2545</v>
      </c>
      <c r="CM253" s="5">
        <v>3678774</v>
      </c>
      <c r="CN253" s="694">
        <v>10</v>
      </c>
      <c r="CO253" s="5">
        <v>3817593.6799999997</v>
      </c>
    </row>
    <row r="254" spans="66:93">
      <c r="BN254" s="5"/>
      <c r="BR254" s="215"/>
      <c r="BW254" s="5"/>
      <c r="BX254" s="5"/>
      <c r="BY254" s="5"/>
      <c r="BZ254" s="5"/>
      <c r="CA254" s="5"/>
      <c r="CB254" s="5"/>
      <c r="CJ254" s="691">
        <v>46203</v>
      </c>
      <c r="CK254" s="1031" t="s">
        <v>966</v>
      </c>
      <c r="CL254" s="1031" t="s">
        <v>2546</v>
      </c>
      <c r="CM254" s="5">
        <v>69403867.340000004</v>
      </c>
      <c r="CN254" s="694">
        <v>166</v>
      </c>
      <c r="CO254" s="5">
        <v>71346867.529999986</v>
      </c>
    </row>
    <row r="255" spans="66:93">
      <c r="BN255" s="5"/>
      <c r="BR255" s="215"/>
      <c r="BW255" s="5"/>
      <c r="BX255" s="5"/>
      <c r="BY255" s="5"/>
      <c r="BZ255" s="5"/>
      <c r="CA255" s="5"/>
      <c r="CB255" s="5"/>
      <c r="CJ255" s="691">
        <v>46203</v>
      </c>
      <c r="CK255" s="1031" t="s">
        <v>967</v>
      </c>
      <c r="CL255" s="1031" t="s">
        <v>2547</v>
      </c>
      <c r="CM255" s="5">
        <v>16421064</v>
      </c>
      <c r="CN255" s="694">
        <v>25</v>
      </c>
      <c r="CO255" s="5">
        <v>16878506.91</v>
      </c>
    </row>
    <row r="256" spans="66:93">
      <c r="BN256" s="5"/>
      <c r="BR256" s="215"/>
      <c r="BW256" s="5"/>
      <c r="BX256" s="5"/>
      <c r="BY256" s="5"/>
      <c r="BZ256" s="5"/>
      <c r="CA256" s="5"/>
      <c r="CB256" s="5"/>
      <c r="CJ256" s="691">
        <v>46203</v>
      </c>
      <c r="CK256" s="1031" t="s">
        <v>968</v>
      </c>
      <c r="CL256" s="1031" t="s">
        <v>2548</v>
      </c>
      <c r="CM256" s="5">
        <v>932169</v>
      </c>
      <c r="CN256" s="694">
        <v>4</v>
      </c>
      <c r="CO256" s="5">
        <v>1015951.44</v>
      </c>
    </row>
    <row r="257" spans="66:93">
      <c r="BN257" s="5"/>
      <c r="BR257" s="215"/>
      <c r="BW257" s="5"/>
      <c r="BX257" s="5"/>
      <c r="BY257" s="5"/>
      <c r="BZ257" s="5"/>
      <c r="CA257" s="5"/>
      <c r="CB257" s="5"/>
      <c r="CJ257" s="691">
        <v>46203</v>
      </c>
      <c r="CK257" s="1031" t="s">
        <v>969</v>
      </c>
      <c r="CL257" s="1031" t="s">
        <v>2549</v>
      </c>
      <c r="CM257" s="5">
        <v>29037680</v>
      </c>
      <c r="CN257" s="694">
        <v>63</v>
      </c>
      <c r="CO257" s="5">
        <v>29488377.16</v>
      </c>
    </row>
    <row r="258" spans="66:93">
      <c r="BN258" s="5"/>
      <c r="BR258" s="215"/>
      <c r="BW258" s="5"/>
      <c r="BX258" s="5"/>
      <c r="BY258" s="5"/>
      <c r="BZ258" s="5"/>
      <c r="CA258" s="5"/>
      <c r="CB258" s="5"/>
      <c r="CJ258" s="691">
        <v>46203</v>
      </c>
      <c r="CK258" s="1031" t="s">
        <v>970</v>
      </c>
      <c r="CL258" s="1031" t="s">
        <v>2550</v>
      </c>
      <c r="CM258" s="5">
        <v>0</v>
      </c>
      <c r="CN258" s="694">
        <v>0</v>
      </c>
      <c r="CO258" s="5">
        <v>0</v>
      </c>
    </row>
    <row r="259" spans="66:93">
      <c r="BN259" s="5"/>
      <c r="BR259" s="215"/>
      <c r="BW259" s="5"/>
      <c r="BX259" s="5"/>
      <c r="BY259" s="5"/>
      <c r="BZ259" s="5"/>
      <c r="CA259" s="5"/>
      <c r="CB259" s="5"/>
      <c r="CJ259" s="691">
        <v>46203</v>
      </c>
      <c r="CK259" s="1031" t="s">
        <v>971</v>
      </c>
      <c r="CL259" s="1031" t="s">
        <v>2551</v>
      </c>
      <c r="CM259" s="5">
        <v>0</v>
      </c>
      <c r="CN259" s="694">
        <v>0</v>
      </c>
      <c r="CO259" s="5">
        <v>0</v>
      </c>
    </row>
    <row r="260" spans="66:93">
      <c r="BN260" s="5"/>
      <c r="BR260" s="215"/>
      <c r="BW260" s="5"/>
      <c r="BX260" s="5"/>
      <c r="BY260" s="5"/>
      <c r="BZ260" s="5"/>
      <c r="CA260" s="5"/>
      <c r="CB260" s="5"/>
      <c r="CJ260" s="691">
        <v>46203</v>
      </c>
      <c r="CK260" s="1031" t="s">
        <v>972</v>
      </c>
      <c r="CL260" s="1031" t="s">
        <v>2552</v>
      </c>
      <c r="CM260" s="5">
        <v>608300</v>
      </c>
      <c r="CN260" s="694">
        <v>4</v>
      </c>
      <c r="CO260" s="5">
        <v>608300</v>
      </c>
    </row>
    <row r="261" spans="66:93">
      <c r="BN261" s="5"/>
      <c r="BR261" s="215"/>
      <c r="BW261" s="5"/>
      <c r="BX261" s="5"/>
      <c r="BY261" s="5"/>
      <c r="BZ261" s="5"/>
      <c r="CA261" s="5"/>
      <c r="CB261" s="5"/>
      <c r="CJ261" s="691">
        <v>46203</v>
      </c>
      <c r="CK261" s="1031" t="s">
        <v>973</v>
      </c>
      <c r="CL261" s="1031" t="s">
        <v>2553</v>
      </c>
      <c r="CM261" s="5">
        <v>843000</v>
      </c>
      <c r="CN261" s="694">
        <v>2</v>
      </c>
      <c r="CO261" s="5">
        <v>843000</v>
      </c>
    </row>
    <row r="262" spans="66:93">
      <c r="BN262" s="5"/>
      <c r="BR262" s="215"/>
      <c r="BW262" s="5"/>
      <c r="BX262" s="5"/>
      <c r="BY262" s="5"/>
      <c r="BZ262" s="5"/>
      <c r="CA262" s="5"/>
      <c r="CB262" s="5"/>
      <c r="CJ262" s="691">
        <v>46203</v>
      </c>
      <c r="CK262" s="1031" t="s">
        <v>974</v>
      </c>
      <c r="CL262" s="1031" t="s">
        <v>2554</v>
      </c>
      <c r="CM262" s="5">
        <v>9023547</v>
      </c>
      <c r="CN262" s="694">
        <v>27</v>
      </c>
      <c r="CO262" s="5">
        <v>9359043.3699999992</v>
      </c>
    </row>
    <row r="263" spans="66:93">
      <c r="BN263" s="5"/>
      <c r="BR263" s="215"/>
      <c r="BW263" s="5"/>
      <c r="BX263" s="5"/>
      <c r="BY263" s="5"/>
      <c r="BZ263" s="5"/>
      <c r="CA263" s="5"/>
      <c r="CB263" s="5"/>
      <c r="CJ263" s="691">
        <v>46203</v>
      </c>
      <c r="CK263" s="1031" t="s">
        <v>975</v>
      </c>
      <c r="CL263" s="1031" t="s">
        <v>2555</v>
      </c>
      <c r="CM263" s="5">
        <v>738658</v>
      </c>
      <c r="CN263" s="694">
        <v>3</v>
      </c>
      <c r="CO263" s="5">
        <v>816007.84</v>
      </c>
    </row>
    <row r="264" spans="66:93">
      <c r="BN264" s="5"/>
      <c r="BR264" s="215"/>
      <c r="BW264" s="5"/>
      <c r="BX264" s="5"/>
      <c r="BY264" s="5"/>
      <c r="BZ264" s="5"/>
      <c r="CA264" s="5"/>
      <c r="CB264" s="5"/>
      <c r="CJ264" s="691">
        <v>46203</v>
      </c>
      <c r="CK264" s="1031" t="s">
        <v>976</v>
      </c>
      <c r="CL264" s="1031" t="s">
        <v>2556</v>
      </c>
      <c r="CM264" s="5">
        <v>994474</v>
      </c>
      <c r="CN264" s="694">
        <v>6</v>
      </c>
      <c r="CO264" s="5">
        <v>994474</v>
      </c>
    </row>
    <row r="265" spans="66:93">
      <c r="BN265" s="5"/>
      <c r="BR265" s="215"/>
      <c r="BW265" s="5"/>
      <c r="BX265" s="5"/>
      <c r="BY265" s="5"/>
      <c r="BZ265" s="5"/>
      <c r="CA265" s="5"/>
      <c r="CB265" s="5"/>
      <c r="CJ265" s="691">
        <v>46203</v>
      </c>
      <c r="CK265" s="1031" t="s">
        <v>977</v>
      </c>
      <c r="CL265" s="1031" t="s">
        <v>2557</v>
      </c>
      <c r="CM265" s="5">
        <v>1060648</v>
      </c>
      <c r="CN265" s="694">
        <v>5</v>
      </c>
      <c r="CO265" s="5">
        <v>1207150.25</v>
      </c>
    </row>
    <row r="266" spans="66:93">
      <c r="BN266" s="5"/>
      <c r="BR266" s="215"/>
      <c r="BW266" s="5"/>
      <c r="BX266" s="5"/>
      <c r="BY266" s="5"/>
      <c r="BZ266" s="5"/>
      <c r="CA266" s="5"/>
      <c r="CB266" s="5"/>
      <c r="CJ266" s="691">
        <v>46203</v>
      </c>
      <c r="CK266" s="1031" t="s">
        <v>978</v>
      </c>
      <c r="CL266" s="1031" t="s">
        <v>2558</v>
      </c>
      <c r="CM266" s="5">
        <v>14978488</v>
      </c>
      <c r="CN266" s="694">
        <v>30</v>
      </c>
      <c r="CO266" s="5">
        <v>14852826.440000001</v>
      </c>
    </row>
    <row r="267" spans="66:93">
      <c r="BN267" s="5"/>
      <c r="BR267" s="215"/>
      <c r="BW267" s="5"/>
      <c r="BX267" s="5"/>
      <c r="BY267" s="5"/>
      <c r="BZ267" s="5"/>
      <c r="CA267" s="5"/>
      <c r="CB267" s="5"/>
      <c r="CJ267" s="691">
        <v>46203</v>
      </c>
      <c r="CK267" s="1031" t="s">
        <v>979</v>
      </c>
      <c r="CL267" s="1031" t="s">
        <v>2559</v>
      </c>
      <c r="CM267" s="5">
        <v>19858668</v>
      </c>
      <c r="CN267" s="694">
        <v>73</v>
      </c>
      <c r="CO267" s="5">
        <v>20185543.199999999</v>
      </c>
    </row>
    <row r="268" spans="66:93">
      <c r="BN268" s="5"/>
      <c r="BR268" s="215"/>
      <c r="BW268" s="5"/>
      <c r="BX268" s="5"/>
      <c r="BY268" s="5"/>
      <c r="BZ268" s="5"/>
      <c r="CA268" s="5"/>
      <c r="CB268" s="5"/>
      <c r="CJ268" s="691">
        <v>46203</v>
      </c>
      <c r="CK268" s="1031" t="s">
        <v>980</v>
      </c>
      <c r="CL268" s="1031" t="s">
        <v>2560</v>
      </c>
      <c r="CM268" s="5">
        <v>0</v>
      </c>
      <c r="CN268" s="694">
        <v>0</v>
      </c>
      <c r="CO268" s="5">
        <v>0</v>
      </c>
    </row>
    <row r="269" spans="66:93">
      <c r="BN269" s="5"/>
      <c r="BR269" s="215"/>
      <c r="BW269" s="5"/>
      <c r="BX269" s="5"/>
      <c r="BY269" s="5"/>
      <c r="BZ269" s="5"/>
      <c r="CA269" s="5"/>
      <c r="CB269" s="5"/>
      <c r="CJ269" s="691">
        <v>46203</v>
      </c>
      <c r="CK269" s="1031" t="s">
        <v>981</v>
      </c>
      <c r="CL269" s="1031" t="s">
        <v>2561</v>
      </c>
      <c r="CM269" s="5">
        <v>1924623</v>
      </c>
      <c r="CN269" s="694">
        <v>8</v>
      </c>
      <c r="CO269" s="5">
        <v>1975305.26</v>
      </c>
    </row>
    <row r="270" spans="66:93">
      <c r="BN270" s="5"/>
      <c r="BR270" s="215"/>
      <c r="BW270" s="5"/>
      <c r="BX270" s="5"/>
      <c r="BY270" s="5"/>
      <c r="BZ270" s="5"/>
      <c r="CA270" s="5"/>
      <c r="CB270" s="5"/>
      <c r="CJ270" s="691">
        <v>46203</v>
      </c>
      <c r="CK270" s="1031" t="s">
        <v>982</v>
      </c>
      <c r="CL270" s="1031" t="s">
        <v>2562</v>
      </c>
      <c r="CM270" s="5">
        <v>134670</v>
      </c>
      <c r="CN270" s="694">
        <v>1</v>
      </c>
      <c r="CO270" s="5">
        <v>134670</v>
      </c>
    </row>
    <row r="271" spans="66:93">
      <c r="BN271" s="5"/>
      <c r="BR271" s="215"/>
      <c r="BW271" s="5"/>
      <c r="BX271" s="5"/>
      <c r="BY271" s="5"/>
      <c r="BZ271" s="5"/>
      <c r="CA271" s="5"/>
      <c r="CB271" s="5"/>
      <c r="CJ271" s="691">
        <v>46203</v>
      </c>
      <c r="CK271" s="1031" t="s">
        <v>983</v>
      </c>
      <c r="CL271" s="1031" t="s">
        <v>2563</v>
      </c>
      <c r="CM271" s="5">
        <v>0</v>
      </c>
      <c r="CN271" s="694">
        <v>0</v>
      </c>
      <c r="CO271" s="5">
        <v>0</v>
      </c>
    </row>
    <row r="272" spans="66:93">
      <c r="BN272" s="5"/>
      <c r="BR272" s="215"/>
      <c r="BW272" s="5"/>
      <c r="BX272" s="5"/>
      <c r="BY272" s="5"/>
      <c r="BZ272" s="5"/>
      <c r="CA272" s="5"/>
      <c r="CB272" s="5"/>
      <c r="CJ272" s="691">
        <v>46203</v>
      </c>
      <c r="CK272" s="1031" t="s">
        <v>984</v>
      </c>
      <c r="CL272" s="1031" t="s">
        <v>2564</v>
      </c>
      <c r="CM272" s="5">
        <v>35564064</v>
      </c>
      <c r="CN272" s="694">
        <v>115</v>
      </c>
      <c r="CO272" s="5">
        <v>36343199.43</v>
      </c>
    </row>
    <row r="273" spans="66:93">
      <c r="BN273" s="5"/>
      <c r="BR273" s="215"/>
      <c r="BW273" s="5"/>
      <c r="BX273" s="5"/>
      <c r="BY273" s="5"/>
      <c r="BZ273" s="5"/>
      <c r="CA273" s="5"/>
      <c r="CB273" s="5"/>
      <c r="CJ273" s="691">
        <v>46203</v>
      </c>
      <c r="CK273" s="1031" t="s">
        <v>985</v>
      </c>
      <c r="CL273" s="1031" t="s">
        <v>2565</v>
      </c>
      <c r="CM273" s="5">
        <v>1141000</v>
      </c>
      <c r="CN273" s="694">
        <v>3</v>
      </c>
      <c r="CO273" s="5">
        <v>1141000</v>
      </c>
    </row>
    <row r="274" spans="66:93">
      <c r="BN274" s="5"/>
      <c r="BR274" s="215"/>
      <c r="BW274" s="5"/>
      <c r="BX274" s="5"/>
      <c r="BY274" s="5"/>
      <c r="BZ274" s="5"/>
      <c r="CA274" s="5"/>
      <c r="CB274" s="5"/>
      <c r="CJ274" s="691">
        <v>46203</v>
      </c>
      <c r="CK274" s="1031" t="s">
        <v>986</v>
      </c>
      <c r="CL274" s="1031" t="s">
        <v>2566</v>
      </c>
      <c r="CM274" s="5">
        <v>435000</v>
      </c>
      <c r="CN274" s="694">
        <v>2</v>
      </c>
      <c r="CO274" s="5">
        <v>435000</v>
      </c>
    </row>
    <row r="275" spans="66:93">
      <c r="BN275" s="5"/>
      <c r="BR275" s="215"/>
      <c r="BW275" s="5"/>
      <c r="BX275" s="5"/>
      <c r="BY275" s="5"/>
      <c r="BZ275" s="5"/>
      <c r="CA275" s="5"/>
      <c r="CB275" s="5"/>
      <c r="CJ275" s="691">
        <v>46203</v>
      </c>
      <c r="CK275" s="1031" t="s">
        <v>987</v>
      </c>
      <c r="CL275" s="1031" t="s">
        <v>2567</v>
      </c>
      <c r="CM275" s="5">
        <v>725500</v>
      </c>
      <c r="CN275" s="694">
        <v>4</v>
      </c>
      <c r="CO275" s="5">
        <v>801847.46</v>
      </c>
    </row>
    <row r="276" spans="66:93">
      <c r="BN276" s="5"/>
      <c r="BR276" s="215"/>
      <c r="BW276" s="5"/>
      <c r="BX276" s="5"/>
      <c r="BY276" s="5"/>
      <c r="BZ276" s="5"/>
      <c r="CA276" s="5"/>
      <c r="CB276" s="5"/>
      <c r="CJ276" s="691">
        <v>46203</v>
      </c>
      <c r="CK276" s="1031" t="s">
        <v>988</v>
      </c>
      <c r="CL276" s="1031" t="s">
        <v>2568</v>
      </c>
      <c r="CM276" s="5">
        <v>1754131</v>
      </c>
      <c r="CN276" s="694">
        <v>6</v>
      </c>
      <c r="CO276" s="5">
        <v>1754131</v>
      </c>
    </row>
    <row r="277" spans="66:93">
      <c r="BN277" s="5"/>
      <c r="BR277" s="215"/>
      <c r="BW277" s="5"/>
      <c r="BX277" s="5"/>
      <c r="BY277" s="5"/>
      <c r="BZ277" s="5"/>
      <c r="CA277" s="5"/>
      <c r="CB277" s="5"/>
      <c r="CJ277" s="691">
        <v>46203</v>
      </c>
      <c r="CK277" s="1031" t="s">
        <v>989</v>
      </c>
      <c r="CL277" s="1031" t="s">
        <v>2569</v>
      </c>
      <c r="CM277" s="5">
        <v>2675080</v>
      </c>
      <c r="CN277" s="694">
        <v>10</v>
      </c>
      <c r="CO277" s="5">
        <v>2675080</v>
      </c>
    </row>
    <row r="278" spans="66:93">
      <c r="BN278" s="5"/>
      <c r="BR278" s="215"/>
      <c r="BW278" s="5"/>
      <c r="BX278" s="5"/>
      <c r="BY278" s="5"/>
      <c r="BZ278" s="5"/>
      <c r="CA278" s="5"/>
      <c r="CB278" s="5"/>
      <c r="CJ278" s="691">
        <v>46203</v>
      </c>
      <c r="CK278" s="1031" t="s">
        <v>990</v>
      </c>
      <c r="CL278" s="1031" t="s">
        <v>2570</v>
      </c>
      <c r="CM278" s="5">
        <v>570000</v>
      </c>
      <c r="CN278" s="694">
        <v>1</v>
      </c>
      <c r="CO278" s="5">
        <v>570000</v>
      </c>
    </row>
    <row r="279" spans="66:93">
      <c r="BN279" s="5"/>
      <c r="BR279" s="215"/>
      <c r="BW279" s="5"/>
      <c r="BX279" s="5"/>
      <c r="BY279" s="5"/>
      <c r="BZ279" s="5"/>
      <c r="CA279" s="5"/>
      <c r="CB279" s="5"/>
      <c r="CJ279" s="691">
        <v>46203</v>
      </c>
      <c r="CK279" s="1031" t="s">
        <v>991</v>
      </c>
      <c r="CL279" s="1031" t="s">
        <v>2571</v>
      </c>
      <c r="CM279" s="5">
        <v>243200</v>
      </c>
      <c r="CN279" s="694">
        <v>1</v>
      </c>
      <c r="CO279" s="5">
        <v>243200</v>
      </c>
    </row>
    <row r="280" spans="66:93">
      <c r="BN280" s="5"/>
      <c r="BR280" s="215"/>
      <c r="BW280" s="5"/>
      <c r="BX280" s="5"/>
      <c r="BY280" s="5"/>
      <c r="BZ280" s="5"/>
      <c r="CA280" s="5"/>
      <c r="CB280" s="5"/>
      <c r="CJ280" s="691">
        <v>46203</v>
      </c>
      <c r="CK280" s="1031" t="s">
        <v>992</v>
      </c>
      <c r="CL280" s="1031" t="s">
        <v>2572</v>
      </c>
      <c r="CM280" s="5">
        <v>0</v>
      </c>
      <c r="CN280" s="694">
        <v>0</v>
      </c>
      <c r="CO280" s="5">
        <v>0</v>
      </c>
    </row>
    <row r="281" spans="66:93">
      <c r="BN281" s="5"/>
      <c r="BR281" s="215"/>
      <c r="BW281" s="5"/>
      <c r="BX281" s="5"/>
      <c r="BY281" s="5"/>
      <c r="BZ281" s="5"/>
      <c r="CA281" s="5"/>
      <c r="CB281" s="5"/>
      <c r="CJ281" s="691">
        <v>46203</v>
      </c>
      <c r="CK281" s="1031" t="s">
        <v>993</v>
      </c>
      <c r="CL281" s="1031" t="s">
        <v>2573</v>
      </c>
      <c r="CM281" s="5">
        <v>3240046</v>
      </c>
      <c r="CN281" s="694">
        <v>15</v>
      </c>
      <c r="CO281" s="5">
        <v>3292496.13</v>
      </c>
    </row>
    <row r="282" spans="66:93">
      <c r="BN282" s="5"/>
      <c r="BR282" s="215"/>
      <c r="BW282" s="5"/>
      <c r="BX282" s="5"/>
      <c r="BY282" s="5"/>
      <c r="BZ282" s="5"/>
      <c r="CA282" s="5"/>
      <c r="CB282" s="5"/>
      <c r="CJ282" s="691">
        <v>46203</v>
      </c>
      <c r="CK282" s="1031" t="s">
        <v>994</v>
      </c>
      <c r="CL282" s="1031" t="s">
        <v>2574</v>
      </c>
      <c r="CM282" s="5">
        <v>9079359</v>
      </c>
      <c r="CN282" s="694">
        <v>18</v>
      </c>
      <c r="CO282" s="5">
        <v>9631026.9600000009</v>
      </c>
    </row>
    <row r="283" spans="66:93">
      <c r="BN283" s="5"/>
      <c r="BR283" s="215"/>
      <c r="BW283" s="5"/>
      <c r="BX283" s="5"/>
      <c r="BY283" s="5"/>
      <c r="BZ283" s="5"/>
      <c r="CA283" s="5"/>
      <c r="CB283" s="5"/>
      <c r="CJ283" s="691">
        <v>46203</v>
      </c>
      <c r="CK283" s="1031" t="s">
        <v>995</v>
      </c>
      <c r="CL283" s="1031" t="s">
        <v>2575</v>
      </c>
      <c r="CM283" s="5">
        <v>1271000</v>
      </c>
      <c r="CN283" s="694">
        <v>4</v>
      </c>
      <c r="CO283" s="5">
        <v>1271000</v>
      </c>
    </row>
    <row r="284" spans="66:93">
      <c r="BN284" s="5"/>
      <c r="BR284" s="215"/>
      <c r="BW284" s="5"/>
      <c r="BX284" s="5"/>
      <c r="BY284" s="5"/>
      <c r="BZ284" s="5"/>
      <c r="CA284" s="5"/>
      <c r="CB284" s="5"/>
      <c r="CJ284" s="691">
        <v>46203</v>
      </c>
      <c r="CK284" s="1031" t="s">
        <v>996</v>
      </c>
      <c r="CL284" s="1031" t="s">
        <v>2576</v>
      </c>
      <c r="CM284" s="5">
        <v>1586500</v>
      </c>
      <c r="CN284" s="694">
        <v>6</v>
      </c>
      <c r="CO284" s="5">
        <v>1678705.03</v>
      </c>
    </row>
    <row r="285" spans="66:93">
      <c r="BN285" s="5"/>
      <c r="BR285" s="215"/>
      <c r="BW285" s="5"/>
      <c r="BX285" s="5"/>
      <c r="BY285" s="5"/>
      <c r="BZ285" s="5"/>
      <c r="CA285" s="5"/>
      <c r="CB285" s="5"/>
      <c r="CJ285" s="691">
        <v>46203</v>
      </c>
      <c r="CK285" s="1031" t="s">
        <v>997</v>
      </c>
      <c r="CL285" s="1031" t="s">
        <v>2577</v>
      </c>
      <c r="CM285" s="5">
        <v>20040882</v>
      </c>
      <c r="CN285" s="694">
        <v>63</v>
      </c>
      <c r="CO285" s="5">
        <v>20773838.649999999</v>
      </c>
    </row>
    <row r="286" spans="66:93">
      <c r="BN286" s="5"/>
      <c r="BR286" s="215"/>
      <c r="BW286" s="5"/>
      <c r="BX286" s="5"/>
      <c r="BY286" s="5"/>
      <c r="BZ286" s="5"/>
      <c r="CA286" s="5"/>
      <c r="CB286" s="5"/>
      <c r="CJ286" s="691">
        <v>46203</v>
      </c>
      <c r="CK286" s="1031" t="s">
        <v>998</v>
      </c>
      <c r="CL286" s="1031" t="s">
        <v>2578</v>
      </c>
      <c r="CM286" s="5">
        <v>2494387</v>
      </c>
      <c r="CN286" s="694">
        <v>11</v>
      </c>
      <c r="CO286" s="5">
        <v>2450787</v>
      </c>
    </row>
    <row r="287" spans="66:93">
      <c r="BN287" s="5"/>
      <c r="BR287" s="215"/>
      <c r="BW287" s="5"/>
      <c r="BX287" s="5"/>
      <c r="BY287" s="5"/>
      <c r="BZ287" s="5"/>
      <c r="CA287" s="5"/>
      <c r="CB287" s="5"/>
      <c r="CJ287" s="691">
        <v>46203</v>
      </c>
      <c r="CK287" s="1031" t="s">
        <v>999</v>
      </c>
      <c r="CL287" s="1031" t="s">
        <v>2579</v>
      </c>
      <c r="CM287" s="5">
        <v>60501210</v>
      </c>
      <c r="CN287" s="694">
        <v>147</v>
      </c>
      <c r="CO287" s="5">
        <v>61877329.100000001</v>
      </c>
    </row>
    <row r="288" spans="66:93">
      <c r="BN288" s="5"/>
      <c r="BR288" s="215"/>
      <c r="BW288" s="5"/>
      <c r="BX288" s="5"/>
      <c r="BY288" s="5"/>
      <c r="BZ288" s="5"/>
      <c r="CA288" s="5"/>
      <c r="CB288" s="5"/>
      <c r="CJ288" s="691">
        <v>46203</v>
      </c>
      <c r="CK288" s="1031" t="s">
        <v>1000</v>
      </c>
      <c r="CL288" s="1031" t="s">
        <v>2580</v>
      </c>
      <c r="CM288" s="5">
        <v>22932234</v>
      </c>
      <c r="CN288" s="694">
        <v>49</v>
      </c>
      <c r="CO288" s="5">
        <v>23474984.619999997</v>
      </c>
    </row>
    <row r="289" spans="66:93">
      <c r="BN289" s="5"/>
      <c r="BR289" s="215"/>
      <c r="BW289" s="5"/>
      <c r="BX289" s="5"/>
      <c r="BY289" s="5"/>
      <c r="BZ289" s="5"/>
      <c r="CA289" s="5"/>
      <c r="CB289" s="5"/>
      <c r="CJ289" s="691">
        <v>46203</v>
      </c>
      <c r="CK289" s="1031" t="s">
        <v>1001</v>
      </c>
      <c r="CL289" s="1031" t="s">
        <v>2581</v>
      </c>
      <c r="CM289" s="5">
        <v>27279408.199999999</v>
      </c>
      <c r="CN289" s="694">
        <v>49</v>
      </c>
      <c r="CO289" s="5">
        <v>27244926.18</v>
      </c>
    </row>
    <row r="290" spans="66:93">
      <c r="BN290" s="5"/>
      <c r="BR290" s="215"/>
      <c r="BW290" s="5"/>
      <c r="BX290" s="5"/>
      <c r="BY290" s="5"/>
      <c r="BZ290" s="5"/>
      <c r="CA290" s="5"/>
      <c r="CB290" s="5"/>
      <c r="CJ290" s="691">
        <v>46203</v>
      </c>
      <c r="CK290" s="1031" t="s">
        <v>1002</v>
      </c>
      <c r="CL290" s="1031" t="s">
        <v>2582</v>
      </c>
      <c r="CM290" s="5">
        <v>1979500</v>
      </c>
      <c r="CN290" s="694">
        <v>10</v>
      </c>
      <c r="CO290" s="5">
        <v>2047491.63</v>
      </c>
    </row>
    <row r="291" spans="66:93">
      <c r="BN291" s="5"/>
      <c r="BR291" s="215"/>
      <c r="BW291" s="5"/>
      <c r="BX291" s="5"/>
      <c r="BY291" s="5"/>
      <c r="BZ291" s="5"/>
      <c r="CA291" s="5"/>
      <c r="CB291" s="5"/>
      <c r="CJ291" s="691">
        <v>46203</v>
      </c>
      <c r="CK291" s="1031" t="s">
        <v>1003</v>
      </c>
      <c r="CL291" s="1031" t="s">
        <v>2583</v>
      </c>
      <c r="CM291" s="5">
        <v>0</v>
      </c>
      <c r="CN291" s="694">
        <v>0</v>
      </c>
      <c r="CO291" s="5">
        <v>0</v>
      </c>
    </row>
    <row r="292" spans="66:93">
      <c r="BN292" s="5"/>
      <c r="BR292" s="215"/>
      <c r="BW292" s="5"/>
      <c r="BX292" s="5"/>
      <c r="BY292" s="5"/>
      <c r="BZ292" s="5"/>
      <c r="CA292" s="5"/>
      <c r="CB292" s="5"/>
      <c r="CJ292" s="691">
        <v>46203</v>
      </c>
      <c r="CK292" s="1031" t="s">
        <v>1004</v>
      </c>
      <c r="CL292" s="1031" t="s">
        <v>2584</v>
      </c>
      <c r="CM292" s="5">
        <v>130664621</v>
      </c>
      <c r="CN292" s="694">
        <v>276</v>
      </c>
      <c r="CO292" s="5">
        <v>133290674.26000001</v>
      </c>
    </row>
    <row r="293" spans="66:93">
      <c r="BN293" s="5"/>
      <c r="BR293" s="215"/>
      <c r="BW293" s="5"/>
      <c r="BX293" s="5"/>
      <c r="BY293" s="5"/>
      <c r="BZ293" s="5"/>
      <c r="CA293" s="5"/>
      <c r="CB293" s="5"/>
      <c r="CJ293" s="691">
        <v>46203</v>
      </c>
      <c r="CK293" s="1031" t="s">
        <v>1005</v>
      </c>
      <c r="CL293" s="1031" t="s">
        <v>2585</v>
      </c>
      <c r="CM293" s="5">
        <v>50384135</v>
      </c>
      <c r="CN293" s="694">
        <v>121</v>
      </c>
      <c r="CO293" s="5">
        <v>51274051.880000003</v>
      </c>
    </row>
    <row r="294" spans="66:93">
      <c r="BN294" s="5"/>
      <c r="BR294" s="215"/>
      <c r="BW294" s="5"/>
      <c r="BX294" s="5"/>
      <c r="BY294" s="5"/>
      <c r="BZ294" s="5"/>
      <c r="CA294" s="5"/>
      <c r="CB294" s="5"/>
      <c r="CJ294" s="691">
        <v>46203</v>
      </c>
      <c r="CK294" s="1031" t="s">
        <v>1006</v>
      </c>
      <c r="CL294" s="1031" t="s">
        <v>2586</v>
      </c>
      <c r="CM294" s="5">
        <v>44198977</v>
      </c>
      <c r="CN294" s="694">
        <v>93</v>
      </c>
      <c r="CO294" s="5">
        <v>44673881.539999999</v>
      </c>
    </row>
    <row r="295" spans="66:93">
      <c r="BN295" s="5"/>
      <c r="BR295" s="215"/>
      <c r="BW295" s="5"/>
      <c r="BX295" s="5"/>
      <c r="BY295" s="5"/>
      <c r="BZ295" s="5"/>
      <c r="CA295" s="5"/>
      <c r="CB295" s="5"/>
      <c r="CJ295" s="691">
        <v>46203</v>
      </c>
      <c r="CK295" s="1031" t="s">
        <v>1007</v>
      </c>
      <c r="CL295" s="1031" t="s">
        <v>2587</v>
      </c>
      <c r="CM295" s="5">
        <v>12342772</v>
      </c>
      <c r="CN295" s="694">
        <v>25</v>
      </c>
      <c r="CO295" s="5">
        <v>12492114.98</v>
      </c>
    </row>
    <row r="296" spans="66:93">
      <c r="BN296" s="5"/>
      <c r="BR296" s="215"/>
      <c r="BW296" s="5"/>
      <c r="BX296" s="5"/>
      <c r="BY296" s="5"/>
      <c r="BZ296" s="5"/>
      <c r="CA296" s="5"/>
      <c r="CB296" s="5"/>
      <c r="CJ296" s="691">
        <v>46203</v>
      </c>
      <c r="CK296" s="1031" t="s">
        <v>1008</v>
      </c>
      <c r="CL296" s="1031" t="s">
        <v>2588</v>
      </c>
      <c r="CM296" s="5">
        <v>5809000</v>
      </c>
      <c r="CN296" s="694">
        <v>8</v>
      </c>
      <c r="CO296" s="5">
        <v>5809000</v>
      </c>
    </row>
    <row r="297" spans="66:93">
      <c r="BN297" s="5"/>
      <c r="BR297" s="215"/>
      <c r="BW297" s="5"/>
      <c r="BX297" s="5"/>
      <c r="BY297" s="5"/>
      <c r="BZ297" s="5"/>
      <c r="CA297" s="5"/>
      <c r="CB297" s="5"/>
      <c r="CJ297" s="691">
        <v>46203</v>
      </c>
      <c r="CK297" s="1031" t="s">
        <v>1009</v>
      </c>
      <c r="CL297" s="1031" t="s">
        <v>2589</v>
      </c>
      <c r="CM297" s="5">
        <v>4969370</v>
      </c>
      <c r="CN297" s="694">
        <v>10</v>
      </c>
      <c r="CO297" s="5">
        <v>4969370</v>
      </c>
    </row>
    <row r="298" spans="66:93">
      <c r="BN298" s="5"/>
      <c r="BR298" s="215"/>
      <c r="BW298" s="5"/>
      <c r="BX298" s="5"/>
      <c r="BY298" s="5"/>
      <c r="BZ298" s="5"/>
      <c r="CA298" s="5"/>
      <c r="CB298" s="5"/>
      <c r="CJ298" s="691">
        <v>46203</v>
      </c>
      <c r="CK298" s="1031" t="s">
        <v>496</v>
      </c>
      <c r="CL298" s="1031" t="s">
        <v>2590</v>
      </c>
      <c r="CM298" s="5">
        <v>0</v>
      </c>
      <c r="CN298" s="694">
        <v>0</v>
      </c>
      <c r="CO298" s="5">
        <v>0</v>
      </c>
    </row>
    <row r="299" spans="66:93">
      <c r="BN299" s="5"/>
      <c r="BR299" s="215"/>
      <c r="BW299" s="5"/>
      <c r="BX299" s="5"/>
      <c r="BY299" s="5"/>
      <c r="BZ299" s="5"/>
      <c r="CA299" s="5"/>
      <c r="CB299" s="5"/>
      <c r="CJ299" s="691">
        <v>46203</v>
      </c>
      <c r="CK299" s="1031" t="s">
        <v>497</v>
      </c>
      <c r="CL299" s="1031" t="s">
        <v>2591</v>
      </c>
      <c r="CM299" s="5">
        <v>345000</v>
      </c>
      <c r="CN299" s="694">
        <v>1</v>
      </c>
      <c r="CO299" s="5">
        <v>345000</v>
      </c>
    </row>
    <row r="300" spans="66:93">
      <c r="BN300" s="5"/>
      <c r="BR300" s="215"/>
      <c r="BW300" s="5"/>
      <c r="BX300" s="5"/>
      <c r="BY300" s="5"/>
      <c r="BZ300" s="5"/>
      <c r="CA300" s="5"/>
      <c r="CB300" s="5"/>
      <c r="CJ300" s="691">
        <v>46203</v>
      </c>
      <c r="CK300" s="1031" t="s">
        <v>498</v>
      </c>
      <c r="CL300" s="1031" t="s">
        <v>2592</v>
      </c>
      <c r="CM300" s="5">
        <v>0</v>
      </c>
      <c r="CN300" s="694">
        <v>0</v>
      </c>
      <c r="CO300" s="5">
        <v>0</v>
      </c>
    </row>
    <row r="301" spans="66:93">
      <c r="BN301" s="5"/>
      <c r="BR301" s="215"/>
      <c r="BW301" s="5"/>
      <c r="BX301" s="5"/>
      <c r="BY301" s="5"/>
      <c r="BZ301" s="5"/>
      <c r="CA301" s="5"/>
      <c r="CB301" s="5"/>
      <c r="CJ301" s="691">
        <v>46203</v>
      </c>
      <c r="CK301" s="1031" t="s">
        <v>1010</v>
      </c>
      <c r="CL301" s="1031" t="s">
        <v>2593</v>
      </c>
      <c r="CM301" s="5">
        <v>247050</v>
      </c>
      <c r="CN301" s="694">
        <v>1</v>
      </c>
      <c r="CO301" s="5">
        <v>247050</v>
      </c>
    </row>
    <row r="302" spans="66:93">
      <c r="BN302" s="5"/>
      <c r="BR302" s="215"/>
      <c r="BW302" s="5"/>
      <c r="BX302" s="5"/>
      <c r="BY302" s="5"/>
      <c r="BZ302" s="5"/>
      <c r="CA302" s="5"/>
      <c r="CB302" s="5"/>
      <c r="CJ302" s="691">
        <v>46203</v>
      </c>
      <c r="CK302" s="1031" t="s">
        <v>1011</v>
      </c>
      <c r="CL302" s="1031" t="s">
        <v>2594</v>
      </c>
      <c r="CM302" s="5">
        <v>0</v>
      </c>
      <c r="CN302" s="694">
        <v>0</v>
      </c>
      <c r="CO302" s="5">
        <v>0</v>
      </c>
    </row>
    <row r="303" spans="66:93">
      <c r="BN303" s="5"/>
      <c r="BR303" s="215"/>
      <c r="BW303" s="5"/>
      <c r="BX303" s="5"/>
      <c r="BY303" s="5"/>
      <c r="BZ303" s="5"/>
      <c r="CA303" s="5"/>
      <c r="CB303" s="5"/>
      <c r="CJ303" s="691">
        <v>46203</v>
      </c>
      <c r="CK303" s="1031" t="s">
        <v>1012</v>
      </c>
      <c r="CL303" s="1031" t="s">
        <v>2595</v>
      </c>
      <c r="CM303" s="5">
        <v>938476</v>
      </c>
      <c r="CN303" s="694">
        <v>1</v>
      </c>
      <c r="CO303" s="5">
        <v>938476</v>
      </c>
    </row>
    <row r="304" spans="66:93">
      <c r="BN304" s="5"/>
      <c r="BR304" s="215"/>
      <c r="BW304" s="5"/>
      <c r="BX304" s="5"/>
      <c r="BY304" s="5"/>
      <c r="BZ304" s="5"/>
      <c r="CA304" s="5"/>
      <c r="CB304" s="5"/>
      <c r="CJ304" s="691">
        <v>46203</v>
      </c>
      <c r="CK304" s="1031" t="s">
        <v>500</v>
      </c>
      <c r="CL304" s="1031" t="s">
        <v>2494</v>
      </c>
      <c r="CM304" s="5">
        <v>114513351</v>
      </c>
      <c r="CN304" s="694">
        <v>113</v>
      </c>
      <c r="CO304" s="5">
        <v>118397178.09999999</v>
      </c>
    </row>
    <row r="305" spans="66:93">
      <c r="BN305" s="5"/>
      <c r="BR305" s="215"/>
      <c r="BW305" s="5"/>
      <c r="BX305" s="5"/>
      <c r="BY305" s="5"/>
      <c r="BZ305" s="5"/>
      <c r="CA305" s="5"/>
      <c r="CB305" s="5"/>
      <c r="CJ305" s="691">
        <v>46203</v>
      </c>
      <c r="CK305" s="1031" t="s">
        <v>502</v>
      </c>
      <c r="CL305" s="1031" t="s">
        <v>2495</v>
      </c>
      <c r="CM305" s="5">
        <v>2812075</v>
      </c>
      <c r="CN305" s="694">
        <v>10</v>
      </c>
      <c r="CO305" s="5">
        <v>3270992.5799999996</v>
      </c>
    </row>
    <row r="306" spans="66:93">
      <c r="BN306" s="5"/>
      <c r="BR306" s="215"/>
      <c r="BW306" s="5"/>
      <c r="BX306" s="5"/>
      <c r="BY306" s="5"/>
      <c r="BZ306" s="5"/>
      <c r="CA306" s="5"/>
      <c r="CB306" s="5"/>
      <c r="CJ306" s="691">
        <v>46203</v>
      </c>
      <c r="CK306" s="1031" t="s">
        <v>504</v>
      </c>
      <c r="CL306" s="1031" t="s">
        <v>2496</v>
      </c>
      <c r="CM306" s="5">
        <v>14382323</v>
      </c>
      <c r="CN306" s="694">
        <v>21</v>
      </c>
      <c r="CO306" s="5">
        <v>15609416.200000001</v>
      </c>
    </row>
    <row r="307" spans="66:93">
      <c r="BN307" s="5"/>
      <c r="BR307" s="215"/>
      <c r="BW307" s="5"/>
      <c r="BX307" s="5"/>
      <c r="BY307" s="5"/>
      <c r="BZ307" s="5"/>
      <c r="CA307" s="5"/>
      <c r="CB307" s="5"/>
      <c r="CJ307" s="691">
        <v>46203</v>
      </c>
      <c r="CK307" s="1031" t="s">
        <v>506</v>
      </c>
      <c r="CL307" s="1031" t="s">
        <v>2497</v>
      </c>
      <c r="CM307" s="5">
        <v>2464600</v>
      </c>
      <c r="CN307" s="694">
        <v>8</v>
      </c>
      <c r="CO307" s="5">
        <v>2659672.34</v>
      </c>
    </row>
    <row r="308" spans="66:93">
      <c r="BN308" s="5"/>
      <c r="BR308" s="215"/>
      <c r="BW308" s="5"/>
      <c r="BX308" s="5"/>
      <c r="BY308" s="5"/>
      <c r="BZ308" s="5"/>
      <c r="CA308" s="5"/>
      <c r="CB308" s="5"/>
      <c r="CJ308" s="691">
        <v>46203</v>
      </c>
      <c r="CK308" s="1031" t="s">
        <v>508</v>
      </c>
      <c r="CL308" s="1031" t="s">
        <v>2498</v>
      </c>
      <c r="CM308" s="5">
        <v>25227813</v>
      </c>
      <c r="CN308" s="694">
        <v>40</v>
      </c>
      <c r="CO308" s="5">
        <v>28603052.489999998</v>
      </c>
    </row>
    <row r="309" spans="66:93">
      <c r="BN309" s="5"/>
      <c r="BR309" s="215"/>
      <c r="BW309" s="5"/>
      <c r="BX309" s="5"/>
      <c r="BY309" s="5"/>
      <c r="BZ309" s="5"/>
      <c r="CA309" s="5"/>
      <c r="CB309" s="5"/>
      <c r="CJ309" s="691">
        <v>46203</v>
      </c>
      <c r="CK309" s="1031" t="s">
        <v>510</v>
      </c>
      <c r="CL309" s="1031" t="s">
        <v>2499</v>
      </c>
      <c r="CM309" s="5">
        <v>12483136</v>
      </c>
      <c r="CN309" s="694">
        <v>46</v>
      </c>
      <c r="CO309" s="5">
        <v>15441403.029999996</v>
      </c>
    </row>
    <row r="310" spans="66:93">
      <c r="BN310" s="5"/>
      <c r="BR310" s="215"/>
      <c r="BW310" s="5"/>
      <c r="BX310" s="5"/>
      <c r="BY310" s="5"/>
      <c r="BZ310" s="5"/>
      <c r="CA310" s="5"/>
      <c r="CB310" s="5"/>
      <c r="CJ310" s="691">
        <v>46203</v>
      </c>
      <c r="CK310" s="1031" t="s">
        <v>512</v>
      </c>
      <c r="CL310" s="1031" t="s">
        <v>2500</v>
      </c>
      <c r="CM310" s="5">
        <v>14110988</v>
      </c>
      <c r="CN310" s="694">
        <v>30</v>
      </c>
      <c r="CO310" s="5">
        <v>15215044.959999997</v>
      </c>
    </row>
    <row r="311" spans="66:93">
      <c r="BN311" s="5"/>
      <c r="BR311" s="215"/>
      <c r="BW311" s="5"/>
      <c r="BX311" s="5"/>
      <c r="BY311" s="5"/>
      <c r="BZ311" s="5"/>
      <c r="CA311" s="5"/>
      <c r="CB311" s="5"/>
      <c r="CJ311" s="691">
        <v>46203</v>
      </c>
      <c r="CK311" s="1031" t="s">
        <v>514</v>
      </c>
      <c r="CL311" s="1031" t="s">
        <v>2501</v>
      </c>
      <c r="CM311" s="5">
        <v>5033556</v>
      </c>
      <c r="CN311" s="694">
        <v>23</v>
      </c>
      <c r="CO311" s="5">
        <v>5319545.99</v>
      </c>
    </row>
    <row r="312" spans="66:93">
      <c r="BN312" s="5"/>
      <c r="BR312" s="215"/>
      <c r="BW312" s="5"/>
      <c r="BX312" s="5"/>
      <c r="BY312" s="5"/>
      <c r="BZ312" s="5"/>
      <c r="CA312" s="5"/>
      <c r="CB312" s="5"/>
      <c r="CJ312" s="691">
        <v>46203</v>
      </c>
      <c r="CK312" s="1031" t="s">
        <v>516</v>
      </c>
      <c r="CL312" s="1031" t="s">
        <v>2502</v>
      </c>
      <c r="CM312" s="5">
        <v>0</v>
      </c>
      <c r="CN312" s="694">
        <v>0</v>
      </c>
      <c r="CO312" s="5">
        <v>0</v>
      </c>
    </row>
    <row r="313" spans="66:93">
      <c r="BN313" s="5"/>
      <c r="BR313" s="215"/>
      <c r="BW313" s="5"/>
      <c r="BX313" s="5"/>
      <c r="BY313" s="5"/>
      <c r="BZ313" s="5"/>
      <c r="CA313" s="5"/>
      <c r="CB313" s="5"/>
      <c r="CJ313" s="691">
        <v>46203</v>
      </c>
      <c r="CK313" s="1031" t="s">
        <v>1013</v>
      </c>
      <c r="CL313" s="1031" t="s">
        <v>2503</v>
      </c>
      <c r="CM313" s="5">
        <v>565000</v>
      </c>
      <c r="CN313" s="694">
        <v>2</v>
      </c>
      <c r="CO313" s="5">
        <v>547151</v>
      </c>
    </row>
    <row r="314" spans="66:93">
      <c r="BN314" s="5"/>
      <c r="BR314" s="215"/>
      <c r="BW314" s="5"/>
      <c r="BX314" s="5"/>
      <c r="BY314" s="5"/>
      <c r="BZ314" s="5"/>
      <c r="CA314" s="5"/>
      <c r="CB314" s="5"/>
      <c r="CJ314" s="691">
        <v>46203</v>
      </c>
      <c r="CK314" s="1031" t="s">
        <v>1014</v>
      </c>
      <c r="CL314" s="1031" t="s">
        <v>2504</v>
      </c>
      <c r="CM314" s="5">
        <v>0</v>
      </c>
      <c r="CN314" s="694">
        <v>0</v>
      </c>
      <c r="CO314" s="5">
        <v>0</v>
      </c>
    </row>
    <row r="315" spans="66:93">
      <c r="BN315" s="5"/>
      <c r="BR315" s="215"/>
      <c r="BW315" s="5"/>
      <c r="BX315" s="5"/>
      <c r="BY315" s="5"/>
      <c r="BZ315" s="5"/>
      <c r="CA315" s="5"/>
      <c r="CB315" s="5"/>
      <c r="CJ315" s="691">
        <v>46203</v>
      </c>
      <c r="CK315" s="1031" t="s">
        <v>1015</v>
      </c>
      <c r="CL315" s="1031" t="s">
        <v>2505</v>
      </c>
      <c r="CM315" s="5">
        <v>674960</v>
      </c>
      <c r="CN315" s="694">
        <v>4</v>
      </c>
      <c r="CO315" s="5">
        <v>827219.09000000008</v>
      </c>
    </row>
    <row r="316" spans="66:93">
      <c r="BN316" s="5"/>
      <c r="BR316" s="215"/>
      <c r="BW316" s="5"/>
      <c r="BX316" s="5"/>
      <c r="BY316" s="5"/>
      <c r="BZ316" s="5"/>
      <c r="CA316" s="5"/>
      <c r="CB316" s="5"/>
      <c r="CJ316" s="691">
        <v>46203</v>
      </c>
      <c r="CK316" s="1031" t="s">
        <v>1016</v>
      </c>
      <c r="CL316" s="1031" t="s">
        <v>2506</v>
      </c>
      <c r="CM316" s="5">
        <v>111000</v>
      </c>
      <c r="CN316" s="694">
        <v>1</v>
      </c>
      <c r="CO316" s="5">
        <v>128601.05</v>
      </c>
    </row>
    <row r="317" spans="66:93">
      <c r="BN317" s="5"/>
      <c r="BR317" s="215"/>
      <c r="BW317" s="5"/>
      <c r="BX317" s="5"/>
      <c r="BY317" s="5"/>
      <c r="BZ317" s="5"/>
      <c r="CA317" s="5"/>
      <c r="CB317" s="5"/>
      <c r="CJ317" s="691">
        <v>46203</v>
      </c>
      <c r="CK317" s="1031" t="s">
        <v>1017</v>
      </c>
      <c r="CL317" s="1031" t="s">
        <v>2507</v>
      </c>
      <c r="CM317" s="5">
        <v>1160000</v>
      </c>
      <c r="CN317" s="694">
        <v>3</v>
      </c>
      <c r="CO317" s="5">
        <v>1036259.1399999999</v>
      </c>
    </row>
    <row r="318" spans="66:93">
      <c r="BN318" s="5"/>
      <c r="BR318" s="215"/>
      <c r="BW318" s="5"/>
      <c r="BX318" s="5"/>
      <c r="BY318" s="5"/>
      <c r="BZ318" s="5"/>
      <c r="CA318" s="5"/>
      <c r="CB318" s="5"/>
      <c r="CJ318" s="691">
        <v>46203</v>
      </c>
      <c r="CK318" s="1031" t="s">
        <v>1018</v>
      </c>
      <c r="CL318" s="1031" t="s">
        <v>2508</v>
      </c>
      <c r="CM318" s="5">
        <v>0</v>
      </c>
      <c r="CN318" s="694">
        <v>0</v>
      </c>
      <c r="CO318" s="5">
        <v>0</v>
      </c>
    </row>
    <row r="319" spans="66:93">
      <c r="BN319" s="5"/>
      <c r="BR319" s="215"/>
      <c r="BW319" s="5"/>
      <c r="BX319" s="5"/>
      <c r="BY319" s="5"/>
      <c r="BZ319" s="5"/>
      <c r="CA319" s="5"/>
      <c r="CB319" s="5"/>
      <c r="CJ319" s="691">
        <v>46203</v>
      </c>
      <c r="CK319" s="1031" t="s">
        <v>1019</v>
      </c>
      <c r="CL319" s="1031" t="s">
        <v>2509</v>
      </c>
      <c r="CM319" s="5">
        <v>0</v>
      </c>
      <c r="CN319" s="694">
        <v>0</v>
      </c>
      <c r="CO319" s="5">
        <v>0</v>
      </c>
    </row>
    <row r="320" spans="66:93">
      <c r="BN320" s="5"/>
      <c r="BR320" s="215"/>
      <c r="BW320" s="5"/>
      <c r="BX320" s="5"/>
      <c r="BY320" s="5"/>
      <c r="BZ320" s="5"/>
      <c r="CA320" s="5"/>
      <c r="CB320" s="5"/>
      <c r="CJ320" s="691">
        <v>46203</v>
      </c>
      <c r="CK320" s="1031" t="s">
        <v>1020</v>
      </c>
      <c r="CL320" s="1031" t="s">
        <v>2510</v>
      </c>
      <c r="CM320" s="5">
        <v>0</v>
      </c>
      <c r="CN320" s="694">
        <v>0</v>
      </c>
      <c r="CO320" s="5">
        <v>0</v>
      </c>
    </row>
    <row r="321" spans="66:93">
      <c r="BN321" s="5"/>
      <c r="BR321" s="215"/>
      <c r="BW321" s="5"/>
      <c r="BX321" s="5"/>
      <c r="BY321" s="5"/>
      <c r="BZ321" s="5"/>
      <c r="CA321" s="5"/>
      <c r="CB321" s="5"/>
      <c r="CJ321" s="691">
        <v>46203</v>
      </c>
      <c r="CK321" s="1031" t="s">
        <v>1021</v>
      </c>
      <c r="CL321" s="1031" t="s">
        <v>2511</v>
      </c>
      <c r="CM321" s="5">
        <v>0</v>
      </c>
      <c r="CN321" s="694">
        <v>0</v>
      </c>
      <c r="CO321" s="5">
        <v>0</v>
      </c>
    </row>
    <row r="322" spans="66:93">
      <c r="BN322" s="5"/>
      <c r="BR322" s="215"/>
      <c r="BW322" s="5"/>
      <c r="BX322" s="5"/>
      <c r="BY322" s="5"/>
      <c r="BZ322" s="5"/>
      <c r="CA322" s="5"/>
      <c r="CB322" s="5"/>
      <c r="CJ322" s="691">
        <v>46203</v>
      </c>
      <c r="CK322" s="1031" t="s">
        <v>1022</v>
      </c>
      <c r="CL322" s="1031" t="s">
        <v>2512</v>
      </c>
      <c r="CM322" s="5">
        <v>750000</v>
      </c>
      <c r="CN322" s="694">
        <v>1</v>
      </c>
      <c r="CO322" s="5">
        <v>710000</v>
      </c>
    </row>
    <row r="323" spans="66:93">
      <c r="BN323" s="5"/>
      <c r="BR323" s="215"/>
      <c r="BW323" s="5"/>
      <c r="BX323" s="5"/>
      <c r="BY323" s="5"/>
      <c r="BZ323" s="5"/>
      <c r="CA323" s="5"/>
      <c r="CB323" s="5"/>
      <c r="CJ323" s="691">
        <v>46203</v>
      </c>
      <c r="CK323" s="1031" t="s">
        <v>1023</v>
      </c>
      <c r="CL323" s="1031" t="s">
        <v>2513</v>
      </c>
      <c r="CM323" s="5">
        <v>0</v>
      </c>
      <c r="CN323" s="694">
        <v>0</v>
      </c>
      <c r="CO323" s="5">
        <v>0</v>
      </c>
    </row>
    <row r="324" spans="66:93">
      <c r="BN324" s="5"/>
      <c r="BR324" s="215"/>
      <c r="BW324" s="5"/>
      <c r="BX324" s="5"/>
      <c r="BY324" s="5"/>
      <c r="BZ324" s="5"/>
      <c r="CA324" s="5"/>
      <c r="CB324" s="5"/>
      <c r="CJ324" s="691">
        <v>46203</v>
      </c>
      <c r="CK324" s="1031" t="s">
        <v>1024</v>
      </c>
      <c r="CL324" s="1031" t="s">
        <v>2514</v>
      </c>
      <c r="CM324" s="5">
        <v>0</v>
      </c>
      <c r="CN324" s="694">
        <v>0</v>
      </c>
      <c r="CO324" s="5">
        <v>0</v>
      </c>
    </row>
    <row r="325" spans="66:93">
      <c r="BN325" s="5"/>
      <c r="BR325" s="215"/>
      <c r="BW325" s="5"/>
      <c r="BX325" s="5"/>
      <c r="BY325" s="5"/>
      <c r="BZ325" s="5"/>
      <c r="CA325" s="5"/>
      <c r="CB325" s="5"/>
      <c r="CJ325" s="691">
        <v>46203</v>
      </c>
      <c r="CK325" s="1031" t="s">
        <v>1025</v>
      </c>
      <c r="CL325" s="1031" t="s">
        <v>2515</v>
      </c>
      <c r="CM325" s="5">
        <v>0</v>
      </c>
      <c r="CN325" s="694">
        <v>0</v>
      </c>
      <c r="CO325" s="5">
        <v>0</v>
      </c>
    </row>
    <row r="326" spans="66:93">
      <c r="BN326" s="5"/>
      <c r="BR326" s="215"/>
      <c r="BW326" s="5"/>
      <c r="BX326" s="5"/>
      <c r="BY326" s="5"/>
      <c r="BZ326" s="5"/>
      <c r="CA326" s="5"/>
      <c r="CB326" s="5"/>
      <c r="CJ326" s="691">
        <v>46203</v>
      </c>
      <c r="CK326" s="1031" t="s">
        <v>1026</v>
      </c>
      <c r="CL326" s="1031" t="s">
        <v>2516</v>
      </c>
      <c r="CM326" s="5">
        <v>3596000</v>
      </c>
      <c r="CN326" s="694">
        <v>5</v>
      </c>
      <c r="CO326" s="5">
        <v>3223806.4400000004</v>
      </c>
    </row>
    <row r="327" spans="66:93">
      <c r="BN327" s="5"/>
      <c r="BR327" s="215"/>
      <c r="BW327" s="5"/>
      <c r="BX327" s="5"/>
      <c r="BY327" s="5"/>
      <c r="BZ327" s="5"/>
      <c r="CA327" s="5"/>
      <c r="CB327" s="5"/>
      <c r="CJ327" s="691">
        <v>46203</v>
      </c>
      <c r="CK327" s="1031" t="s">
        <v>1027</v>
      </c>
      <c r="CL327" s="1031" t="s">
        <v>2517</v>
      </c>
      <c r="CM327" s="5">
        <v>0</v>
      </c>
      <c r="CN327" s="694">
        <v>0</v>
      </c>
      <c r="CO327" s="5">
        <v>0</v>
      </c>
    </row>
    <row r="328" spans="66:93">
      <c r="BN328" s="5"/>
      <c r="BR328" s="215"/>
      <c r="BW328" s="5"/>
      <c r="BX328" s="5"/>
      <c r="BY328" s="5"/>
      <c r="BZ328" s="5"/>
      <c r="CA328" s="5"/>
      <c r="CB328" s="5"/>
      <c r="CJ328" s="691">
        <v>46203</v>
      </c>
      <c r="CK328" s="1031" t="s">
        <v>1028</v>
      </c>
      <c r="CL328" s="1031" t="s">
        <v>2518</v>
      </c>
      <c r="CM328" s="5">
        <v>0</v>
      </c>
      <c r="CN328" s="694">
        <v>0</v>
      </c>
      <c r="CO328" s="5">
        <v>0</v>
      </c>
    </row>
    <row r="329" spans="66:93">
      <c r="BN329" s="5"/>
      <c r="BR329" s="215"/>
      <c r="BW329" s="5"/>
      <c r="BX329" s="5"/>
      <c r="BY329" s="5"/>
      <c r="BZ329" s="5"/>
      <c r="CA329" s="5"/>
      <c r="CB329" s="5"/>
      <c r="CJ329" s="691">
        <v>46203</v>
      </c>
      <c r="CK329" s="1031" t="s">
        <v>1029</v>
      </c>
      <c r="CL329" s="1031" t="s">
        <v>2519</v>
      </c>
      <c r="CM329" s="5">
        <v>1136550</v>
      </c>
      <c r="CN329" s="694">
        <v>5</v>
      </c>
      <c r="CO329" s="5">
        <v>1337442.9100000001</v>
      </c>
    </row>
    <row r="330" spans="66:93">
      <c r="BN330" s="5"/>
      <c r="BR330" s="215"/>
      <c r="BW330" s="5"/>
      <c r="BX330" s="5"/>
      <c r="BY330" s="5"/>
      <c r="BZ330" s="5"/>
      <c r="CA330" s="5"/>
      <c r="CB330" s="5"/>
      <c r="CJ330" s="691">
        <v>46203</v>
      </c>
      <c r="CK330" s="1031" t="s">
        <v>1030</v>
      </c>
      <c r="CL330" s="1031" t="s">
        <v>2520</v>
      </c>
      <c r="CM330" s="5">
        <v>875000</v>
      </c>
      <c r="CN330" s="694">
        <v>3</v>
      </c>
      <c r="CO330" s="5">
        <v>1070765.98</v>
      </c>
    </row>
    <row r="331" spans="66:93">
      <c r="BN331" s="5"/>
      <c r="BR331" s="215"/>
      <c r="BW331" s="5"/>
      <c r="BX331" s="5"/>
      <c r="BY331" s="5"/>
      <c r="BZ331" s="5"/>
      <c r="CA331" s="5"/>
      <c r="CB331" s="5"/>
      <c r="CJ331" s="691">
        <v>46203</v>
      </c>
      <c r="CK331" s="1031" t="s">
        <v>1031</v>
      </c>
      <c r="CL331" s="1031" t="s">
        <v>2521</v>
      </c>
      <c r="CM331" s="5">
        <v>2920700</v>
      </c>
      <c r="CN331" s="694">
        <v>9</v>
      </c>
      <c r="CO331" s="5">
        <v>3080707.12</v>
      </c>
    </row>
    <row r="332" spans="66:93">
      <c r="BN332" s="5"/>
      <c r="BR332" s="215"/>
      <c r="BW332" s="5"/>
      <c r="BX332" s="5"/>
      <c r="BY332" s="5"/>
      <c r="BZ332" s="5"/>
      <c r="CA332" s="5"/>
      <c r="CB332" s="5"/>
      <c r="CJ332" s="691">
        <v>46203</v>
      </c>
      <c r="CK332" s="1031" t="s">
        <v>1032</v>
      </c>
      <c r="CL332" s="1031" t="s">
        <v>2522</v>
      </c>
      <c r="CM332" s="5">
        <v>1824500</v>
      </c>
      <c r="CN332" s="694">
        <v>4</v>
      </c>
      <c r="CO332" s="5">
        <v>1368640.8900000001</v>
      </c>
    </row>
    <row r="333" spans="66:93">
      <c r="BN333" s="5"/>
      <c r="BR333" s="215"/>
      <c r="BW333" s="5"/>
      <c r="BX333" s="5"/>
      <c r="BY333" s="5"/>
      <c r="BZ333" s="5"/>
      <c r="CA333" s="5"/>
      <c r="CB333" s="5"/>
      <c r="CJ333" s="691">
        <v>46203</v>
      </c>
      <c r="CK333" s="1031" t="s">
        <v>1033</v>
      </c>
      <c r="CL333" s="1031" t="s">
        <v>2523</v>
      </c>
      <c r="CM333" s="5">
        <v>355000</v>
      </c>
      <c r="CN333" s="694">
        <v>1</v>
      </c>
      <c r="CO333" s="5">
        <v>443392.14</v>
      </c>
    </row>
    <row r="334" spans="66:93">
      <c r="BN334" s="5"/>
      <c r="BR334" s="215"/>
      <c r="BW334" s="5"/>
      <c r="BX334" s="5"/>
      <c r="BY334" s="5"/>
      <c r="BZ334" s="5"/>
      <c r="CA334" s="5"/>
      <c r="CB334" s="5"/>
      <c r="CJ334" s="691">
        <v>46203</v>
      </c>
      <c r="CK334" s="1031" t="s">
        <v>1034</v>
      </c>
      <c r="CL334" s="1031" t="s">
        <v>2524</v>
      </c>
      <c r="CM334" s="5">
        <v>761000</v>
      </c>
      <c r="CN334" s="694">
        <v>3</v>
      </c>
      <c r="CO334" s="5">
        <v>962771.42</v>
      </c>
    </row>
    <row r="335" spans="66:93">
      <c r="BN335" s="5"/>
      <c r="BR335" s="215"/>
      <c r="BW335" s="5"/>
      <c r="BX335" s="5"/>
      <c r="BY335" s="5"/>
      <c r="BZ335" s="5"/>
      <c r="CA335" s="5"/>
      <c r="CB335" s="5"/>
      <c r="CJ335" s="691">
        <v>46203</v>
      </c>
      <c r="CK335" s="1031" t="s">
        <v>1035</v>
      </c>
      <c r="CL335" s="1031" t="s">
        <v>2525</v>
      </c>
      <c r="CM335" s="5">
        <v>110000</v>
      </c>
      <c r="CN335" s="694">
        <v>1</v>
      </c>
      <c r="CO335" s="5">
        <v>141894.85</v>
      </c>
    </row>
    <row r="336" spans="66:93">
      <c r="BN336" s="5"/>
      <c r="BR336" s="215"/>
      <c r="BW336" s="5"/>
      <c r="BX336" s="5"/>
      <c r="BY336" s="5"/>
      <c r="BZ336" s="5"/>
      <c r="CA336" s="5"/>
      <c r="CB336" s="5"/>
      <c r="CJ336" s="691">
        <v>46203</v>
      </c>
      <c r="CK336" s="1031" t="s">
        <v>1036</v>
      </c>
      <c r="CL336" s="1031" t="s">
        <v>2526</v>
      </c>
      <c r="CM336" s="5">
        <v>2699000</v>
      </c>
      <c r="CN336" s="694">
        <v>6</v>
      </c>
      <c r="CO336" s="5">
        <v>2386269.42</v>
      </c>
    </row>
    <row r="337" spans="66:93">
      <c r="BN337" s="5"/>
      <c r="BR337" s="215"/>
      <c r="BW337" s="5"/>
      <c r="BX337" s="5"/>
      <c r="BY337" s="5"/>
      <c r="BZ337" s="5"/>
      <c r="CA337" s="5"/>
      <c r="CB337" s="5"/>
      <c r="CJ337" s="691">
        <v>46203</v>
      </c>
      <c r="CK337" s="1031" t="s">
        <v>1037</v>
      </c>
      <c r="CL337" s="1031" t="s">
        <v>2527</v>
      </c>
      <c r="CM337" s="5">
        <v>0</v>
      </c>
      <c r="CN337" s="694">
        <v>0</v>
      </c>
      <c r="CO337" s="5">
        <v>0</v>
      </c>
    </row>
    <row r="338" spans="66:93">
      <c r="BN338" s="5"/>
      <c r="BR338" s="215"/>
      <c r="BW338" s="5"/>
      <c r="BX338" s="5"/>
      <c r="BY338" s="5"/>
      <c r="BZ338" s="5"/>
      <c r="CA338" s="5"/>
      <c r="CB338" s="5"/>
      <c r="CJ338" s="691">
        <v>46203</v>
      </c>
      <c r="CK338" s="1031" t="s">
        <v>1038</v>
      </c>
      <c r="CL338" s="1031" t="s">
        <v>2528</v>
      </c>
      <c r="CM338" s="5">
        <v>0</v>
      </c>
      <c r="CN338" s="694">
        <v>0</v>
      </c>
      <c r="CO338" s="5">
        <v>0</v>
      </c>
    </row>
    <row r="339" spans="66:93">
      <c r="BN339" s="5"/>
      <c r="BR339" s="215"/>
      <c r="BW339" s="5"/>
      <c r="BX339" s="5"/>
      <c r="BY339" s="5"/>
      <c r="BZ339" s="5"/>
      <c r="CA339" s="5"/>
      <c r="CB339" s="5"/>
      <c r="CJ339" s="691">
        <v>46203</v>
      </c>
      <c r="CK339" s="1031" t="s">
        <v>1039</v>
      </c>
      <c r="CL339" s="1031" t="s">
        <v>2529</v>
      </c>
      <c r="CM339" s="5">
        <v>0</v>
      </c>
      <c r="CN339" s="694">
        <v>0</v>
      </c>
      <c r="CO339" s="5">
        <v>0</v>
      </c>
    </row>
    <row r="340" spans="66:93">
      <c r="BN340" s="5"/>
      <c r="BR340" s="215"/>
      <c r="BW340" s="5"/>
      <c r="BX340" s="5"/>
      <c r="BY340" s="5"/>
      <c r="BZ340" s="5"/>
      <c r="CA340" s="5"/>
      <c r="CB340" s="5"/>
      <c r="CJ340" s="691">
        <v>46203</v>
      </c>
      <c r="CK340" s="1031" t="s">
        <v>1040</v>
      </c>
      <c r="CL340" s="1031" t="s">
        <v>2530</v>
      </c>
      <c r="CM340" s="5">
        <v>0</v>
      </c>
      <c r="CN340" s="694">
        <v>0</v>
      </c>
      <c r="CO340" s="5">
        <v>0</v>
      </c>
    </row>
    <row r="341" spans="66:93">
      <c r="BN341" s="5"/>
      <c r="BR341" s="215"/>
      <c r="BW341" s="5"/>
      <c r="BX341" s="5"/>
      <c r="BY341" s="5"/>
      <c r="BZ341" s="5"/>
      <c r="CA341" s="5"/>
      <c r="CB341" s="5"/>
      <c r="CJ341" s="691">
        <v>46203</v>
      </c>
      <c r="CK341" s="1031" t="s">
        <v>1041</v>
      </c>
      <c r="CL341" s="1031" t="s">
        <v>2531</v>
      </c>
      <c r="CM341" s="5">
        <v>0</v>
      </c>
      <c r="CN341" s="694">
        <v>0</v>
      </c>
      <c r="CO341" s="5">
        <v>0</v>
      </c>
    </row>
    <row r="342" spans="66:93">
      <c r="BN342" s="5"/>
      <c r="BR342" s="215"/>
      <c r="BW342" s="5"/>
      <c r="BX342" s="5"/>
      <c r="BY342" s="5"/>
      <c r="BZ342" s="5"/>
      <c r="CA342" s="5"/>
      <c r="CB342" s="5"/>
      <c r="CJ342" s="691">
        <v>46203</v>
      </c>
      <c r="CK342" s="1031" t="s">
        <v>1042</v>
      </c>
      <c r="CL342" s="1031" t="s">
        <v>2532</v>
      </c>
      <c r="CM342" s="5">
        <v>295000</v>
      </c>
      <c r="CN342" s="694">
        <v>1</v>
      </c>
      <c r="CO342" s="5">
        <v>302135.95</v>
      </c>
    </row>
    <row r="343" spans="66:93">
      <c r="BN343" s="5"/>
      <c r="BR343" s="215"/>
      <c r="BW343" s="5"/>
      <c r="BX343" s="5"/>
      <c r="BY343" s="5"/>
      <c r="BZ343" s="5"/>
      <c r="CA343" s="5"/>
      <c r="CB343" s="5"/>
      <c r="CJ343" s="691">
        <v>46203</v>
      </c>
      <c r="CK343" s="1031" t="s">
        <v>1043</v>
      </c>
      <c r="CL343" s="1031" t="s">
        <v>2533</v>
      </c>
      <c r="CM343" s="5">
        <v>0</v>
      </c>
      <c r="CN343" s="694">
        <v>0</v>
      </c>
      <c r="CO343" s="5">
        <v>0</v>
      </c>
    </row>
    <row r="344" spans="66:93">
      <c r="BN344" s="5"/>
      <c r="BR344" s="215"/>
      <c r="BW344" s="5"/>
      <c r="BX344" s="5"/>
      <c r="BY344" s="5"/>
      <c r="BZ344" s="5"/>
      <c r="CA344" s="5"/>
      <c r="CB344" s="5"/>
      <c r="CJ344" s="691">
        <v>46203</v>
      </c>
      <c r="CK344" s="1031" t="s">
        <v>1044</v>
      </c>
      <c r="CL344" s="1031" t="s">
        <v>2534</v>
      </c>
      <c r="CM344" s="5">
        <v>1490000</v>
      </c>
      <c r="CN344" s="694">
        <v>3</v>
      </c>
      <c r="CO344" s="5">
        <v>1690699.06</v>
      </c>
    </row>
    <row r="345" spans="66:93">
      <c r="BN345" s="5"/>
      <c r="BR345" s="215"/>
      <c r="BW345" s="5"/>
      <c r="BX345" s="5"/>
      <c r="BY345" s="5"/>
      <c r="BZ345" s="5"/>
      <c r="CA345" s="5"/>
      <c r="CB345" s="5"/>
      <c r="CJ345" s="691">
        <v>46203</v>
      </c>
      <c r="CK345" s="1031" t="s">
        <v>1045</v>
      </c>
      <c r="CL345" s="1031" t="s">
        <v>2535</v>
      </c>
      <c r="CM345" s="5">
        <v>0</v>
      </c>
      <c r="CN345" s="694">
        <v>0</v>
      </c>
      <c r="CO345" s="5">
        <v>0</v>
      </c>
    </row>
    <row r="346" spans="66:93">
      <c r="BN346" s="5"/>
      <c r="BR346" s="215"/>
      <c r="BW346" s="5"/>
      <c r="BX346" s="5"/>
      <c r="BY346" s="5"/>
      <c r="BZ346" s="5"/>
      <c r="CA346" s="5"/>
      <c r="CB346" s="5"/>
      <c r="CJ346" s="691">
        <v>46203</v>
      </c>
      <c r="CK346" s="1031" t="s">
        <v>1046</v>
      </c>
      <c r="CL346" s="1031" t="s">
        <v>2536</v>
      </c>
      <c r="CM346" s="5">
        <v>2345000</v>
      </c>
      <c r="CN346" s="694">
        <v>8</v>
      </c>
      <c r="CO346" s="5">
        <v>3226926.25</v>
      </c>
    </row>
    <row r="347" spans="66:93">
      <c r="BN347" s="5"/>
      <c r="BR347" s="215"/>
      <c r="BW347" s="5"/>
      <c r="BX347" s="5"/>
      <c r="BY347" s="5"/>
      <c r="BZ347" s="5"/>
      <c r="CA347" s="5"/>
      <c r="CB347" s="5"/>
      <c r="CJ347" s="691">
        <v>46203</v>
      </c>
      <c r="CK347" s="1031" t="s">
        <v>1047</v>
      </c>
      <c r="CL347" s="1031" t="s">
        <v>2537</v>
      </c>
      <c r="CM347" s="5">
        <v>130000</v>
      </c>
      <c r="CN347" s="694">
        <v>1</v>
      </c>
      <c r="CO347" s="5">
        <v>196116.53</v>
      </c>
    </row>
    <row r="348" spans="66:93">
      <c r="BN348" s="5"/>
      <c r="BR348" s="215"/>
      <c r="BW348" s="5"/>
      <c r="BX348" s="5"/>
      <c r="BY348" s="5"/>
      <c r="BZ348" s="5"/>
      <c r="CA348" s="5"/>
      <c r="CB348" s="5"/>
      <c r="CJ348" s="691">
        <v>46203</v>
      </c>
      <c r="CK348" s="1031" t="s">
        <v>1048</v>
      </c>
      <c r="CL348" s="1031" t="s">
        <v>2538</v>
      </c>
      <c r="CM348" s="5">
        <v>124000</v>
      </c>
      <c r="CN348" s="694">
        <v>1</v>
      </c>
      <c r="CO348" s="5">
        <v>169844.64</v>
      </c>
    </row>
    <row r="349" spans="66:93">
      <c r="BN349" s="5"/>
      <c r="BR349" s="215"/>
      <c r="BW349" s="5"/>
      <c r="BX349" s="5"/>
      <c r="BY349" s="5"/>
      <c r="BZ349" s="5"/>
      <c r="CA349" s="5"/>
      <c r="CB349" s="5"/>
      <c r="CJ349" s="691">
        <v>46203</v>
      </c>
      <c r="CK349" s="1031" t="s">
        <v>1049</v>
      </c>
      <c r="CL349" s="1031" t="s">
        <v>2539</v>
      </c>
      <c r="CM349" s="5">
        <v>415050</v>
      </c>
      <c r="CN349" s="694">
        <v>2</v>
      </c>
      <c r="CO349" s="5">
        <v>561834.02</v>
      </c>
    </row>
    <row r="350" spans="66:93">
      <c r="BN350" s="5"/>
      <c r="BR350" s="215"/>
      <c r="BW350" s="5"/>
      <c r="BX350" s="5"/>
      <c r="BY350" s="5"/>
      <c r="BZ350" s="5"/>
      <c r="CA350" s="5"/>
      <c r="CB350" s="5"/>
      <c r="CJ350" s="691">
        <v>46203</v>
      </c>
      <c r="CK350" s="1031" t="s">
        <v>1050</v>
      </c>
      <c r="CL350" s="1031" t="s">
        <v>2540</v>
      </c>
      <c r="CM350" s="5">
        <v>1348813</v>
      </c>
      <c r="CN350" s="694">
        <v>3</v>
      </c>
      <c r="CO350" s="5">
        <v>1102978.74</v>
      </c>
    </row>
    <row r="351" spans="66:93">
      <c r="BN351" s="5"/>
      <c r="BR351" s="215"/>
      <c r="BW351" s="5"/>
      <c r="BX351" s="5"/>
      <c r="BY351" s="5"/>
      <c r="BZ351" s="5"/>
      <c r="CA351" s="5"/>
      <c r="CB351" s="5"/>
      <c r="CJ351" s="691">
        <v>46203</v>
      </c>
      <c r="CK351" s="1031" t="s">
        <v>1051</v>
      </c>
      <c r="CL351" s="1031" t="s">
        <v>2541</v>
      </c>
      <c r="CM351" s="5">
        <v>141700</v>
      </c>
      <c r="CN351" s="694">
        <v>1</v>
      </c>
      <c r="CO351" s="5">
        <v>141700</v>
      </c>
    </row>
    <row r="352" spans="66:93">
      <c r="BN352" s="5"/>
      <c r="BR352" s="215"/>
      <c r="BW352" s="5"/>
      <c r="BX352" s="5"/>
      <c r="BY352" s="5"/>
      <c r="BZ352" s="5"/>
      <c r="CA352" s="5"/>
      <c r="CB352" s="5"/>
      <c r="CJ352" s="691">
        <v>46203</v>
      </c>
      <c r="CK352" s="1031" t="s">
        <v>1052</v>
      </c>
      <c r="CL352" s="1031" t="s">
        <v>2542</v>
      </c>
      <c r="CM352" s="5">
        <v>510000</v>
      </c>
      <c r="CN352" s="694">
        <v>2</v>
      </c>
      <c r="CO352" s="5">
        <v>785724.03</v>
      </c>
    </row>
    <row r="353" spans="66:93">
      <c r="BN353" s="5"/>
      <c r="BR353" s="215"/>
      <c r="BW353" s="5"/>
      <c r="BX353" s="5"/>
      <c r="BY353" s="5"/>
      <c r="BZ353" s="5"/>
      <c r="CA353" s="5"/>
      <c r="CB353" s="5"/>
      <c r="CJ353" s="691">
        <v>46203</v>
      </c>
      <c r="CK353" s="1031" t="s">
        <v>1053</v>
      </c>
      <c r="CL353" s="1031" t="s">
        <v>2543</v>
      </c>
      <c r="CM353" s="5">
        <v>2946418</v>
      </c>
      <c r="CN353" s="694">
        <v>7</v>
      </c>
      <c r="CO353" s="5">
        <v>4478329.33</v>
      </c>
    </row>
    <row r="354" spans="66:93">
      <c r="BN354" s="5"/>
      <c r="BR354" s="215"/>
      <c r="BW354" s="5"/>
      <c r="BX354" s="5"/>
      <c r="BY354" s="5"/>
      <c r="BZ354" s="5"/>
      <c r="CA354" s="5"/>
      <c r="CB354" s="5"/>
      <c r="CJ354" s="691">
        <v>46203</v>
      </c>
      <c r="CK354" s="1031" t="s">
        <v>1054</v>
      </c>
      <c r="CL354" s="1031" t="s">
        <v>2544</v>
      </c>
      <c r="CM354" s="5">
        <v>2381483</v>
      </c>
      <c r="CN354" s="694">
        <v>8</v>
      </c>
      <c r="CO354" s="5">
        <v>3270053.5</v>
      </c>
    </row>
    <row r="355" spans="66:93">
      <c r="BN355" s="5"/>
      <c r="BR355" s="215"/>
      <c r="BW355" s="5"/>
      <c r="BX355" s="5"/>
      <c r="BY355" s="5"/>
      <c r="BZ355" s="5"/>
      <c r="CA355" s="5"/>
      <c r="CB355" s="5"/>
      <c r="CJ355" s="691">
        <v>46203</v>
      </c>
      <c r="CK355" s="1031" t="s">
        <v>1055</v>
      </c>
      <c r="CL355" s="1031" t="s">
        <v>2545</v>
      </c>
      <c r="CM355" s="5">
        <v>739996</v>
      </c>
      <c r="CN355" s="694">
        <v>3</v>
      </c>
      <c r="CO355" s="5">
        <v>878815.67999999993</v>
      </c>
    </row>
    <row r="356" spans="66:93">
      <c r="BN356" s="5"/>
      <c r="BR356" s="215"/>
      <c r="BW356" s="5"/>
      <c r="BX356" s="5"/>
      <c r="BY356" s="5"/>
      <c r="BZ356" s="5"/>
      <c r="CA356" s="5"/>
      <c r="CB356" s="5"/>
      <c r="CJ356" s="691">
        <v>46203</v>
      </c>
      <c r="CK356" s="1031" t="s">
        <v>1056</v>
      </c>
      <c r="CL356" s="1031" t="s">
        <v>2546</v>
      </c>
      <c r="CM356" s="5">
        <v>12714035</v>
      </c>
      <c r="CN356" s="694">
        <v>24</v>
      </c>
      <c r="CO356" s="5">
        <v>14657035.189999999</v>
      </c>
    </row>
    <row r="357" spans="66:93">
      <c r="BN357" s="5"/>
      <c r="BR357" s="215"/>
      <c r="BW357" s="5"/>
      <c r="BX357" s="5"/>
      <c r="BY357" s="5"/>
      <c r="BZ357" s="5"/>
      <c r="CA357" s="5"/>
      <c r="CB357" s="5"/>
      <c r="CJ357" s="691">
        <v>46203</v>
      </c>
      <c r="CK357" s="1031" t="s">
        <v>1057</v>
      </c>
      <c r="CL357" s="1031" t="s">
        <v>2547</v>
      </c>
      <c r="CM357" s="5">
        <v>1810750</v>
      </c>
      <c r="CN357" s="694">
        <v>5</v>
      </c>
      <c r="CO357" s="5">
        <v>2268192.91</v>
      </c>
    </row>
    <row r="358" spans="66:93">
      <c r="BN358" s="5"/>
      <c r="BR358" s="215"/>
      <c r="BW358" s="5"/>
      <c r="BX358" s="5"/>
      <c r="BY358" s="5"/>
      <c r="BZ358" s="5"/>
      <c r="CA358" s="5"/>
      <c r="CB358" s="5"/>
      <c r="CJ358" s="691">
        <v>46203</v>
      </c>
      <c r="CK358" s="1031" t="s">
        <v>1058</v>
      </c>
      <c r="CL358" s="1031" t="s">
        <v>2548</v>
      </c>
      <c r="CM358" s="5">
        <v>230000</v>
      </c>
      <c r="CN358" s="694">
        <v>1</v>
      </c>
      <c r="CO358" s="5">
        <v>313782.44</v>
      </c>
    </row>
    <row r="359" spans="66:93">
      <c r="BN359" s="5"/>
      <c r="BR359" s="215"/>
      <c r="BW359" s="5"/>
      <c r="BX359" s="5"/>
      <c r="BY359" s="5"/>
      <c r="BZ359" s="5"/>
      <c r="CA359" s="5"/>
      <c r="CB359" s="5"/>
      <c r="CJ359" s="691">
        <v>46203</v>
      </c>
      <c r="CK359" s="1031" t="s">
        <v>1059</v>
      </c>
      <c r="CL359" s="1031" t="s">
        <v>2549</v>
      </c>
      <c r="CM359" s="5">
        <v>3337195</v>
      </c>
      <c r="CN359" s="694">
        <v>4</v>
      </c>
      <c r="CO359" s="5">
        <v>3787892.16</v>
      </c>
    </row>
    <row r="360" spans="66:93">
      <c r="BN360" s="5"/>
      <c r="BR360" s="215"/>
      <c r="BW360" s="5"/>
      <c r="BX360" s="5"/>
      <c r="BY360" s="5"/>
      <c r="BZ360" s="5"/>
      <c r="CA360" s="5"/>
      <c r="CB360" s="5"/>
      <c r="CJ360" s="691">
        <v>46203</v>
      </c>
      <c r="CK360" s="1031" t="s">
        <v>1060</v>
      </c>
      <c r="CL360" s="1031" t="s">
        <v>2550</v>
      </c>
      <c r="CM360" s="5">
        <v>0</v>
      </c>
      <c r="CN360" s="694">
        <v>0</v>
      </c>
      <c r="CO360" s="5">
        <v>0</v>
      </c>
    </row>
    <row r="361" spans="66:93">
      <c r="BN361" s="5"/>
      <c r="BR361" s="215"/>
      <c r="BW361" s="5"/>
      <c r="BX361" s="5"/>
      <c r="BY361" s="5"/>
      <c r="BZ361" s="5"/>
      <c r="CA361" s="5"/>
      <c r="CB361" s="5"/>
      <c r="CJ361" s="691">
        <v>46203</v>
      </c>
      <c r="CK361" s="1031" t="s">
        <v>1061</v>
      </c>
      <c r="CL361" s="1031" t="s">
        <v>2551</v>
      </c>
      <c r="CM361" s="5">
        <v>0</v>
      </c>
      <c r="CN361" s="694">
        <v>0</v>
      </c>
      <c r="CO361" s="5">
        <v>0</v>
      </c>
    </row>
    <row r="362" spans="66:93">
      <c r="BN362" s="5"/>
      <c r="BR362" s="215"/>
      <c r="BW362" s="5"/>
      <c r="BX362" s="5"/>
      <c r="BY362" s="5"/>
      <c r="BZ362" s="5"/>
      <c r="CA362" s="5"/>
      <c r="CB362" s="5"/>
      <c r="CJ362" s="691">
        <v>46203</v>
      </c>
      <c r="CK362" s="1031" t="s">
        <v>1062</v>
      </c>
      <c r="CL362" s="1031" t="s">
        <v>2552</v>
      </c>
      <c r="CM362" s="5">
        <v>0</v>
      </c>
      <c r="CN362" s="694">
        <v>0</v>
      </c>
      <c r="CO362" s="5">
        <v>0</v>
      </c>
    </row>
    <row r="363" spans="66:93">
      <c r="BN363" s="5"/>
      <c r="BR363" s="215"/>
      <c r="BW363" s="5"/>
      <c r="BX363" s="5"/>
      <c r="BY363" s="5"/>
      <c r="BZ363" s="5"/>
      <c r="CA363" s="5"/>
      <c r="CB363" s="5"/>
      <c r="CJ363" s="691">
        <v>46203</v>
      </c>
      <c r="CK363" s="1031" t="s">
        <v>1063</v>
      </c>
      <c r="CL363" s="1031" t="s">
        <v>2553</v>
      </c>
      <c r="CM363" s="5">
        <v>223000</v>
      </c>
      <c r="CN363" s="694">
        <v>1</v>
      </c>
      <c r="CO363" s="5">
        <v>223000</v>
      </c>
    </row>
    <row r="364" spans="66:93">
      <c r="BN364" s="5"/>
      <c r="BR364" s="215"/>
      <c r="BW364" s="5"/>
      <c r="BX364" s="5"/>
      <c r="BY364" s="5"/>
      <c r="BZ364" s="5"/>
      <c r="CA364" s="5"/>
      <c r="CB364" s="5"/>
      <c r="CJ364" s="691">
        <v>46203</v>
      </c>
      <c r="CK364" s="1031" t="s">
        <v>1064</v>
      </c>
      <c r="CL364" s="1031" t="s">
        <v>2554</v>
      </c>
      <c r="CM364" s="5">
        <v>1140000</v>
      </c>
      <c r="CN364" s="694">
        <v>4</v>
      </c>
      <c r="CO364" s="5">
        <v>1475496.37</v>
      </c>
    </row>
    <row r="365" spans="66:93">
      <c r="BN365" s="5"/>
      <c r="BR365" s="215"/>
      <c r="BW365" s="5"/>
      <c r="BX365" s="5"/>
      <c r="BY365" s="5"/>
      <c r="BZ365" s="5"/>
      <c r="CA365" s="5"/>
      <c r="CB365" s="5"/>
      <c r="CJ365" s="691">
        <v>46203</v>
      </c>
      <c r="CK365" s="1031" t="s">
        <v>1065</v>
      </c>
      <c r="CL365" s="1031" t="s">
        <v>2555</v>
      </c>
      <c r="CM365" s="5">
        <v>165000</v>
      </c>
      <c r="CN365" s="694">
        <v>1</v>
      </c>
      <c r="CO365" s="5">
        <v>242349.84</v>
      </c>
    </row>
    <row r="366" spans="66:93">
      <c r="BN366" s="5"/>
      <c r="BR366" s="215"/>
      <c r="BW366" s="5"/>
      <c r="BX366" s="5"/>
      <c r="BY366" s="5"/>
      <c r="BZ366" s="5"/>
      <c r="CA366" s="5"/>
      <c r="CB366" s="5"/>
      <c r="CJ366" s="691">
        <v>46203</v>
      </c>
      <c r="CK366" s="1031" t="s">
        <v>1066</v>
      </c>
      <c r="CL366" s="1031" t="s">
        <v>2556</v>
      </c>
      <c r="CM366" s="5">
        <v>0</v>
      </c>
      <c r="CN366" s="694">
        <v>0</v>
      </c>
      <c r="CO366" s="5">
        <v>0</v>
      </c>
    </row>
    <row r="367" spans="66:93">
      <c r="BN367" s="5"/>
      <c r="BR367" s="215"/>
      <c r="BW367" s="5"/>
      <c r="BX367" s="5"/>
      <c r="BY367" s="5"/>
      <c r="BZ367" s="5"/>
      <c r="CA367" s="5"/>
      <c r="CB367" s="5"/>
      <c r="CJ367" s="691">
        <v>46203</v>
      </c>
      <c r="CK367" s="1031" t="s">
        <v>1067</v>
      </c>
      <c r="CL367" s="1031" t="s">
        <v>2557</v>
      </c>
      <c r="CM367" s="5">
        <v>835000</v>
      </c>
      <c r="CN367" s="694">
        <v>3</v>
      </c>
      <c r="CO367" s="5">
        <v>981502.25</v>
      </c>
    </row>
    <row r="368" spans="66:93">
      <c r="BN368" s="5"/>
      <c r="BR368" s="215"/>
      <c r="BW368" s="5"/>
      <c r="BX368" s="5"/>
      <c r="BY368" s="5"/>
      <c r="BZ368" s="5"/>
      <c r="CA368" s="5"/>
      <c r="CB368" s="5"/>
      <c r="CJ368" s="691">
        <v>46203</v>
      </c>
      <c r="CK368" s="1031" t="s">
        <v>1068</v>
      </c>
      <c r="CL368" s="1031" t="s">
        <v>2558</v>
      </c>
      <c r="CM368" s="5">
        <v>5010130</v>
      </c>
      <c r="CN368" s="694">
        <v>7</v>
      </c>
      <c r="CO368" s="5">
        <v>4884468.4400000004</v>
      </c>
    </row>
    <row r="369" spans="66:93">
      <c r="BN369" s="5"/>
      <c r="BR369" s="215"/>
      <c r="BW369" s="5"/>
      <c r="BX369" s="5"/>
      <c r="BY369" s="5"/>
      <c r="BZ369" s="5"/>
      <c r="CA369" s="5"/>
      <c r="CB369" s="5"/>
      <c r="CJ369" s="691">
        <v>46203</v>
      </c>
      <c r="CK369" s="1031" t="s">
        <v>1069</v>
      </c>
      <c r="CL369" s="1031" t="s">
        <v>2559</v>
      </c>
      <c r="CM369" s="5">
        <v>2150259</v>
      </c>
      <c r="CN369" s="694">
        <v>10</v>
      </c>
      <c r="CO369" s="5">
        <v>2477134.2000000002</v>
      </c>
    </row>
    <row r="370" spans="66:93">
      <c r="BN370" s="5"/>
      <c r="BR370" s="215"/>
      <c r="BW370" s="5"/>
      <c r="BX370" s="5"/>
      <c r="BY370" s="5"/>
      <c r="BZ370" s="5"/>
      <c r="CA370" s="5"/>
      <c r="CB370" s="5"/>
      <c r="CJ370" s="691">
        <v>46203</v>
      </c>
      <c r="CK370" s="1031" t="s">
        <v>1070</v>
      </c>
      <c r="CL370" s="1031" t="s">
        <v>2560</v>
      </c>
      <c r="CM370" s="5">
        <v>0</v>
      </c>
      <c r="CN370" s="694">
        <v>0</v>
      </c>
      <c r="CO370" s="5">
        <v>0</v>
      </c>
    </row>
    <row r="371" spans="66:93">
      <c r="BN371" s="5"/>
      <c r="BR371" s="215"/>
      <c r="BW371" s="5"/>
      <c r="BX371" s="5"/>
      <c r="BY371" s="5"/>
      <c r="BZ371" s="5"/>
      <c r="CA371" s="5"/>
      <c r="CB371" s="5"/>
      <c r="CJ371" s="691">
        <v>46203</v>
      </c>
      <c r="CK371" s="1031" t="s">
        <v>1071</v>
      </c>
      <c r="CL371" s="1031" t="s">
        <v>2561</v>
      </c>
      <c r="CM371" s="5">
        <v>250000</v>
      </c>
      <c r="CN371" s="694">
        <v>1</v>
      </c>
      <c r="CO371" s="5">
        <v>300682.26</v>
      </c>
    </row>
    <row r="372" spans="66:93">
      <c r="BN372" s="5"/>
      <c r="BR372" s="215"/>
      <c r="BW372" s="5"/>
      <c r="BX372" s="5"/>
      <c r="BY372" s="5"/>
      <c r="BZ372" s="5"/>
      <c r="CA372" s="5"/>
      <c r="CB372" s="5"/>
      <c r="CJ372" s="691">
        <v>46203</v>
      </c>
      <c r="CK372" s="1031" t="s">
        <v>1072</v>
      </c>
      <c r="CL372" s="1031" t="s">
        <v>2562</v>
      </c>
      <c r="CM372" s="5">
        <v>0</v>
      </c>
      <c r="CN372" s="694">
        <v>0</v>
      </c>
      <c r="CO372" s="5">
        <v>0</v>
      </c>
    </row>
    <row r="373" spans="66:93">
      <c r="BN373" s="5"/>
      <c r="BR373" s="215"/>
      <c r="BW373" s="5"/>
      <c r="BX373" s="5"/>
      <c r="BY373" s="5"/>
      <c r="BZ373" s="5"/>
      <c r="CA373" s="5"/>
      <c r="CB373" s="5"/>
      <c r="CJ373" s="691">
        <v>46203</v>
      </c>
      <c r="CK373" s="1031" t="s">
        <v>1073</v>
      </c>
      <c r="CL373" s="1031" t="s">
        <v>2563</v>
      </c>
      <c r="CM373" s="5">
        <v>0</v>
      </c>
      <c r="CN373" s="694">
        <v>0</v>
      </c>
      <c r="CO373" s="5">
        <v>0</v>
      </c>
    </row>
    <row r="374" spans="66:93">
      <c r="BN374" s="5"/>
      <c r="BR374" s="215"/>
      <c r="BW374" s="5"/>
      <c r="BX374" s="5"/>
      <c r="BY374" s="5"/>
      <c r="BZ374" s="5"/>
      <c r="CA374" s="5"/>
      <c r="CB374" s="5"/>
      <c r="CJ374" s="691">
        <v>46203</v>
      </c>
      <c r="CK374" s="1031" t="s">
        <v>1074</v>
      </c>
      <c r="CL374" s="1031" t="s">
        <v>2564</v>
      </c>
      <c r="CM374" s="5">
        <v>5506900</v>
      </c>
      <c r="CN374" s="694">
        <v>15</v>
      </c>
      <c r="CO374" s="5">
        <v>6286035.4299999997</v>
      </c>
    </row>
    <row r="375" spans="66:93">
      <c r="BN375" s="5"/>
      <c r="BR375" s="215"/>
      <c r="BW375" s="5"/>
      <c r="BX375" s="5"/>
      <c r="BY375" s="5"/>
      <c r="BZ375" s="5"/>
      <c r="CA375" s="5"/>
      <c r="CB375" s="5"/>
      <c r="CJ375" s="691">
        <v>46203</v>
      </c>
      <c r="CK375" s="1031" t="s">
        <v>1075</v>
      </c>
      <c r="CL375" s="1031" t="s">
        <v>2565</v>
      </c>
      <c r="CM375" s="5">
        <v>0</v>
      </c>
      <c r="CN375" s="694">
        <v>0</v>
      </c>
      <c r="CO375" s="5">
        <v>0</v>
      </c>
    </row>
    <row r="376" spans="66:93">
      <c r="BN376" s="5"/>
      <c r="BR376" s="215"/>
      <c r="BW376" s="5"/>
      <c r="BX376" s="5"/>
      <c r="BY376" s="5"/>
      <c r="BZ376" s="5"/>
      <c r="CA376" s="5"/>
      <c r="CB376" s="5"/>
      <c r="CJ376" s="691">
        <v>46203</v>
      </c>
      <c r="CK376" s="1031" t="s">
        <v>1076</v>
      </c>
      <c r="CL376" s="1031" t="s">
        <v>2566</v>
      </c>
      <c r="CM376" s="5">
        <v>0</v>
      </c>
      <c r="CN376" s="694">
        <v>0</v>
      </c>
      <c r="CO376" s="5">
        <v>0</v>
      </c>
    </row>
    <row r="377" spans="66:93">
      <c r="BN377" s="5"/>
      <c r="BR377" s="215"/>
      <c r="BW377" s="5"/>
      <c r="BX377" s="5"/>
      <c r="BY377" s="5"/>
      <c r="BZ377" s="5"/>
      <c r="CA377" s="5"/>
      <c r="CB377" s="5"/>
      <c r="CJ377" s="691">
        <v>46203</v>
      </c>
      <c r="CK377" s="1031" t="s">
        <v>1077</v>
      </c>
      <c r="CL377" s="1031" t="s">
        <v>2567</v>
      </c>
      <c r="CM377" s="5">
        <v>331500</v>
      </c>
      <c r="CN377" s="694">
        <v>1</v>
      </c>
      <c r="CO377" s="5">
        <v>407847.46</v>
      </c>
    </row>
    <row r="378" spans="66:93">
      <c r="BN378" s="5"/>
      <c r="BR378" s="215"/>
      <c r="BW378" s="5"/>
      <c r="BX378" s="5"/>
      <c r="BY378" s="5"/>
      <c r="BZ378" s="5"/>
      <c r="CA378" s="5"/>
      <c r="CB378" s="5"/>
      <c r="CJ378" s="691">
        <v>46203</v>
      </c>
      <c r="CK378" s="1031" t="s">
        <v>1078</v>
      </c>
      <c r="CL378" s="1031" t="s">
        <v>2568</v>
      </c>
      <c r="CM378" s="5">
        <v>0</v>
      </c>
      <c r="CN378" s="694">
        <v>0</v>
      </c>
      <c r="CO378" s="5">
        <v>0</v>
      </c>
    </row>
    <row r="379" spans="66:93">
      <c r="BN379" s="5"/>
      <c r="BR379" s="215"/>
      <c r="BW379" s="5"/>
      <c r="BX379" s="5"/>
      <c r="BY379" s="5"/>
      <c r="BZ379" s="5"/>
      <c r="CA379" s="5"/>
      <c r="CB379" s="5"/>
      <c r="CJ379" s="691">
        <v>46203</v>
      </c>
      <c r="CK379" s="1031" t="s">
        <v>1079</v>
      </c>
      <c r="CL379" s="1031" t="s">
        <v>2569</v>
      </c>
      <c r="CM379" s="5">
        <v>330000</v>
      </c>
      <c r="CN379" s="694">
        <v>1</v>
      </c>
      <c r="CO379" s="5">
        <v>330000</v>
      </c>
    </row>
    <row r="380" spans="66:93">
      <c r="BN380" s="5"/>
      <c r="BR380" s="215"/>
      <c r="BW380" s="5"/>
      <c r="BX380" s="5"/>
      <c r="BY380" s="5"/>
      <c r="BZ380" s="5"/>
      <c r="CA380" s="5"/>
      <c r="CB380" s="5"/>
      <c r="CJ380" s="691">
        <v>46203</v>
      </c>
      <c r="CK380" s="1031" t="s">
        <v>1080</v>
      </c>
      <c r="CL380" s="1031" t="s">
        <v>2570</v>
      </c>
      <c r="CM380" s="5">
        <v>0</v>
      </c>
      <c r="CN380" s="694">
        <v>0</v>
      </c>
      <c r="CO380" s="5">
        <v>0</v>
      </c>
    </row>
    <row r="381" spans="66:93">
      <c r="BN381" s="5"/>
      <c r="BR381" s="215"/>
      <c r="BW381" s="5"/>
      <c r="BX381" s="5"/>
      <c r="BY381" s="5"/>
      <c r="BZ381" s="5"/>
      <c r="CA381" s="5"/>
      <c r="CB381" s="5"/>
      <c r="CJ381" s="691">
        <v>46203</v>
      </c>
      <c r="CK381" s="1031" t="s">
        <v>1081</v>
      </c>
      <c r="CL381" s="1031" t="s">
        <v>2571</v>
      </c>
      <c r="CM381" s="5">
        <v>0</v>
      </c>
      <c r="CN381" s="694">
        <v>0</v>
      </c>
      <c r="CO381" s="5">
        <v>0</v>
      </c>
    </row>
    <row r="382" spans="66:93">
      <c r="BN382" s="5"/>
      <c r="BR382" s="215"/>
      <c r="BW382" s="5"/>
      <c r="BX382" s="5"/>
      <c r="BY382" s="5"/>
      <c r="BZ382" s="5"/>
      <c r="CA382" s="5"/>
      <c r="CB382" s="5"/>
      <c r="CJ382" s="691">
        <v>46203</v>
      </c>
      <c r="CK382" s="1031" t="s">
        <v>1082</v>
      </c>
      <c r="CL382" s="1031" t="s">
        <v>2572</v>
      </c>
      <c r="CM382" s="5">
        <v>0</v>
      </c>
      <c r="CN382" s="694">
        <v>0</v>
      </c>
      <c r="CO382" s="5">
        <v>0</v>
      </c>
    </row>
    <row r="383" spans="66:93">
      <c r="BN383" s="5"/>
      <c r="BR383" s="215"/>
      <c r="BW383" s="5"/>
      <c r="BX383" s="5"/>
      <c r="BY383" s="5"/>
      <c r="BZ383" s="5"/>
      <c r="CA383" s="5"/>
      <c r="CB383" s="5"/>
      <c r="CJ383" s="691">
        <v>46203</v>
      </c>
      <c r="CK383" s="1031" t="s">
        <v>1083</v>
      </c>
      <c r="CL383" s="1031" t="s">
        <v>2573</v>
      </c>
      <c r="CM383" s="5">
        <v>735081</v>
      </c>
      <c r="CN383" s="694">
        <v>2</v>
      </c>
      <c r="CO383" s="5">
        <v>787531.13</v>
      </c>
    </row>
    <row r="384" spans="66:93">
      <c r="BN384" s="5"/>
      <c r="BR384" s="215"/>
      <c r="BW384" s="5"/>
      <c r="BX384" s="5"/>
      <c r="BY384" s="5"/>
      <c r="BZ384" s="5"/>
      <c r="CA384" s="5"/>
      <c r="CB384" s="5"/>
      <c r="CJ384" s="691">
        <v>46203</v>
      </c>
      <c r="CK384" s="1031" t="s">
        <v>1084</v>
      </c>
      <c r="CL384" s="1031" t="s">
        <v>2574</v>
      </c>
      <c r="CM384" s="5">
        <v>2231177</v>
      </c>
      <c r="CN384" s="694">
        <v>4</v>
      </c>
      <c r="CO384" s="5">
        <v>2782844.96</v>
      </c>
    </row>
    <row r="385" spans="66:93">
      <c r="BN385" s="5"/>
      <c r="BR385" s="215"/>
      <c r="BW385" s="5"/>
      <c r="BX385" s="5"/>
      <c r="BY385" s="5"/>
      <c r="BZ385" s="5"/>
      <c r="CA385" s="5"/>
      <c r="CB385" s="5"/>
      <c r="CJ385" s="691">
        <v>46203</v>
      </c>
      <c r="CK385" s="1031" t="s">
        <v>1085</v>
      </c>
      <c r="CL385" s="1031" t="s">
        <v>2575</v>
      </c>
      <c r="CM385" s="5">
        <v>0</v>
      </c>
      <c r="CN385" s="694">
        <v>0</v>
      </c>
      <c r="CO385" s="5">
        <v>0</v>
      </c>
    </row>
    <row r="386" spans="66:93">
      <c r="BN386" s="5"/>
      <c r="BR386" s="215"/>
      <c r="BW386" s="5"/>
      <c r="BX386" s="5"/>
      <c r="BY386" s="5"/>
      <c r="BZ386" s="5"/>
      <c r="CA386" s="5"/>
      <c r="CB386" s="5"/>
      <c r="CJ386" s="691">
        <v>46203</v>
      </c>
      <c r="CK386" s="1031" t="s">
        <v>1086</v>
      </c>
      <c r="CL386" s="1031" t="s">
        <v>2576</v>
      </c>
      <c r="CM386" s="5">
        <v>420000</v>
      </c>
      <c r="CN386" s="694">
        <v>1</v>
      </c>
      <c r="CO386" s="5">
        <v>512205.03</v>
      </c>
    </row>
    <row r="387" spans="66:93">
      <c r="BN387" s="5"/>
      <c r="BR387" s="215"/>
      <c r="BW387" s="5"/>
      <c r="BX387" s="5"/>
      <c r="BY387" s="5"/>
      <c r="BZ387" s="5"/>
      <c r="CA387" s="5"/>
      <c r="CB387" s="5"/>
      <c r="CJ387" s="691">
        <v>46203</v>
      </c>
      <c r="CK387" s="1031" t="s">
        <v>1087</v>
      </c>
      <c r="CL387" s="1031" t="s">
        <v>2577</v>
      </c>
      <c r="CM387" s="5">
        <v>3101749</v>
      </c>
      <c r="CN387" s="694">
        <v>9</v>
      </c>
      <c r="CO387" s="5">
        <v>3834705.65</v>
      </c>
    </row>
    <row r="388" spans="66:93">
      <c r="BN388" s="5"/>
      <c r="BR388" s="215"/>
      <c r="BW388" s="5"/>
      <c r="BX388" s="5"/>
      <c r="BY388" s="5"/>
      <c r="BZ388" s="5"/>
      <c r="CA388" s="5"/>
      <c r="CB388" s="5"/>
      <c r="CJ388" s="691">
        <v>46203</v>
      </c>
      <c r="CK388" s="1031" t="s">
        <v>1088</v>
      </c>
      <c r="CL388" s="1031" t="s">
        <v>2578</v>
      </c>
      <c r="CM388" s="5">
        <v>370000</v>
      </c>
      <c r="CN388" s="694">
        <v>1</v>
      </c>
      <c r="CO388" s="5">
        <v>326400</v>
      </c>
    </row>
    <row r="389" spans="66:93">
      <c r="BN389" s="5"/>
      <c r="BR389" s="215"/>
      <c r="BW389" s="5"/>
      <c r="BX389" s="5"/>
      <c r="BY389" s="5"/>
      <c r="BZ389" s="5"/>
      <c r="CA389" s="5"/>
      <c r="CB389" s="5"/>
      <c r="CJ389" s="691">
        <v>46203</v>
      </c>
      <c r="CK389" s="1031" t="s">
        <v>1089</v>
      </c>
      <c r="CL389" s="1031" t="s">
        <v>2579</v>
      </c>
      <c r="CM389" s="5">
        <v>9174087</v>
      </c>
      <c r="CN389" s="694">
        <v>18</v>
      </c>
      <c r="CO389" s="5">
        <v>10550206.100000001</v>
      </c>
    </row>
    <row r="390" spans="66:93">
      <c r="BN390" s="5"/>
      <c r="BR390" s="215"/>
      <c r="BW390" s="5"/>
      <c r="BX390" s="5"/>
      <c r="BY390" s="5"/>
      <c r="BZ390" s="5"/>
      <c r="CA390" s="5"/>
      <c r="CB390" s="5"/>
      <c r="CJ390" s="691">
        <v>46203</v>
      </c>
      <c r="CK390" s="1031" t="s">
        <v>1090</v>
      </c>
      <c r="CL390" s="1031" t="s">
        <v>2580</v>
      </c>
      <c r="CM390" s="5">
        <v>5785975</v>
      </c>
      <c r="CN390" s="694">
        <v>11</v>
      </c>
      <c r="CO390" s="5">
        <v>6328725.6200000001</v>
      </c>
    </row>
    <row r="391" spans="66:93">
      <c r="BN391" s="5"/>
      <c r="BR391" s="215"/>
      <c r="BW391" s="5"/>
      <c r="BX391" s="5"/>
      <c r="BY391" s="5"/>
      <c r="BZ391" s="5"/>
      <c r="CA391" s="5"/>
      <c r="CB391" s="5"/>
      <c r="CJ391" s="691">
        <v>46203</v>
      </c>
      <c r="CK391" s="1031" t="s">
        <v>1091</v>
      </c>
      <c r="CL391" s="1031" t="s">
        <v>2581</v>
      </c>
      <c r="CM391" s="5">
        <v>4079300</v>
      </c>
      <c r="CN391" s="694">
        <v>9</v>
      </c>
      <c r="CO391" s="5">
        <v>4044817.9800000004</v>
      </c>
    </row>
    <row r="392" spans="66:93">
      <c r="BN392" s="5"/>
      <c r="BR392" s="215"/>
      <c r="BW392" s="5"/>
      <c r="BX392" s="5"/>
      <c r="BY392" s="5"/>
      <c r="BZ392" s="5"/>
      <c r="CA392" s="5"/>
      <c r="CB392" s="5"/>
      <c r="CJ392" s="691">
        <v>46203</v>
      </c>
      <c r="CK392" s="1031" t="s">
        <v>1092</v>
      </c>
      <c r="CL392" s="1031" t="s">
        <v>2582</v>
      </c>
      <c r="CM392" s="5">
        <v>200000</v>
      </c>
      <c r="CN392" s="694">
        <v>1</v>
      </c>
      <c r="CO392" s="5">
        <v>267991.63</v>
      </c>
    </row>
    <row r="393" spans="66:93">
      <c r="BN393" s="5"/>
      <c r="BR393" s="215"/>
      <c r="BW393" s="5"/>
      <c r="BX393" s="5"/>
      <c r="BY393" s="5"/>
      <c r="BZ393" s="5"/>
      <c r="CA393" s="5"/>
      <c r="CB393" s="5"/>
      <c r="CJ393" s="691">
        <v>46203</v>
      </c>
      <c r="CK393" s="1031" t="s">
        <v>1093</v>
      </c>
      <c r="CL393" s="1031" t="s">
        <v>2583</v>
      </c>
      <c r="CM393" s="5">
        <v>0</v>
      </c>
      <c r="CN393" s="694">
        <v>0</v>
      </c>
      <c r="CO393" s="5">
        <v>0</v>
      </c>
    </row>
    <row r="394" spans="66:93">
      <c r="BN394" s="5"/>
      <c r="BR394" s="215"/>
      <c r="BW394" s="5"/>
      <c r="BX394" s="5"/>
      <c r="BY394" s="5"/>
      <c r="BZ394" s="5"/>
      <c r="CA394" s="5"/>
      <c r="CB394" s="5"/>
      <c r="CJ394" s="691">
        <v>46203</v>
      </c>
      <c r="CK394" s="1031" t="s">
        <v>1094</v>
      </c>
      <c r="CL394" s="1031" t="s">
        <v>2584</v>
      </c>
      <c r="CM394" s="5">
        <v>14889750</v>
      </c>
      <c r="CN394" s="694">
        <v>33</v>
      </c>
      <c r="CO394" s="5">
        <v>17515803.260000002</v>
      </c>
    </row>
    <row r="395" spans="66:93">
      <c r="BN395" s="5"/>
      <c r="BR395" s="215"/>
      <c r="BW395" s="5"/>
      <c r="BX395" s="5"/>
      <c r="BY395" s="5"/>
      <c r="BZ395" s="5"/>
      <c r="CA395" s="5"/>
      <c r="CB395" s="5"/>
      <c r="CJ395" s="691">
        <v>46203</v>
      </c>
      <c r="CK395" s="1031" t="s">
        <v>1095</v>
      </c>
      <c r="CL395" s="1031" t="s">
        <v>2585</v>
      </c>
      <c r="CM395" s="5">
        <v>3550421</v>
      </c>
      <c r="CN395" s="694">
        <v>9</v>
      </c>
      <c r="CO395" s="5">
        <v>4440337.88</v>
      </c>
    </row>
    <row r="396" spans="66:93">
      <c r="BN396" s="5"/>
      <c r="BR396" s="215"/>
      <c r="BW396" s="5"/>
      <c r="BX396" s="5"/>
      <c r="BY396" s="5"/>
      <c r="BZ396" s="5"/>
      <c r="CA396" s="5"/>
      <c r="CB396" s="5"/>
      <c r="CJ396" s="691">
        <v>46203</v>
      </c>
      <c r="CK396" s="1031" t="s">
        <v>1096</v>
      </c>
      <c r="CL396" s="1031" t="s">
        <v>2586</v>
      </c>
      <c r="CM396" s="5">
        <v>3335482</v>
      </c>
      <c r="CN396" s="694">
        <v>7</v>
      </c>
      <c r="CO396" s="5">
        <v>3810386.54</v>
      </c>
    </row>
    <row r="397" spans="66:93">
      <c r="BN397" s="5"/>
      <c r="BR397" s="215"/>
      <c r="BW397" s="5"/>
      <c r="BX397" s="5"/>
      <c r="BY397" s="5"/>
      <c r="BZ397" s="5"/>
      <c r="CA397" s="5"/>
      <c r="CB397" s="5"/>
      <c r="CJ397" s="691">
        <v>46203</v>
      </c>
      <c r="CK397" s="1031" t="s">
        <v>1097</v>
      </c>
      <c r="CL397" s="1031" t="s">
        <v>2587</v>
      </c>
      <c r="CM397" s="5">
        <v>923000</v>
      </c>
      <c r="CN397" s="694">
        <v>2</v>
      </c>
      <c r="CO397" s="5">
        <v>1072342.98</v>
      </c>
    </row>
    <row r="398" spans="66:93">
      <c r="BN398" s="5"/>
      <c r="BR398" s="215"/>
      <c r="BW398" s="5"/>
      <c r="BX398" s="5"/>
      <c r="BY398" s="5"/>
      <c r="BZ398" s="5"/>
      <c r="CA398" s="5"/>
      <c r="CB398" s="5"/>
      <c r="CJ398" s="215">
        <v>46203</v>
      </c>
      <c r="CK398" s="1031" t="s">
        <v>1098</v>
      </c>
      <c r="CL398" s="1031" t="s">
        <v>2588</v>
      </c>
      <c r="CM398" s="5">
        <v>0</v>
      </c>
      <c r="CN398" s="694">
        <v>0</v>
      </c>
      <c r="CO398" s="5">
        <v>0</v>
      </c>
    </row>
    <row r="399" spans="66:93">
      <c r="BN399" s="5"/>
      <c r="BR399" s="215"/>
      <c r="BW399" s="5"/>
      <c r="BX399" s="5"/>
      <c r="BY399" s="5"/>
      <c r="BZ399" s="5"/>
      <c r="CA399" s="5"/>
      <c r="CB399" s="5"/>
      <c r="CJ399" s="215">
        <v>46203</v>
      </c>
      <c r="CK399" s="1031" t="s">
        <v>1099</v>
      </c>
      <c r="CL399" s="1031" t="s">
        <v>2589</v>
      </c>
      <c r="CM399" s="5">
        <v>0</v>
      </c>
      <c r="CN399" s="694">
        <v>0</v>
      </c>
      <c r="CO399" s="5">
        <v>0</v>
      </c>
    </row>
    <row r="400" spans="66:93">
      <c r="BN400" s="5"/>
      <c r="BR400" s="215"/>
      <c r="BW400" s="5"/>
      <c r="BX400" s="5"/>
      <c r="BY400" s="5"/>
      <c r="BZ400" s="5"/>
      <c r="CA400" s="5"/>
      <c r="CB400" s="5"/>
      <c r="CJ400" s="215">
        <v>46203</v>
      </c>
      <c r="CK400" s="1031" t="s">
        <v>517</v>
      </c>
      <c r="CL400" s="1031" t="s">
        <v>2590</v>
      </c>
      <c r="CM400" s="5">
        <v>0</v>
      </c>
      <c r="CN400" s="694">
        <v>0</v>
      </c>
      <c r="CO400" s="5">
        <v>0</v>
      </c>
    </row>
    <row r="401" spans="66:93">
      <c r="BN401" s="5"/>
      <c r="BR401" s="215"/>
      <c r="BW401" s="5"/>
      <c r="BX401" s="5"/>
      <c r="BY401" s="5"/>
      <c r="BZ401" s="5"/>
      <c r="CA401" s="5"/>
      <c r="CB401" s="5"/>
      <c r="CJ401" s="215">
        <v>46203</v>
      </c>
      <c r="CK401" s="1031" t="s">
        <v>518</v>
      </c>
      <c r="CL401" s="1031" t="s">
        <v>2591</v>
      </c>
      <c r="CM401" s="5">
        <v>0</v>
      </c>
      <c r="CN401" s="694">
        <v>0</v>
      </c>
      <c r="CO401" s="5">
        <v>0</v>
      </c>
    </row>
    <row r="402" spans="66:93">
      <c r="BN402" s="5"/>
      <c r="BR402" s="215"/>
      <c r="BW402" s="5"/>
      <c r="BX402" s="5"/>
      <c r="BY402" s="5"/>
      <c r="BZ402" s="5"/>
      <c r="CA402" s="5"/>
      <c r="CB402" s="5"/>
      <c r="CJ402" s="215">
        <v>46203</v>
      </c>
      <c r="CK402" s="1031" t="s">
        <v>519</v>
      </c>
      <c r="CL402" s="1031" t="s">
        <v>2592</v>
      </c>
      <c r="CM402" s="5">
        <v>0</v>
      </c>
      <c r="CN402" s="694">
        <v>0</v>
      </c>
      <c r="CO402" s="5">
        <v>0</v>
      </c>
    </row>
    <row r="403" spans="66:93">
      <c r="BN403" s="5"/>
      <c r="BR403" s="215"/>
      <c r="BW403" s="5"/>
      <c r="BX403" s="5"/>
      <c r="BY403" s="5"/>
      <c r="BZ403" s="5"/>
      <c r="CA403" s="5"/>
      <c r="CB403" s="5"/>
      <c r="CJ403" s="215">
        <v>46203</v>
      </c>
      <c r="CK403" s="1031" t="s">
        <v>1100</v>
      </c>
      <c r="CL403" s="1031" t="s">
        <v>2593</v>
      </c>
      <c r="CM403" s="5">
        <v>0</v>
      </c>
      <c r="CN403" s="694">
        <v>0</v>
      </c>
      <c r="CO403" s="5">
        <v>0</v>
      </c>
    </row>
    <row r="404" spans="66:93">
      <c r="BN404" s="5"/>
      <c r="BR404" s="215"/>
      <c r="BW404" s="5"/>
      <c r="BX404" s="5"/>
      <c r="BY404" s="5"/>
      <c r="BZ404" s="5"/>
      <c r="CA404" s="5"/>
      <c r="CB404" s="5"/>
      <c r="CJ404" s="215">
        <v>46203</v>
      </c>
      <c r="CK404" s="1031" t="s">
        <v>1101</v>
      </c>
      <c r="CL404" s="1031" t="s">
        <v>2594</v>
      </c>
      <c r="CM404" s="5">
        <v>0</v>
      </c>
      <c r="CN404" s="694">
        <v>0</v>
      </c>
      <c r="CO404" s="5">
        <v>0</v>
      </c>
    </row>
    <row r="405" spans="66:93">
      <c r="BN405" s="5"/>
      <c r="BR405" s="215"/>
      <c r="BW405" s="5"/>
      <c r="BX405" s="5"/>
      <c r="BY405" s="5"/>
      <c r="BZ405" s="5"/>
      <c r="CA405" s="5"/>
      <c r="CB405" s="5"/>
      <c r="CJ405" s="215">
        <v>46203</v>
      </c>
      <c r="CK405" s="1031" t="s">
        <v>1102</v>
      </c>
      <c r="CL405" t="s">
        <v>2595</v>
      </c>
      <c r="CM405" s="5">
        <v>0</v>
      </c>
      <c r="CN405" s="694">
        <v>0</v>
      </c>
      <c r="CO405" s="5">
        <v>0</v>
      </c>
    </row>
    <row r="406" spans="66:93">
      <c r="BN406" s="5"/>
      <c r="BR406" s="215"/>
      <c r="BW406" s="5"/>
      <c r="BX406" s="5"/>
      <c r="BY406" s="5"/>
      <c r="BZ406" s="5"/>
      <c r="CA406" s="5"/>
      <c r="CB406" s="5"/>
      <c r="CJ406" s="215"/>
      <c r="CM406" s="5"/>
      <c r="CN406" s="694"/>
      <c r="CO406" s="5"/>
    </row>
    <row r="407" spans="66:93">
      <c r="BN407" s="5"/>
      <c r="BR407" s="215"/>
      <c r="BW407" s="5"/>
      <c r="BX407" s="5"/>
      <c r="BY407" s="5"/>
      <c r="BZ407" s="5"/>
      <c r="CA407" s="5"/>
      <c r="CB407" s="5"/>
      <c r="CJ407" s="215"/>
      <c r="CM407" s="5"/>
      <c r="CN407" s="694"/>
      <c r="CO407" s="5"/>
    </row>
    <row r="408" spans="66:93">
      <c r="BN408" s="5"/>
      <c r="BR408" s="215"/>
      <c r="BW408" s="5"/>
      <c r="BX408" s="5"/>
      <c r="BY408" s="5"/>
      <c r="BZ408" s="5"/>
      <c r="CA408" s="5"/>
      <c r="CB408" s="5"/>
      <c r="CJ408" s="215"/>
      <c r="CM408" s="5"/>
      <c r="CN408" s="694"/>
      <c r="CO408" s="5"/>
    </row>
    <row r="409" spans="66:93">
      <c r="BN409" s="5"/>
      <c r="BR409" s="215"/>
      <c r="BW409" s="5"/>
      <c r="BX409" s="5"/>
      <c r="BY409" s="5"/>
      <c r="BZ409" s="5"/>
      <c r="CA409" s="5"/>
      <c r="CB409" s="5"/>
      <c r="CJ409" s="215"/>
      <c r="CM409" s="5"/>
      <c r="CN409" s="694"/>
      <c r="CO409" s="5"/>
    </row>
    <row r="410" spans="66:93">
      <c r="BN410" s="5"/>
      <c r="BR410" s="215"/>
      <c r="BW410" s="5"/>
      <c r="BX410" s="5"/>
      <c r="BY410" s="5"/>
      <c r="BZ410" s="5"/>
      <c r="CA410" s="5"/>
      <c r="CB410" s="5"/>
      <c r="CJ410" s="215"/>
      <c r="CM410" s="5"/>
      <c r="CN410" s="694"/>
      <c r="CO410" s="5"/>
    </row>
    <row r="411" spans="66:93">
      <c r="BN411" s="5"/>
      <c r="BR411" s="215"/>
      <c r="BW411" s="5"/>
      <c r="BX411" s="5"/>
      <c r="BY411" s="5"/>
      <c r="BZ411" s="5"/>
      <c r="CA411" s="5"/>
      <c r="CB411" s="5"/>
      <c r="CJ411" s="215"/>
      <c r="CM411" s="5"/>
      <c r="CN411" s="694"/>
      <c r="CO411" s="5"/>
    </row>
    <row r="412" spans="66:93">
      <c r="BN412" s="5"/>
      <c r="BR412" s="215"/>
      <c r="BW412" s="5"/>
      <c r="BX412" s="5"/>
      <c r="BY412" s="5"/>
      <c r="BZ412" s="5"/>
      <c r="CA412" s="5"/>
      <c r="CB412" s="5"/>
      <c r="CJ412" s="215"/>
      <c r="CM412" s="5"/>
      <c r="CN412" s="694"/>
      <c r="CO412" s="5"/>
    </row>
    <row r="413" spans="66:93">
      <c r="BN413" s="5"/>
      <c r="BR413" s="215"/>
      <c r="BW413" s="5"/>
      <c r="BX413" s="5"/>
      <c r="BY413" s="5"/>
      <c r="BZ413" s="5"/>
      <c r="CA413" s="5"/>
      <c r="CB413" s="5"/>
      <c r="CJ413" s="215"/>
      <c r="CM413" s="5"/>
      <c r="CN413" s="694"/>
      <c r="CO413" s="5"/>
    </row>
    <row r="414" spans="66:93">
      <c r="BN414" s="5"/>
      <c r="BR414" s="215"/>
      <c r="BW414" s="5"/>
      <c r="BX414" s="5"/>
      <c r="BY414" s="5"/>
      <c r="BZ414" s="5"/>
      <c r="CA414" s="5"/>
      <c r="CB414" s="5"/>
      <c r="CJ414" s="215"/>
      <c r="CM414" s="5"/>
      <c r="CN414" s="694"/>
      <c r="CO414" s="5"/>
    </row>
    <row r="415" spans="66:93">
      <c r="BN415" s="5"/>
      <c r="BR415" s="215"/>
      <c r="BW415" s="5"/>
      <c r="BX415" s="5"/>
      <c r="BY415" s="5"/>
      <c r="BZ415" s="5"/>
      <c r="CA415" s="5"/>
      <c r="CB415" s="5"/>
      <c r="CJ415" s="215"/>
      <c r="CM415" s="5"/>
      <c r="CN415" s="694"/>
      <c r="CO415" s="5"/>
    </row>
    <row r="416" spans="66:93">
      <c r="BN416" s="5"/>
      <c r="BR416" s="215"/>
      <c r="BW416" s="5"/>
      <c r="BX416" s="5"/>
      <c r="BY416" s="5"/>
      <c r="BZ416" s="5"/>
      <c r="CA416" s="5"/>
      <c r="CB416" s="5"/>
      <c r="CJ416" s="215"/>
      <c r="CM416" s="5"/>
      <c r="CN416" s="694"/>
      <c r="CO416" s="5"/>
    </row>
    <row r="417" spans="66:93">
      <c r="BN417" s="5"/>
      <c r="BR417" s="215"/>
      <c r="BW417" s="5"/>
      <c r="BX417" s="5"/>
      <c r="BY417" s="5"/>
      <c r="BZ417" s="5"/>
      <c r="CA417" s="5"/>
      <c r="CB417" s="5"/>
      <c r="CJ417" s="215"/>
      <c r="CM417" s="5"/>
      <c r="CN417" s="694"/>
      <c r="CO417" s="5"/>
    </row>
    <row r="418" spans="66:93">
      <c r="BN418" s="5"/>
      <c r="BR418" s="215"/>
      <c r="BW418" s="5"/>
      <c r="BX418" s="5"/>
      <c r="BY418" s="5"/>
      <c r="BZ418" s="5"/>
      <c r="CA418" s="5"/>
      <c r="CB418" s="5"/>
      <c r="CJ418" s="215"/>
      <c r="CM418" s="5"/>
      <c r="CN418" s="694"/>
      <c r="CO418" s="5"/>
    </row>
    <row r="419" spans="66:93">
      <c r="BN419" s="5"/>
      <c r="BR419" s="215"/>
      <c r="BW419" s="5"/>
      <c r="BX419" s="5"/>
      <c r="BY419" s="5"/>
      <c r="BZ419" s="5"/>
      <c r="CA419" s="5"/>
      <c r="CB419" s="5"/>
      <c r="CJ419" s="215"/>
      <c r="CM419" s="5"/>
      <c r="CN419" s="694"/>
      <c r="CO419" s="5"/>
    </row>
    <row r="420" spans="66:93">
      <c r="BN420" s="5"/>
      <c r="BR420" s="215"/>
      <c r="BW420" s="5"/>
      <c r="BX420" s="5"/>
      <c r="BY420" s="5"/>
      <c r="BZ420" s="5"/>
      <c r="CA420" s="5"/>
      <c r="CB420" s="5"/>
      <c r="CJ420" s="215"/>
      <c r="CM420" s="5"/>
      <c r="CN420" s="694"/>
      <c r="CO420" s="5"/>
    </row>
    <row r="421" spans="66:93">
      <c r="BN421" s="5"/>
      <c r="BR421" s="215"/>
      <c r="BW421" s="5"/>
      <c r="BX421" s="5"/>
      <c r="BY421" s="5"/>
      <c r="BZ421" s="5"/>
      <c r="CA421" s="5"/>
      <c r="CB421" s="5"/>
      <c r="CJ421" s="215"/>
      <c r="CM421" s="5"/>
      <c r="CN421" s="694"/>
      <c r="CO421" s="5"/>
    </row>
    <row r="422" spans="66:93">
      <c r="BN422" s="5"/>
      <c r="BR422" s="215"/>
      <c r="BW422" s="5"/>
      <c r="BX422" s="5"/>
      <c r="BY422" s="5"/>
      <c r="BZ422" s="5"/>
      <c r="CA422" s="5"/>
      <c r="CB422" s="5"/>
      <c r="CJ422" s="215"/>
      <c r="CM422" s="5"/>
      <c r="CN422" s="694"/>
      <c r="CO422" s="5"/>
    </row>
    <row r="423" spans="66:93">
      <c r="BN423" s="5"/>
      <c r="BR423" s="215"/>
      <c r="BW423" s="5"/>
      <c r="BX423" s="5"/>
      <c r="BY423" s="5"/>
      <c r="BZ423" s="5"/>
      <c r="CA423" s="5"/>
      <c r="CB423" s="5"/>
      <c r="CJ423" s="215"/>
      <c r="CM423" s="5"/>
      <c r="CN423" s="694"/>
      <c r="CO423" s="5"/>
    </row>
    <row r="424" spans="66:93">
      <c r="BN424" s="5"/>
      <c r="BR424" s="215"/>
      <c r="BW424" s="5"/>
      <c r="BX424" s="5"/>
      <c r="BY424" s="5"/>
      <c r="BZ424" s="5"/>
      <c r="CA424" s="5"/>
      <c r="CB424" s="5"/>
      <c r="CJ424" s="215"/>
      <c r="CM424" s="5"/>
      <c r="CN424" s="694"/>
      <c r="CO424" s="5"/>
    </row>
    <row r="425" spans="66:93">
      <c r="BN425" s="5"/>
      <c r="BR425" s="215"/>
      <c r="BW425" s="5"/>
      <c r="BX425" s="5"/>
      <c r="BY425" s="5"/>
      <c r="BZ425" s="5"/>
      <c r="CA425" s="5"/>
      <c r="CB425" s="5"/>
      <c r="CJ425" s="215"/>
      <c r="CM425" s="5"/>
      <c r="CN425" s="694"/>
      <c r="CO425" s="5"/>
    </row>
    <row r="426" spans="66:93">
      <c r="BN426" s="5"/>
      <c r="BR426" s="215"/>
      <c r="BW426" s="5"/>
      <c r="BX426" s="5"/>
      <c r="BY426" s="5"/>
      <c r="BZ426" s="5"/>
      <c r="CA426" s="5"/>
      <c r="CB426" s="5"/>
      <c r="CJ426" s="215"/>
      <c r="CM426" s="5"/>
      <c r="CN426" s="694"/>
      <c r="CO426" s="5"/>
    </row>
    <row r="427" spans="66:93">
      <c r="BN427" s="5"/>
      <c r="BR427" s="215"/>
      <c r="BW427" s="5"/>
      <c r="BX427" s="5"/>
      <c r="BY427" s="5"/>
      <c r="BZ427" s="5"/>
      <c r="CA427" s="5"/>
      <c r="CB427" s="5"/>
      <c r="CJ427" s="215"/>
      <c r="CM427" s="5"/>
      <c r="CN427" s="694"/>
      <c r="CO427" s="5"/>
    </row>
    <row r="428" spans="66:93">
      <c r="BN428" s="5"/>
      <c r="BR428" s="215"/>
      <c r="BW428" s="5"/>
      <c r="BX428" s="5"/>
      <c r="BY428" s="5"/>
      <c r="BZ428" s="5"/>
      <c r="CA428" s="5"/>
      <c r="CB428" s="5"/>
      <c r="CJ428" s="215"/>
      <c r="CM428" s="5"/>
      <c r="CN428" s="694"/>
      <c r="CO428" s="5"/>
    </row>
    <row r="429" spans="66:93">
      <c r="BN429" s="5"/>
      <c r="BR429" s="215"/>
      <c r="BW429" s="5"/>
      <c r="BX429" s="5"/>
      <c r="BY429" s="5"/>
      <c r="BZ429" s="5"/>
      <c r="CA429" s="5"/>
      <c r="CB429" s="5"/>
      <c r="CJ429" s="215"/>
      <c r="CM429" s="5"/>
      <c r="CN429" s="694"/>
      <c r="CO429" s="5"/>
    </row>
    <row r="430" spans="66:93">
      <c r="BN430" s="5"/>
      <c r="BR430" s="215"/>
      <c r="BW430" s="5"/>
      <c r="BX430" s="5"/>
      <c r="BY430" s="5"/>
      <c r="BZ430" s="5"/>
      <c r="CA430" s="5"/>
      <c r="CB430" s="5"/>
      <c r="CJ430" s="215"/>
      <c r="CM430" s="5"/>
      <c r="CN430" s="694"/>
      <c r="CO430" s="5"/>
    </row>
    <row r="431" spans="66:93">
      <c r="BN431" s="5"/>
      <c r="BR431" s="215"/>
      <c r="BW431" s="5"/>
      <c r="BX431" s="5"/>
      <c r="BY431" s="5"/>
      <c r="BZ431" s="5"/>
      <c r="CA431" s="5"/>
      <c r="CB431" s="5"/>
      <c r="CJ431" s="215"/>
      <c r="CM431" s="5"/>
      <c r="CN431" s="694"/>
      <c r="CO431" s="5"/>
    </row>
    <row r="432" spans="66:93">
      <c r="BN432" s="5"/>
      <c r="BR432" s="215"/>
      <c r="BW432" s="5"/>
      <c r="BX432" s="5"/>
      <c r="BY432" s="5"/>
      <c r="BZ432" s="5"/>
      <c r="CA432" s="5"/>
      <c r="CB432" s="5"/>
      <c r="CJ432" s="215"/>
      <c r="CM432" s="5"/>
      <c r="CN432" s="694"/>
      <c r="CO432" s="5"/>
    </row>
    <row r="433" spans="66:93">
      <c r="BN433" s="5"/>
      <c r="BR433" s="215"/>
      <c r="BW433" s="5"/>
      <c r="BX433" s="5"/>
      <c r="BY433" s="5"/>
      <c r="BZ433" s="5"/>
      <c r="CA433" s="5"/>
      <c r="CB433" s="5"/>
      <c r="CJ433" s="215"/>
      <c r="CM433" s="5"/>
      <c r="CN433" s="694"/>
      <c r="CO433" s="5"/>
    </row>
    <row r="434" spans="66:93">
      <c r="BN434" s="5"/>
      <c r="BR434" s="215"/>
      <c r="BW434" s="5"/>
      <c r="BX434" s="5"/>
      <c r="BY434" s="5"/>
      <c r="BZ434" s="5"/>
      <c r="CA434" s="5"/>
      <c r="CB434" s="5"/>
      <c r="CJ434" s="215"/>
      <c r="CM434" s="5"/>
      <c r="CN434" s="694"/>
      <c r="CO434" s="5"/>
    </row>
    <row r="435" spans="66:93">
      <c r="BN435" s="5"/>
      <c r="BR435" s="215"/>
      <c r="BW435" s="5"/>
      <c r="BX435" s="5"/>
      <c r="BY435" s="5"/>
      <c r="BZ435" s="5"/>
      <c r="CA435" s="5"/>
      <c r="CB435" s="5"/>
      <c r="CJ435" s="215"/>
      <c r="CM435" s="5"/>
      <c r="CN435" s="694"/>
      <c r="CO435" s="5"/>
    </row>
    <row r="436" spans="66:93">
      <c r="BN436" s="5"/>
      <c r="BR436" s="215"/>
      <c r="BW436" s="5"/>
      <c r="BX436" s="5"/>
      <c r="BY436" s="5"/>
      <c r="BZ436" s="5"/>
      <c r="CA436" s="5"/>
      <c r="CB436" s="5"/>
      <c r="CJ436" s="215"/>
      <c r="CM436" s="5"/>
      <c r="CN436" s="694"/>
      <c r="CO436" s="5"/>
    </row>
    <row r="437" spans="66:93">
      <c r="BN437" s="5"/>
      <c r="BR437" s="215"/>
      <c r="BW437" s="5"/>
      <c r="BX437" s="5"/>
      <c r="BY437" s="5"/>
      <c r="BZ437" s="5"/>
      <c r="CA437" s="5"/>
      <c r="CB437" s="5"/>
      <c r="CJ437" s="215"/>
      <c r="CM437" s="5"/>
      <c r="CN437" s="694"/>
      <c r="CO437" s="5"/>
    </row>
    <row r="438" spans="66:93">
      <c r="BN438" s="5"/>
      <c r="BR438" s="215"/>
      <c r="BW438" s="5"/>
      <c r="BX438" s="5"/>
      <c r="BY438" s="5"/>
      <c r="BZ438" s="5"/>
      <c r="CA438" s="5"/>
      <c r="CB438" s="5"/>
      <c r="CJ438" s="215"/>
      <c r="CM438" s="5"/>
      <c r="CN438" s="694"/>
      <c r="CO438" s="5"/>
    </row>
    <row r="439" spans="66:93">
      <c r="BN439" s="5"/>
      <c r="BR439" s="215"/>
      <c r="BW439" s="5"/>
      <c r="BX439" s="5"/>
      <c r="BY439" s="5"/>
      <c r="BZ439" s="5"/>
      <c r="CA439" s="5"/>
      <c r="CB439" s="5"/>
      <c r="CJ439" s="215"/>
      <c r="CM439" s="5"/>
      <c r="CN439" s="694"/>
      <c r="CO439" s="5"/>
    </row>
    <row r="440" spans="66:93">
      <c r="BN440" s="5"/>
      <c r="BR440" s="215"/>
      <c r="BW440" s="5"/>
      <c r="BX440" s="5"/>
      <c r="BY440" s="5"/>
      <c r="BZ440" s="5"/>
      <c r="CA440" s="5"/>
      <c r="CB440" s="5"/>
      <c r="CN440" s="696"/>
      <c r="CO440" s="5"/>
    </row>
    <row r="441" spans="66:93">
      <c r="BN441" s="5"/>
      <c r="BR441" s="215"/>
      <c r="BW441" s="5"/>
      <c r="BX441" s="5"/>
      <c r="BY441" s="5"/>
      <c r="BZ441" s="5"/>
      <c r="CA441" s="5"/>
      <c r="CB441" s="5"/>
      <c r="CN441" s="696"/>
      <c r="CO441" s="5"/>
    </row>
    <row r="442" spans="66:93">
      <c r="BN442" s="5"/>
      <c r="BR442" s="215"/>
      <c r="BW442" s="5"/>
      <c r="BX442" s="5"/>
      <c r="BY442" s="5"/>
      <c r="BZ442" s="5"/>
      <c r="CA442" s="5"/>
      <c r="CB442" s="5"/>
      <c r="CN442" s="696"/>
      <c r="CO442" s="5"/>
    </row>
    <row r="443" spans="66:93">
      <c r="BN443" s="5"/>
      <c r="BR443" s="215"/>
      <c r="BW443" s="5"/>
      <c r="BX443" s="5"/>
      <c r="BY443" s="5"/>
      <c r="BZ443" s="5"/>
      <c r="CA443" s="5"/>
      <c r="CB443" s="5"/>
      <c r="CO443" s="5"/>
    </row>
    <row r="444" spans="66:93">
      <c r="BN444" s="5"/>
      <c r="BR444" s="215"/>
      <c r="BW444" s="5"/>
      <c r="BX444" s="5"/>
      <c r="BY444" s="5"/>
      <c r="BZ444" s="5"/>
      <c r="CA444" s="5"/>
      <c r="CB444" s="5"/>
      <c r="CO444" s="5"/>
    </row>
    <row r="445" spans="66:93">
      <c r="BN445" s="5"/>
      <c r="BR445" s="215"/>
      <c r="BW445" s="5"/>
      <c r="BX445" s="5"/>
      <c r="BY445" s="5"/>
      <c r="BZ445" s="5"/>
      <c r="CA445" s="5"/>
      <c r="CB445" s="5"/>
      <c r="CO445" s="5"/>
    </row>
    <row r="446" spans="66:93">
      <c r="BN446" s="5"/>
      <c r="BR446" s="215"/>
      <c r="BW446" s="5"/>
      <c r="BX446" s="5"/>
      <c r="BY446" s="5"/>
      <c r="BZ446" s="5"/>
      <c r="CA446" s="5"/>
      <c r="CB446" s="5"/>
      <c r="CO446" s="5"/>
    </row>
    <row r="447" spans="66:93">
      <c r="BN447" s="5"/>
      <c r="BR447" s="215"/>
      <c r="BW447" s="5"/>
      <c r="BX447" s="5"/>
      <c r="BY447" s="5"/>
      <c r="BZ447" s="5"/>
      <c r="CA447" s="5"/>
      <c r="CB447" s="5"/>
      <c r="CO447" s="5"/>
    </row>
    <row r="448" spans="66:93">
      <c r="BN448" s="5"/>
      <c r="BR448" s="215"/>
      <c r="BW448" s="5"/>
      <c r="BX448" s="5"/>
      <c r="BY448" s="5"/>
      <c r="BZ448" s="5"/>
      <c r="CA448" s="5"/>
      <c r="CB448" s="5"/>
      <c r="CO448" s="5"/>
    </row>
    <row r="449" spans="66:93">
      <c r="BN449" s="5"/>
      <c r="BR449" s="215"/>
      <c r="BW449" s="5"/>
      <c r="BX449" s="5"/>
      <c r="BY449" s="5"/>
      <c r="BZ449" s="5"/>
      <c r="CA449" s="5"/>
      <c r="CB449" s="5"/>
      <c r="CO449" s="5"/>
    </row>
    <row r="450" spans="66:93">
      <c r="BN450" s="5"/>
      <c r="BR450" s="215"/>
      <c r="BW450" s="5"/>
      <c r="BX450" s="5"/>
      <c r="BY450" s="5"/>
      <c r="BZ450" s="5"/>
      <c r="CA450" s="5"/>
      <c r="CB450" s="5"/>
      <c r="CO450" s="5"/>
    </row>
    <row r="451" spans="66:93">
      <c r="BN451" s="5"/>
      <c r="BR451" s="215"/>
      <c r="BW451" s="5"/>
      <c r="BX451" s="5"/>
      <c r="BY451" s="5"/>
      <c r="BZ451" s="5"/>
      <c r="CA451" s="5"/>
      <c r="CB451" s="5"/>
      <c r="CO451" s="5"/>
    </row>
    <row r="452" spans="66:93">
      <c r="BN452" s="5"/>
      <c r="BR452" s="215"/>
      <c r="BW452" s="5"/>
      <c r="BX452" s="5"/>
      <c r="BY452" s="5"/>
      <c r="BZ452" s="5"/>
      <c r="CA452" s="5"/>
      <c r="CB452" s="5"/>
      <c r="CO452" s="5"/>
    </row>
    <row r="453" spans="66:93">
      <c r="BN453" s="5"/>
      <c r="BR453" s="215"/>
      <c r="BW453" s="5"/>
      <c r="BX453" s="5"/>
      <c r="BY453" s="5"/>
      <c r="BZ453" s="5"/>
      <c r="CA453" s="5"/>
      <c r="CB453" s="5"/>
      <c r="CO453" s="5"/>
    </row>
    <row r="454" spans="66:93">
      <c r="BN454" s="5"/>
      <c r="BR454" s="215"/>
      <c r="BW454" s="5"/>
      <c r="BX454" s="5"/>
      <c r="BY454" s="5"/>
      <c r="BZ454" s="5"/>
      <c r="CA454" s="5"/>
      <c r="CB454" s="5"/>
      <c r="CO454" s="5"/>
    </row>
    <row r="455" spans="66:93">
      <c r="BN455" s="5"/>
      <c r="BR455" s="215"/>
      <c r="BW455" s="5"/>
      <c r="BX455" s="5"/>
      <c r="BY455" s="5"/>
      <c r="BZ455" s="5"/>
      <c r="CA455" s="5"/>
      <c r="CB455" s="5"/>
      <c r="CO455" s="5"/>
    </row>
    <row r="456" spans="66:93">
      <c r="BN456" s="5"/>
      <c r="BR456" s="215"/>
      <c r="BW456" s="5"/>
      <c r="BX456" s="5"/>
      <c r="BY456" s="5"/>
      <c r="BZ456" s="5"/>
      <c r="CA456" s="5"/>
      <c r="CB456" s="5"/>
      <c r="CO456" s="5"/>
    </row>
    <row r="457" spans="66:93">
      <c r="BN457" s="5"/>
      <c r="BR457" s="215"/>
      <c r="BW457" s="5"/>
      <c r="BX457" s="5"/>
      <c r="BY457" s="5"/>
      <c r="BZ457" s="5"/>
      <c r="CA457" s="5"/>
      <c r="CB457" s="5"/>
      <c r="CO457" s="5"/>
    </row>
    <row r="458" spans="66:93">
      <c r="BN458" s="5"/>
      <c r="BR458" s="215"/>
      <c r="BW458" s="5"/>
      <c r="BX458" s="5"/>
      <c r="BY458" s="5"/>
      <c r="BZ458" s="5"/>
      <c r="CA458" s="5"/>
      <c r="CB458" s="5"/>
    </row>
    <row r="459" spans="66:93">
      <c r="BN459" s="5"/>
      <c r="BR459" s="215"/>
      <c r="BW459" s="5"/>
      <c r="BX459" s="5"/>
      <c r="BY459" s="5"/>
      <c r="BZ459" s="5"/>
      <c r="CA459" s="5"/>
      <c r="CB459" s="5"/>
    </row>
    <row r="460" spans="66:93">
      <c r="BN460" s="5"/>
      <c r="BR460" s="215"/>
      <c r="BW460" s="5"/>
      <c r="BX460" s="5"/>
      <c r="BY460" s="5"/>
      <c r="BZ460" s="5"/>
      <c r="CA460" s="5"/>
      <c r="CB460" s="5"/>
    </row>
    <row r="461" spans="66:93">
      <c r="BN461" s="5"/>
      <c r="BR461" s="215"/>
      <c r="BW461" s="5"/>
      <c r="BX461" s="5"/>
      <c r="BY461" s="5"/>
      <c r="BZ461" s="5"/>
      <c r="CA461" s="5"/>
      <c r="CB461" s="5"/>
    </row>
    <row r="462" spans="66:93">
      <c r="BN462" s="5"/>
      <c r="BR462" s="215"/>
      <c r="BW462" s="5"/>
      <c r="BX462" s="5"/>
      <c r="BY462" s="5"/>
      <c r="BZ462" s="5"/>
      <c r="CA462" s="5"/>
      <c r="CB462" s="5"/>
    </row>
    <row r="463" spans="66:93">
      <c r="BN463" s="5"/>
      <c r="BR463" s="215"/>
      <c r="BW463" s="5"/>
      <c r="BX463" s="5"/>
      <c r="BY463" s="5"/>
      <c r="BZ463" s="5"/>
      <c r="CA463" s="5"/>
      <c r="CB463" s="5"/>
    </row>
    <row r="464" spans="66:93">
      <c r="BN464" s="5"/>
      <c r="BR464" s="215"/>
      <c r="BW464" s="5"/>
      <c r="BX464" s="5"/>
      <c r="BY464" s="5"/>
      <c r="BZ464" s="5"/>
      <c r="CA464" s="5"/>
      <c r="CB464" s="5"/>
    </row>
    <row r="465" spans="66:80">
      <c r="BN465" s="5"/>
      <c r="BR465" s="215"/>
      <c r="BW465" s="5"/>
      <c r="BX465" s="5"/>
      <c r="BY465" s="5"/>
      <c r="BZ465" s="5"/>
      <c r="CA465" s="5"/>
      <c r="CB465" s="5"/>
    </row>
    <row r="466" spans="66:80">
      <c r="BN466" s="5"/>
      <c r="BR466" s="215"/>
      <c r="BW466" s="5"/>
      <c r="BX466" s="5"/>
      <c r="BY466" s="5"/>
      <c r="BZ466" s="5"/>
      <c r="CA466" s="5"/>
      <c r="CB466" s="5"/>
    </row>
    <row r="467" spans="66:80">
      <c r="BN467" s="5"/>
      <c r="BR467" s="215"/>
      <c r="BW467" s="5"/>
      <c r="BX467" s="5"/>
      <c r="BY467" s="5"/>
      <c r="BZ467" s="5"/>
      <c r="CA467" s="5"/>
      <c r="CB467" s="5"/>
    </row>
    <row r="468" spans="66:80">
      <c r="BN468" s="5"/>
      <c r="BR468" s="215"/>
      <c r="BW468" s="5"/>
      <c r="BX468" s="5"/>
      <c r="BY468" s="5"/>
      <c r="BZ468" s="5"/>
      <c r="CA468" s="5"/>
      <c r="CB468" s="5"/>
    </row>
    <row r="469" spans="66:80">
      <c r="BN469" s="5"/>
      <c r="BR469" s="215"/>
      <c r="BW469" s="5"/>
      <c r="BX469" s="5"/>
      <c r="BY469" s="5"/>
      <c r="BZ469" s="5"/>
      <c r="CA469" s="5"/>
      <c r="CB469" s="5"/>
    </row>
    <row r="470" spans="66:80">
      <c r="BN470" s="5"/>
      <c r="BR470" s="215"/>
      <c r="BW470" s="5"/>
      <c r="BX470" s="5"/>
      <c r="BY470" s="5"/>
      <c r="BZ470" s="5"/>
      <c r="CA470" s="5"/>
      <c r="CB470" s="5"/>
    </row>
    <row r="471" spans="66:80">
      <c r="BN471" s="5"/>
      <c r="BR471" s="215"/>
      <c r="BW471" s="5"/>
      <c r="BX471" s="5"/>
      <c r="BY471" s="5"/>
      <c r="BZ471" s="5"/>
      <c r="CA471" s="5"/>
      <c r="CB471" s="5"/>
    </row>
    <row r="472" spans="66:80">
      <c r="BN472" s="5"/>
      <c r="BR472" s="215"/>
      <c r="BW472" s="5"/>
      <c r="BX472" s="5"/>
      <c r="BY472" s="5"/>
      <c r="BZ472" s="5"/>
      <c r="CA472" s="5"/>
      <c r="CB472" s="5"/>
    </row>
    <row r="473" spans="66:80">
      <c r="BN473" s="5"/>
      <c r="BR473" s="215"/>
      <c r="BW473" s="5"/>
      <c r="BX473" s="5"/>
      <c r="BY473" s="5"/>
      <c r="BZ473" s="5"/>
      <c r="CA473" s="5"/>
      <c r="CB473" s="5"/>
    </row>
    <row r="474" spans="66:80">
      <c r="BN474" s="5"/>
      <c r="BR474" s="215"/>
      <c r="BW474" s="5"/>
      <c r="BX474" s="5"/>
      <c r="BY474" s="5"/>
      <c r="BZ474" s="5"/>
      <c r="CA474" s="5"/>
      <c r="CB474" s="5"/>
    </row>
    <row r="475" spans="66:80">
      <c r="BN475" s="5"/>
      <c r="BR475" s="215"/>
      <c r="BW475" s="5"/>
      <c r="BX475" s="5"/>
      <c r="BY475" s="5"/>
      <c r="BZ475" s="5"/>
      <c r="CA475" s="5"/>
      <c r="CB475" s="5"/>
    </row>
    <row r="476" spans="66:80">
      <c r="BN476" s="5"/>
      <c r="BR476" s="215"/>
      <c r="BW476" s="5"/>
      <c r="BX476" s="5"/>
      <c r="BY476" s="5"/>
      <c r="BZ476" s="5"/>
      <c r="CA476" s="5"/>
      <c r="CB476" s="5"/>
    </row>
    <row r="477" spans="66:80">
      <c r="BN477" s="5"/>
      <c r="BR477" s="215"/>
      <c r="BW477" s="5"/>
      <c r="BX477" s="5"/>
      <c r="BY477" s="5"/>
      <c r="BZ477" s="5"/>
      <c r="CA477" s="5"/>
      <c r="CB477" s="5"/>
    </row>
    <row r="478" spans="66:80">
      <c r="BN478" s="5"/>
      <c r="BR478" s="215"/>
      <c r="BW478" s="5"/>
      <c r="BX478" s="5"/>
      <c r="BY478" s="5"/>
      <c r="BZ478" s="5"/>
      <c r="CA478" s="5"/>
      <c r="CB478" s="5"/>
    </row>
    <row r="479" spans="66:80">
      <c r="BN479" s="5"/>
      <c r="BR479" s="215"/>
      <c r="BW479" s="5"/>
      <c r="BX479" s="5"/>
      <c r="BY479" s="5"/>
      <c r="BZ479" s="5"/>
      <c r="CA479" s="5"/>
      <c r="CB479" s="5"/>
    </row>
    <row r="480" spans="66:80">
      <c r="BN480" s="5"/>
      <c r="BR480" s="215"/>
      <c r="BW480" s="5"/>
      <c r="BX480" s="5"/>
      <c r="BY480" s="5"/>
      <c r="BZ480" s="5"/>
      <c r="CA480" s="5"/>
      <c r="CB480" s="5"/>
    </row>
    <row r="481" spans="66:80">
      <c r="BN481" s="5"/>
      <c r="BR481" s="215"/>
      <c r="BW481" s="5"/>
      <c r="BX481" s="5"/>
      <c r="BY481" s="5"/>
      <c r="BZ481" s="5"/>
      <c r="CA481" s="5"/>
      <c r="CB481" s="5"/>
    </row>
    <row r="482" spans="66:80">
      <c r="BN482" s="5"/>
      <c r="BR482" s="215"/>
      <c r="BW482" s="5"/>
      <c r="BX482" s="5"/>
      <c r="BY482" s="5"/>
      <c r="BZ482" s="5"/>
      <c r="CA482" s="5"/>
      <c r="CB482" s="5"/>
    </row>
    <row r="483" spans="66:80">
      <c r="BN483" s="5"/>
      <c r="BR483" s="215"/>
      <c r="BW483" s="5"/>
      <c r="BX483" s="5"/>
      <c r="BY483" s="5"/>
      <c r="BZ483" s="5"/>
      <c r="CA483" s="5"/>
      <c r="CB483" s="5"/>
    </row>
    <row r="484" spans="66:80">
      <c r="BN484" s="5"/>
      <c r="BR484" s="215"/>
      <c r="BW484" s="5"/>
      <c r="BX484" s="5"/>
      <c r="BY484" s="5"/>
      <c r="BZ484" s="5"/>
      <c r="CA484" s="5"/>
      <c r="CB484" s="5"/>
    </row>
    <row r="485" spans="66:80">
      <c r="BN485" s="5"/>
      <c r="BR485" s="215"/>
      <c r="BW485" s="5"/>
      <c r="BX485" s="5"/>
      <c r="BY485" s="5"/>
      <c r="BZ485" s="5"/>
      <c r="CA485" s="5"/>
      <c r="CB485" s="5"/>
    </row>
  </sheetData>
  <mergeCells count="76">
    <mergeCell ref="AV1:BM1"/>
    <mergeCell ref="BN1:BQ1"/>
    <mergeCell ref="BF2:BF3"/>
    <mergeCell ref="BY2:BY3"/>
    <mergeCell ref="BL2:BL3"/>
    <mergeCell ref="BM2:BM3"/>
    <mergeCell ref="BN2:BN3"/>
    <mergeCell ref="BO2:BO3"/>
    <mergeCell ref="BP2:BP3"/>
    <mergeCell ref="BQ2:BQ3"/>
    <mergeCell ref="BR2:BR3"/>
    <mergeCell ref="BS2:BS3"/>
    <mergeCell ref="BU2:BU3"/>
    <mergeCell ref="BW2:BW3"/>
    <mergeCell ref="BT2:BT3"/>
    <mergeCell ref="BV2:BV3"/>
    <mergeCell ref="CJ1:CO1"/>
    <mergeCell ref="A2:A3"/>
    <mergeCell ref="C2:C3"/>
    <mergeCell ref="D2:D3"/>
    <mergeCell ref="E2:E3"/>
    <mergeCell ref="G2:G3"/>
    <mergeCell ref="B2:B3"/>
    <mergeCell ref="O2:O3"/>
    <mergeCell ref="A1:Q1"/>
    <mergeCell ref="R1:AU1"/>
    <mergeCell ref="H2:H3"/>
    <mergeCell ref="I2:K2"/>
    <mergeCell ref="L2:L3"/>
    <mergeCell ref="M2:M3"/>
    <mergeCell ref="N2:N3"/>
    <mergeCell ref="AS2:AU2"/>
    <mergeCell ref="P2:P3"/>
    <mergeCell ref="Q2:Q3"/>
    <mergeCell ref="R2:T2"/>
    <mergeCell ref="U2:W2"/>
    <mergeCell ref="X2:Z2"/>
    <mergeCell ref="BC2:BC3"/>
    <mergeCell ref="BD2:BD3"/>
    <mergeCell ref="AA2:AC2"/>
    <mergeCell ref="AD2:AF2"/>
    <mergeCell ref="AG2:AI2"/>
    <mergeCell ref="AJ2:AL2"/>
    <mergeCell ref="AM2:AO2"/>
    <mergeCell ref="CB2:CB3"/>
    <mergeCell ref="CD2:CD3"/>
    <mergeCell ref="AP2:AR2"/>
    <mergeCell ref="BK2:BK3"/>
    <mergeCell ref="AV2:AV3"/>
    <mergeCell ref="AW2:AW3"/>
    <mergeCell ref="AX2:AX3"/>
    <mergeCell ref="AY2:AY3"/>
    <mergeCell ref="AZ2:AZ3"/>
    <mergeCell ref="BA2:BA3"/>
    <mergeCell ref="BB2:BB3"/>
    <mergeCell ref="BG2:BG3"/>
    <mergeCell ref="BH2:BH3"/>
    <mergeCell ref="BI2:BI3"/>
    <mergeCell ref="BJ2:BJ3"/>
    <mergeCell ref="BE2:BE3"/>
    <mergeCell ref="F2:F3"/>
    <mergeCell ref="CO2:CO3"/>
    <mergeCell ref="CA2:CA3"/>
    <mergeCell ref="CC2:CC3"/>
    <mergeCell ref="CJ2:CJ3"/>
    <mergeCell ref="CK2:CK3"/>
    <mergeCell ref="CL2:CL3"/>
    <mergeCell ref="CM2:CM3"/>
    <mergeCell ref="CE2:CE3"/>
    <mergeCell ref="CF2:CF3"/>
    <mergeCell ref="CG2:CG3"/>
    <mergeCell ref="CH2:CH3"/>
    <mergeCell ref="CI2:CI3"/>
    <mergeCell ref="BX2:BX3"/>
    <mergeCell ref="CN2:CN3"/>
    <mergeCell ref="BZ2:BZ3"/>
  </mergeCells>
  <phoneticPr fontId="168"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C21" sqref="C21:G21"/>
    </sheetView>
  </sheetViews>
  <sheetFormatPr defaultColWidth="11.42578125" defaultRowHeight="12.75"/>
  <cols>
    <col min="1" max="1" width="3.5703125" style="26" customWidth="1"/>
    <col min="2" max="2" width="2.42578125" style="26" customWidth="1"/>
    <col min="3" max="3" width="99.85546875" style="26" bestFit="1" customWidth="1"/>
    <col min="4" max="4" width="30.42578125" style="26" customWidth="1"/>
    <col min="5" max="5" width="1.42578125" style="26" customWidth="1"/>
    <col min="6" max="6" width="29.42578125" style="26" customWidth="1"/>
    <col min="7" max="7" width="1.140625" style="26" customWidth="1"/>
    <col min="8" max="8" width="4.5703125" style="26" customWidth="1"/>
    <col min="9" max="9" width="12.42578125" style="26" bestFit="1" customWidth="1"/>
    <col min="10" max="10" width="13.42578125" style="26" customWidth="1"/>
    <col min="11" max="11" width="7.42578125" style="26" bestFit="1" customWidth="1"/>
    <col min="12" max="12" width="19.85546875" style="26" bestFit="1" customWidth="1"/>
    <col min="13" max="247" width="11.42578125" style="26"/>
    <col min="248" max="248" width="2.42578125" style="26" customWidth="1"/>
    <col min="249" max="249" width="49" style="26" customWidth="1"/>
    <col min="250" max="250" width="16.85546875" style="26" customWidth="1"/>
    <col min="251" max="251" width="1.140625" style="26" customWidth="1"/>
    <col min="252" max="252" width="20.5703125" style="26" customWidth="1"/>
    <col min="253" max="253" width="17.5703125" style="26" customWidth="1"/>
    <col min="254" max="254" width="18.140625" style="26" customWidth="1"/>
    <col min="255" max="255" width="17.140625" style="26" customWidth="1"/>
    <col min="256" max="256" width="22.42578125" style="26" bestFit="1" customWidth="1"/>
    <col min="257" max="257" width="22.140625" style="26" customWidth="1"/>
    <col min="258" max="258" width="17.85546875" style="26" customWidth="1"/>
    <col min="259" max="259" width="22.42578125" style="26" customWidth="1"/>
    <col min="260" max="260" width="10.140625" style="26" bestFit="1" customWidth="1"/>
    <col min="261" max="261" width="13.42578125" style="26" customWidth="1"/>
    <col min="262" max="262" width="7.42578125" style="26" bestFit="1" customWidth="1"/>
    <col min="263" max="263" width="15.42578125" style="26" bestFit="1" customWidth="1"/>
    <col min="264" max="264" width="7.42578125" style="26" bestFit="1" customWidth="1"/>
    <col min="265" max="265" width="19.5703125" style="26" bestFit="1" customWidth="1"/>
    <col min="266" max="266" width="7.42578125" style="26" bestFit="1" customWidth="1"/>
    <col min="267" max="267" width="26.85546875" style="26" bestFit="1" customWidth="1"/>
    <col min="268" max="268" width="19.85546875" style="26" bestFit="1" customWidth="1"/>
    <col min="269" max="503" width="11.42578125" style="26"/>
    <col min="504" max="504" width="2.42578125" style="26" customWidth="1"/>
    <col min="505" max="505" width="49" style="26" customWidth="1"/>
    <col min="506" max="506" width="16.85546875" style="26" customWidth="1"/>
    <col min="507" max="507" width="1.140625" style="26" customWidth="1"/>
    <col min="508" max="508" width="20.5703125" style="26" customWidth="1"/>
    <col min="509" max="509" width="17.5703125" style="26" customWidth="1"/>
    <col min="510" max="510" width="18.140625" style="26" customWidth="1"/>
    <col min="511" max="511" width="17.140625" style="26" customWidth="1"/>
    <col min="512" max="512" width="22.42578125" style="26" bestFit="1" customWidth="1"/>
    <col min="513" max="513" width="22.140625" style="26" customWidth="1"/>
    <col min="514" max="514" width="17.85546875" style="26" customWidth="1"/>
    <col min="515" max="515" width="22.42578125" style="26" customWidth="1"/>
    <col min="516" max="516" width="10.140625" style="26" bestFit="1" customWidth="1"/>
    <col min="517" max="517" width="13.42578125" style="26" customWidth="1"/>
    <col min="518" max="518" width="7.42578125" style="26" bestFit="1" customWidth="1"/>
    <col min="519" max="519" width="15.42578125" style="26" bestFit="1" customWidth="1"/>
    <col min="520" max="520" width="7.42578125" style="26" bestFit="1" customWidth="1"/>
    <col min="521" max="521" width="19.5703125" style="26" bestFit="1" customWidth="1"/>
    <col min="522" max="522" width="7.42578125" style="26" bestFit="1" customWidth="1"/>
    <col min="523" max="523" width="26.85546875" style="26" bestFit="1" customWidth="1"/>
    <col min="524" max="524" width="19.85546875" style="26" bestFit="1" customWidth="1"/>
    <col min="525" max="759" width="11.42578125" style="26"/>
    <col min="760" max="760" width="2.42578125" style="26" customWidth="1"/>
    <col min="761" max="761" width="49" style="26" customWidth="1"/>
    <col min="762" max="762" width="16.85546875" style="26" customWidth="1"/>
    <col min="763" max="763" width="1.140625" style="26" customWidth="1"/>
    <col min="764" max="764" width="20.5703125" style="26" customWidth="1"/>
    <col min="765" max="765" width="17.5703125" style="26" customWidth="1"/>
    <col min="766" max="766" width="18.140625" style="26" customWidth="1"/>
    <col min="767" max="767" width="17.140625" style="26" customWidth="1"/>
    <col min="768" max="768" width="22.42578125" style="26" bestFit="1" customWidth="1"/>
    <col min="769" max="769" width="22.140625" style="26" customWidth="1"/>
    <col min="770" max="770" width="17.85546875" style="26" customWidth="1"/>
    <col min="771" max="771" width="22.42578125" style="26" customWidth="1"/>
    <col min="772" max="772" width="10.140625" style="26" bestFit="1" customWidth="1"/>
    <col min="773" max="773" width="13.42578125" style="26" customWidth="1"/>
    <col min="774" max="774" width="7.42578125" style="26" bestFit="1" customWidth="1"/>
    <col min="775" max="775" width="15.42578125" style="26" bestFit="1" customWidth="1"/>
    <col min="776" max="776" width="7.42578125" style="26" bestFit="1" customWidth="1"/>
    <col min="777" max="777" width="19.5703125" style="26" bestFit="1" customWidth="1"/>
    <col min="778" max="778" width="7.42578125" style="26" bestFit="1" customWidth="1"/>
    <col min="779" max="779" width="26.85546875" style="26" bestFit="1" customWidth="1"/>
    <col min="780" max="780" width="19.85546875" style="26" bestFit="1" customWidth="1"/>
    <col min="781" max="1015" width="11.42578125" style="26"/>
    <col min="1016" max="1016" width="2.42578125" style="26" customWidth="1"/>
    <col min="1017" max="1017" width="49" style="26" customWidth="1"/>
    <col min="1018" max="1018" width="16.85546875" style="26" customWidth="1"/>
    <col min="1019" max="1019" width="1.140625" style="26" customWidth="1"/>
    <col min="1020" max="1020" width="20.5703125" style="26" customWidth="1"/>
    <col min="1021" max="1021" width="17.5703125" style="26" customWidth="1"/>
    <col min="1022" max="1022" width="18.140625" style="26" customWidth="1"/>
    <col min="1023" max="1023" width="17.140625" style="26" customWidth="1"/>
    <col min="1024" max="1024" width="22.42578125" style="26" bestFit="1" customWidth="1"/>
    <col min="1025" max="1025" width="22.140625" style="26" customWidth="1"/>
    <col min="1026" max="1026" width="17.85546875" style="26" customWidth="1"/>
    <col min="1027" max="1027" width="22.42578125" style="26" customWidth="1"/>
    <col min="1028" max="1028" width="10.140625" style="26" bestFit="1" customWidth="1"/>
    <col min="1029" max="1029" width="13.42578125" style="26" customWidth="1"/>
    <col min="1030" max="1030" width="7.42578125" style="26" bestFit="1" customWidth="1"/>
    <col min="1031" max="1031" width="15.42578125" style="26" bestFit="1" customWidth="1"/>
    <col min="1032" max="1032" width="7.42578125" style="26" bestFit="1" customWidth="1"/>
    <col min="1033" max="1033" width="19.5703125" style="26" bestFit="1" customWidth="1"/>
    <col min="1034" max="1034" width="7.42578125" style="26" bestFit="1" customWidth="1"/>
    <col min="1035" max="1035" width="26.85546875" style="26" bestFit="1" customWidth="1"/>
    <col min="1036" max="1036" width="19.85546875" style="26" bestFit="1" customWidth="1"/>
    <col min="1037" max="1271" width="11.42578125" style="26"/>
    <col min="1272" max="1272" width="2.42578125" style="26" customWidth="1"/>
    <col min="1273" max="1273" width="49" style="26" customWidth="1"/>
    <col min="1274" max="1274" width="16.85546875" style="26" customWidth="1"/>
    <col min="1275" max="1275" width="1.140625" style="26" customWidth="1"/>
    <col min="1276" max="1276" width="20.5703125" style="26" customWidth="1"/>
    <col min="1277" max="1277" width="17.5703125" style="26" customWidth="1"/>
    <col min="1278" max="1278" width="18.140625" style="26" customWidth="1"/>
    <col min="1279" max="1279" width="17.140625" style="26" customWidth="1"/>
    <col min="1280" max="1280" width="22.42578125" style="26" bestFit="1" customWidth="1"/>
    <col min="1281" max="1281" width="22.140625" style="26" customWidth="1"/>
    <col min="1282" max="1282" width="17.85546875" style="26" customWidth="1"/>
    <col min="1283" max="1283" width="22.42578125" style="26" customWidth="1"/>
    <col min="1284" max="1284" width="10.140625" style="26" bestFit="1" customWidth="1"/>
    <col min="1285" max="1285" width="13.42578125" style="26" customWidth="1"/>
    <col min="1286" max="1286" width="7.42578125" style="26" bestFit="1" customWidth="1"/>
    <col min="1287" max="1287" width="15.42578125" style="26" bestFit="1" customWidth="1"/>
    <col min="1288" max="1288" width="7.42578125" style="26" bestFit="1" customWidth="1"/>
    <col min="1289" max="1289" width="19.5703125" style="26" bestFit="1" customWidth="1"/>
    <col min="1290" max="1290" width="7.42578125" style="26" bestFit="1" customWidth="1"/>
    <col min="1291" max="1291" width="26.85546875" style="26" bestFit="1" customWidth="1"/>
    <col min="1292" max="1292" width="19.85546875" style="26" bestFit="1" customWidth="1"/>
    <col min="1293" max="1527" width="11.42578125" style="26"/>
    <col min="1528" max="1528" width="2.42578125" style="26" customWidth="1"/>
    <col min="1529" max="1529" width="49" style="26" customWidth="1"/>
    <col min="1530" max="1530" width="16.85546875" style="26" customWidth="1"/>
    <col min="1531" max="1531" width="1.140625" style="26" customWidth="1"/>
    <col min="1532" max="1532" width="20.5703125" style="26" customWidth="1"/>
    <col min="1533" max="1533" width="17.5703125" style="26" customWidth="1"/>
    <col min="1534" max="1534" width="18.140625" style="26" customWidth="1"/>
    <col min="1535" max="1535" width="17.140625" style="26" customWidth="1"/>
    <col min="1536" max="1536" width="22.42578125" style="26" bestFit="1" customWidth="1"/>
    <col min="1537" max="1537" width="22.140625" style="26" customWidth="1"/>
    <col min="1538" max="1538" width="17.85546875" style="26" customWidth="1"/>
    <col min="1539" max="1539" width="22.42578125" style="26" customWidth="1"/>
    <col min="1540" max="1540" width="10.140625" style="26" bestFit="1" customWidth="1"/>
    <col min="1541" max="1541" width="13.42578125" style="26" customWidth="1"/>
    <col min="1542" max="1542" width="7.42578125" style="26" bestFit="1" customWidth="1"/>
    <col min="1543" max="1543" width="15.42578125" style="26" bestFit="1" customWidth="1"/>
    <col min="1544" max="1544" width="7.42578125" style="26" bestFit="1" customWidth="1"/>
    <col min="1545" max="1545" width="19.5703125" style="26" bestFit="1" customWidth="1"/>
    <col min="1546" max="1546" width="7.42578125" style="26" bestFit="1" customWidth="1"/>
    <col min="1547" max="1547" width="26.85546875" style="26" bestFit="1" customWidth="1"/>
    <col min="1548" max="1548" width="19.85546875" style="26" bestFit="1" customWidth="1"/>
    <col min="1549" max="1783" width="11.42578125" style="26"/>
    <col min="1784" max="1784" width="2.42578125" style="26" customWidth="1"/>
    <col min="1785" max="1785" width="49" style="26" customWidth="1"/>
    <col min="1786" max="1786" width="16.85546875" style="26" customWidth="1"/>
    <col min="1787" max="1787" width="1.140625" style="26" customWidth="1"/>
    <col min="1788" max="1788" width="20.5703125" style="26" customWidth="1"/>
    <col min="1789" max="1789" width="17.5703125" style="26" customWidth="1"/>
    <col min="1790" max="1790" width="18.140625" style="26" customWidth="1"/>
    <col min="1791" max="1791" width="17.140625" style="26" customWidth="1"/>
    <col min="1792" max="1792" width="22.42578125" style="26" bestFit="1" customWidth="1"/>
    <col min="1793" max="1793" width="22.140625" style="26" customWidth="1"/>
    <col min="1794" max="1794" width="17.85546875" style="26" customWidth="1"/>
    <col min="1795" max="1795" width="22.42578125" style="26" customWidth="1"/>
    <col min="1796" max="1796" width="10.140625" style="26" bestFit="1" customWidth="1"/>
    <col min="1797" max="1797" width="13.42578125" style="26" customWidth="1"/>
    <col min="1798" max="1798" width="7.42578125" style="26" bestFit="1" customWidth="1"/>
    <col min="1799" max="1799" width="15.42578125" style="26" bestFit="1" customWidth="1"/>
    <col min="1800" max="1800" width="7.42578125" style="26" bestFit="1" customWidth="1"/>
    <col min="1801" max="1801" width="19.5703125" style="26" bestFit="1" customWidth="1"/>
    <col min="1802" max="1802" width="7.42578125" style="26" bestFit="1" customWidth="1"/>
    <col min="1803" max="1803" width="26.85546875" style="26" bestFit="1" customWidth="1"/>
    <col min="1804" max="1804" width="19.85546875" style="26" bestFit="1" customWidth="1"/>
    <col min="1805" max="2039" width="11.42578125" style="26"/>
    <col min="2040" max="2040" width="2.42578125" style="26" customWidth="1"/>
    <col min="2041" max="2041" width="49" style="26" customWidth="1"/>
    <col min="2042" max="2042" width="16.85546875" style="26" customWidth="1"/>
    <col min="2043" max="2043" width="1.140625" style="26" customWidth="1"/>
    <col min="2044" max="2044" width="20.5703125" style="26" customWidth="1"/>
    <col min="2045" max="2045" width="17.5703125" style="26" customWidth="1"/>
    <col min="2046" max="2046" width="18.140625" style="26" customWidth="1"/>
    <col min="2047" max="2047" width="17.140625" style="26" customWidth="1"/>
    <col min="2048" max="2048" width="22.42578125" style="26" bestFit="1" customWidth="1"/>
    <col min="2049" max="2049" width="22.140625" style="26" customWidth="1"/>
    <col min="2050" max="2050" width="17.85546875" style="26" customWidth="1"/>
    <col min="2051" max="2051" width="22.42578125" style="26" customWidth="1"/>
    <col min="2052" max="2052" width="10.140625" style="26" bestFit="1" customWidth="1"/>
    <col min="2053" max="2053" width="13.42578125" style="26" customWidth="1"/>
    <col min="2054" max="2054" width="7.42578125" style="26" bestFit="1" customWidth="1"/>
    <col min="2055" max="2055" width="15.42578125" style="26" bestFit="1" customWidth="1"/>
    <col min="2056" max="2056" width="7.42578125" style="26" bestFit="1" customWidth="1"/>
    <col min="2057" max="2057" width="19.5703125" style="26" bestFit="1" customWidth="1"/>
    <col min="2058" max="2058" width="7.42578125" style="26" bestFit="1" customWidth="1"/>
    <col min="2059" max="2059" width="26.85546875" style="26" bestFit="1" customWidth="1"/>
    <col min="2060" max="2060" width="19.85546875" style="26" bestFit="1" customWidth="1"/>
    <col min="2061" max="2295" width="11.42578125" style="26"/>
    <col min="2296" max="2296" width="2.42578125" style="26" customWidth="1"/>
    <col min="2297" max="2297" width="49" style="26" customWidth="1"/>
    <col min="2298" max="2298" width="16.85546875" style="26" customWidth="1"/>
    <col min="2299" max="2299" width="1.140625" style="26" customWidth="1"/>
    <col min="2300" max="2300" width="20.5703125" style="26" customWidth="1"/>
    <col min="2301" max="2301" width="17.5703125" style="26" customWidth="1"/>
    <col min="2302" max="2302" width="18.140625" style="26" customWidth="1"/>
    <col min="2303" max="2303" width="17.140625" style="26" customWidth="1"/>
    <col min="2304" max="2304" width="22.42578125" style="26" bestFit="1" customWidth="1"/>
    <col min="2305" max="2305" width="22.140625" style="26" customWidth="1"/>
    <col min="2306" max="2306" width="17.85546875" style="26" customWidth="1"/>
    <col min="2307" max="2307" width="22.42578125" style="26" customWidth="1"/>
    <col min="2308" max="2308" width="10.140625" style="26" bestFit="1" customWidth="1"/>
    <col min="2309" max="2309" width="13.42578125" style="26" customWidth="1"/>
    <col min="2310" max="2310" width="7.42578125" style="26" bestFit="1" customWidth="1"/>
    <col min="2311" max="2311" width="15.42578125" style="26" bestFit="1" customWidth="1"/>
    <col min="2312" max="2312" width="7.42578125" style="26" bestFit="1" customWidth="1"/>
    <col min="2313" max="2313" width="19.5703125" style="26" bestFit="1" customWidth="1"/>
    <col min="2314" max="2314" width="7.42578125" style="26" bestFit="1" customWidth="1"/>
    <col min="2315" max="2315" width="26.85546875" style="26" bestFit="1" customWidth="1"/>
    <col min="2316" max="2316" width="19.85546875" style="26" bestFit="1" customWidth="1"/>
    <col min="2317" max="2551" width="11.42578125" style="26"/>
    <col min="2552" max="2552" width="2.42578125" style="26" customWidth="1"/>
    <col min="2553" max="2553" width="49" style="26" customWidth="1"/>
    <col min="2554" max="2554" width="16.85546875" style="26" customWidth="1"/>
    <col min="2555" max="2555" width="1.140625" style="26" customWidth="1"/>
    <col min="2556" max="2556" width="20.5703125" style="26" customWidth="1"/>
    <col min="2557" max="2557" width="17.5703125" style="26" customWidth="1"/>
    <col min="2558" max="2558" width="18.140625" style="26" customWidth="1"/>
    <col min="2559" max="2559" width="17.140625" style="26" customWidth="1"/>
    <col min="2560" max="2560" width="22.42578125" style="26" bestFit="1" customWidth="1"/>
    <col min="2561" max="2561" width="22.140625" style="26" customWidth="1"/>
    <col min="2562" max="2562" width="17.85546875" style="26" customWidth="1"/>
    <col min="2563" max="2563" width="22.42578125" style="26" customWidth="1"/>
    <col min="2564" max="2564" width="10.140625" style="26" bestFit="1" customWidth="1"/>
    <col min="2565" max="2565" width="13.42578125" style="26" customWidth="1"/>
    <col min="2566" max="2566" width="7.42578125" style="26" bestFit="1" customWidth="1"/>
    <col min="2567" max="2567" width="15.42578125" style="26" bestFit="1" customWidth="1"/>
    <col min="2568" max="2568" width="7.42578125" style="26" bestFit="1" customWidth="1"/>
    <col min="2569" max="2569" width="19.5703125" style="26" bestFit="1" customWidth="1"/>
    <col min="2570" max="2570" width="7.42578125" style="26" bestFit="1" customWidth="1"/>
    <col min="2571" max="2571" width="26.85546875" style="26" bestFit="1" customWidth="1"/>
    <col min="2572" max="2572" width="19.85546875" style="26" bestFit="1" customWidth="1"/>
    <col min="2573" max="2807" width="11.42578125" style="26"/>
    <col min="2808" max="2808" width="2.42578125" style="26" customWidth="1"/>
    <col min="2809" max="2809" width="49" style="26" customWidth="1"/>
    <col min="2810" max="2810" width="16.85546875" style="26" customWidth="1"/>
    <col min="2811" max="2811" width="1.140625" style="26" customWidth="1"/>
    <col min="2812" max="2812" width="20.5703125" style="26" customWidth="1"/>
    <col min="2813" max="2813" width="17.5703125" style="26" customWidth="1"/>
    <col min="2814" max="2814" width="18.140625" style="26" customWidth="1"/>
    <col min="2815" max="2815" width="17.140625" style="26" customWidth="1"/>
    <col min="2816" max="2816" width="22.42578125" style="26" bestFit="1" customWidth="1"/>
    <col min="2817" max="2817" width="22.140625" style="26" customWidth="1"/>
    <col min="2818" max="2818" width="17.85546875" style="26" customWidth="1"/>
    <col min="2819" max="2819" width="22.42578125" style="26" customWidth="1"/>
    <col min="2820" max="2820" width="10.140625" style="26" bestFit="1" customWidth="1"/>
    <col min="2821" max="2821" width="13.42578125" style="26" customWidth="1"/>
    <col min="2822" max="2822" width="7.42578125" style="26" bestFit="1" customWidth="1"/>
    <col min="2823" max="2823" width="15.42578125" style="26" bestFit="1" customWidth="1"/>
    <col min="2824" max="2824" width="7.42578125" style="26" bestFit="1" customWidth="1"/>
    <col min="2825" max="2825" width="19.5703125" style="26" bestFit="1" customWidth="1"/>
    <col min="2826" max="2826" width="7.42578125" style="26" bestFit="1" customWidth="1"/>
    <col min="2827" max="2827" width="26.85546875" style="26" bestFit="1" customWidth="1"/>
    <col min="2828" max="2828" width="19.85546875" style="26" bestFit="1" customWidth="1"/>
    <col min="2829" max="3063" width="11.42578125" style="26"/>
    <col min="3064" max="3064" width="2.42578125" style="26" customWidth="1"/>
    <col min="3065" max="3065" width="49" style="26" customWidth="1"/>
    <col min="3066" max="3066" width="16.85546875" style="26" customWidth="1"/>
    <col min="3067" max="3067" width="1.140625" style="26" customWidth="1"/>
    <col min="3068" max="3068" width="20.5703125" style="26" customWidth="1"/>
    <col min="3069" max="3069" width="17.5703125" style="26" customWidth="1"/>
    <col min="3070" max="3070" width="18.140625" style="26" customWidth="1"/>
    <col min="3071" max="3071" width="17.140625" style="26" customWidth="1"/>
    <col min="3072" max="3072" width="22.42578125" style="26" bestFit="1" customWidth="1"/>
    <col min="3073" max="3073" width="22.140625" style="26" customWidth="1"/>
    <col min="3074" max="3074" width="17.85546875" style="26" customWidth="1"/>
    <col min="3075" max="3075" width="22.42578125" style="26" customWidth="1"/>
    <col min="3076" max="3076" width="10.140625" style="26" bestFit="1" customWidth="1"/>
    <col min="3077" max="3077" width="13.42578125" style="26" customWidth="1"/>
    <col min="3078" max="3078" width="7.42578125" style="26" bestFit="1" customWidth="1"/>
    <col min="3079" max="3079" width="15.42578125" style="26" bestFit="1" customWidth="1"/>
    <col min="3080" max="3080" width="7.42578125" style="26" bestFit="1" customWidth="1"/>
    <col min="3081" max="3081" width="19.5703125" style="26" bestFit="1" customWidth="1"/>
    <col min="3082" max="3082" width="7.42578125" style="26" bestFit="1" customWidth="1"/>
    <col min="3083" max="3083" width="26.85546875" style="26" bestFit="1" customWidth="1"/>
    <col min="3084" max="3084" width="19.85546875" style="26" bestFit="1" customWidth="1"/>
    <col min="3085" max="3319" width="11.42578125" style="26"/>
    <col min="3320" max="3320" width="2.42578125" style="26" customWidth="1"/>
    <col min="3321" max="3321" width="49" style="26" customWidth="1"/>
    <col min="3322" max="3322" width="16.85546875" style="26" customWidth="1"/>
    <col min="3323" max="3323" width="1.140625" style="26" customWidth="1"/>
    <col min="3324" max="3324" width="20.5703125" style="26" customWidth="1"/>
    <col min="3325" max="3325" width="17.5703125" style="26" customWidth="1"/>
    <col min="3326" max="3326" width="18.140625" style="26" customWidth="1"/>
    <col min="3327" max="3327" width="17.140625" style="26" customWidth="1"/>
    <col min="3328" max="3328" width="22.42578125" style="26" bestFit="1" customWidth="1"/>
    <col min="3329" max="3329" width="22.140625" style="26" customWidth="1"/>
    <col min="3330" max="3330" width="17.85546875" style="26" customWidth="1"/>
    <col min="3331" max="3331" width="22.42578125" style="26" customWidth="1"/>
    <col min="3332" max="3332" width="10.140625" style="26" bestFit="1" customWidth="1"/>
    <col min="3333" max="3333" width="13.42578125" style="26" customWidth="1"/>
    <col min="3334" max="3334" width="7.42578125" style="26" bestFit="1" customWidth="1"/>
    <col min="3335" max="3335" width="15.42578125" style="26" bestFit="1" customWidth="1"/>
    <col min="3336" max="3336" width="7.42578125" style="26" bestFit="1" customWidth="1"/>
    <col min="3337" max="3337" width="19.5703125" style="26" bestFit="1" customWidth="1"/>
    <col min="3338" max="3338" width="7.42578125" style="26" bestFit="1" customWidth="1"/>
    <col min="3339" max="3339" width="26.85546875" style="26" bestFit="1" customWidth="1"/>
    <col min="3340" max="3340" width="19.85546875" style="26" bestFit="1" customWidth="1"/>
    <col min="3341" max="3575" width="11.42578125" style="26"/>
    <col min="3576" max="3576" width="2.42578125" style="26" customWidth="1"/>
    <col min="3577" max="3577" width="49" style="26" customWidth="1"/>
    <col min="3578" max="3578" width="16.85546875" style="26" customWidth="1"/>
    <col min="3579" max="3579" width="1.140625" style="26" customWidth="1"/>
    <col min="3580" max="3580" width="20.5703125" style="26" customWidth="1"/>
    <col min="3581" max="3581" width="17.5703125" style="26" customWidth="1"/>
    <col min="3582" max="3582" width="18.140625" style="26" customWidth="1"/>
    <col min="3583" max="3583" width="17.140625" style="26" customWidth="1"/>
    <col min="3584" max="3584" width="22.42578125" style="26" bestFit="1" customWidth="1"/>
    <col min="3585" max="3585" width="22.140625" style="26" customWidth="1"/>
    <col min="3586" max="3586" width="17.85546875" style="26" customWidth="1"/>
    <col min="3587" max="3587" width="22.42578125" style="26" customWidth="1"/>
    <col min="3588" max="3588" width="10.140625" style="26" bestFit="1" customWidth="1"/>
    <col min="3589" max="3589" width="13.42578125" style="26" customWidth="1"/>
    <col min="3590" max="3590" width="7.42578125" style="26" bestFit="1" customWidth="1"/>
    <col min="3591" max="3591" width="15.42578125" style="26" bestFit="1" customWidth="1"/>
    <col min="3592" max="3592" width="7.42578125" style="26" bestFit="1" customWidth="1"/>
    <col min="3593" max="3593" width="19.5703125" style="26" bestFit="1" customWidth="1"/>
    <col min="3594" max="3594" width="7.42578125" style="26" bestFit="1" customWidth="1"/>
    <col min="3595" max="3595" width="26.85546875" style="26" bestFit="1" customWidth="1"/>
    <col min="3596" max="3596" width="19.85546875" style="26" bestFit="1" customWidth="1"/>
    <col min="3597" max="3831" width="11.42578125" style="26"/>
    <col min="3832" max="3832" width="2.42578125" style="26" customWidth="1"/>
    <col min="3833" max="3833" width="49" style="26" customWidth="1"/>
    <col min="3834" max="3834" width="16.85546875" style="26" customWidth="1"/>
    <col min="3835" max="3835" width="1.140625" style="26" customWidth="1"/>
    <col min="3836" max="3836" width="20.5703125" style="26" customWidth="1"/>
    <col min="3837" max="3837" width="17.5703125" style="26" customWidth="1"/>
    <col min="3838" max="3838" width="18.140625" style="26" customWidth="1"/>
    <col min="3839" max="3839" width="17.140625" style="26" customWidth="1"/>
    <col min="3840" max="3840" width="22.42578125" style="26" bestFit="1" customWidth="1"/>
    <col min="3841" max="3841" width="22.140625" style="26" customWidth="1"/>
    <col min="3842" max="3842" width="17.85546875" style="26" customWidth="1"/>
    <col min="3843" max="3843" width="22.42578125" style="26" customWidth="1"/>
    <col min="3844" max="3844" width="10.140625" style="26" bestFit="1" customWidth="1"/>
    <col min="3845" max="3845" width="13.42578125" style="26" customWidth="1"/>
    <col min="3846" max="3846" width="7.42578125" style="26" bestFit="1" customWidth="1"/>
    <col min="3847" max="3847" width="15.42578125" style="26" bestFit="1" customWidth="1"/>
    <col min="3848" max="3848" width="7.42578125" style="26" bestFit="1" customWidth="1"/>
    <col min="3849" max="3849" width="19.5703125" style="26" bestFit="1" customWidth="1"/>
    <col min="3850" max="3850" width="7.42578125" style="26" bestFit="1" customWidth="1"/>
    <col min="3851" max="3851" width="26.85546875" style="26" bestFit="1" customWidth="1"/>
    <col min="3852" max="3852" width="19.85546875" style="26" bestFit="1" customWidth="1"/>
    <col min="3853" max="4087" width="11.42578125" style="26"/>
    <col min="4088" max="4088" width="2.42578125" style="26" customWidth="1"/>
    <col min="4089" max="4089" width="49" style="26" customWidth="1"/>
    <col min="4090" max="4090" width="16.85546875" style="26" customWidth="1"/>
    <col min="4091" max="4091" width="1.140625" style="26" customWidth="1"/>
    <col min="4092" max="4092" width="20.5703125" style="26" customWidth="1"/>
    <col min="4093" max="4093" width="17.5703125" style="26" customWidth="1"/>
    <col min="4094" max="4094" width="18.140625" style="26" customWidth="1"/>
    <col min="4095" max="4095" width="17.140625" style="26" customWidth="1"/>
    <col min="4096" max="4096" width="22.42578125" style="26" bestFit="1" customWidth="1"/>
    <col min="4097" max="4097" width="22.140625" style="26" customWidth="1"/>
    <col min="4098" max="4098" width="17.85546875" style="26" customWidth="1"/>
    <col min="4099" max="4099" width="22.42578125" style="26" customWidth="1"/>
    <col min="4100" max="4100" width="10.140625" style="26" bestFit="1" customWidth="1"/>
    <col min="4101" max="4101" width="13.42578125" style="26" customWidth="1"/>
    <col min="4102" max="4102" width="7.42578125" style="26" bestFit="1" customWidth="1"/>
    <col min="4103" max="4103" width="15.42578125" style="26" bestFit="1" customWidth="1"/>
    <col min="4104" max="4104" width="7.42578125" style="26" bestFit="1" customWidth="1"/>
    <col min="4105" max="4105" width="19.5703125" style="26" bestFit="1" customWidth="1"/>
    <col min="4106" max="4106" width="7.42578125" style="26" bestFit="1" customWidth="1"/>
    <col min="4107" max="4107" width="26.85546875" style="26" bestFit="1" customWidth="1"/>
    <col min="4108" max="4108" width="19.85546875" style="26" bestFit="1" customWidth="1"/>
    <col min="4109" max="4343" width="11.42578125" style="26"/>
    <col min="4344" max="4344" width="2.42578125" style="26" customWidth="1"/>
    <col min="4345" max="4345" width="49" style="26" customWidth="1"/>
    <col min="4346" max="4346" width="16.85546875" style="26" customWidth="1"/>
    <col min="4347" max="4347" width="1.140625" style="26" customWidth="1"/>
    <col min="4348" max="4348" width="20.5703125" style="26" customWidth="1"/>
    <col min="4349" max="4349" width="17.5703125" style="26" customWidth="1"/>
    <col min="4350" max="4350" width="18.140625" style="26" customWidth="1"/>
    <col min="4351" max="4351" width="17.140625" style="26" customWidth="1"/>
    <col min="4352" max="4352" width="22.42578125" style="26" bestFit="1" customWidth="1"/>
    <col min="4353" max="4353" width="22.140625" style="26" customWidth="1"/>
    <col min="4354" max="4354" width="17.85546875" style="26" customWidth="1"/>
    <col min="4355" max="4355" width="22.42578125" style="26" customWidth="1"/>
    <col min="4356" max="4356" width="10.140625" style="26" bestFit="1" customWidth="1"/>
    <col min="4357" max="4357" width="13.42578125" style="26" customWidth="1"/>
    <col min="4358" max="4358" width="7.42578125" style="26" bestFit="1" customWidth="1"/>
    <col min="4359" max="4359" width="15.42578125" style="26" bestFit="1" customWidth="1"/>
    <col min="4360" max="4360" width="7.42578125" style="26" bestFit="1" customWidth="1"/>
    <col min="4361" max="4361" width="19.5703125" style="26" bestFit="1" customWidth="1"/>
    <col min="4362" max="4362" width="7.42578125" style="26" bestFit="1" customWidth="1"/>
    <col min="4363" max="4363" width="26.85546875" style="26" bestFit="1" customWidth="1"/>
    <col min="4364" max="4364" width="19.85546875" style="26" bestFit="1" customWidth="1"/>
    <col min="4365" max="4599" width="11.42578125" style="26"/>
    <col min="4600" max="4600" width="2.42578125" style="26" customWidth="1"/>
    <col min="4601" max="4601" width="49" style="26" customWidth="1"/>
    <col min="4602" max="4602" width="16.85546875" style="26" customWidth="1"/>
    <col min="4603" max="4603" width="1.140625" style="26" customWidth="1"/>
    <col min="4604" max="4604" width="20.5703125" style="26" customWidth="1"/>
    <col min="4605" max="4605" width="17.5703125" style="26" customWidth="1"/>
    <col min="4606" max="4606" width="18.140625" style="26" customWidth="1"/>
    <col min="4607" max="4607" width="17.140625" style="26" customWidth="1"/>
    <col min="4608" max="4608" width="22.42578125" style="26" bestFit="1" customWidth="1"/>
    <col min="4609" max="4609" width="22.140625" style="26" customWidth="1"/>
    <col min="4610" max="4610" width="17.85546875" style="26" customWidth="1"/>
    <col min="4611" max="4611" width="22.42578125" style="26" customWidth="1"/>
    <col min="4612" max="4612" width="10.140625" style="26" bestFit="1" customWidth="1"/>
    <col min="4613" max="4613" width="13.42578125" style="26" customWidth="1"/>
    <col min="4614" max="4614" width="7.42578125" style="26" bestFit="1" customWidth="1"/>
    <col min="4615" max="4615" width="15.42578125" style="26" bestFit="1" customWidth="1"/>
    <col min="4616" max="4616" width="7.42578125" style="26" bestFit="1" customWidth="1"/>
    <col min="4617" max="4617" width="19.5703125" style="26" bestFit="1" customWidth="1"/>
    <col min="4618" max="4618" width="7.42578125" style="26" bestFit="1" customWidth="1"/>
    <col min="4619" max="4619" width="26.85546875" style="26" bestFit="1" customWidth="1"/>
    <col min="4620" max="4620" width="19.85546875" style="26" bestFit="1" customWidth="1"/>
    <col min="4621" max="4855" width="11.42578125" style="26"/>
    <col min="4856" max="4856" width="2.42578125" style="26" customWidth="1"/>
    <col min="4857" max="4857" width="49" style="26" customWidth="1"/>
    <col min="4858" max="4858" width="16.85546875" style="26" customWidth="1"/>
    <col min="4859" max="4859" width="1.140625" style="26" customWidth="1"/>
    <col min="4860" max="4860" width="20.5703125" style="26" customWidth="1"/>
    <col min="4861" max="4861" width="17.5703125" style="26" customWidth="1"/>
    <col min="4862" max="4862" width="18.140625" style="26" customWidth="1"/>
    <col min="4863" max="4863" width="17.140625" style="26" customWidth="1"/>
    <col min="4864" max="4864" width="22.42578125" style="26" bestFit="1" customWidth="1"/>
    <col min="4865" max="4865" width="22.140625" style="26" customWidth="1"/>
    <col min="4866" max="4866" width="17.85546875" style="26" customWidth="1"/>
    <col min="4867" max="4867" width="22.42578125" style="26" customWidth="1"/>
    <col min="4868" max="4868" width="10.140625" style="26" bestFit="1" customWidth="1"/>
    <col min="4869" max="4869" width="13.42578125" style="26" customWidth="1"/>
    <col min="4870" max="4870" width="7.42578125" style="26" bestFit="1" customWidth="1"/>
    <col min="4871" max="4871" width="15.42578125" style="26" bestFit="1" customWidth="1"/>
    <col min="4872" max="4872" width="7.42578125" style="26" bestFit="1" customWidth="1"/>
    <col min="4873" max="4873" width="19.5703125" style="26" bestFit="1" customWidth="1"/>
    <col min="4874" max="4874" width="7.42578125" style="26" bestFit="1" customWidth="1"/>
    <col min="4875" max="4875" width="26.85546875" style="26" bestFit="1" customWidth="1"/>
    <col min="4876" max="4876" width="19.85546875" style="26" bestFit="1" customWidth="1"/>
    <col min="4877" max="5111" width="11.42578125" style="26"/>
    <col min="5112" max="5112" width="2.42578125" style="26" customWidth="1"/>
    <col min="5113" max="5113" width="49" style="26" customWidth="1"/>
    <col min="5114" max="5114" width="16.85546875" style="26" customWidth="1"/>
    <col min="5115" max="5115" width="1.140625" style="26" customWidth="1"/>
    <col min="5116" max="5116" width="20.5703125" style="26" customWidth="1"/>
    <col min="5117" max="5117" width="17.5703125" style="26" customWidth="1"/>
    <col min="5118" max="5118" width="18.140625" style="26" customWidth="1"/>
    <col min="5119" max="5119" width="17.140625" style="26" customWidth="1"/>
    <col min="5120" max="5120" width="22.42578125" style="26" bestFit="1" customWidth="1"/>
    <col min="5121" max="5121" width="22.140625" style="26" customWidth="1"/>
    <col min="5122" max="5122" width="17.85546875" style="26" customWidth="1"/>
    <col min="5123" max="5123" width="22.42578125" style="26" customWidth="1"/>
    <col min="5124" max="5124" width="10.140625" style="26" bestFit="1" customWidth="1"/>
    <col min="5125" max="5125" width="13.42578125" style="26" customWidth="1"/>
    <col min="5126" max="5126" width="7.42578125" style="26" bestFit="1" customWidth="1"/>
    <col min="5127" max="5127" width="15.42578125" style="26" bestFit="1" customWidth="1"/>
    <col min="5128" max="5128" width="7.42578125" style="26" bestFit="1" customWidth="1"/>
    <col min="5129" max="5129" width="19.5703125" style="26" bestFit="1" customWidth="1"/>
    <col min="5130" max="5130" width="7.42578125" style="26" bestFit="1" customWidth="1"/>
    <col min="5131" max="5131" width="26.85546875" style="26" bestFit="1" customWidth="1"/>
    <col min="5132" max="5132" width="19.85546875" style="26" bestFit="1" customWidth="1"/>
    <col min="5133" max="5367" width="11.42578125" style="26"/>
    <col min="5368" max="5368" width="2.42578125" style="26" customWidth="1"/>
    <col min="5369" max="5369" width="49" style="26" customWidth="1"/>
    <col min="5370" max="5370" width="16.85546875" style="26" customWidth="1"/>
    <col min="5371" max="5371" width="1.140625" style="26" customWidth="1"/>
    <col min="5372" max="5372" width="20.5703125" style="26" customWidth="1"/>
    <col min="5373" max="5373" width="17.5703125" style="26" customWidth="1"/>
    <col min="5374" max="5374" width="18.140625" style="26" customWidth="1"/>
    <col min="5375" max="5375" width="17.140625" style="26" customWidth="1"/>
    <col min="5376" max="5376" width="22.42578125" style="26" bestFit="1" customWidth="1"/>
    <col min="5377" max="5377" width="22.140625" style="26" customWidth="1"/>
    <col min="5378" max="5378" width="17.85546875" style="26" customWidth="1"/>
    <col min="5379" max="5379" width="22.42578125" style="26" customWidth="1"/>
    <col min="5380" max="5380" width="10.140625" style="26" bestFit="1" customWidth="1"/>
    <col min="5381" max="5381" width="13.42578125" style="26" customWidth="1"/>
    <col min="5382" max="5382" width="7.42578125" style="26" bestFit="1" customWidth="1"/>
    <col min="5383" max="5383" width="15.42578125" style="26" bestFit="1" customWidth="1"/>
    <col min="5384" max="5384" width="7.42578125" style="26" bestFit="1" customWidth="1"/>
    <col min="5385" max="5385" width="19.5703125" style="26" bestFit="1" customWidth="1"/>
    <col min="5386" max="5386" width="7.42578125" style="26" bestFit="1" customWidth="1"/>
    <col min="5387" max="5387" width="26.85546875" style="26" bestFit="1" customWidth="1"/>
    <col min="5388" max="5388" width="19.85546875" style="26" bestFit="1" customWidth="1"/>
    <col min="5389" max="5623" width="11.42578125" style="26"/>
    <col min="5624" max="5624" width="2.42578125" style="26" customWidth="1"/>
    <col min="5625" max="5625" width="49" style="26" customWidth="1"/>
    <col min="5626" max="5626" width="16.85546875" style="26" customWidth="1"/>
    <col min="5627" max="5627" width="1.140625" style="26" customWidth="1"/>
    <col min="5628" max="5628" width="20.5703125" style="26" customWidth="1"/>
    <col min="5629" max="5629" width="17.5703125" style="26" customWidth="1"/>
    <col min="5630" max="5630" width="18.140625" style="26" customWidth="1"/>
    <col min="5631" max="5631" width="17.140625" style="26" customWidth="1"/>
    <col min="5632" max="5632" width="22.42578125" style="26" bestFit="1" customWidth="1"/>
    <col min="5633" max="5633" width="22.140625" style="26" customWidth="1"/>
    <col min="5634" max="5634" width="17.85546875" style="26" customWidth="1"/>
    <col min="5635" max="5635" width="22.42578125" style="26" customWidth="1"/>
    <col min="5636" max="5636" width="10.140625" style="26" bestFit="1" customWidth="1"/>
    <col min="5637" max="5637" width="13.42578125" style="26" customWidth="1"/>
    <col min="5638" max="5638" width="7.42578125" style="26" bestFit="1" customWidth="1"/>
    <col min="5639" max="5639" width="15.42578125" style="26" bestFit="1" customWidth="1"/>
    <col min="5640" max="5640" width="7.42578125" style="26" bestFit="1" customWidth="1"/>
    <col min="5641" max="5641" width="19.5703125" style="26" bestFit="1" customWidth="1"/>
    <col min="5642" max="5642" width="7.42578125" style="26" bestFit="1" customWidth="1"/>
    <col min="5643" max="5643" width="26.85546875" style="26" bestFit="1" customWidth="1"/>
    <col min="5644" max="5644" width="19.85546875" style="26" bestFit="1" customWidth="1"/>
    <col min="5645" max="5879" width="11.42578125" style="26"/>
    <col min="5880" max="5880" width="2.42578125" style="26" customWidth="1"/>
    <col min="5881" max="5881" width="49" style="26" customWidth="1"/>
    <col min="5882" max="5882" width="16.85546875" style="26" customWidth="1"/>
    <col min="5883" max="5883" width="1.140625" style="26" customWidth="1"/>
    <col min="5884" max="5884" width="20.5703125" style="26" customWidth="1"/>
    <col min="5885" max="5885" width="17.5703125" style="26" customWidth="1"/>
    <col min="5886" max="5886" width="18.140625" style="26" customWidth="1"/>
    <col min="5887" max="5887" width="17.140625" style="26" customWidth="1"/>
    <col min="5888" max="5888" width="22.42578125" style="26" bestFit="1" customWidth="1"/>
    <col min="5889" max="5889" width="22.140625" style="26" customWidth="1"/>
    <col min="5890" max="5890" width="17.85546875" style="26" customWidth="1"/>
    <col min="5891" max="5891" width="22.42578125" style="26" customWidth="1"/>
    <col min="5892" max="5892" width="10.140625" style="26" bestFit="1" customWidth="1"/>
    <col min="5893" max="5893" width="13.42578125" style="26" customWidth="1"/>
    <col min="5894" max="5894" width="7.42578125" style="26" bestFit="1" customWidth="1"/>
    <col min="5895" max="5895" width="15.42578125" style="26" bestFit="1" customWidth="1"/>
    <col min="5896" max="5896" width="7.42578125" style="26" bestFit="1" customWidth="1"/>
    <col min="5897" max="5897" width="19.5703125" style="26" bestFit="1" customWidth="1"/>
    <col min="5898" max="5898" width="7.42578125" style="26" bestFit="1" customWidth="1"/>
    <col min="5899" max="5899" width="26.85546875" style="26" bestFit="1" customWidth="1"/>
    <col min="5900" max="5900" width="19.85546875" style="26" bestFit="1" customWidth="1"/>
    <col min="5901" max="6135" width="11.42578125" style="26"/>
    <col min="6136" max="6136" width="2.42578125" style="26" customWidth="1"/>
    <col min="6137" max="6137" width="49" style="26" customWidth="1"/>
    <col min="6138" max="6138" width="16.85546875" style="26" customWidth="1"/>
    <col min="6139" max="6139" width="1.140625" style="26" customWidth="1"/>
    <col min="6140" max="6140" width="20.5703125" style="26" customWidth="1"/>
    <col min="6141" max="6141" width="17.5703125" style="26" customWidth="1"/>
    <col min="6142" max="6142" width="18.140625" style="26" customWidth="1"/>
    <col min="6143" max="6143" width="17.140625" style="26" customWidth="1"/>
    <col min="6144" max="6144" width="22.42578125" style="26" bestFit="1" customWidth="1"/>
    <col min="6145" max="6145" width="22.140625" style="26" customWidth="1"/>
    <col min="6146" max="6146" width="17.85546875" style="26" customWidth="1"/>
    <col min="6147" max="6147" width="22.42578125" style="26" customWidth="1"/>
    <col min="6148" max="6148" width="10.140625" style="26" bestFit="1" customWidth="1"/>
    <col min="6149" max="6149" width="13.42578125" style="26" customWidth="1"/>
    <col min="6150" max="6150" width="7.42578125" style="26" bestFit="1" customWidth="1"/>
    <col min="6151" max="6151" width="15.42578125" style="26" bestFit="1" customWidth="1"/>
    <col min="6152" max="6152" width="7.42578125" style="26" bestFit="1" customWidth="1"/>
    <col min="6153" max="6153" width="19.5703125" style="26" bestFit="1" customWidth="1"/>
    <col min="6154" max="6154" width="7.42578125" style="26" bestFit="1" customWidth="1"/>
    <col min="6155" max="6155" width="26.85546875" style="26" bestFit="1" customWidth="1"/>
    <col min="6156" max="6156" width="19.85546875" style="26" bestFit="1" customWidth="1"/>
    <col min="6157" max="6391" width="11.42578125" style="26"/>
    <col min="6392" max="6392" width="2.42578125" style="26" customWidth="1"/>
    <col min="6393" max="6393" width="49" style="26" customWidth="1"/>
    <col min="6394" max="6394" width="16.85546875" style="26" customWidth="1"/>
    <col min="6395" max="6395" width="1.140625" style="26" customWidth="1"/>
    <col min="6396" max="6396" width="20.5703125" style="26" customWidth="1"/>
    <col min="6397" max="6397" width="17.5703125" style="26" customWidth="1"/>
    <col min="6398" max="6398" width="18.140625" style="26" customWidth="1"/>
    <col min="6399" max="6399" width="17.140625" style="26" customWidth="1"/>
    <col min="6400" max="6400" width="22.42578125" style="26" bestFit="1" customWidth="1"/>
    <col min="6401" max="6401" width="22.140625" style="26" customWidth="1"/>
    <col min="6402" max="6402" width="17.85546875" style="26" customWidth="1"/>
    <col min="6403" max="6403" width="22.42578125" style="26" customWidth="1"/>
    <col min="6404" max="6404" width="10.140625" style="26" bestFit="1" customWidth="1"/>
    <col min="6405" max="6405" width="13.42578125" style="26" customWidth="1"/>
    <col min="6406" max="6406" width="7.42578125" style="26" bestFit="1" customWidth="1"/>
    <col min="6407" max="6407" width="15.42578125" style="26" bestFit="1" customWidth="1"/>
    <col min="6408" max="6408" width="7.42578125" style="26" bestFit="1" customWidth="1"/>
    <col min="6409" max="6409" width="19.5703125" style="26" bestFit="1" customWidth="1"/>
    <col min="6410" max="6410" width="7.42578125" style="26" bestFit="1" customWidth="1"/>
    <col min="6411" max="6411" width="26.85546875" style="26" bestFit="1" customWidth="1"/>
    <col min="6412" max="6412" width="19.85546875" style="26" bestFit="1" customWidth="1"/>
    <col min="6413" max="6647" width="11.42578125" style="26"/>
    <col min="6648" max="6648" width="2.42578125" style="26" customWidth="1"/>
    <col min="6649" max="6649" width="49" style="26" customWidth="1"/>
    <col min="6650" max="6650" width="16.85546875" style="26" customWidth="1"/>
    <col min="6651" max="6651" width="1.140625" style="26" customWidth="1"/>
    <col min="6652" max="6652" width="20.5703125" style="26" customWidth="1"/>
    <col min="6653" max="6653" width="17.5703125" style="26" customWidth="1"/>
    <col min="6654" max="6654" width="18.140625" style="26" customWidth="1"/>
    <col min="6655" max="6655" width="17.140625" style="26" customWidth="1"/>
    <col min="6656" max="6656" width="22.42578125" style="26" bestFit="1" customWidth="1"/>
    <col min="6657" max="6657" width="22.140625" style="26" customWidth="1"/>
    <col min="6658" max="6658" width="17.85546875" style="26" customWidth="1"/>
    <col min="6659" max="6659" width="22.42578125" style="26" customWidth="1"/>
    <col min="6660" max="6660" width="10.140625" style="26" bestFit="1" customWidth="1"/>
    <col min="6661" max="6661" width="13.42578125" style="26" customWidth="1"/>
    <col min="6662" max="6662" width="7.42578125" style="26" bestFit="1" customWidth="1"/>
    <col min="6663" max="6663" width="15.42578125" style="26" bestFit="1" customWidth="1"/>
    <col min="6664" max="6664" width="7.42578125" style="26" bestFit="1" customWidth="1"/>
    <col min="6665" max="6665" width="19.5703125" style="26" bestFit="1" customWidth="1"/>
    <col min="6666" max="6666" width="7.42578125" style="26" bestFit="1" customWidth="1"/>
    <col min="6667" max="6667" width="26.85546875" style="26" bestFit="1" customWidth="1"/>
    <col min="6668" max="6668" width="19.85546875" style="26" bestFit="1" customWidth="1"/>
    <col min="6669" max="6903" width="11.42578125" style="26"/>
    <col min="6904" max="6904" width="2.42578125" style="26" customWidth="1"/>
    <col min="6905" max="6905" width="49" style="26" customWidth="1"/>
    <col min="6906" max="6906" width="16.85546875" style="26" customWidth="1"/>
    <col min="6907" max="6907" width="1.140625" style="26" customWidth="1"/>
    <col min="6908" max="6908" width="20.5703125" style="26" customWidth="1"/>
    <col min="6909" max="6909" width="17.5703125" style="26" customWidth="1"/>
    <col min="6910" max="6910" width="18.140625" style="26" customWidth="1"/>
    <col min="6911" max="6911" width="17.140625" style="26" customWidth="1"/>
    <col min="6912" max="6912" width="22.42578125" style="26" bestFit="1" customWidth="1"/>
    <col min="6913" max="6913" width="22.140625" style="26" customWidth="1"/>
    <col min="6914" max="6914" width="17.85546875" style="26" customWidth="1"/>
    <col min="6915" max="6915" width="22.42578125" style="26" customWidth="1"/>
    <col min="6916" max="6916" width="10.140625" style="26" bestFit="1" customWidth="1"/>
    <col min="6917" max="6917" width="13.42578125" style="26" customWidth="1"/>
    <col min="6918" max="6918" width="7.42578125" style="26" bestFit="1" customWidth="1"/>
    <col min="6919" max="6919" width="15.42578125" style="26" bestFit="1" customWidth="1"/>
    <col min="6920" max="6920" width="7.42578125" style="26" bestFit="1" customWidth="1"/>
    <col min="6921" max="6921" width="19.5703125" style="26" bestFit="1" customWidth="1"/>
    <col min="6922" max="6922" width="7.42578125" style="26" bestFit="1" customWidth="1"/>
    <col min="6923" max="6923" width="26.85546875" style="26" bestFit="1" customWidth="1"/>
    <col min="6924" max="6924" width="19.85546875" style="26" bestFit="1" customWidth="1"/>
    <col min="6925" max="7159" width="11.42578125" style="26"/>
    <col min="7160" max="7160" width="2.42578125" style="26" customWidth="1"/>
    <col min="7161" max="7161" width="49" style="26" customWidth="1"/>
    <col min="7162" max="7162" width="16.85546875" style="26" customWidth="1"/>
    <col min="7163" max="7163" width="1.140625" style="26" customWidth="1"/>
    <col min="7164" max="7164" width="20.5703125" style="26" customWidth="1"/>
    <col min="7165" max="7165" width="17.5703125" style="26" customWidth="1"/>
    <col min="7166" max="7166" width="18.140625" style="26" customWidth="1"/>
    <col min="7167" max="7167" width="17.140625" style="26" customWidth="1"/>
    <col min="7168" max="7168" width="22.42578125" style="26" bestFit="1" customWidth="1"/>
    <col min="7169" max="7169" width="22.140625" style="26" customWidth="1"/>
    <col min="7170" max="7170" width="17.85546875" style="26" customWidth="1"/>
    <col min="7171" max="7171" width="22.42578125" style="26" customWidth="1"/>
    <col min="7172" max="7172" width="10.140625" style="26" bestFit="1" customWidth="1"/>
    <col min="7173" max="7173" width="13.42578125" style="26" customWidth="1"/>
    <col min="7174" max="7174" width="7.42578125" style="26" bestFit="1" customWidth="1"/>
    <col min="7175" max="7175" width="15.42578125" style="26" bestFit="1" customWidth="1"/>
    <col min="7176" max="7176" width="7.42578125" style="26" bestFit="1" customWidth="1"/>
    <col min="7177" max="7177" width="19.5703125" style="26" bestFit="1" customWidth="1"/>
    <col min="7178" max="7178" width="7.42578125" style="26" bestFit="1" customWidth="1"/>
    <col min="7179" max="7179" width="26.85546875" style="26" bestFit="1" customWidth="1"/>
    <col min="7180" max="7180" width="19.85546875" style="26" bestFit="1" customWidth="1"/>
    <col min="7181" max="7415" width="11.42578125" style="26"/>
    <col min="7416" max="7416" width="2.42578125" style="26" customWidth="1"/>
    <col min="7417" max="7417" width="49" style="26" customWidth="1"/>
    <col min="7418" max="7418" width="16.85546875" style="26" customWidth="1"/>
    <col min="7419" max="7419" width="1.140625" style="26" customWidth="1"/>
    <col min="7420" max="7420" width="20.5703125" style="26" customWidth="1"/>
    <col min="7421" max="7421" width="17.5703125" style="26" customWidth="1"/>
    <col min="7422" max="7422" width="18.140625" style="26" customWidth="1"/>
    <col min="7423" max="7423" width="17.140625" style="26" customWidth="1"/>
    <col min="7424" max="7424" width="22.42578125" style="26" bestFit="1" customWidth="1"/>
    <col min="7425" max="7425" width="22.140625" style="26" customWidth="1"/>
    <col min="7426" max="7426" width="17.85546875" style="26" customWidth="1"/>
    <col min="7427" max="7427" width="22.42578125" style="26" customWidth="1"/>
    <col min="7428" max="7428" width="10.140625" style="26" bestFit="1" customWidth="1"/>
    <col min="7429" max="7429" width="13.42578125" style="26" customWidth="1"/>
    <col min="7430" max="7430" width="7.42578125" style="26" bestFit="1" customWidth="1"/>
    <col min="7431" max="7431" width="15.42578125" style="26" bestFit="1" customWidth="1"/>
    <col min="7432" max="7432" width="7.42578125" style="26" bestFit="1" customWidth="1"/>
    <col min="7433" max="7433" width="19.5703125" style="26" bestFit="1" customWidth="1"/>
    <col min="7434" max="7434" width="7.42578125" style="26" bestFit="1" customWidth="1"/>
    <col min="7435" max="7435" width="26.85546875" style="26" bestFit="1" customWidth="1"/>
    <col min="7436" max="7436" width="19.85546875" style="26" bestFit="1" customWidth="1"/>
    <col min="7437" max="7671" width="11.42578125" style="26"/>
    <col min="7672" max="7672" width="2.42578125" style="26" customWidth="1"/>
    <col min="7673" max="7673" width="49" style="26" customWidth="1"/>
    <col min="7674" max="7674" width="16.85546875" style="26" customWidth="1"/>
    <col min="7675" max="7675" width="1.140625" style="26" customWidth="1"/>
    <col min="7676" max="7676" width="20.5703125" style="26" customWidth="1"/>
    <col min="7677" max="7677" width="17.5703125" style="26" customWidth="1"/>
    <col min="7678" max="7678" width="18.140625" style="26" customWidth="1"/>
    <col min="7679" max="7679" width="17.140625" style="26" customWidth="1"/>
    <col min="7680" max="7680" width="22.42578125" style="26" bestFit="1" customWidth="1"/>
    <col min="7681" max="7681" width="22.140625" style="26" customWidth="1"/>
    <col min="7682" max="7682" width="17.85546875" style="26" customWidth="1"/>
    <col min="7683" max="7683" width="22.42578125" style="26" customWidth="1"/>
    <col min="7684" max="7684" width="10.140625" style="26" bestFit="1" customWidth="1"/>
    <col min="7685" max="7685" width="13.42578125" style="26" customWidth="1"/>
    <col min="7686" max="7686" width="7.42578125" style="26" bestFit="1" customWidth="1"/>
    <col min="7687" max="7687" width="15.42578125" style="26" bestFit="1" customWidth="1"/>
    <col min="7688" max="7688" width="7.42578125" style="26" bestFit="1" customWidth="1"/>
    <col min="7689" max="7689" width="19.5703125" style="26" bestFit="1" customWidth="1"/>
    <col min="7690" max="7690" width="7.42578125" style="26" bestFit="1" customWidth="1"/>
    <col min="7691" max="7691" width="26.85546875" style="26" bestFit="1" customWidth="1"/>
    <col min="7692" max="7692" width="19.85546875" style="26" bestFit="1" customWidth="1"/>
    <col min="7693" max="7927" width="11.42578125" style="26"/>
    <col min="7928" max="7928" width="2.42578125" style="26" customWidth="1"/>
    <col min="7929" max="7929" width="49" style="26" customWidth="1"/>
    <col min="7930" max="7930" width="16.85546875" style="26" customWidth="1"/>
    <col min="7931" max="7931" width="1.140625" style="26" customWidth="1"/>
    <col min="7932" max="7932" width="20.5703125" style="26" customWidth="1"/>
    <col min="7933" max="7933" width="17.5703125" style="26" customWidth="1"/>
    <col min="7934" max="7934" width="18.140625" style="26" customWidth="1"/>
    <col min="7935" max="7935" width="17.140625" style="26" customWidth="1"/>
    <col min="7936" max="7936" width="22.42578125" style="26" bestFit="1" customWidth="1"/>
    <col min="7937" max="7937" width="22.140625" style="26" customWidth="1"/>
    <col min="7938" max="7938" width="17.85546875" style="26" customWidth="1"/>
    <col min="7939" max="7939" width="22.42578125" style="26" customWidth="1"/>
    <col min="7940" max="7940" width="10.140625" style="26" bestFit="1" customWidth="1"/>
    <col min="7941" max="7941" width="13.42578125" style="26" customWidth="1"/>
    <col min="7942" max="7942" width="7.42578125" style="26" bestFit="1" customWidth="1"/>
    <col min="7943" max="7943" width="15.42578125" style="26" bestFit="1" customWidth="1"/>
    <col min="7944" max="7944" width="7.42578125" style="26" bestFit="1" customWidth="1"/>
    <col min="7945" max="7945" width="19.5703125" style="26" bestFit="1" customWidth="1"/>
    <col min="7946" max="7946" width="7.42578125" style="26" bestFit="1" customWidth="1"/>
    <col min="7947" max="7947" width="26.85546875" style="26" bestFit="1" customWidth="1"/>
    <col min="7948" max="7948" width="19.85546875" style="26" bestFit="1" customWidth="1"/>
    <col min="7949" max="8183" width="11.42578125" style="26"/>
    <col min="8184" max="8184" width="2.42578125" style="26" customWidth="1"/>
    <col min="8185" max="8185" width="49" style="26" customWidth="1"/>
    <col min="8186" max="8186" width="16.85546875" style="26" customWidth="1"/>
    <col min="8187" max="8187" width="1.140625" style="26" customWidth="1"/>
    <col min="8188" max="8188" width="20.5703125" style="26" customWidth="1"/>
    <col min="8189" max="8189" width="17.5703125" style="26" customWidth="1"/>
    <col min="8190" max="8190" width="18.140625" style="26" customWidth="1"/>
    <col min="8191" max="8191" width="17.140625" style="26" customWidth="1"/>
    <col min="8192" max="8192" width="22.42578125" style="26" bestFit="1" customWidth="1"/>
    <col min="8193" max="8193" width="22.140625" style="26" customWidth="1"/>
    <col min="8194" max="8194" width="17.85546875" style="26" customWidth="1"/>
    <col min="8195" max="8195" width="22.42578125" style="26" customWidth="1"/>
    <col min="8196" max="8196" width="10.140625" style="26" bestFit="1" customWidth="1"/>
    <col min="8197" max="8197" width="13.42578125" style="26" customWidth="1"/>
    <col min="8198" max="8198" width="7.42578125" style="26" bestFit="1" customWidth="1"/>
    <col min="8199" max="8199" width="15.42578125" style="26" bestFit="1" customWidth="1"/>
    <col min="8200" max="8200" width="7.42578125" style="26" bestFit="1" customWidth="1"/>
    <col min="8201" max="8201" width="19.5703125" style="26" bestFit="1" customWidth="1"/>
    <col min="8202" max="8202" width="7.42578125" style="26" bestFit="1" customWidth="1"/>
    <col min="8203" max="8203" width="26.85546875" style="26" bestFit="1" customWidth="1"/>
    <col min="8204" max="8204" width="19.85546875" style="26" bestFit="1" customWidth="1"/>
    <col min="8205" max="8439" width="11.42578125" style="26"/>
    <col min="8440" max="8440" width="2.42578125" style="26" customWidth="1"/>
    <col min="8441" max="8441" width="49" style="26" customWidth="1"/>
    <col min="8442" max="8442" width="16.85546875" style="26" customWidth="1"/>
    <col min="8443" max="8443" width="1.140625" style="26" customWidth="1"/>
    <col min="8444" max="8444" width="20.5703125" style="26" customWidth="1"/>
    <col min="8445" max="8445" width="17.5703125" style="26" customWidth="1"/>
    <col min="8446" max="8446" width="18.140625" style="26" customWidth="1"/>
    <col min="8447" max="8447" width="17.140625" style="26" customWidth="1"/>
    <col min="8448" max="8448" width="22.42578125" style="26" bestFit="1" customWidth="1"/>
    <col min="8449" max="8449" width="22.140625" style="26" customWidth="1"/>
    <col min="8450" max="8450" width="17.85546875" style="26" customWidth="1"/>
    <col min="8451" max="8451" width="22.42578125" style="26" customWidth="1"/>
    <col min="8452" max="8452" width="10.140625" style="26" bestFit="1" customWidth="1"/>
    <col min="8453" max="8453" width="13.42578125" style="26" customWidth="1"/>
    <col min="8454" max="8454" width="7.42578125" style="26" bestFit="1" customWidth="1"/>
    <col min="8455" max="8455" width="15.42578125" style="26" bestFit="1" customWidth="1"/>
    <col min="8456" max="8456" width="7.42578125" style="26" bestFit="1" customWidth="1"/>
    <col min="8457" max="8457" width="19.5703125" style="26" bestFit="1" customWidth="1"/>
    <col min="8458" max="8458" width="7.42578125" style="26" bestFit="1" customWidth="1"/>
    <col min="8459" max="8459" width="26.85546875" style="26" bestFit="1" customWidth="1"/>
    <col min="8460" max="8460" width="19.85546875" style="26" bestFit="1" customWidth="1"/>
    <col min="8461" max="8695" width="11.42578125" style="26"/>
    <col min="8696" max="8696" width="2.42578125" style="26" customWidth="1"/>
    <col min="8697" max="8697" width="49" style="26" customWidth="1"/>
    <col min="8698" max="8698" width="16.85546875" style="26" customWidth="1"/>
    <col min="8699" max="8699" width="1.140625" style="26" customWidth="1"/>
    <col min="8700" max="8700" width="20.5703125" style="26" customWidth="1"/>
    <col min="8701" max="8701" width="17.5703125" style="26" customWidth="1"/>
    <col min="8702" max="8702" width="18.140625" style="26" customWidth="1"/>
    <col min="8703" max="8703" width="17.140625" style="26" customWidth="1"/>
    <col min="8704" max="8704" width="22.42578125" style="26" bestFit="1" customWidth="1"/>
    <col min="8705" max="8705" width="22.140625" style="26" customWidth="1"/>
    <col min="8706" max="8706" width="17.85546875" style="26" customWidth="1"/>
    <col min="8707" max="8707" width="22.42578125" style="26" customWidth="1"/>
    <col min="8708" max="8708" width="10.140625" style="26" bestFit="1" customWidth="1"/>
    <col min="8709" max="8709" width="13.42578125" style="26" customWidth="1"/>
    <col min="8710" max="8710" width="7.42578125" style="26" bestFit="1" customWidth="1"/>
    <col min="8711" max="8711" width="15.42578125" style="26" bestFit="1" customWidth="1"/>
    <col min="8712" max="8712" width="7.42578125" style="26" bestFit="1" customWidth="1"/>
    <col min="8713" max="8713" width="19.5703125" style="26" bestFit="1" customWidth="1"/>
    <col min="8714" max="8714" width="7.42578125" style="26" bestFit="1" customWidth="1"/>
    <col min="8715" max="8715" width="26.85546875" style="26" bestFit="1" customWidth="1"/>
    <col min="8716" max="8716" width="19.85546875" style="26" bestFit="1" customWidth="1"/>
    <col min="8717" max="8951" width="11.42578125" style="26"/>
    <col min="8952" max="8952" width="2.42578125" style="26" customWidth="1"/>
    <col min="8953" max="8953" width="49" style="26" customWidth="1"/>
    <col min="8954" max="8954" width="16.85546875" style="26" customWidth="1"/>
    <col min="8955" max="8955" width="1.140625" style="26" customWidth="1"/>
    <col min="8956" max="8956" width="20.5703125" style="26" customWidth="1"/>
    <col min="8957" max="8957" width="17.5703125" style="26" customWidth="1"/>
    <col min="8958" max="8958" width="18.140625" style="26" customWidth="1"/>
    <col min="8959" max="8959" width="17.140625" style="26" customWidth="1"/>
    <col min="8960" max="8960" width="22.42578125" style="26" bestFit="1" customWidth="1"/>
    <col min="8961" max="8961" width="22.140625" style="26" customWidth="1"/>
    <col min="8962" max="8962" width="17.85546875" style="26" customWidth="1"/>
    <col min="8963" max="8963" width="22.42578125" style="26" customWidth="1"/>
    <col min="8964" max="8964" width="10.140625" style="26" bestFit="1" customWidth="1"/>
    <col min="8965" max="8965" width="13.42578125" style="26" customWidth="1"/>
    <col min="8966" max="8966" width="7.42578125" style="26" bestFit="1" customWidth="1"/>
    <col min="8967" max="8967" width="15.42578125" style="26" bestFit="1" customWidth="1"/>
    <col min="8968" max="8968" width="7.42578125" style="26" bestFit="1" customWidth="1"/>
    <col min="8969" max="8969" width="19.5703125" style="26" bestFit="1" customWidth="1"/>
    <col min="8970" max="8970" width="7.42578125" style="26" bestFit="1" customWidth="1"/>
    <col min="8971" max="8971" width="26.85546875" style="26" bestFit="1" customWidth="1"/>
    <col min="8972" max="8972" width="19.85546875" style="26" bestFit="1" customWidth="1"/>
    <col min="8973" max="9207" width="11.42578125" style="26"/>
    <col min="9208" max="9208" width="2.42578125" style="26" customWidth="1"/>
    <col min="9209" max="9209" width="49" style="26" customWidth="1"/>
    <col min="9210" max="9210" width="16.85546875" style="26" customWidth="1"/>
    <col min="9211" max="9211" width="1.140625" style="26" customWidth="1"/>
    <col min="9212" max="9212" width="20.5703125" style="26" customWidth="1"/>
    <col min="9213" max="9213" width="17.5703125" style="26" customWidth="1"/>
    <col min="9214" max="9214" width="18.140625" style="26" customWidth="1"/>
    <col min="9215" max="9215" width="17.140625" style="26" customWidth="1"/>
    <col min="9216" max="9216" width="22.42578125" style="26" bestFit="1" customWidth="1"/>
    <col min="9217" max="9217" width="22.140625" style="26" customWidth="1"/>
    <col min="9218" max="9218" width="17.85546875" style="26" customWidth="1"/>
    <col min="9219" max="9219" width="22.42578125" style="26" customWidth="1"/>
    <col min="9220" max="9220" width="10.140625" style="26" bestFit="1" customWidth="1"/>
    <col min="9221" max="9221" width="13.42578125" style="26" customWidth="1"/>
    <col min="9222" max="9222" width="7.42578125" style="26" bestFit="1" customWidth="1"/>
    <col min="9223" max="9223" width="15.42578125" style="26" bestFit="1" customWidth="1"/>
    <col min="9224" max="9224" width="7.42578125" style="26" bestFit="1" customWidth="1"/>
    <col min="9225" max="9225" width="19.5703125" style="26" bestFit="1" customWidth="1"/>
    <col min="9226" max="9226" width="7.42578125" style="26" bestFit="1" customWidth="1"/>
    <col min="9227" max="9227" width="26.85546875" style="26" bestFit="1" customWidth="1"/>
    <col min="9228" max="9228" width="19.85546875" style="26" bestFit="1" customWidth="1"/>
    <col min="9229" max="9463" width="11.42578125" style="26"/>
    <col min="9464" max="9464" width="2.42578125" style="26" customWidth="1"/>
    <col min="9465" max="9465" width="49" style="26" customWidth="1"/>
    <col min="9466" max="9466" width="16.85546875" style="26" customWidth="1"/>
    <col min="9467" max="9467" width="1.140625" style="26" customWidth="1"/>
    <col min="9468" max="9468" width="20.5703125" style="26" customWidth="1"/>
    <col min="9469" max="9469" width="17.5703125" style="26" customWidth="1"/>
    <col min="9470" max="9470" width="18.140625" style="26" customWidth="1"/>
    <col min="9471" max="9471" width="17.140625" style="26" customWidth="1"/>
    <col min="9472" max="9472" width="22.42578125" style="26" bestFit="1" customWidth="1"/>
    <col min="9473" max="9473" width="22.140625" style="26" customWidth="1"/>
    <col min="9474" max="9474" width="17.85546875" style="26" customWidth="1"/>
    <col min="9475" max="9475" width="22.42578125" style="26" customWidth="1"/>
    <col min="9476" max="9476" width="10.140625" style="26" bestFit="1" customWidth="1"/>
    <col min="9477" max="9477" width="13.42578125" style="26" customWidth="1"/>
    <col min="9478" max="9478" width="7.42578125" style="26" bestFit="1" customWidth="1"/>
    <col min="9479" max="9479" width="15.42578125" style="26" bestFit="1" customWidth="1"/>
    <col min="9480" max="9480" width="7.42578125" style="26" bestFit="1" customWidth="1"/>
    <col min="9481" max="9481" width="19.5703125" style="26" bestFit="1" customWidth="1"/>
    <col min="9482" max="9482" width="7.42578125" style="26" bestFit="1" customWidth="1"/>
    <col min="9483" max="9483" width="26.85546875" style="26" bestFit="1" customWidth="1"/>
    <col min="9484" max="9484" width="19.85546875" style="26" bestFit="1" customWidth="1"/>
    <col min="9485" max="9719" width="11.42578125" style="26"/>
    <col min="9720" max="9720" width="2.42578125" style="26" customWidth="1"/>
    <col min="9721" max="9721" width="49" style="26" customWidth="1"/>
    <col min="9722" max="9722" width="16.85546875" style="26" customWidth="1"/>
    <col min="9723" max="9723" width="1.140625" style="26" customWidth="1"/>
    <col min="9724" max="9724" width="20.5703125" style="26" customWidth="1"/>
    <col min="9725" max="9725" width="17.5703125" style="26" customWidth="1"/>
    <col min="9726" max="9726" width="18.140625" style="26" customWidth="1"/>
    <col min="9727" max="9727" width="17.140625" style="26" customWidth="1"/>
    <col min="9728" max="9728" width="22.42578125" style="26" bestFit="1" customWidth="1"/>
    <col min="9729" max="9729" width="22.140625" style="26" customWidth="1"/>
    <col min="9730" max="9730" width="17.85546875" style="26" customWidth="1"/>
    <col min="9731" max="9731" width="22.42578125" style="26" customWidth="1"/>
    <col min="9732" max="9732" width="10.140625" style="26" bestFit="1" customWidth="1"/>
    <col min="9733" max="9733" width="13.42578125" style="26" customWidth="1"/>
    <col min="9734" max="9734" width="7.42578125" style="26" bestFit="1" customWidth="1"/>
    <col min="9735" max="9735" width="15.42578125" style="26" bestFit="1" customWidth="1"/>
    <col min="9736" max="9736" width="7.42578125" style="26" bestFit="1" customWidth="1"/>
    <col min="9737" max="9737" width="19.5703125" style="26" bestFit="1" customWidth="1"/>
    <col min="9738" max="9738" width="7.42578125" style="26" bestFit="1" customWidth="1"/>
    <col min="9739" max="9739" width="26.85546875" style="26" bestFit="1" customWidth="1"/>
    <col min="9740" max="9740" width="19.85546875" style="26" bestFit="1" customWidth="1"/>
    <col min="9741" max="9975" width="11.42578125" style="26"/>
    <col min="9976" max="9976" width="2.42578125" style="26" customWidth="1"/>
    <col min="9977" max="9977" width="49" style="26" customWidth="1"/>
    <col min="9978" max="9978" width="16.85546875" style="26" customWidth="1"/>
    <col min="9979" max="9979" width="1.140625" style="26" customWidth="1"/>
    <col min="9980" max="9980" width="20.5703125" style="26" customWidth="1"/>
    <col min="9981" max="9981" width="17.5703125" style="26" customWidth="1"/>
    <col min="9982" max="9982" width="18.140625" style="26" customWidth="1"/>
    <col min="9983" max="9983" width="17.140625" style="26" customWidth="1"/>
    <col min="9984" max="9984" width="22.42578125" style="26" bestFit="1" customWidth="1"/>
    <col min="9985" max="9985" width="22.140625" style="26" customWidth="1"/>
    <col min="9986" max="9986" width="17.85546875" style="26" customWidth="1"/>
    <col min="9987" max="9987" width="22.42578125" style="26" customWidth="1"/>
    <col min="9988" max="9988" width="10.140625" style="26" bestFit="1" customWidth="1"/>
    <col min="9989" max="9989" width="13.42578125" style="26" customWidth="1"/>
    <col min="9990" max="9990" width="7.42578125" style="26" bestFit="1" customWidth="1"/>
    <col min="9991" max="9991" width="15.42578125" style="26" bestFit="1" customWidth="1"/>
    <col min="9992" max="9992" width="7.42578125" style="26" bestFit="1" customWidth="1"/>
    <col min="9993" max="9993" width="19.5703125" style="26" bestFit="1" customWidth="1"/>
    <col min="9994" max="9994" width="7.42578125" style="26" bestFit="1" customWidth="1"/>
    <col min="9995" max="9995" width="26.85546875" style="26" bestFit="1" customWidth="1"/>
    <col min="9996" max="9996" width="19.85546875" style="26" bestFit="1" customWidth="1"/>
    <col min="9997" max="10231" width="11.42578125" style="26"/>
    <col min="10232" max="10232" width="2.42578125" style="26" customWidth="1"/>
    <col min="10233" max="10233" width="49" style="26" customWidth="1"/>
    <col min="10234" max="10234" width="16.85546875" style="26" customWidth="1"/>
    <col min="10235" max="10235" width="1.140625" style="26" customWidth="1"/>
    <col min="10236" max="10236" width="20.5703125" style="26" customWidth="1"/>
    <col min="10237" max="10237" width="17.5703125" style="26" customWidth="1"/>
    <col min="10238" max="10238" width="18.140625" style="26" customWidth="1"/>
    <col min="10239" max="10239" width="17.140625" style="26" customWidth="1"/>
    <col min="10240" max="10240" width="22.42578125" style="26" bestFit="1" customWidth="1"/>
    <col min="10241" max="10241" width="22.140625" style="26" customWidth="1"/>
    <col min="10242" max="10242" width="17.85546875" style="26" customWidth="1"/>
    <col min="10243" max="10243" width="22.42578125" style="26" customWidth="1"/>
    <col min="10244" max="10244" width="10.140625" style="26" bestFit="1" customWidth="1"/>
    <col min="10245" max="10245" width="13.42578125" style="26" customWidth="1"/>
    <col min="10246" max="10246" width="7.42578125" style="26" bestFit="1" customWidth="1"/>
    <col min="10247" max="10247" width="15.42578125" style="26" bestFit="1" customWidth="1"/>
    <col min="10248" max="10248" width="7.42578125" style="26" bestFit="1" customWidth="1"/>
    <col min="10249" max="10249" width="19.5703125" style="26" bestFit="1" customWidth="1"/>
    <col min="10250" max="10250" width="7.42578125" style="26" bestFit="1" customWidth="1"/>
    <col min="10251" max="10251" width="26.85546875" style="26" bestFit="1" customWidth="1"/>
    <col min="10252" max="10252" width="19.85546875" style="26" bestFit="1" customWidth="1"/>
    <col min="10253" max="10487" width="11.42578125" style="26"/>
    <col min="10488" max="10488" width="2.42578125" style="26" customWidth="1"/>
    <col min="10489" max="10489" width="49" style="26" customWidth="1"/>
    <col min="10490" max="10490" width="16.85546875" style="26" customWidth="1"/>
    <col min="10491" max="10491" width="1.140625" style="26" customWidth="1"/>
    <col min="10492" max="10492" width="20.5703125" style="26" customWidth="1"/>
    <col min="10493" max="10493" width="17.5703125" style="26" customWidth="1"/>
    <col min="10494" max="10494" width="18.140625" style="26" customWidth="1"/>
    <col min="10495" max="10495" width="17.140625" style="26" customWidth="1"/>
    <col min="10496" max="10496" width="22.42578125" style="26" bestFit="1" customWidth="1"/>
    <col min="10497" max="10497" width="22.140625" style="26" customWidth="1"/>
    <col min="10498" max="10498" width="17.85546875" style="26" customWidth="1"/>
    <col min="10499" max="10499" width="22.42578125" style="26" customWidth="1"/>
    <col min="10500" max="10500" width="10.140625" style="26" bestFit="1" customWidth="1"/>
    <col min="10501" max="10501" width="13.42578125" style="26" customWidth="1"/>
    <col min="10502" max="10502" width="7.42578125" style="26" bestFit="1" customWidth="1"/>
    <col min="10503" max="10503" width="15.42578125" style="26" bestFit="1" customWidth="1"/>
    <col min="10504" max="10504" width="7.42578125" style="26" bestFit="1" customWidth="1"/>
    <col min="10505" max="10505" width="19.5703125" style="26" bestFit="1" customWidth="1"/>
    <col min="10506" max="10506" width="7.42578125" style="26" bestFit="1" customWidth="1"/>
    <col min="10507" max="10507" width="26.85546875" style="26" bestFit="1" customWidth="1"/>
    <col min="10508" max="10508" width="19.85546875" style="26" bestFit="1" customWidth="1"/>
    <col min="10509" max="10743" width="11.42578125" style="26"/>
    <col min="10744" max="10744" width="2.42578125" style="26" customWidth="1"/>
    <col min="10745" max="10745" width="49" style="26" customWidth="1"/>
    <col min="10746" max="10746" width="16.85546875" style="26" customWidth="1"/>
    <col min="10747" max="10747" width="1.140625" style="26" customWidth="1"/>
    <col min="10748" max="10748" width="20.5703125" style="26" customWidth="1"/>
    <col min="10749" max="10749" width="17.5703125" style="26" customWidth="1"/>
    <col min="10750" max="10750" width="18.140625" style="26" customWidth="1"/>
    <col min="10751" max="10751" width="17.140625" style="26" customWidth="1"/>
    <col min="10752" max="10752" width="22.42578125" style="26" bestFit="1" customWidth="1"/>
    <col min="10753" max="10753" width="22.140625" style="26" customWidth="1"/>
    <col min="10754" max="10754" width="17.85546875" style="26" customWidth="1"/>
    <col min="10755" max="10755" width="22.42578125" style="26" customWidth="1"/>
    <col min="10756" max="10756" width="10.140625" style="26" bestFit="1" customWidth="1"/>
    <col min="10757" max="10757" width="13.42578125" style="26" customWidth="1"/>
    <col min="10758" max="10758" width="7.42578125" style="26" bestFit="1" customWidth="1"/>
    <col min="10759" max="10759" width="15.42578125" style="26" bestFit="1" customWidth="1"/>
    <col min="10760" max="10760" width="7.42578125" style="26" bestFit="1" customWidth="1"/>
    <col min="10761" max="10761" width="19.5703125" style="26" bestFit="1" customWidth="1"/>
    <col min="10762" max="10762" width="7.42578125" style="26" bestFit="1" customWidth="1"/>
    <col min="10763" max="10763" width="26.85546875" style="26" bestFit="1" customWidth="1"/>
    <col min="10764" max="10764" width="19.85546875" style="26" bestFit="1" customWidth="1"/>
    <col min="10765" max="10999" width="11.42578125" style="26"/>
    <col min="11000" max="11000" width="2.42578125" style="26" customWidth="1"/>
    <col min="11001" max="11001" width="49" style="26" customWidth="1"/>
    <col min="11002" max="11002" width="16.85546875" style="26" customWidth="1"/>
    <col min="11003" max="11003" width="1.140625" style="26" customWidth="1"/>
    <col min="11004" max="11004" width="20.5703125" style="26" customWidth="1"/>
    <col min="11005" max="11005" width="17.5703125" style="26" customWidth="1"/>
    <col min="11006" max="11006" width="18.140625" style="26" customWidth="1"/>
    <col min="11007" max="11007" width="17.140625" style="26" customWidth="1"/>
    <col min="11008" max="11008" width="22.42578125" style="26" bestFit="1" customWidth="1"/>
    <col min="11009" max="11009" width="22.140625" style="26" customWidth="1"/>
    <col min="11010" max="11010" width="17.85546875" style="26" customWidth="1"/>
    <col min="11011" max="11011" width="22.42578125" style="26" customWidth="1"/>
    <col min="11012" max="11012" width="10.140625" style="26" bestFit="1" customWidth="1"/>
    <col min="11013" max="11013" width="13.42578125" style="26" customWidth="1"/>
    <col min="11014" max="11014" width="7.42578125" style="26" bestFit="1" customWidth="1"/>
    <col min="11015" max="11015" width="15.42578125" style="26" bestFit="1" customWidth="1"/>
    <col min="11016" max="11016" width="7.42578125" style="26" bestFit="1" customWidth="1"/>
    <col min="11017" max="11017" width="19.5703125" style="26" bestFit="1" customWidth="1"/>
    <col min="11018" max="11018" width="7.42578125" style="26" bestFit="1" customWidth="1"/>
    <col min="11019" max="11019" width="26.85546875" style="26" bestFit="1" customWidth="1"/>
    <col min="11020" max="11020" width="19.85546875" style="26" bestFit="1" customWidth="1"/>
    <col min="11021" max="11255" width="11.42578125" style="26"/>
    <col min="11256" max="11256" width="2.42578125" style="26" customWidth="1"/>
    <col min="11257" max="11257" width="49" style="26" customWidth="1"/>
    <col min="11258" max="11258" width="16.85546875" style="26" customWidth="1"/>
    <col min="11259" max="11259" width="1.140625" style="26" customWidth="1"/>
    <col min="11260" max="11260" width="20.5703125" style="26" customWidth="1"/>
    <col min="11261" max="11261" width="17.5703125" style="26" customWidth="1"/>
    <col min="11262" max="11262" width="18.140625" style="26" customWidth="1"/>
    <col min="11263" max="11263" width="17.140625" style="26" customWidth="1"/>
    <col min="11264" max="11264" width="22.42578125" style="26" bestFit="1" customWidth="1"/>
    <col min="11265" max="11265" width="22.140625" style="26" customWidth="1"/>
    <col min="11266" max="11266" width="17.85546875" style="26" customWidth="1"/>
    <col min="11267" max="11267" width="22.42578125" style="26" customWidth="1"/>
    <col min="11268" max="11268" width="10.140625" style="26" bestFit="1" customWidth="1"/>
    <col min="11269" max="11269" width="13.42578125" style="26" customWidth="1"/>
    <col min="11270" max="11270" width="7.42578125" style="26" bestFit="1" customWidth="1"/>
    <col min="11271" max="11271" width="15.42578125" style="26" bestFit="1" customWidth="1"/>
    <col min="11272" max="11272" width="7.42578125" style="26" bestFit="1" customWidth="1"/>
    <col min="11273" max="11273" width="19.5703125" style="26" bestFit="1" customWidth="1"/>
    <col min="11274" max="11274" width="7.42578125" style="26" bestFit="1" customWidth="1"/>
    <col min="11275" max="11275" width="26.85546875" style="26" bestFit="1" customWidth="1"/>
    <col min="11276" max="11276" width="19.85546875" style="26" bestFit="1" customWidth="1"/>
    <col min="11277" max="11511" width="11.42578125" style="26"/>
    <col min="11512" max="11512" width="2.42578125" style="26" customWidth="1"/>
    <col min="11513" max="11513" width="49" style="26" customWidth="1"/>
    <col min="11514" max="11514" width="16.85546875" style="26" customWidth="1"/>
    <col min="11515" max="11515" width="1.140625" style="26" customWidth="1"/>
    <col min="11516" max="11516" width="20.5703125" style="26" customWidth="1"/>
    <col min="11517" max="11517" width="17.5703125" style="26" customWidth="1"/>
    <col min="11518" max="11518" width="18.140625" style="26" customWidth="1"/>
    <col min="11519" max="11519" width="17.140625" style="26" customWidth="1"/>
    <col min="11520" max="11520" width="22.42578125" style="26" bestFit="1" customWidth="1"/>
    <col min="11521" max="11521" width="22.140625" style="26" customWidth="1"/>
    <col min="11522" max="11522" width="17.85546875" style="26" customWidth="1"/>
    <col min="11523" max="11523" width="22.42578125" style="26" customWidth="1"/>
    <col min="11524" max="11524" width="10.140625" style="26" bestFit="1" customWidth="1"/>
    <col min="11525" max="11525" width="13.42578125" style="26" customWidth="1"/>
    <col min="11526" max="11526" width="7.42578125" style="26" bestFit="1" customWidth="1"/>
    <col min="11527" max="11527" width="15.42578125" style="26" bestFit="1" customWidth="1"/>
    <col min="11528" max="11528" width="7.42578125" style="26" bestFit="1" customWidth="1"/>
    <col min="11529" max="11529" width="19.5703125" style="26" bestFit="1" customWidth="1"/>
    <col min="11530" max="11530" width="7.42578125" style="26" bestFit="1" customWidth="1"/>
    <col min="11531" max="11531" width="26.85546875" style="26" bestFit="1" customWidth="1"/>
    <col min="11532" max="11532" width="19.85546875" style="26" bestFit="1" customWidth="1"/>
    <col min="11533" max="11767" width="11.42578125" style="26"/>
    <col min="11768" max="11768" width="2.42578125" style="26" customWidth="1"/>
    <col min="11769" max="11769" width="49" style="26" customWidth="1"/>
    <col min="11770" max="11770" width="16.85546875" style="26" customWidth="1"/>
    <col min="11771" max="11771" width="1.140625" style="26" customWidth="1"/>
    <col min="11772" max="11772" width="20.5703125" style="26" customWidth="1"/>
    <col min="11773" max="11773" width="17.5703125" style="26" customWidth="1"/>
    <col min="11774" max="11774" width="18.140625" style="26" customWidth="1"/>
    <col min="11775" max="11775" width="17.140625" style="26" customWidth="1"/>
    <col min="11776" max="11776" width="22.42578125" style="26" bestFit="1" customWidth="1"/>
    <col min="11777" max="11777" width="22.140625" style="26" customWidth="1"/>
    <col min="11778" max="11778" width="17.85546875" style="26" customWidth="1"/>
    <col min="11779" max="11779" width="22.42578125" style="26" customWidth="1"/>
    <col min="11780" max="11780" width="10.140625" style="26" bestFit="1" customWidth="1"/>
    <col min="11781" max="11781" width="13.42578125" style="26" customWidth="1"/>
    <col min="11782" max="11782" width="7.42578125" style="26" bestFit="1" customWidth="1"/>
    <col min="11783" max="11783" width="15.42578125" style="26" bestFit="1" customWidth="1"/>
    <col min="11784" max="11784" width="7.42578125" style="26" bestFit="1" customWidth="1"/>
    <col min="11785" max="11785" width="19.5703125" style="26" bestFit="1" customWidth="1"/>
    <col min="11786" max="11786" width="7.42578125" style="26" bestFit="1" customWidth="1"/>
    <col min="11787" max="11787" width="26.85546875" style="26" bestFit="1" customWidth="1"/>
    <col min="11788" max="11788" width="19.85546875" style="26" bestFit="1" customWidth="1"/>
    <col min="11789" max="12023" width="11.42578125" style="26"/>
    <col min="12024" max="12024" width="2.42578125" style="26" customWidth="1"/>
    <col min="12025" max="12025" width="49" style="26" customWidth="1"/>
    <col min="12026" max="12026" width="16.85546875" style="26" customWidth="1"/>
    <col min="12027" max="12027" width="1.140625" style="26" customWidth="1"/>
    <col min="12028" max="12028" width="20.5703125" style="26" customWidth="1"/>
    <col min="12029" max="12029" width="17.5703125" style="26" customWidth="1"/>
    <col min="12030" max="12030" width="18.140625" style="26" customWidth="1"/>
    <col min="12031" max="12031" width="17.140625" style="26" customWidth="1"/>
    <col min="12032" max="12032" width="22.42578125" style="26" bestFit="1" customWidth="1"/>
    <col min="12033" max="12033" width="22.140625" style="26" customWidth="1"/>
    <col min="12034" max="12034" width="17.85546875" style="26" customWidth="1"/>
    <col min="12035" max="12035" width="22.42578125" style="26" customWidth="1"/>
    <col min="12036" max="12036" width="10.140625" style="26" bestFit="1" customWidth="1"/>
    <col min="12037" max="12037" width="13.42578125" style="26" customWidth="1"/>
    <col min="12038" max="12038" width="7.42578125" style="26" bestFit="1" customWidth="1"/>
    <col min="12039" max="12039" width="15.42578125" style="26" bestFit="1" customWidth="1"/>
    <col min="12040" max="12040" width="7.42578125" style="26" bestFit="1" customWidth="1"/>
    <col min="12041" max="12041" width="19.5703125" style="26" bestFit="1" customWidth="1"/>
    <col min="12042" max="12042" width="7.42578125" style="26" bestFit="1" customWidth="1"/>
    <col min="12043" max="12043" width="26.85546875" style="26" bestFit="1" customWidth="1"/>
    <col min="12044" max="12044" width="19.85546875" style="26" bestFit="1" customWidth="1"/>
    <col min="12045" max="12279" width="11.42578125" style="26"/>
    <col min="12280" max="12280" width="2.42578125" style="26" customWidth="1"/>
    <col min="12281" max="12281" width="49" style="26" customWidth="1"/>
    <col min="12282" max="12282" width="16.85546875" style="26" customWidth="1"/>
    <col min="12283" max="12283" width="1.140625" style="26" customWidth="1"/>
    <col min="12284" max="12284" width="20.5703125" style="26" customWidth="1"/>
    <col min="12285" max="12285" width="17.5703125" style="26" customWidth="1"/>
    <col min="12286" max="12286" width="18.140625" style="26" customWidth="1"/>
    <col min="12287" max="12287" width="17.140625" style="26" customWidth="1"/>
    <col min="12288" max="12288" width="22.42578125" style="26" bestFit="1" customWidth="1"/>
    <col min="12289" max="12289" width="22.140625" style="26" customWidth="1"/>
    <col min="12290" max="12290" width="17.85546875" style="26" customWidth="1"/>
    <col min="12291" max="12291" width="22.42578125" style="26" customWidth="1"/>
    <col min="12292" max="12292" width="10.140625" style="26" bestFit="1" customWidth="1"/>
    <col min="12293" max="12293" width="13.42578125" style="26" customWidth="1"/>
    <col min="12294" max="12294" width="7.42578125" style="26" bestFit="1" customWidth="1"/>
    <col min="12295" max="12295" width="15.42578125" style="26" bestFit="1" customWidth="1"/>
    <col min="12296" max="12296" width="7.42578125" style="26" bestFit="1" customWidth="1"/>
    <col min="12297" max="12297" width="19.5703125" style="26" bestFit="1" customWidth="1"/>
    <col min="12298" max="12298" width="7.42578125" style="26" bestFit="1" customWidth="1"/>
    <col min="12299" max="12299" width="26.85546875" style="26" bestFit="1" customWidth="1"/>
    <col min="12300" max="12300" width="19.85546875" style="26" bestFit="1" customWidth="1"/>
    <col min="12301" max="12535" width="11.42578125" style="26"/>
    <col min="12536" max="12536" width="2.42578125" style="26" customWidth="1"/>
    <col min="12537" max="12537" width="49" style="26" customWidth="1"/>
    <col min="12538" max="12538" width="16.85546875" style="26" customWidth="1"/>
    <col min="12539" max="12539" width="1.140625" style="26" customWidth="1"/>
    <col min="12540" max="12540" width="20.5703125" style="26" customWidth="1"/>
    <col min="12541" max="12541" width="17.5703125" style="26" customWidth="1"/>
    <col min="12542" max="12542" width="18.140625" style="26" customWidth="1"/>
    <col min="12543" max="12543" width="17.140625" style="26" customWidth="1"/>
    <col min="12544" max="12544" width="22.42578125" style="26" bestFit="1" customWidth="1"/>
    <col min="12545" max="12545" width="22.140625" style="26" customWidth="1"/>
    <col min="12546" max="12546" width="17.85546875" style="26" customWidth="1"/>
    <col min="12547" max="12547" width="22.42578125" style="26" customWidth="1"/>
    <col min="12548" max="12548" width="10.140625" style="26" bestFit="1" customWidth="1"/>
    <col min="12549" max="12549" width="13.42578125" style="26" customWidth="1"/>
    <col min="12550" max="12550" width="7.42578125" style="26" bestFit="1" customWidth="1"/>
    <col min="12551" max="12551" width="15.42578125" style="26" bestFit="1" customWidth="1"/>
    <col min="12552" max="12552" width="7.42578125" style="26" bestFit="1" customWidth="1"/>
    <col min="12553" max="12553" width="19.5703125" style="26" bestFit="1" customWidth="1"/>
    <col min="12554" max="12554" width="7.42578125" style="26" bestFit="1" customWidth="1"/>
    <col min="12555" max="12555" width="26.85546875" style="26" bestFit="1" customWidth="1"/>
    <col min="12556" max="12556" width="19.85546875" style="26" bestFit="1" customWidth="1"/>
    <col min="12557" max="12791" width="11.42578125" style="26"/>
    <col min="12792" max="12792" width="2.42578125" style="26" customWidth="1"/>
    <col min="12793" max="12793" width="49" style="26" customWidth="1"/>
    <col min="12794" max="12794" width="16.85546875" style="26" customWidth="1"/>
    <col min="12795" max="12795" width="1.140625" style="26" customWidth="1"/>
    <col min="12796" max="12796" width="20.5703125" style="26" customWidth="1"/>
    <col min="12797" max="12797" width="17.5703125" style="26" customWidth="1"/>
    <col min="12798" max="12798" width="18.140625" style="26" customWidth="1"/>
    <col min="12799" max="12799" width="17.140625" style="26" customWidth="1"/>
    <col min="12800" max="12800" width="22.42578125" style="26" bestFit="1" customWidth="1"/>
    <col min="12801" max="12801" width="22.140625" style="26" customWidth="1"/>
    <col min="12802" max="12802" width="17.85546875" style="26" customWidth="1"/>
    <col min="12803" max="12803" width="22.42578125" style="26" customWidth="1"/>
    <col min="12804" max="12804" width="10.140625" style="26" bestFit="1" customWidth="1"/>
    <col min="12805" max="12805" width="13.42578125" style="26" customWidth="1"/>
    <col min="12806" max="12806" width="7.42578125" style="26" bestFit="1" customWidth="1"/>
    <col min="12807" max="12807" width="15.42578125" style="26" bestFit="1" customWidth="1"/>
    <col min="12808" max="12808" width="7.42578125" style="26" bestFit="1" customWidth="1"/>
    <col min="12809" max="12809" width="19.5703125" style="26" bestFit="1" customWidth="1"/>
    <col min="12810" max="12810" width="7.42578125" style="26" bestFit="1" customWidth="1"/>
    <col min="12811" max="12811" width="26.85546875" style="26" bestFit="1" customWidth="1"/>
    <col min="12812" max="12812" width="19.85546875" style="26" bestFit="1" customWidth="1"/>
    <col min="12813" max="13047" width="11.42578125" style="26"/>
    <col min="13048" max="13048" width="2.42578125" style="26" customWidth="1"/>
    <col min="13049" max="13049" width="49" style="26" customWidth="1"/>
    <col min="13050" max="13050" width="16.85546875" style="26" customWidth="1"/>
    <col min="13051" max="13051" width="1.140625" style="26" customWidth="1"/>
    <col min="13052" max="13052" width="20.5703125" style="26" customWidth="1"/>
    <col min="13053" max="13053" width="17.5703125" style="26" customWidth="1"/>
    <col min="13054" max="13054" width="18.140625" style="26" customWidth="1"/>
    <col min="13055" max="13055" width="17.140625" style="26" customWidth="1"/>
    <col min="13056" max="13056" width="22.42578125" style="26" bestFit="1" customWidth="1"/>
    <col min="13057" max="13057" width="22.140625" style="26" customWidth="1"/>
    <col min="13058" max="13058" width="17.85546875" style="26" customWidth="1"/>
    <col min="13059" max="13059" width="22.42578125" style="26" customWidth="1"/>
    <col min="13060" max="13060" width="10.140625" style="26" bestFit="1" customWidth="1"/>
    <col min="13061" max="13061" width="13.42578125" style="26" customWidth="1"/>
    <col min="13062" max="13062" width="7.42578125" style="26" bestFit="1" customWidth="1"/>
    <col min="13063" max="13063" width="15.42578125" style="26" bestFit="1" customWidth="1"/>
    <col min="13064" max="13064" width="7.42578125" style="26" bestFit="1" customWidth="1"/>
    <col min="13065" max="13065" width="19.5703125" style="26" bestFit="1" customWidth="1"/>
    <col min="13066" max="13066" width="7.42578125" style="26" bestFit="1" customWidth="1"/>
    <col min="13067" max="13067" width="26.85546875" style="26" bestFit="1" customWidth="1"/>
    <col min="13068" max="13068" width="19.85546875" style="26" bestFit="1" customWidth="1"/>
    <col min="13069" max="13303" width="11.42578125" style="26"/>
    <col min="13304" max="13304" width="2.42578125" style="26" customWidth="1"/>
    <col min="13305" max="13305" width="49" style="26" customWidth="1"/>
    <col min="13306" max="13306" width="16.85546875" style="26" customWidth="1"/>
    <col min="13307" max="13307" width="1.140625" style="26" customWidth="1"/>
    <col min="13308" max="13308" width="20.5703125" style="26" customWidth="1"/>
    <col min="13309" max="13309" width="17.5703125" style="26" customWidth="1"/>
    <col min="13310" max="13310" width="18.140625" style="26" customWidth="1"/>
    <col min="13311" max="13311" width="17.140625" style="26" customWidth="1"/>
    <col min="13312" max="13312" width="22.42578125" style="26" bestFit="1" customWidth="1"/>
    <col min="13313" max="13313" width="22.140625" style="26" customWidth="1"/>
    <col min="13314" max="13314" width="17.85546875" style="26" customWidth="1"/>
    <col min="13315" max="13315" width="22.42578125" style="26" customWidth="1"/>
    <col min="13316" max="13316" width="10.140625" style="26" bestFit="1" customWidth="1"/>
    <col min="13317" max="13317" width="13.42578125" style="26" customWidth="1"/>
    <col min="13318" max="13318" width="7.42578125" style="26" bestFit="1" customWidth="1"/>
    <col min="13319" max="13319" width="15.42578125" style="26" bestFit="1" customWidth="1"/>
    <col min="13320" max="13320" width="7.42578125" style="26" bestFit="1" customWidth="1"/>
    <col min="13321" max="13321" width="19.5703125" style="26" bestFit="1" customWidth="1"/>
    <col min="13322" max="13322" width="7.42578125" style="26" bestFit="1" customWidth="1"/>
    <col min="13323" max="13323" width="26.85546875" style="26" bestFit="1" customWidth="1"/>
    <col min="13324" max="13324" width="19.85546875" style="26" bestFit="1" customWidth="1"/>
    <col min="13325" max="13559" width="11.42578125" style="26"/>
    <col min="13560" max="13560" width="2.42578125" style="26" customWidth="1"/>
    <col min="13561" max="13561" width="49" style="26" customWidth="1"/>
    <col min="13562" max="13562" width="16.85546875" style="26" customWidth="1"/>
    <col min="13563" max="13563" width="1.140625" style="26" customWidth="1"/>
    <col min="13564" max="13564" width="20.5703125" style="26" customWidth="1"/>
    <col min="13565" max="13565" width="17.5703125" style="26" customWidth="1"/>
    <col min="13566" max="13566" width="18.140625" style="26" customWidth="1"/>
    <col min="13567" max="13567" width="17.140625" style="26" customWidth="1"/>
    <col min="13568" max="13568" width="22.42578125" style="26" bestFit="1" customWidth="1"/>
    <col min="13569" max="13569" width="22.140625" style="26" customWidth="1"/>
    <col min="13570" max="13570" width="17.85546875" style="26" customWidth="1"/>
    <col min="13571" max="13571" width="22.42578125" style="26" customWidth="1"/>
    <col min="13572" max="13572" width="10.140625" style="26" bestFit="1" customWidth="1"/>
    <col min="13573" max="13573" width="13.42578125" style="26" customWidth="1"/>
    <col min="13574" max="13574" width="7.42578125" style="26" bestFit="1" customWidth="1"/>
    <col min="13575" max="13575" width="15.42578125" style="26" bestFit="1" customWidth="1"/>
    <col min="13576" max="13576" width="7.42578125" style="26" bestFit="1" customWidth="1"/>
    <col min="13577" max="13577" width="19.5703125" style="26" bestFit="1" customWidth="1"/>
    <col min="13578" max="13578" width="7.42578125" style="26" bestFit="1" customWidth="1"/>
    <col min="13579" max="13579" width="26.85546875" style="26" bestFit="1" customWidth="1"/>
    <col min="13580" max="13580" width="19.85546875" style="26" bestFit="1" customWidth="1"/>
    <col min="13581" max="13815" width="11.42578125" style="26"/>
    <col min="13816" max="13816" width="2.42578125" style="26" customWidth="1"/>
    <col min="13817" max="13817" width="49" style="26" customWidth="1"/>
    <col min="13818" max="13818" width="16.85546875" style="26" customWidth="1"/>
    <col min="13819" max="13819" width="1.140625" style="26" customWidth="1"/>
    <col min="13820" max="13820" width="20.5703125" style="26" customWidth="1"/>
    <col min="13821" max="13821" width="17.5703125" style="26" customWidth="1"/>
    <col min="13822" max="13822" width="18.140625" style="26" customWidth="1"/>
    <col min="13823" max="13823" width="17.140625" style="26" customWidth="1"/>
    <col min="13824" max="13824" width="22.42578125" style="26" bestFit="1" customWidth="1"/>
    <col min="13825" max="13825" width="22.140625" style="26" customWidth="1"/>
    <col min="13826" max="13826" width="17.85546875" style="26" customWidth="1"/>
    <col min="13827" max="13827" width="22.42578125" style="26" customWidth="1"/>
    <col min="13828" max="13828" width="10.140625" style="26" bestFit="1" customWidth="1"/>
    <col min="13829" max="13829" width="13.42578125" style="26" customWidth="1"/>
    <col min="13830" max="13830" width="7.42578125" style="26" bestFit="1" customWidth="1"/>
    <col min="13831" max="13831" width="15.42578125" style="26" bestFit="1" customWidth="1"/>
    <col min="13832" max="13832" width="7.42578125" style="26" bestFit="1" customWidth="1"/>
    <col min="13833" max="13833" width="19.5703125" style="26" bestFit="1" customWidth="1"/>
    <col min="13834" max="13834" width="7.42578125" style="26" bestFit="1" customWidth="1"/>
    <col min="13835" max="13835" width="26.85546875" style="26" bestFit="1" customWidth="1"/>
    <col min="13836" max="13836" width="19.85546875" style="26" bestFit="1" customWidth="1"/>
    <col min="13837" max="14071" width="11.42578125" style="26"/>
    <col min="14072" max="14072" width="2.42578125" style="26" customWidth="1"/>
    <col min="14073" max="14073" width="49" style="26" customWidth="1"/>
    <col min="14074" max="14074" width="16.85546875" style="26" customWidth="1"/>
    <col min="14075" max="14075" width="1.140625" style="26" customWidth="1"/>
    <col min="14076" max="14076" width="20.5703125" style="26" customWidth="1"/>
    <col min="14077" max="14077" width="17.5703125" style="26" customWidth="1"/>
    <col min="14078" max="14078" width="18.140625" style="26" customWidth="1"/>
    <col min="14079" max="14079" width="17.140625" style="26" customWidth="1"/>
    <col min="14080" max="14080" width="22.42578125" style="26" bestFit="1" customWidth="1"/>
    <col min="14081" max="14081" width="22.140625" style="26" customWidth="1"/>
    <col min="14082" max="14082" width="17.85546875" style="26" customWidth="1"/>
    <col min="14083" max="14083" width="22.42578125" style="26" customWidth="1"/>
    <col min="14084" max="14084" width="10.140625" style="26" bestFit="1" customWidth="1"/>
    <col min="14085" max="14085" width="13.42578125" style="26" customWidth="1"/>
    <col min="14086" max="14086" width="7.42578125" style="26" bestFit="1" customWidth="1"/>
    <col min="14087" max="14087" width="15.42578125" style="26" bestFit="1" customWidth="1"/>
    <col min="14088" max="14088" width="7.42578125" style="26" bestFit="1" customWidth="1"/>
    <col min="14089" max="14089" width="19.5703125" style="26" bestFit="1" customWidth="1"/>
    <col min="14090" max="14090" width="7.42578125" style="26" bestFit="1" customWidth="1"/>
    <col min="14091" max="14091" width="26.85546875" style="26" bestFit="1" customWidth="1"/>
    <col min="14092" max="14092" width="19.85546875" style="26" bestFit="1" customWidth="1"/>
    <col min="14093" max="14327" width="11.42578125" style="26"/>
    <col min="14328" max="14328" width="2.42578125" style="26" customWidth="1"/>
    <col min="14329" max="14329" width="49" style="26" customWidth="1"/>
    <col min="14330" max="14330" width="16.85546875" style="26" customWidth="1"/>
    <col min="14331" max="14331" width="1.140625" style="26" customWidth="1"/>
    <col min="14332" max="14332" width="20.5703125" style="26" customWidth="1"/>
    <col min="14333" max="14333" width="17.5703125" style="26" customWidth="1"/>
    <col min="14334" max="14334" width="18.140625" style="26" customWidth="1"/>
    <col min="14335" max="14335" width="17.140625" style="26" customWidth="1"/>
    <col min="14336" max="14336" width="22.42578125" style="26" bestFit="1" customWidth="1"/>
    <col min="14337" max="14337" width="22.140625" style="26" customWidth="1"/>
    <col min="14338" max="14338" width="17.85546875" style="26" customWidth="1"/>
    <col min="14339" max="14339" width="22.42578125" style="26" customWidth="1"/>
    <col min="14340" max="14340" width="10.140625" style="26" bestFit="1" customWidth="1"/>
    <col min="14341" max="14341" width="13.42578125" style="26" customWidth="1"/>
    <col min="14342" max="14342" width="7.42578125" style="26" bestFit="1" customWidth="1"/>
    <col min="14343" max="14343" width="15.42578125" style="26" bestFit="1" customWidth="1"/>
    <col min="14344" max="14344" width="7.42578125" style="26" bestFit="1" customWidth="1"/>
    <col min="14345" max="14345" width="19.5703125" style="26" bestFit="1" customWidth="1"/>
    <col min="14346" max="14346" width="7.42578125" style="26" bestFit="1" customWidth="1"/>
    <col min="14347" max="14347" width="26.85546875" style="26" bestFit="1" customWidth="1"/>
    <col min="14348" max="14348" width="19.85546875" style="26" bestFit="1" customWidth="1"/>
    <col min="14349" max="14583" width="11.42578125" style="26"/>
    <col min="14584" max="14584" width="2.42578125" style="26" customWidth="1"/>
    <col min="14585" max="14585" width="49" style="26" customWidth="1"/>
    <col min="14586" max="14586" width="16.85546875" style="26" customWidth="1"/>
    <col min="14587" max="14587" width="1.140625" style="26" customWidth="1"/>
    <col min="14588" max="14588" width="20.5703125" style="26" customWidth="1"/>
    <col min="14589" max="14589" width="17.5703125" style="26" customWidth="1"/>
    <col min="14590" max="14590" width="18.140625" style="26" customWidth="1"/>
    <col min="14591" max="14591" width="17.140625" style="26" customWidth="1"/>
    <col min="14592" max="14592" width="22.42578125" style="26" bestFit="1" customWidth="1"/>
    <col min="14593" max="14593" width="22.140625" style="26" customWidth="1"/>
    <col min="14594" max="14594" width="17.85546875" style="26" customWidth="1"/>
    <col min="14595" max="14595" width="22.42578125" style="26" customWidth="1"/>
    <col min="14596" max="14596" width="10.140625" style="26" bestFit="1" customWidth="1"/>
    <col min="14597" max="14597" width="13.42578125" style="26" customWidth="1"/>
    <col min="14598" max="14598" width="7.42578125" style="26" bestFit="1" customWidth="1"/>
    <col min="14599" max="14599" width="15.42578125" style="26" bestFit="1" customWidth="1"/>
    <col min="14600" max="14600" width="7.42578125" style="26" bestFit="1" customWidth="1"/>
    <col min="14601" max="14601" width="19.5703125" style="26" bestFit="1" customWidth="1"/>
    <col min="14602" max="14602" width="7.42578125" style="26" bestFit="1" customWidth="1"/>
    <col min="14603" max="14603" width="26.85546875" style="26" bestFit="1" customWidth="1"/>
    <col min="14604" max="14604" width="19.85546875" style="26" bestFit="1" customWidth="1"/>
    <col min="14605" max="14839" width="11.42578125" style="26"/>
    <col min="14840" max="14840" width="2.42578125" style="26" customWidth="1"/>
    <col min="14841" max="14841" width="49" style="26" customWidth="1"/>
    <col min="14842" max="14842" width="16.85546875" style="26" customWidth="1"/>
    <col min="14843" max="14843" width="1.140625" style="26" customWidth="1"/>
    <col min="14844" max="14844" width="20.5703125" style="26" customWidth="1"/>
    <col min="14845" max="14845" width="17.5703125" style="26" customWidth="1"/>
    <col min="14846" max="14846" width="18.140625" style="26" customWidth="1"/>
    <col min="14847" max="14847" width="17.140625" style="26" customWidth="1"/>
    <col min="14848" max="14848" width="22.42578125" style="26" bestFit="1" customWidth="1"/>
    <col min="14849" max="14849" width="22.140625" style="26" customWidth="1"/>
    <col min="14850" max="14850" width="17.85546875" style="26" customWidth="1"/>
    <col min="14851" max="14851" width="22.42578125" style="26" customWidth="1"/>
    <col min="14852" max="14852" width="10.140625" style="26" bestFit="1" customWidth="1"/>
    <col min="14853" max="14853" width="13.42578125" style="26" customWidth="1"/>
    <col min="14854" max="14854" width="7.42578125" style="26" bestFit="1" customWidth="1"/>
    <col min="14855" max="14855" width="15.42578125" style="26" bestFit="1" customWidth="1"/>
    <col min="14856" max="14856" width="7.42578125" style="26" bestFit="1" customWidth="1"/>
    <col min="14857" max="14857" width="19.5703125" style="26" bestFit="1" customWidth="1"/>
    <col min="14858" max="14858" width="7.42578125" style="26" bestFit="1" customWidth="1"/>
    <col min="14859" max="14859" width="26.85546875" style="26" bestFit="1" customWidth="1"/>
    <col min="14860" max="14860" width="19.85546875" style="26" bestFit="1" customWidth="1"/>
    <col min="14861" max="15095" width="11.42578125" style="26"/>
    <col min="15096" max="15096" width="2.42578125" style="26" customWidth="1"/>
    <col min="15097" max="15097" width="49" style="26" customWidth="1"/>
    <col min="15098" max="15098" width="16.85546875" style="26" customWidth="1"/>
    <col min="15099" max="15099" width="1.140625" style="26" customWidth="1"/>
    <col min="15100" max="15100" width="20.5703125" style="26" customWidth="1"/>
    <col min="15101" max="15101" width="17.5703125" style="26" customWidth="1"/>
    <col min="15102" max="15102" width="18.140625" style="26" customWidth="1"/>
    <col min="15103" max="15103" width="17.140625" style="26" customWidth="1"/>
    <col min="15104" max="15104" width="22.42578125" style="26" bestFit="1" customWidth="1"/>
    <col min="15105" max="15105" width="22.140625" style="26" customWidth="1"/>
    <col min="15106" max="15106" width="17.85546875" style="26" customWidth="1"/>
    <col min="15107" max="15107" width="22.42578125" style="26" customWidth="1"/>
    <col min="15108" max="15108" width="10.140625" style="26" bestFit="1" customWidth="1"/>
    <col min="15109" max="15109" width="13.42578125" style="26" customWidth="1"/>
    <col min="15110" max="15110" width="7.42578125" style="26" bestFit="1" customWidth="1"/>
    <col min="15111" max="15111" width="15.42578125" style="26" bestFit="1" customWidth="1"/>
    <col min="15112" max="15112" width="7.42578125" style="26" bestFit="1" customWidth="1"/>
    <col min="15113" max="15113" width="19.5703125" style="26" bestFit="1" customWidth="1"/>
    <col min="15114" max="15114" width="7.42578125" style="26" bestFit="1" customWidth="1"/>
    <col min="15115" max="15115" width="26.85546875" style="26" bestFit="1" customWidth="1"/>
    <col min="15116" max="15116" width="19.85546875" style="26" bestFit="1" customWidth="1"/>
    <col min="15117" max="15351" width="11.42578125" style="26"/>
    <col min="15352" max="15352" width="2.42578125" style="26" customWidth="1"/>
    <col min="15353" max="15353" width="49" style="26" customWidth="1"/>
    <col min="15354" max="15354" width="16.85546875" style="26" customWidth="1"/>
    <col min="15355" max="15355" width="1.140625" style="26" customWidth="1"/>
    <col min="15356" max="15356" width="20.5703125" style="26" customWidth="1"/>
    <col min="15357" max="15357" width="17.5703125" style="26" customWidth="1"/>
    <col min="15358" max="15358" width="18.140625" style="26" customWidth="1"/>
    <col min="15359" max="15359" width="17.140625" style="26" customWidth="1"/>
    <col min="15360" max="15360" width="22.42578125" style="26" bestFit="1" customWidth="1"/>
    <col min="15361" max="15361" width="22.140625" style="26" customWidth="1"/>
    <col min="15362" max="15362" width="17.85546875" style="26" customWidth="1"/>
    <col min="15363" max="15363" width="22.42578125" style="26" customWidth="1"/>
    <col min="15364" max="15364" width="10.140625" style="26" bestFit="1" customWidth="1"/>
    <col min="15365" max="15365" width="13.42578125" style="26" customWidth="1"/>
    <col min="15366" max="15366" width="7.42578125" style="26" bestFit="1" customWidth="1"/>
    <col min="15367" max="15367" width="15.42578125" style="26" bestFit="1" customWidth="1"/>
    <col min="15368" max="15368" width="7.42578125" style="26" bestFit="1" customWidth="1"/>
    <col min="15369" max="15369" width="19.5703125" style="26" bestFit="1" customWidth="1"/>
    <col min="15370" max="15370" width="7.42578125" style="26" bestFit="1" customWidth="1"/>
    <col min="15371" max="15371" width="26.85546875" style="26" bestFit="1" customWidth="1"/>
    <col min="15372" max="15372" width="19.85546875" style="26" bestFit="1" customWidth="1"/>
    <col min="15373" max="15607" width="11.42578125" style="26"/>
    <col min="15608" max="15608" width="2.42578125" style="26" customWidth="1"/>
    <col min="15609" max="15609" width="49" style="26" customWidth="1"/>
    <col min="15610" max="15610" width="16.85546875" style="26" customWidth="1"/>
    <col min="15611" max="15611" width="1.140625" style="26" customWidth="1"/>
    <col min="15612" max="15612" width="20.5703125" style="26" customWidth="1"/>
    <col min="15613" max="15613" width="17.5703125" style="26" customWidth="1"/>
    <col min="15614" max="15614" width="18.140625" style="26" customWidth="1"/>
    <col min="15615" max="15615" width="17.140625" style="26" customWidth="1"/>
    <col min="15616" max="15616" width="22.42578125" style="26" bestFit="1" customWidth="1"/>
    <col min="15617" max="15617" width="22.140625" style="26" customWidth="1"/>
    <col min="15618" max="15618" width="17.85546875" style="26" customWidth="1"/>
    <col min="15619" max="15619" width="22.42578125" style="26" customWidth="1"/>
    <col min="15620" max="15620" width="10.140625" style="26" bestFit="1" customWidth="1"/>
    <col min="15621" max="15621" width="13.42578125" style="26" customWidth="1"/>
    <col min="15622" max="15622" width="7.42578125" style="26" bestFit="1" customWidth="1"/>
    <col min="15623" max="15623" width="15.42578125" style="26" bestFit="1" customWidth="1"/>
    <col min="15624" max="15624" width="7.42578125" style="26" bestFit="1" customWidth="1"/>
    <col min="15625" max="15625" width="19.5703125" style="26" bestFit="1" customWidth="1"/>
    <col min="15626" max="15626" width="7.42578125" style="26" bestFit="1" customWidth="1"/>
    <col min="15627" max="15627" width="26.85546875" style="26" bestFit="1" customWidth="1"/>
    <col min="15628" max="15628" width="19.85546875" style="26" bestFit="1" customWidth="1"/>
    <col min="15629" max="15863" width="11.42578125" style="26"/>
    <col min="15864" max="15864" width="2.42578125" style="26" customWidth="1"/>
    <col min="15865" max="15865" width="49" style="26" customWidth="1"/>
    <col min="15866" max="15866" width="16.85546875" style="26" customWidth="1"/>
    <col min="15867" max="15867" width="1.140625" style="26" customWidth="1"/>
    <col min="15868" max="15868" width="20.5703125" style="26" customWidth="1"/>
    <col min="15869" max="15869" width="17.5703125" style="26" customWidth="1"/>
    <col min="15870" max="15870" width="18.140625" style="26" customWidth="1"/>
    <col min="15871" max="15871" width="17.140625" style="26" customWidth="1"/>
    <col min="15872" max="15872" width="22.42578125" style="26" bestFit="1" customWidth="1"/>
    <col min="15873" max="15873" width="22.140625" style="26" customWidth="1"/>
    <col min="15874" max="15874" width="17.85546875" style="26" customWidth="1"/>
    <col min="15875" max="15875" width="22.42578125" style="26" customWidth="1"/>
    <col min="15876" max="15876" width="10.140625" style="26" bestFit="1" customWidth="1"/>
    <col min="15877" max="15877" width="13.42578125" style="26" customWidth="1"/>
    <col min="15878" max="15878" width="7.42578125" style="26" bestFit="1" customWidth="1"/>
    <col min="15879" max="15879" width="15.42578125" style="26" bestFit="1" customWidth="1"/>
    <col min="15880" max="15880" width="7.42578125" style="26" bestFit="1" customWidth="1"/>
    <col min="15881" max="15881" width="19.5703125" style="26" bestFit="1" customWidth="1"/>
    <col min="15882" max="15882" width="7.42578125" style="26" bestFit="1" customWidth="1"/>
    <col min="15883" max="15883" width="26.85546875" style="26" bestFit="1" customWidth="1"/>
    <col min="15884" max="15884" width="19.85546875" style="26" bestFit="1" customWidth="1"/>
    <col min="15885" max="16119" width="11.42578125" style="26"/>
    <col min="16120" max="16120" width="2.42578125" style="26" customWidth="1"/>
    <col min="16121" max="16121" width="49" style="26" customWidth="1"/>
    <col min="16122" max="16122" width="16.85546875" style="26" customWidth="1"/>
    <col min="16123" max="16123" width="1.140625" style="26" customWidth="1"/>
    <col min="16124" max="16124" width="20.5703125" style="26" customWidth="1"/>
    <col min="16125" max="16125" width="17.5703125" style="26" customWidth="1"/>
    <col min="16126" max="16126" width="18.140625" style="26" customWidth="1"/>
    <col min="16127" max="16127" width="17.140625" style="26" customWidth="1"/>
    <col min="16128" max="16128" width="22.42578125" style="26" bestFit="1" customWidth="1"/>
    <col min="16129" max="16129" width="22.140625" style="26" customWidth="1"/>
    <col min="16130" max="16130" width="17.85546875" style="26" customWidth="1"/>
    <col min="16131" max="16131" width="22.42578125" style="26" customWidth="1"/>
    <col min="16132" max="16132" width="10.140625" style="26" bestFit="1" customWidth="1"/>
    <col min="16133" max="16133" width="13.42578125" style="26" customWidth="1"/>
    <col min="16134" max="16134" width="7.42578125" style="26" bestFit="1" customWidth="1"/>
    <col min="16135" max="16135" width="15.42578125" style="26" bestFit="1" customWidth="1"/>
    <col min="16136" max="16136" width="7.42578125" style="26" bestFit="1" customWidth="1"/>
    <col min="16137" max="16137" width="19.5703125" style="26" bestFit="1" customWidth="1"/>
    <col min="16138" max="16138" width="7.42578125" style="26" bestFit="1" customWidth="1"/>
    <col min="16139" max="16139" width="26.85546875" style="26" bestFit="1" customWidth="1"/>
    <col min="16140" max="16140" width="19.85546875" style="26" bestFit="1" customWidth="1"/>
    <col min="16141" max="16384" width="11.42578125" style="26"/>
  </cols>
  <sheetData>
    <row r="3" spans="3:14" s="27" customFormat="1" ht="13.5" customHeight="1">
      <c r="C3" s="148"/>
      <c r="D3" s="148"/>
      <c r="E3" s="148"/>
      <c r="F3" s="148"/>
      <c r="N3" s="180" t="s">
        <v>20</v>
      </c>
    </row>
    <row r="4" spans="3:14" s="27" customFormat="1" ht="15">
      <c r="D4" s="333"/>
      <c r="F4" s="144"/>
      <c r="N4" s="180" t="s">
        <v>18</v>
      </c>
    </row>
    <row r="5" spans="3:14" s="27" customFormat="1" ht="15">
      <c r="D5" s="333"/>
      <c r="F5" s="144"/>
    </row>
    <row r="6" spans="3:14" s="27" customFormat="1" ht="15">
      <c r="D6" s="333"/>
      <c r="F6" s="144"/>
    </row>
    <row r="7" spans="3:14" s="27" customFormat="1" ht="13.5" customHeight="1">
      <c r="F7" s="148"/>
    </row>
    <row r="8" spans="3:14" ht="15.75">
      <c r="C8" s="1192" t="s">
        <v>745</v>
      </c>
      <c r="D8" s="1193"/>
      <c r="E8" s="1193"/>
      <c r="F8" s="1193"/>
      <c r="G8" s="335"/>
      <c r="H8" s="31"/>
    </row>
    <row r="9" spans="3:14" ht="9.75" customHeight="1">
      <c r="E9" s="27"/>
      <c r="G9" s="31"/>
      <c r="L9" s="35"/>
    </row>
    <row r="10" spans="3:14" s="38" customFormat="1">
      <c r="C10" s="1353" t="s">
        <v>746</v>
      </c>
      <c r="D10" s="1354"/>
      <c r="E10" s="27"/>
      <c r="F10" s="625"/>
    </row>
    <row r="11" spans="3:14" s="38" customFormat="1">
      <c r="E11" s="27"/>
      <c r="F11" s="39"/>
    </row>
    <row r="12" spans="3:14" ht="31.5" customHeight="1">
      <c r="C12" s="1355" t="s">
        <v>747</v>
      </c>
      <c r="D12" s="1356"/>
      <c r="E12" s="27"/>
      <c r="F12" s="178" t="s">
        <v>18</v>
      </c>
      <c r="G12" s="43"/>
      <c r="H12" s="41"/>
    </row>
    <row r="13" spans="3:14" ht="7.5" customHeight="1"/>
    <row r="14" spans="3:14" ht="31.5" customHeight="1">
      <c r="C14" s="1355" t="s">
        <v>748</v>
      </c>
      <c r="D14" s="1356"/>
      <c r="E14" s="27"/>
      <c r="F14" s="178" t="s">
        <v>18</v>
      </c>
      <c r="G14" s="43"/>
      <c r="H14" s="41"/>
    </row>
    <row r="15" spans="3:14" ht="7.5" customHeight="1"/>
    <row r="16" spans="3:14" ht="25.5" customHeight="1">
      <c r="C16" s="1355" t="s">
        <v>749</v>
      </c>
      <c r="D16" s="1356"/>
      <c r="E16" s="27"/>
      <c r="F16" s="178" t="s">
        <v>18</v>
      </c>
      <c r="G16" s="43"/>
      <c r="H16" s="41"/>
    </row>
    <row r="17" spans="3:13" ht="7.5" customHeight="1"/>
    <row r="18" spans="3:13" ht="25.5" customHeight="1">
      <c r="C18" s="1355" t="s">
        <v>750</v>
      </c>
      <c r="D18" s="1356"/>
      <c r="E18" s="27"/>
      <c r="F18" s="178" t="s">
        <v>18</v>
      </c>
      <c r="G18" s="43"/>
      <c r="H18" s="41"/>
    </row>
    <row r="19" spans="3:13" ht="7.5" customHeight="1"/>
    <row r="20" spans="3:13" ht="25.5" customHeight="1">
      <c r="C20" s="1355" t="s">
        <v>751</v>
      </c>
      <c r="D20" s="1356"/>
      <c r="E20" s="27"/>
      <c r="F20" s="178" t="s">
        <v>18</v>
      </c>
      <c r="G20" s="43"/>
      <c r="H20" s="41"/>
    </row>
    <row r="21" spans="3:13" ht="7.5" customHeight="1"/>
    <row r="22" spans="3:13" s="38" customFormat="1">
      <c r="C22" s="1353" t="s">
        <v>752</v>
      </c>
      <c r="D22" s="1354"/>
      <c r="E22" s="27"/>
      <c r="F22" s="625"/>
    </row>
    <row r="23" spans="3:13" ht="7.5" customHeight="1"/>
    <row r="24" spans="3:13" ht="27.75" customHeight="1">
      <c r="C24" s="1355" t="s">
        <v>753</v>
      </c>
      <c r="D24" s="1356"/>
      <c r="E24" s="27"/>
      <c r="F24" s="178" t="s">
        <v>18</v>
      </c>
      <c r="G24" s="43"/>
      <c r="H24" s="41"/>
    </row>
    <row r="25" spans="3:13" ht="7.5" customHeight="1"/>
    <row r="26" spans="3:13" ht="27.75" customHeight="1">
      <c r="C26" s="1355" t="s">
        <v>754</v>
      </c>
      <c r="D26" s="1356"/>
      <c r="E26" s="27"/>
      <c r="F26" s="178" t="s">
        <v>18</v>
      </c>
      <c r="G26" s="43"/>
      <c r="H26" s="41"/>
    </row>
    <row r="27" spans="3:13" ht="7.5" customHeight="1"/>
    <row r="28" spans="3:13">
      <c r="C28" s="1353" t="s">
        <v>172</v>
      </c>
      <c r="D28" s="1354"/>
      <c r="E28" s="27"/>
      <c r="F28" s="625"/>
      <c r="G28" s="98"/>
      <c r="I28" s="91"/>
      <c r="J28" s="96"/>
      <c r="K28" s="96"/>
      <c r="L28" s="93"/>
      <c r="M28" s="100"/>
    </row>
    <row r="29" spans="3:13">
      <c r="I29" s="91"/>
      <c r="J29" s="96"/>
      <c r="K29" s="96"/>
      <c r="L29" s="93"/>
      <c r="M29" s="100"/>
    </row>
    <row r="30" spans="3:13" ht="59.25" customHeight="1">
      <c r="C30" s="1355" t="s">
        <v>801</v>
      </c>
      <c r="D30" s="1356"/>
      <c r="E30" s="27"/>
      <c r="F30" s="178" t="s">
        <v>18</v>
      </c>
      <c r="I30" s="91"/>
      <c r="J30" s="96"/>
      <c r="K30" s="96"/>
      <c r="L30" s="93"/>
      <c r="M30" s="100"/>
    </row>
    <row r="31" spans="3:13" ht="5.25" customHeight="1">
      <c r="I31" s="91"/>
      <c r="J31" s="96"/>
      <c r="K31" s="96"/>
      <c r="L31" s="93"/>
      <c r="M31" s="100"/>
    </row>
    <row r="32" spans="3:13" ht="48.75" customHeight="1">
      <c r="C32" s="1355" t="s">
        <v>802</v>
      </c>
      <c r="D32" s="1356"/>
      <c r="E32" s="27"/>
      <c r="F32" s="178" t="s">
        <v>18</v>
      </c>
      <c r="I32" s="91"/>
      <c r="J32" s="96"/>
      <c r="K32" s="96"/>
      <c r="L32" s="93"/>
      <c r="M32" s="100"/>
    </row>
    <row r="33" spans="3:13" ht="5.25" customHeight="1">
      <c r="I33" s="91"/>
      <c r="J33" s="96"/>
      <c r="K33" s="96"/>
      <c r="L33" s="93"/>
      <c r="M33" s="100"/>
    </row>
    <row r="34" spans="3:13" ht="38.25" customHeight="1">
      <c r="C34" s="1355" t="s">
        <v>803</v>
      </c>
      <c r="D34" s="1356"/>
      <c r="E34" s="27"/>
      <c r="F34" s="178" t="s">
        <v>18</v>
      </c>
      <c r="I34" s="91"/>
      <c r="J34" s="96"/>
      <c r="K34" s="96"/>
      <c r="L34" s="93"/>
      <c r="M34" s="100"/>
    </row>
    <row r="35" spans="3:13" ht="5.25" customHeight="1">
      <c r="I35" s="91"/>
      <c r="J35" s="96"/>
      <c r="K35" s="96"/>
      <c r="L35" s="93"/>
      <c r="M35" s="100"/>
    </row>
    <row r="36" spans="3:13" ht="62.25" customHeight="1">
      <c r="C36" s="1355" t="s">
        <v>804</v>
      </c>
      <c r="D36" s="1356"/>
      <c r="E36" s="27"/>
      <c r="F36" s="178" t="s">
        <v>18</v>
      </c>
      <c r="I36" s="91"/>
      <c r="J36" s="96"/>
      <c r="K36" s="96"/>
      <c r="L36" s="93"/>
      <c r="M36" s="100"/>
    </row>
    <row r="37" spans="3:13" ht="5.25" customHeight="1">
      <c r="I37" s="91"/>
      <c r="J37" s="96"/>
      <c r="K37" s="96"/>
      <c r="L37" s="93"/>
      <c r="M37" s="100"/>
    </row>
    <row r="38" spans="3:13" ht="28.5" customHeight="1">
      <c r="C38" s="1355" t="s">
        <v>805</v>
      </c>
      <c r="D38" s="1356"/>
      <c r="E38" s="27"/>
      <c r="F38" s="178" t="s">
        <v>18</v>
      </c>
      <c r="I38" s="91"/>
      <c r="J38" s="96"/>
      <c r="K38" s="96"/>
      <c r="L38" s="93"/>
      <c r="M38" s="100"/>
    </row>
    <row r="39" spans="3:13" ht="5.25" customHeight="1">
      <c r="I39" s="91"/>
      <c r="J39" s="96"/>
      <c r="K39" s="96"/>
      <c r="L39" s="93"/>
      <c r="M39" s="100"/>
    </row>
    <row r="40" spans="3:13" ht="28.5" customHeight="1">
      <c r="C40" s="1355" t="s">
        <v>806</v>
      </c>
      <c r="D40" s="1356"/>
      <c r="E40" s="27"/>
      <c r="F40" s="178" t="s">
        <v>18</v>
      </c>
      <c r="I40" s="91"/>
      <c r="J40" s="96"/>
      <c r="K40" s="96"/>
      <c r="L40" s="93"/>
      <c r="M40" s="100"/>
    </row>
    <row r="41" spans="3:13" ht="5.25" customHeight="1">
      <c r="I41" s="91"/>
      <c r="J41" s="96"/>
      <c r="K41" s="96"/>
      <c r="L41" s="93"/>
      <c r="M41" s="100"/>
    </row>
    <row r="42" spans="3:13" ht="28.5" customHeight="1">
      <c r="C42" s="1355" t="s">
        <v>807</v>
      </c>
      <c r="D42" s="1356"/>
      <c r="E42" s="27"/>
      <c r="F42" s="178" t="s">
        <v>18</v>
      </c>
      <c r="I42" s="91"/>
      <c r="J42" s="96"/>
      <c r="K42" s="96"/>
      <c r="L42" s="93"/>
      <c r="M42" s="100"/>
    </row>
    <row r="43" spans="3:13" ht="7.5" customHeight="1"/>
    <row r="44" spans="3:13" s="38" customFormat="1">
      <c r="C44" s="1353" t="s">
        <v>755</v>
      </c>
      <c r="D44" s="1354"/>
      <c r="E44" s="27"/>
      <c r="F44" s="625"/>
    </row>
    <row r="45" spans="3:13" ht="7.5" customHeight="1"/>
    <row r="46" spans="3:13" ht="27.75" customHeight="1">
      <c r="C46" s="1355" t="s">
        <v>756</v>
      </c>
      <c r="D46" s="1356"/>
      <c r="E46" s="27"/>
      <c r="F46" s="178" t="s">
        <v>18</v>
      </c>
      <c r="G46" s="43"/>
      <c r="H46" s="41"/>
    </row>
    <row r="47" spans="3:13" ht="5.25" customHeight="1">
      <c r="I47" s="91"/>
      <c r="J47" s="96"/>
      <c r="K47" s="96"/>
      <c r="L47" s="93"/>
      <c r="M47" s="100"/>
    </row>
    <row r="48" spans="3:13" ht="42" customHeight="1">
      <c r="C48" s="1355" t="s">
        <v>757</v>
      </c>
      <c r="D48" s="1356"/>
      <c r="E48" s="27"/>
      <c r="F48" s="178" t="s">
        <v>18</v>
      </c>
      <c r="G48" s="43"/>
      <c r="H48" s="41"/>
    </row>
    <row r="49" spans="3:13" ht="5.25" customHeight="1">
      <c r="I49" s="91"/>
      <c r="J49" s="96"/>
      <c r="K49" s="96"/>
      <c r="L49" s="93"/>
      <c r="M49" s="100"/>
    </row>
    <row r="50" spans="3:13" ht="42" customHeight="1">
      <c r="C50" s="1355" t="s">
        <v>758</v>
      </c>
      <c r="D50" s="1356"/>
      <c r="E50" s="27"/>
      <c r="F50" s="178" t="s">
        <v>18</v>
      </c>
      <c r="G50" s="43"/>
      <c r="H50" s="41"/>
    </row>
    <row r="51" spans="3:13" ht="5.25" customHeight="1">
      <c r="I51" s="91"/>
      <c r="J51" s="96"/>
      <c r="K51" s="96"/>
      <c r="L51" s="93"/>
      <c r="M51" s="100"/>
    </row>
    <row r="52" spans="3:13" ht="27.75" customHeight="1">
      <c r="C52" s="1355" t="s">
        <v>759</v>
      </c>
      <c r="D52" s="1356"/>
      <c r="E52" s="27"/>
      <c r="F52" s="178" t="s">
        <v>18</v>
      </c>
      <c r="G52" s="43"/>
      <c r="H52" s="41"/>
    </row>
    <row r="53" spans="3:13" ht="5.25" customHeight="1">
      <c r="I53" s="91"/>
      <c r="J53" s="96"/>
      <c r="K53" s="96"/>
      <c r="L53" s="93"/>
      <c r="M53" s="100"/>
    </row>
    <row r="54" spans="3:13" s="38" customFormat="1" collapsed="1">
      <c r="C54" s="1353" t="s">
        <v>760</v>
      </c>
      <c r="D54" s="1354"/>
      <c r="E54" s="27"/>
      <c r="F54" s="625"/>
    </row>
    <row r="55" spans="3:13" ht="7.5" customHeight="1"/>
    <row r="56" spans="3:13" ht="27.75" customHeight="1">
      <c r="C56" s="1355" t="s">
        <v>761</v>
      </c>
      <c r="D56" s="1356"/>
      <c r="E56" s="27"/>
      <c r="F56" s="178" t="s">
        <v>18</v>
      </c>
      <c r="G56" s="43"/>
      <c r="H56" s="41"/>
    </row>
    <row r="57" spans="3:13" ht="5.25" customHeight="1">
      <c r="I57" s="91"/>
      <c r="J57" s="96"/>
      <c r="K57" s="96"/>
      <c r="L57" s="93"/>
      <c r="M57" s="100"/>
    </row>
    <row r="58" spans="3:13" ht="45.75" customHeight="1">
      <c r="C58" s="1355" t="s">
        <v>762</v>
      </c>
      <c r="D58" s="1356"/>
      <c r="E58" s="27"/>
      <c r="F58" s="178" t="s">
        <v>18</v>
      </c>
      <c r="G58" s="43"/>
      <c r="H58" s="41"/>
    </row>
    <row r="59" spans="3:13" ht="5.25" customHeight="1">
      <c r="I59" s="91"/>
      <c r="J59" s="96"/>
      <c r="K59" s="96"/>
      <c r="L59" s="93"/>
      <c r="M59" s="100"/>
    </row>
    <row r="60" spans="3:13" ht="27.75" customHeight="1">
      <c r="C60" s="1355" t="s">
        <v>763</v>
      </c>
      <c r="D60" s="1356"/>
      <c r="E60" s="27"/>
      <c r="F60" s="178" t="s">
        <v>18</v>
      </c>
      <c r="G60" s="43"/>
      <c r="H60" s="41"/>
    </row>
    <row r="61" spans="3:13" ht="5.25" customHeight="1">
      <c r="I61" s="91"/>
      <c r="J61" s="96"/>
      <c r="K61" s="96"/>
      <c r="L61" s="93"/>
      <c r="M61" s="100"/>
    </row>
    <row r="62" spans="3:13" ht="27.75" customHeight="1">
      <c r="C62" s="1355" t="s">
        <v>764</v>
      </c>
      <c r="D62" s="1356"/>
      <c r="E62" s="27"/>
      <c r="F62" s="178" t="s">
        <v>18</v>
      </c>
      <c r="G62" s="43"/>
      <c r="H62" s="41"/>
    </row>
    <row r="63" spans="3:13" ht="5.25" customHeight="1">
      <c r="I63" s="91"/>
      <c r="J63" s="96"/>
      <c r="K63" s="96"/>
      <c r="L63" s="93"/>
      <c r="M63" s="100"/>
    </row>
    <row r="64" spans="3:13" ht="51.75" customHeight="1">
      <c r="C64" s="1355" t="s">
        <v>765</v>
      </c>
      <c r="D64" s="1356"/>
      <c r="E64" s="27"/>
      <c r="F64" s="178" t="s">
        <v>18</v>
      </c>
      <c r="G64" s="43"/>
      <c r="H64" s="41"/>
    </row>
    <row r="65" spans="3:13" ht="5.25" customHeight="1">
      <c r="I65" s="91"/>
      <c r="J65" s="96"/>
      <c r="K65" s="96"/>
      <c r="L65" s="93"/>
      <c r="M65" s="100"/>
    </row>
    <row r="66" spans="3:13" ht="27.75" customHeight="1">
      <c r="C66" s="1355" t="s">
        <v>766</v>
      </c>
      <c r="D66" s="1356"/>
      <c r="E66" s="27"/>
      <c r="F66" s="178" t="s">
        <v>18</v>
      </c>
      <c r="G66" s="43"/>
      <c r="H66" s="41"/>
    </row>
    <row r="67" spans="3:13" ht="5.25" customHeight="1">
      <c r="I67" s="91"/>
      <c r="J67" s="96"/>
      <c r="K67" s="96"/>
      <c r="L67" s="93"/>
      <c r="M67" s="100"/>
    </row>
    <row r="68" spans="3:13" ht="27.75" customHeight="1">
      <c r="C68" s="1355" t="s">
        <v>767</v>
      </c>
      <c r="D68" s="1356"/>
      <c r="E68" s="27"/>
      <c r="F68" s="178" t="s">
        <v>18</v>
      </c>
      <c r="G68" s="43"/>
      <c r="H68" s="41"/>
    </row>
    <row r="69" spans="3:13" ht="5.25" customHeight="1">
      <c r="I69" s="91"/>
      <c r="J69" s="96"/>
      <c r="K69" s="96"/>
      <c r="L69" s="93"/>
      <c r="M69" s="100"/>
    </row>
    <row r="70" spans="3:13" s="38" customFormat="1">
      <c r="C70" s="1353" t="s">
        <v>808</v>
      </c>
      <c r="D70" s="1354"/>
      <c r="E70" s="27"/>
      <c r="F70" s="625"/>
    </row>
    <row r="71" spans="3:13" ht="7.5" customHeight="1"/>
    <row r="72" spans="3:13" ht="57" customHeight="1">
      <c r="C72" s="1355" t="s">
        <v>809</v>
      </c>
      <c r="D72" s="1356"/>
      <c r="E72" s="27"/>
      <c r="F72" s="178" t="s">
        <v>18</v>
      </c>
      <c r="G72" s="43"/>
      <c r="H72" s="41"/>
    </row>
    <row r="73" spans="3:13" ht="5.25" customHeight="1">
      <c r="I73" s="91"/>
      <c r="J73" s="96"/>
      <c r="K73" s="96"/>
      <c r="L73" s="93"/>
      <c r="M73" s="100"/>
    </row>
    <row r="74" spans="3:13" ht="67.5" customHeight="1">
      <c r="C74" s="1355" t="s">
        <v>810</v>
      </c>
      <c r="D74" s="1356"/>
      <c r="E74" s="27"/>
      <c r="F74" s="178" t="s">
        <v>18</v>
      </c>
      <c r="G74" s="43"/>
      <c r="H74" s="41"/>
    </row>
    <row r="75" spans="3:13" ht="5.25" customHeight="1">
      <c r="I75" s="91"/>
      <c r="J75" s="96"/>
      <c r="K75" s="96"/>
      <c r="L75" s="93"/>
      <c r="M75" s="100"/>
    </row>
    <row r="76" spans="3:13" ht="42" customHeight="1">
      <c r="C76" s="1355" t="s">
        <v>811</v>
      </c>
      <c r="D76" s="1356"/>
      <c r="E76" s="27"/>
      <c r="F76" s="178" t="s">
        <v>18</v>
      </c>
      <c r="G76" s="43"/>
      <c r="H76" s="41"/>
    </row>
    <row r="77" spans="3:13" ht="5.25" customHeight="1">
      <c r="I77" s="91"/>
      <c r="J77" s="96"/>
      <c r="K77" s="96"/>
      <c r="L77" s="93"/>
      <c r="M77" s="100"/>
    </row>
    <row r="78" spans="3:13" ht="27.75" customHeight="1">
      <c r="C78" s="1355" t="s">
        <v>812</v>
      </c>
      <c r="D78" s="1356"/>
      <c r="E78" s="27"/>
      <c r="F78" s="178" t="s">
        <v>18</v>
      </c>
      <c r="G78" s="43"/>
      <c r="H78" s="41"/>
    </row>
    <row r="79" spans="3:13" ht="5.25" customHeight="1">
      <c r="I79" s="91"/>
      <c r="J79" s="96"/>
      <c r="K79" s="96"/>
      <c r="L79" s="93"/>
      <c r="M79" s="100"/>
    </row>
    <row r="80" spans="3:13" ht="27.75" customHeight="1">
      <c r="C80" s="1355" t="s">
        <v>813</v>
      </c>
      <c r="D80" s="1356"/>
      <c r="E80" s="27"/>
      <c r="F80" s="178" t="s">
        <v>18</v>
      </c>
      <c r="G80" s="43"/>
      <c r="H80" s="41"/>
    </row>
    <row r="81" spans="9:13" ht="5.25" customHeight="1">
      <c r="I81" s="91"/>
      <c r="J81" s="96"/>
      <c r="K81" s="96"/>
      <c r="L81" s="93"/>
      <c r="M81" s="100"/>
    </row>
    <row r="82" spans="9:13" ht="5.25" customHeight="1">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ColWidth="9.140625" defaultRowHeight="12.7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7.42578125" customWidth="1"/>
    <col min="10" max="26" width="31.140625" customWidth="1"/>
    <col min="27" max="38" width="36.140625" customWidth="1"/>
  </cols>
  <sheetData>
    <row r="1" spans="1:9" ht="26.25" thickBot="1">
      <c r="A1" s="916" t="s">
        <v>1428</v>
      </c>
      <c r="B1" s="916" t="s">
        <v>1429</v>
      </c>
      <c r="C1" s="917" t="s">
        <v>1430</v>
      </c>
      <c r="D1" s="916" t="s">
        <v>1431</v>
      </c>
      <c r="E1" s="916" t="s">
        <v>1432</v>
      </c>
      <c r="F1" s="916" t="s">
        <v>1433</v>
      </c>
      <c r="G1" s="916" t="s">
        <v>1434</v>
      </c>
      <c r="H1" s="916" t="s">
        <v>1435</v>
      </c>
      <c r="I1" s="918" t="s">
        <v>1436</v>
      </c>
    </row>
    <row r="2" spans="1:9" ht="26.25" thickBot="1">
      <c r="A2" s="919" t="s">
        <v>1437</v>
      </c>
      <c r="B2" s="919" t="s">
        <v>1438</v>
      </c>
      <c r="C2" s="920" t="s">
        <v>1438</v>
      </c>
      <c r="D2" s="921"/>
      <c r="E2" s="922"/>
      <c r="F2" s="923" t="s">
        <v>653</v>
      </c>
      <c r="G2" s="923" t="s">
        <v>653</v>
      </c>
      <c r="H2" s="924"/>
      <c r="I2" s="925"/>
    </row>
    <row r="3" spans="1:9" ht="26.25" thickBot="1">
      <c r="A3" s="919" t="s">
        <v>1437</v>
      </c>
      <c r="B3" s="919" t="s">
        <v>1438</v>
      </c>
      <c r="C3" s="917" t="s">
        <v>1439</v>
      </c>
      <c r="D3" s="926" t="s">
        <v>1440</v>
      </c>
      <c r="E3" s="927" t="s">
        <v>1441</v>
      </c>
      <c r="F3" s="928" t="s">
        <v>1442</v>
      </c>
      <c r="G3" s="928" t="s">
        <v>1442</v>
      </c>
      <c r="H3" s="929" t="s">
        <v>1443</v>
      </c>
      <c r="I3" s="936" t="str">
        <f>'00 - Cover'!F10</f>
        <v>969500Z05GRNU3KPEY94</v>
      </c>
    </row>
    <row r="4" spans="1:9" ht="26.25" thickBot="1">
      <c r="A4" s="919" t="s">
        <v>1437</v>
      </c>
      <c r="B4" s="919" t="s">
        <v>1438</v>
      </c>
      <c r="C4" s="917" t="s">
        <v>1444</v>
      </c>
      <c r="D4" s="926" t="s">
        <v>1445</v>
      </c>
      <c r="E4" s="927" t="s">
        <v>1446</v>
      </c>
      <c r="F4" s="928" t="s">
        <v>1442</v>
      </c>
      <c r="G4" s="928" t="s">
        <v>1442</v>
      </c>
      <c r="H4" s="929" t="s">
        <v>1447</v>
      </c>
      <c r="I4" s="936">
        <f>'00 - Cover'!F13</f>
        <v>46203</v>
      </c>
    </row>
    <row r="5" spans="1:9" ht="26.25" thickBot="1">
      <c r="A5" s="919" t="s">
        <v>1437</v>
      </c>
      <c r="B5" s="919" t="s">
        <v>1438</v>
      </c>
      <c r="C5" s="917" t="s">
        <v>1448</v>
      </c>
      <c r="D5" s="926" t="s">
        <v>1449</v>
      </c>
      <c r="E5" s="927" t="s">
        <v>1450</v>
      </c>
      <c r="F5" s="928" t="s">
        <v>1442</v>
      </c>
      <c r="G5" s="928" t="s">
        <v>1442</v>
      </c>
      <c r="H5" s="929" t="s">
        <v>1451</v>
      </c>
      <c r="I5" s="929" t="str">
        <f>'00 - Cover'!C3</f>
        <v>FCT French Prime Cash 2023</v>
      </c>
    </row>
    <row r="6" spans="1:9" ht="39" thickBot="1">
      <c r="A6" s="919" t="s">
        <v>1437</v>
      </c>
      <c r="B6" s="919" t="s">
        <v>1438</v>
      </c>
      <c r="C6" s="917" t="s">
        <v>1452</v>
      </c>
      <c r="D6" s="926" t="s">
        <v>1453</v>
      </c>
      <c r="E6" s="927" t="s">
        <v>1454</v>
      </c>
      <c r="F6" s="928" t="s">
        <v>1442</v>
      </c>
      <c r="G6" s="928" t="s">
        <v>1442</v>
      </c>
      <c r="H6" s="929" t="s">
        <v>1451</v>
      </c>
      <c r="I6" s="947" t="s">
        <v>2299</v>
      </c>
    </row>
    <row r="7" spans="1:9" ht="26.25" thickBot="1">
      <c r="A7" s="919" t="s">
        <v>1437</v>
      </c>
      <c r="B7" s="919" t="s">
        <v>1438</v>
      </c>
      <c r="C7" s="917" t="s">
        <v>1455</v>
      </c>
      <c r="D7" s="926" t="s">
        <v>1456</v>
      </c>
      <c r="E7" s="927" t="s">
        <v>1457</v>
      </c>
      <c r="F7" s="928" t="s">
        <v>1442</v>
      </c>
      <c r="G7" s="928" t="s">
        <v>1442</v>
      </c>
      <c r="H7" s="929" t="s">
        <v>1458</v>
      </c>
      <c r="I7" s="947" t="s">
        <v>2300</v>
      </c>
    </row>
    <row r="8" spans="1:9" ht="39" thickBot="1">
      <c r="A8" s="919" t="s">
        <v>1437</v>
      </c>
      <c r="B8" s="919" t="s">
        <v>1438</v>
      </c>
      <c r="C8" s="917" t="s">
        <v>1459</v>
      </c>
      <c r="D8" s="926" t="s">
        <v>1460</v>
      </c>
      <c r="E8" s="927" t="s">
        <v>1461</v>
      </c>
      <c r="F8" s="928" t="s">
        <v>1442</v>
      </c>
      <c r="G8" s="928" t="s">
        <v>1442</v>
      </c>
      <c r="H8" s="929" t="s">
        <v>1462</v>
      </c>
      <c r="I8" s="947" t="s">
        <v>2301</v>
      </c>
    </row>
    <row r="9" spans="1:9" ht="39" thickBot="1">
      <c r="A9" s="919" t="s">
        <v>1437</v>
      </c>
      <c r="B9" s="919" t="s">
        <v>1438</v>
      </c>
      <c r="C9" s="917" t="s">
        <v>1463</v>
      </c>
      <c r="D9" s="926" t="s">
        <v>1464</v>
      </c>
      <c r="E9" s="927" t="s">
        <v>1465</v>
      </c>
      <c r="F9" s="928" t="s">
        <v>1442</v>
      </c>
      <c r="G9" s="928" t="s">
        <v>1442</v>
      </c>
      <c r="H9" s="929" t="s">
        <v>1458</v>
      </c>
      <c r="I9" s="947" t="s">
        <v>2302</v>
      </c>
    </row>
    <row r="10" spans="1:9" ht="128.25" thickBot="1">
      <c r="A10" s="919" t="s">
        <v>1437</v>
      </c>
      <c r="B10" s="919" t="s">
        <v>1438</v>
      </c>
      <c r="C10" s="917" t="s">
        <v>1466</v>
      </c>
      <c r="D10" s="926" t="s">
        <v>1467</v>
      </c>
      <c r="E10" s="927" t="s">
        <v>1468</v>
      </c>
      <c r="F10" s="928" t="s">
        <v>1442</v>
      </c>
      <c r="G10" s="928" t="s">
        <v>1442</v>
      </c>
      <c r="H10" s="929" t="s">
        <v>1469</v>
      </c>
      <c r="I10" s="929" t="s">
        <v>2239</v>
      </c>
    </row>
    <row r="11" spans="1:9" ht="128.25" thickBot="1">
      <c r="A11" s="919" t="s">
        <v>1437</v>
      </c>
      <c r="B11" s="919" t="s">
        <v>1438</v>
      </c>
      <c r="C11" s="917" t="s">
        <v>1470</v>
      </c>
      <c r="D11" s="926" t="s">
        <v>1471</v>
      </c>
      <c r="E11" s="927" t="s">
        <v>1472</v>
      </c>
      <c r="F11" s="928" t="s">
        <v>1442</v>
      </c>
      <c r="G11" s="928" t="s">
        <v>1442</v>
      </c>
      <c r="H11" s="929" t="s">
        <v>1469</v>
      </c>
      <c r="I11" s="929" t="s">
        <v>2240</v>
      </c>
    </row>
    <row r="12" spans="1:9" ht="192" thickBot="1">
      <c r="A12" s="919" t="s">
        <v>1437</v>
      </c>
      <c r="B12" s="919" t="s">
        <v>1438</v>
      </c>
      <c r="C12" s="917" t="s">
        <v>1473</v>
      </c>
      <c r="D12" s="926" t="s">
        <v>1474</v>
      </c>
      <c r="E12" s="927" t="s">
        <v>1475</v>
      </c>
      <c r="F12" s="928" t="s">
        <v>1442</v>
      </c>
      <c r="G12" s="928" t="s">
        <v>1442</v>
      </c>
      <c r="H12" s="929" t="s">
        <v>1469</v>
      </c>
      <c r="I12" s="929" t="s">
        <v>2241</v>
      </c>
    </row>
    <row r="13" spans="1:9" ht="39" thickBot="1">
      <c r="A13" s="919" t="s">
        <v>1437</v>
      </c>
      <c r="B13" s="919" t="s">
        <v>1438</v>
      </c>
      <c r="C13" s="917" t="s">
        <v>1476</v>
      </c>
      <c r="D13" s="926" t="s">
        <v>1477</v>
      </c>
      <c r="E13" s="927" t="s">
        <v>1478</v>
      </c>
      <c r="F13" s="928" t="s">
        <v>1442</v>
      </c>
      <c r="G13" s="928" t="s">
        <v>1442</v>
      </c>
      <c r="H13" s="929" t="s">
        <v>1479</v>
      </c>
      <c r="I13" s="929" t="s">
        <v>2242</v>
      </c>
    </row>
    <row r="14" spans="1:9" ht="39" thickBot="1">
      <c r="A14" s="919" t="s">
        <v>1437</v>
      </c>
      <c r="B14" s="919" t="s">
        <v>1438</v>
      </c>
      <c r="C14" s="917" t="s">
        <v>1480</v>
      </c>
      <c r="D14" s="926" t="s">
        <v>1481</v>
      </c>
      <c r="E14" s="927" t="s">
        <v>1482</v>
      </c>
      <c r="F14" s="928" t="s">
        <v>1442</v>
      </c>
      <c r="G14" s="928" t="s">
        <v>1442</v>
      </c>
      <c r="H14" s="929" t="s">
        <v>1479</v>
      </c>
      <c r="I14" s="929" t="s">
        <v>2243</v>
      </c>
    </row>
    <row r="15" spans="1:9" ht="26.25" thickBot="1">
      <c r="A15" s="919" t="s">
        <v>1437</v>
      </c>
      <c r="B15" s="919" t="s">
        <v>1438</v>
      </c>
      <c r="C15" s="917" t="s">
        <v>1483</v>
      </c>
      <c r="D15" s="926" t="s">
        <v>1484</v>
      </c>
      <c r="E15" s="927" t="s">
        <v>1485</v>
      </c>
      <c r="F15" s="928" t="s">
        <v>1442</v>
      </c>
      <c r="G15" s="928" t="s">
        <v>1486</v>
      </c>
      <c r="H15" s="929" t="s">
        <v>1447</v>
      </c>
      <c r="I15" s="929" t="s">
        <v>2244</v>
      </c>
    </row>
    <row r="16" spans="1:9" ht="39" thickBot="1">
      <c r="A16" s="919" t="s">
        <v>1437</v>
      </c>
      <c r="B16" s="919" t="s">
        <v>1438</v>
      </c>
      <c r="C16" s="917" t="s">
        <v>1487</v>
      </c>
      <c r="D16" s="926" t="s">
        <v>1488</v>
      </c>
      <c r="E16" s="927" t="s">
        <v>1489</v>
      </c>
      <c r="F16" s="928" t="s">
        <v>1442</v>
      </c>
      <c r="G16" s="928" t="s">
        <v>1486</v>
      </c>
      <c r="H16" s="929" t="s">
        <v>1490</v>
      </c>
      <c r="I16" s="929" t="str">
        <f>TEXT('04 - Monthly Collection'!AA13,"### ###0,00")&amp;" EUR"</f>
        <v>24 773,09 EUR</v>
      </c>
    </row>
    <row r="17" spans="1:10" ht="39" thickBot="1">
      <c r="A17" s="919" t="s">
        <v>1437</v>
      </c>
      <c r="B17" s="919" t="s">
        <v>1438</v>
      </c>
      <c r="C17" s="917" t="s">
        <v>1491</v>
      </c>
      <c r="D17" s="926" t="s">
        <v>1492</v>
      </c>
      <c r="E17" s="927" t="s">
        <v>1493</v>
      </c>
      <c r="F17" s="928" t="s">
        <v>1442</v>
      </c>
      <c r="G17" s="928" t="s">
        <v>1486</v>
      </c>
      <c r="H17" s="929" t="s">
        <v>1490</v>
      </c>
      <c r="I17" s="929" t="str">
        <f>TEXT('04 - Monthly Collection'!AJ13+'04 - Monthly Collection'!AK13+'04 - Monthly Collection'!AL13,"### ###0,00")&amp;" EUR"</f>
        <v>2 929,40 EUR</v>
      </c>
    </row>
    <row r="18" spans="1:10" ht="39" thickBot="1">
      <c r="A18" s="919" t="s">
        <v>1437</v>
      </c>
      <c r="B18" s="919" t="s">
        <v>1438</v>
      </c>
      <c r="C18" s="917" t="s">
        <v>1494</v>
      </c>
      <c r="D18" s="926" t="s">
        <v>1495</v>
      </c>
      <c r="E18" s="927" t="s">
        <v>1496</v>
      </c>
      <c r="F18" s="928" t="s">
        <v>1442</v>
      </c>
      <c r="G18" s="928" t="s">
        <v>1486</v>
      </c>
      <c r="H18" s="929" t="s">
        <v>1490</v>
      </c>
      <c r="I18" s="929" t="str">
        <f>TEXT('04 - Monthly Collection'!H13,"### ###0,00")&amp;" EUR"</f>
        <v>6 546 473,96 EUR</v>
      </c>
    </row>
    <row r="19" spans="1:10" ht="39" thickBot="1">
      <c r="A19" s="919" t="s">
        <v>1437</v>
      </c>
      <c r="B19" s="919" t="s">
        <v>1438</v>
      </c>
      <c r="C19" s="917" t="s">
        <v>1497</v>
      </c>
      <c r="D19" s="926" t="s">
        <v>1498</v>
      </c>
      <c r="E19" s="927" t="s">
        <v>1499</v>
      </c>
      <c r="F19" s="928" t="s">
        <v>1442</v>
      </c>
      <c r="G19" s="928" t="s">
        <v>1486</v>
      </c>
      <c r="H19" s="929" t="s">
        <v>1490</v>
      </c>
      <c r="I19" s="929" t="str">
        <f>TEXT('04 - Monthly Collection'!Q13+'04 - Monthly Collection'!R13+'04 - Monthly Collection'!S13,"### ###,00")&amp;" EUR"</f>
        <v>1 124 199,12 EUR</v>
      </c>
    </row>
    <row r="20" spans="1:10" ht="26.25" thickBot="1">
      <c r="A20" s="919" t="s">
        <v>1437</v>
      </c>
      <c r="B20" s="919" t="s">
        <v>1438</v>
      </c>
      <c r="C20" s="917" t="s">
        <v>1500</v>
      </c>
      <c r="D20" s="926" t="s">
        <v>1501</v>
      </c>
      <c r="E20" s="927" t="s">
        <v>1502</v>
      </c>
      <c r="F20" s="928" t="s">
        <v>1442</v>
      </c>
      <c r="G20" s="928" t="s">
        <v>1486</v>
      </c>
      <c r="H20" s="929" t="s">
        <v>1479</v>
      </c>
      <c r="I20" s="929" t="s">
        <v>2243</v>
      </c>
    </row>
    <row r="21" spans="1:10" ht="51.75" thickBot="1">
      <c r="A21" s="919" t="s">
        <v>1437</v>
      </c>
      <c r="B21" s="919" t="s">
        <v>1438</v>
      </c>
      <c r="C21" s="917" t="s">
        <v>1503</v>
      </c>
      <c r="D21" s="926" t="s">
        <v>1504</v>
      </c>
      <c r="E21" s="927" t="s">
        <v>1505</v>
      </c>
      <c r="F21" s="928" t="s">
        <v>1442</v>
      </c>
      <c r="G21" s="928" t="s">
        <v>1442</v>
      </c>
      <c r="H21" s="929" t="s">
        <v>1490</v>
      </c>
      <c r="I21" s="929" t="str">
        <f>TEXT('15 - Priority of Payments'!J56,"### ###,00")&amp;" EUR"</f>
        <v>1 469 882,53 EUR</v>
      </c>
    </row>
    <row r="22" spans="1:10" ht="26.25" thickBot="1">
      <c r="A22" s="919" t="s">
        <v>1437</v>
      </c>
      <c r="B22" s="919" t="s">
        <v>1438</v>
      </c>
      <c r="C22" s="917" t="s">
        <v>1506</v>
      </c>
      <c r="D22" s="930" t="s">
        <v>1507</v>
      </c>
      <c r="E22" s="927" t="s">
        <v>1508</v>
      </c>
      <c r="F22" s="928" t="s">
        <v>1442</v>
      </c>
      <c r="G22" s="928" t="s">
        <v>1442</v>
      </c>
      <c r="H22" s="928" t="s">
        <v>1479</v>
      </c>
      <c r="I22" s="929" t="s">
        <v>2243</v>
      </c>
    </row>
    <row r="23" spans="1:10" ht="51.75" thickBot="1">
      <c r="A23" s="919" t="s">
        <v>1437</v>
      </c>
      <c r="B23" s="919" t="s">
        <v>1438</v>
      </c>
      <c r="C23" s="917" t="s">
        <v>1509</v>
      </c>
      <c r="D23" s="926" t="s">
        <v>1510</v>
      </c>
      <c r="E23" s="927" t="s">
        <v>1511</v>
      </c>
      <c r="F23" s="928" t="s">
        <v>1442</v>
      </c>
      <c r="G23" s="928" t="s">
        <v>1442</v>
      </c>
      <c r="H23" s="929" t="s">
        <v>1512</v>
      </c>
      <c r="I23" s="937">
        <f>('03 - Monthly Asset Follow up'!Q17+'03 - Monthly Asset Follow up'!AW17)/('16 - Simplified Balance Sheet'!K13+'16 - Simplified Balance Sheet'!K16)</f>
        <v>1.0633935993121484</v>
      </c>
    </row>
    <row r="24" spans="1:10" ht="77.25" thickBot="1">
      <c r="A24" s="919" t="s">
        <v>1437</v>
      </c>
      <c r="B24" s="919" t="s">
        <v>1438</v>
      </c>
      <c r="C24" s="917" t="s">
        <v>1513</v>
      </c>
      <c r="D24" s="926" t="s">
        <v>1514</v>
      </c>
      <c r="E24" s="927" t="s">
        <v>1515</v>
      </c>
      <c r="F24" s="928" t="s">
        <v>1442</v>
      </c>
      <c r="G24" s="928" t="s">
        <v>1442</v>
      </c>
      <c r="H24" s="929" t="s">
        <v>1512</v>
      </c>
      <c r="I24" s="951">
        <f>100*(1-((1-SUM('04 - Monthly Collection'!G13/('03 - Monthly Asset Follow up'!C17+'03 - Monthly Asset Follow up'!S17+'03 - Monthly Asset Follow up'!BD17)))^12))</f>
        <v>2.67264720619248</v>
      </c>
    </row>
    <row r="25" spans="1:10" ht="39" thickBot="1">
      <c r="A25" s="919" t="s">
        <v>1437</v>
      </c>
      <c r="B25" s="919" t="s">
        <v>1438</v>
      </c>
      <c r="C25" s="917" t="s">
        <v>1516</v>
      </c>
      <c r="D25" s="926" t="s">
        <v>1517</v>
      </c>
      <c r="E25" s="927" t="s">
        <v>1518</v>
      </c>
      <c r="F25" s="928" t="s">
        <v>1442</v>
      </c>
      <c r="G25" s="928" t="s">
        <v>1442</v>
      </c>
      <c r="H25" s="929" t="s">
        <v>1490</v>
      </c>
      <c r="I25" s="929" t="s">
        <v>2298</v>
      </c>
    </row>
    <row r="26" spans="1:10" ht="51.75" thickBot="1">
      <c r="A26" s="919" t="s">
        <v>1437</v>
      </c>
      <c r="B26" s="919" t="s">
        <v>1438</v>
      </c>
      <c r="C26" s="917" t="s">
        <v>1519</v>
      </c>
      <c r="D26" s="926" t="s">
        <v>1520</v>
      </c>
      <c r="E26" s="927" t="s">
        <v>1521</v>
      </c>
      <c r="F26" s="928" t="s">
        <v>1442</v>
      </c>
      <c r="G26" s="928" t="s">
        <v>1442</v>
      </c>
      <c r="H26" s="929" t="s">
        <v>1490</v>
      </c>
      <c r="I26" s="929" t="s">
        <v>2298</v>
      </c>
      <c r="J26" s="949"/>
    </row>
    <row r="27" spans="1:10" ht="51.75" thickBot="1">
      <c r="A27" s="919" t="s">
        <v>1437</v>
      </c>
      <c r="B27" s="919" t="s">
        <v>1438</v>
      </c>
      <c r="C27" s="917" t="s">
        <v>1522</v>
      </c>
      <c r="D27" s="926" t="s">
        <v>1523</v>
      </c>
      <c r="E27" s="927" t="s">
        <v>1524</v>
      </c>
      <c r="F27" s="928" t="s">
        <v>1486</v>
      </c>
      <c r="G27" s="928" t="s">
        <v>1486</v>
      </c>
      <c r="H27" s="929" t="s">
        <v>1490</v>
      </c>
      <c r="I27" s="929" t="str">
        <f>TEXT('03 - Monthly Asset Follow up'!N17+'03 - Monthly Asset Follow up'!AN17+'03 - Monthly Asset Follow up'!CM17,"### ###0,00")&amp;" EUR"</f>
        <v>0,00 EUR</v>
      </c>
      <c r="J27" s="949"/>
    </row>
    <row r="28" spans="1:10" ht="90" thickBot="1">
      <c r="A28" s="919" t="s">
        <v>1437</v>
      </c>
      <c r="B28" s="919" t="s">
        <v>1438</v>
      </c>
      <c r="C28" s="917" t="s">
        <v>1525</v>
      </c>
      <c r="D28" s="926" t="s">
        <v>1526</v>
      </c>
      <c r="E28" s="927" t="s">
        <v>1527</v>
      </c>
      <c r="F28" s="928" t="s">
        <v>1442</v>
      </c>
      <c r="G28" s="928" t="s">
        <v>1442</v>
      </c>
      <c r="H28" s="929" t="s">
        <v>1490</v>
      </c>
      <c r="I28" s="929" t="s">
        <v>2298</v>
      </c>
      <c r="J28" s="948"/>
    </row>
    <row r="29" spans="1:10" ht="77.25" thickBot="1">
      <c r="A29" s="919" t="s">
        <v>1437</v>
      </c>
      <c r="B29" s="919" t="s">
        <v>1438</v>
      </c>
      <c r="C29" s="917" t="s">
        <v>1528</v>
      </c>
      <c r="D29" s="926" t="s">
        <v>1529</v>
      </c>
      <c r="E29" s="927" t="s">
        <v>1530</v>
      </c>
      <c r="F29" s="928" t="s">
        <v>1442</v>
      </c>
      <c r="G29" s="928" t="s">
        <v>1442</v>
      </c>
      <c r="H29" s="929" t="s">
        <v>1512</v>
      </c>
      <c r="I29" s="953">
        <f>100*(1-((1-(('03 - Monthly Asset Follow up'!BP17+'03 - Monthly Asset Follow up'!CV17)/'16 - Simplified Balance Sheet'!F14))^12))</f>
        <v>4.7387699677629342</v>
      </c>
      <c r="J29" s="950"/>
    </row>
    <row r="30" spans="1:10" ht="51.75" thickBot="1">
      <c r="A30" s="919" t="s">
        <v>1437</v>
      </c>
      <c r="B30" s="919" t="s">
        <v>1438</v>
      </c>
      <c r="C30" s="917" t="s">
        <v>1531</v>
      </c>
      <c r="D30" s="926" t="s">
        <v>1532</v>
      </c>
      <c r="E30" s="927" t="s">
        <v>1533</v>
      </c>
      <c r="F30" s="928" t="s">
        <v>1442</v>
      </c>
      <c r="G30" s="928" t="s">
        <v>1442</v>
      </c>
      <c r="H30" s="929" t="s">
        <v>1490</v>
      </c>
      <c r="I30" s="929" t="str">
        <f>TEXT('03 - Monthly Asset Follow up'!BP17+'03 - Monthly Asset Follow up'!CV17,"### ###0,00")&amp;" EUR"</f>
        <v>3 108 443,18 EUR</v>
      </c>
    </row>
    <row r="31" spans="1:10" ht="51.75" thickBot="1">
      <c r="A31" s="919" t="s">
        <v>1437</v>
      </c>
      <c r="B31" s="919" t="s">
        <v>1438</v>
      </c>
      <c r="C31" s="917" t="s">
        <v>1534</v>
      </c>
      <c r="D31" s="926" t="s">
        <v>1535</v>
      </c>
      <c r="E31" s="927" t="s">
        <v>1536</v>
      </c>
      <c r="F31" s="928" t="s">
        <v>1486</v>
      </c>
      <c r="G31" s="928" t="s">
        <v>1486</v>
      </c>
      <c r="H31" s="929" t="s">
        <v>1490</v>
      </c>
      <c r="I31" s="929" t="s">
        <v>2244</v>
      </c>
    </row>
    <row r="32" spans="1:10" ht="77.25" thickBot="1">
      <c r="A32" s="919" t="s">
        <v>1437</v>
      </c>
      <c r="B32" s="919" t="s">
        <v>1438</v>
      </c>
      <c r="C32" s="917" t="s">
        <v>1537</v>
      </c>
      <c r="D32" s="926" t="s">
        <v>1538</v>
      </c>
      <c r="E32" s="927" t="s">
        <v>1539</v>
      </c>
      <c r="F32" s="928" t="s">
        <v>1442</v>
      </c>
      <c r="G32" s="928" t="s">
        <v>1486</v>
      </c>
      <c r="H32" s="929" t="s">
        <v>1469</v>
      </c>
      <c r="I32" s="929" t="s">
        <v>2244</v>
      </c>
    </row>
    <row r="33" spans="1:38" ht="51.75" thickBot="1">
      <c r="A33" s="919" t="s">
        <v>1437</v>
      </c>
      <c r="B33" s="919" t="s">
        <v>1438</v>
      </c>
      <c r="C33" s="917" t="s">
        <v>1540</v>
      </c>
      <c r="D33" s="926" t="s">
        <v>1541</v>
      </c>
      <c r="E33" s="927" t="s">
        <v>1542</v>
      </c>
      <c r="F33" s="928" t="s">
        <v>1442</v>
      </c>
      <c r="G33" s="928" t="s">
        <v>1486</v>
      </c>
      <c r="H33" s="929" t="s">
        <v>1512</v>
      </c>
      <c r="I33" s="929" t="s">
        <v>2244</v>
      </c>
    </row>
    <row r="34" spans="1:38" ht="51.75" thickBot="1">
      <c r="A34" s="919" t="s">
        <v>1437</v>
      </c>
      <c r="B34" s="919" t="s">
        <v>1438</v>
      </c>
      <c r="C34" s="917" t="s">
        <v>1543</v>
      </c>
      <c r="D34" s="926" t="s">
        <v>1544</v>
      </c>
      <c r="E34" s="927" t="s">
        <v>1545</v>
      </c>
      <c r="F34" s="928" t="s">
        <v>1442</v>
      </c>
      <c r="G34" s="928" t="s">
        <v>1486</v>
      </c>
      <c r="H34" s="929" t="s">
        <v>1512</v>
      </c>
      <c r="I34" s="929" t="s">
        <v>2244</v>
      </c>
    </row>
    <row r="35" spans="1:38" ht="51.75" thickBot="1">
      <c r="A35" s="919" t="s">
        <v>1437</v>
      </c>
      <c r="B35" s="919" t="s">
        <v>1438</v>
      </c>
      <c r="C35" s="917" t="s">
        <v>1546</v>
      </c>
      <c r="D35" s="926" t="s">
        <v>1547</v>
      </c>
      <c r="E35" s="927" t="s">
        <v>1548</v>
      </c>
      <c r="F35" s="928" t="s">
        <v>1442</v>
      </c>
      <c r="G35" s="928" t="s">
        <v>1486</v>
      </c>
      <c r="H35" s="929" t="s">
        <v>1512</v>
      </c>
      <c r="I35" s="929" t="s">
        <v>2244</v>
      </c>
    </row>
    <row r="36" spans="1:38" ht="51.75" thickBot="1">
      <c r="A36" s="919" t="s">
        <v>1437</v>
      </c>
      <c r="B36" s="919" t="s">
        <v>1438</v>
      </c>
      <c r="C36" s="917" t="s">
        <v>1549</v>
      </c>
      <c r="D36" s="926" t="s">
        <v>1550</v>
      </c>
      <c r="E36" s="927" t="s">
        <v>1551</v>
      </c>
      <c r="F36" s="928" t="s">
        <v>1442</v>
      </c>
      <c r="G36" s="928" t="s">
        <v>1486</v>
      </c>
      <c r="H36" s="929" t="s">
        <v>1512</v>
      </c>
      <c r="I36" s="929" t="s">
        <v>2244</v>
      </c>
    </row>
    <row r="37" spans="1:38" ht="51.75" thickBot="1">
      <c r="A37" s="919" t="s">
        <v>1437</v>
      </c>
      <c r="B37" s="919" t="s">
        <v>1438</v>
      </c>
      <c r="C37" s="917" t="s">
        <v>1552</v>
      </c>
      <c r="D37" s="926" t="s">
        <v>1553</v>
      </c>
      <c r="E37" s="927" t="s">
        <v>1554</v>
      </c>
      <c r="F37" s="928" t="s">
        <v>1442</v>
      </c>
      <c r="G37" s="928" t="s">
        <v>1486</v>
      </c>
      <c r="H37" s="929" t="s">
        <v>1512</v>
      </c>
      <c r="I37" s="929" t="s">
        <v>2244</v>
      </c>
    </row>
    <row r="38" spans="1:38" ht="51.75" thickBot="1">
      <c r="A38" s="919" t="s">
        <v>1437</v>
      </c>
      <c r="B38" s="919" t="s">
        <v>1438</v>
      </c>
      <c r="C38" s="917" t="s">
        <v>1555</v>
      </c>
      <c r="D38" s="926" t="s">
        <v>1556</v>
      </c>
      <c r="E38" s="927" t="s">
        <v>1557</v>
      </c>
      <c r="F38" s="928" t="s">
        <v>1442</v>
      </c>
      <c r="G38" s="928" t="s">
        <v>1486</v>
      </c>
      <c r="H38" s="929" t="s">
        <v>1512</v>
      </c>
      <c r="I38" s="929" t="s">
        <v>2244</v>
      </c>
    </row>
    <row r="39" spans="1:38" ht="39" thickBot="1">
      <c r="A39" s="919" t="s">
        <v>1437</v>
      </c>
      <c r="B39" s="919" t="s">
        <v>1438</v>
      </c>
      <c r="C39" s="917" t="s">
        <v>1558</v>
      </c>
      <c r="D39" s="926" t="s">
        <v>1559</v>
      </c>
      <c r="E39" s="927" t="s">
        <v>1560</v>
      </c>
      <c r="F39" s="928" t="s">
        <v>1442</v>
      </c>
      <c r="G39" s="928" t="s">
        <v>1486</v>
      </c>
      <c r="H39" s="929" t="s">
        <v>1512</v>
      </c>
      <c r="I39" s="929" t="s">
        <v>2244</v>
      </c>
    </row>
    <row r="40" spans="1:38" ht="51.75" thickBot="1">
      <c r="A40" s="919" t="s">
        <v>1437</v>
      </c>
      <c r="B40" s="919" t="s">
        <v>1438</v>
      </c>
      <c r="C40" s="917" t="s">
        <v>1561</v>
      </c>
      <c r="D40" s="926" t="s">
        <v>1562</v>
      </c>
      <c r="E40" s="927" t="s">
        <v>1563</v>
      </c>
      <c r="F40" s="928" t="s">
        <v>1442</v>
      </c>
      <c r="G40" s="928" t="s">
        <v>1442</v>
      </c>
      <c r="H40" s="929" t="s">
        <v>1512</v>
      </c>
      <c r="I40" s="951">
        <f>'08 - Delinquent Home Loans Stat'!E12/'16 - Simplified Balance Sheet'!F14</f>
        <v>8.9035292650877142E-3</v>
      </c>
      <c r="J40" s="5"/>
    </row>
    <row r="41" spans="1:38" ht="51.75" thickBot="1">
      <c r="A41" s="919" t="s">
        <v>1437</v>
      </c>
      <c r="B41" s="919" t="s">
        <v>1438</v>
      </c>
      <c r="C41" s="917" t="s">
        <v>1564</v>
      </c>
      <c r="D41" s="926" t="s">
        <v>1565</v>
      </c>
      <c r="E41" s="927" t="s">
        <v>1566</v>
      </c>
      <c r="F41" s="928" t="s">
        <v>1442</v>
      </c>
      <c r="G41" s="928" t="s">
        <v>1442</v>
      </c>
      <c r="H41" s="929" t="s">
        <v>1512</v>
      </c>
      <c r="I41" s="951">
        <f>'08 - Delinquent Home Loans Stat'!G12/'16 - Simplified Balance Sheet'!F14</f>
        <v>2.352750143153864E-3</v>
      </c>
    </row>
    <row r="42" spans="1:38" ht="51.75" thickBot="1">
      <c r="A42" s="919" t="s">
        <v>1437</v>
      </c>
      <c r="B42" s="919" t="s">
        <v>1438</v>
      </c>
      <c r="C42" s="917" t="s">
        <v>1567</v>
      </c>
      <c r="D42" s="926" t="s">
        <v>1568</v>
      </c>
      <c r="E42" s="927" t="s">
        <v>1569</v>
      </c>
      <c r="F42" s="928" t="s">
        <v>1442</v>
      </c>
      <c r="G42" s="928" t="s">
        <v>1442</v>
      </c>
      <c r="H42" s="929" t="s">
        <v>1512</v>
      </c>
      <c r="I42" s="951">
        <f>'08 - Delinquent Home Loans Stat'!I12/'16 - Simplified Balance Sheet'!F14</f>
        <v>1.8768100512351111E-4</v>
      </c>
    </row>
    <row r="43" spans="1:38" ht="51.75" thickBot="1">
      <c r="A43" s="919" t="s">
        <v>1437</v>
      </c>
      <c r="B43" s="919" t="s">
        <v>1438</v>
      </c>
      <c r="C43" s="917" t="s">
        <v>1570</v>
      </c>
      <c r="D43" s="926" t="s">
        <v>1571</v>
      </c>
      <c r="E43" s="927" t="s">
        <v>1572</v>
      </c>
      <c r="F43" s="928" t="s">
        <v>1442</v>
      </c>
      <c r="G43" s="928" t="s">
        <v>1442</v>
      </c>
      <c r="H43" s="929" t="s">
        <v>1512</v>
      </c>
      <c r="I43" s="951">
        <f>157622.94/'16 - Simplified Balance Sheet'!F14</f>
        <v>2.0473021182443167E-4</v>
      </c>
    </row>
    <row r="44" spans="1:38" ht="51.75" thickBot="1">
      <c r="A44" s="919" t="s">
        <v>1437</v>
      </c>
      <c r="B44" s="919" t="s">
        <v>1438</v>
      </c>
      <c r="C44" s="917" t="s">
        <v>1573</v>
      </c>
      <c r="D44" s="926" t="s">
        <v>1574</v>
      </c>
      <c r="E44" s="927" t="s">
        <v>1575</v>
      </c>
      <c r="F44" s="928" t="s">
        <v>1442</v>
      </c>
      <c r="G44" s="928" t="s">
        <v>1442</v>
      </c>
      <c r="H44" s="929" t="s">
        <v>1512</v>
      </c>
      <c r="I44" s="951">
        <v>0</v>
      </c>
    </row>
    <row r="45" spans="1:38" ht="51.75" thickBot="1">
      <c r="A45" s="919" t="s">
        <v>1437</v>
      </c>
      <c r="B45" s="919" t="s">
        <v>1438</v>
      </c>
      <c r="C45" s="917" t="s">
        <v>1576</v>
      </c>
      <c r="D45" s="926" t="s">
        <v>1577</v>
      </c>
      <c r="E45" s="927" t="s">
        <v>1578</v>
      </c>
      <c r="F45" s="928" t="s">
        <v>1442</v>
      </c>
      <c r="G45" s="928" t="s">
        <v>1442</v>
      </c>
      <c r="H45" s="929" t="s">
        <v>1512</v>
      </c>
      <c r="I45" s="951">
        <v>0</v>
      </c>
    </row>
    <row r="46" spans="1:38" ht="51.75" thickBot="1">
      <c r="A46" s="919" t="s">
        <v>1437</v>
      </c>
      <c r="B46" s="919" t="s">
        <v>1438</v>
      </c>
      <c r="C46" s="917" t="s">
        <v>1579</v>
      </c>
      <c r="D46" s="926" t="s">
        <v>1580</v>
      </c>
      <c r="E46" s="927" t="s">
        <v>1581</v>
      </c>
      <c r="F46" s="928" t="s">
        <v>1442</v>
      </c>
      <c r="G46" s="928" t="s">
        <v>1442</v>
      </c>
      <c r="H46" s="929" t="s">
        <v>1512</v>
      </c>
      <c r="I46" s="951">
        <v>0</v>
      </c>
    </row>
    <row r="47" spans="1:38" ht="26.25" thickBot="1">
      <c r="A47" s="919" t="s">
        <v>1437</v>
      </c>
      <c r="B47" s="919" t="s">
        <v>1582</v>
      </c>
      <c r="C47" s="920" t="s">
        <v>1582</v>
      </c>
      <c r="D47" s="921"/>
      <c r="E47" s="922"/>
      <c r="F47" s="923" t="s">
        <v>653</v>
      </c>
      <c r="G47" s="923" t="s">
        <v>653</v>
      </c>
      <c r="H47" s="924"/>
      <c r="I47" s="925"/>
    </row>
    <row r="48" spans="1:38" ht="26.25" thickBot="1">
      <c r="A48" s="919" t="s">
        <v>1437</v>
      </c>
      <c r="B48" s="919" t="s">
        <v>1582</v>
      </c>
      <c r="C48" s="917" t="s">
        <v>1583</v>
      </c>
      <c r="D48" s="926" t="s">
        <v>1440</v>
      </c>
      <c r="E48" s="927" t="s">
        <v>1584</v>
      </c>
      <c r="F48" s="928" t="s">
        <v>1442</v>
      </c>
      <c r="G48" s="928" t="s">
        <v>1442</v>
      </c>
      <c r="H48" s="929" t="s">
        <v>1443</v>
      </c>
      <c r="I48" s="936" t="str">
        <f>$I$3</f>
        <v>969500Z05GRNU3KPEY94</v>
      </c>
      <c r="J48" s="936" t="str">
        <f t="shared" ref="J48:AL48" si="0">$I$3</f>
        <v>969500Z05GRNU3KPEY94</v>
      </c>
      <c r="K48" s="936" t="str">
        <f t="shared" si="0"/>
        <v>969500Z05GRNU3KPEY94</v>
      </c>
      <c r="L48" s="936" t="str">
        <f t="shared" si="0"/>
        <v>969500Z05GRNU3KPEY94</v>
      </c>
      <c r="M48" s="936" t="str">
        <f t="shared" si="0"/>
        <v>969500Z05GRNU3KPEY94</v>
      </c>
      <c r="N48" s="936" t="str">
        <f t="shared" si="0"/>
        <v>969500Z05GRNU3KPEY94</v>
      </c>
      <c r="O48" s="936" t="str">
        <f t="shared" si="0"/>
        <v>969500Z05GRNU3KPEY94</v>
      </c>
      <c r="P48" s="936" t="str">
        <f t="shared" si="0"/>
        <v>969500Z05GRNU3KPEY94</v>
      </c>
      <c r="Q48" s="936" t="str">
        <f t="shared" si="0"/>
        <v>969500Z05GRNU3KPEY94</v>
      </c>
      <c r="R48" s="936" t="str">
        <f t="shared" si="0"/>
        <v>969500Z05GRNU3KPEY94</v>
      </c>
      <c r="S48" s="936" t="str">
        <f t="shared" si="0"/>
        <v>969500Z05GRNU3KPEY94</v>
      </c>
      <c r="T48" s="936" t="str">
        <f t="shared" si="0"/>
        <v>969500Z05GRNU3KPEY94</v>
      </c>
      <c r="U48" s="936" t="str">
        <f t="shared" si="0"/>
        <v>969500Z05GRNU3KPEY94</v>
      </c>
      <c r="V48" s="936" t="str">
        <f t="shared" si="0"/>
        <v>969500Z05GRNU3KPEY94</v>
      </c>
      <c r="W48" s="936" t="str">
        <f t="shared" si="0"/>
        <v>969500Z05GRNU3KPEY94</v>
      </c>
      <c r="X48" s="936" t="str">
        <f t="shared" si="0"/>
        <v>969500Z05GRNU3KPEY94</v>
      </c>
      <c r="Y48" s="936" t="str">
        <f t="shared" si="0"/>
        <v>969500Z05GRNU3KPEY94</v>
      </c>
      <c r="Z48" s="936" t="str">
        <f t="shared" si="0"/>
        <v>969500Z05GRNU3KPEY94</v>
      </c>
      <c r="AA48" s="936" t="str">
        <f t="shared" si="0"/>
        <v>969500Z05GRNU3KPEY94</v>
      </c>
      <c r="AB48" s="936" t="str">
        <f t="shared" si="0"/>
        <v>969500Z05GRNU3KPEY94</v>
      </c>
      <c r="AC48" s="936" t="str">
        <f t="shared" si="0"/>
        <v>969500Z05GRNU3KPEY94</v>
      </c>
      <c r="AD48" s="936" t="str">
        <f t="shared" si="0"/>
        <v>969500Z05GRNU3KPEY94</v>
      </c>
      <c r="AE48" s="936" t="str">
        <f t="shared" si="0"/>
        <v>969500Z05GRNU3KPEY94</v>
      </c>
      <c r="AF48" s="936" t="str">
        <f t="shared" si="0"/>
        <v>969500Z05GRNU3KPEY94</v>
      </c>
      <c r="AG48" s="936" t="str">
        <f t="shared" si="0"/>
        <v>969500Z05GRNU3KPEY94</v>
      </c>
      <c r="AH48" s="936" t="str">
        <f t="shared" si="0"/>
        <v>969500Z05GRNU3KPEY94</v>
      </c>
      <c r="AI48" s="936" t="str">
        <f t="shared" si="0"/>
        <v>969500Z05GRNU3KPEY94</v>
      </c>
      <c r="AJ48" s="936" t="str">
        <f t="shared" si="0"/>
        <v>969500Z05GRNU3KPEY94</v>
      </c>
      <c r="AK48" s="936" t="str">
        <f t="shared" si="0"/>
        <v>969500Z05GRNU3KPEY94</v>
      </c>
      <c r="AL48" s="936" t="str">
        <f t="shared" si="0"/>
        <v>969500Z05GRNU3KPEY94</v>
      </c>
    </row>
    <row r="49" spans="1:41" ht="39" thickBot="1">
      <c r="A49" s="919" t="s">
        <v>1437</v>
      </c>
      <c r="B49" s="919" t="s">
        <v>1582</v>
      </c>
      <c r="C49" s="917" t="s">
        <v>1585</v>
      </c>
      <c r="D49" s="926" t="s">
        <v>1586</v>
      </c>
      <c r="E49" s="927" t="s">
        <v>1587</v>
      </c>
      <c r="F49" s="928" t="s">
        <v>1442</v>
      </c>
      <c r="G49" s="928" t="s">
        <v>1442</v>
      </c>
      <c r="H49" s="929" t="s">
        <v>1588</v>
      </c>
      <c r="I49" s="929" t="s">
        <v>2268</v>
      </c>
      <c r="J49" s="929" t="s">
        <v>2269</v>
      </c>
      <c r="K49" s="929" t="s">
        <v>2270</v>
      </c>
      <c r="L49" s="929" t="s">
        <v>2271</v>
      </c>
      <c r="M49" s="929" t="s">
        <v>2272</v>
      </c>
      <c r="N49" s="929" t="s">
        <v>2273</v>
      </c>
      <c r="O49" s="929" t="s">
        <v>2274</v>
      </c>
      <c r="P49" s="929" t="s">
        <v>2275</v>
      </c>
      <c r="Q49" s="929" t="s">
        <v>2276</v>
      </c>
      <c r="R49" s="929" t="s">
        <v>2277</v>
      </c>
      <c r="S49" s="929" t="s">
        <v>2278</v>
      </c>
      <c r="T49" s="929" t="s">
        <v>2279</v>
      </c>
      <c r="U49" s="929" t="s">
        <v>2280</v>
      </c>
      <c r="V49" s="929" t="s">
        <v>2281</v>
      </c>
      <c r="W49" s="946" t="s">
        <v>2286</v>
      </c>
      <c r="X49" s="946" t="s">
        <v>2287</v>
      </c>
      <c r="Y49" s="946" t="s">
        <v>2288</v>
      </c>
      <c r="Z49" s="946" t="s">
        <v>2289</v>
      </c>
      <c r="AA49" s="946" t="s">
        <v>2282</v>
      </c>
      <c r="AB49" s="946" t="s">
        <v>2283</v>
      </c>
      <c r="AC49" s="946" t="s">
        <v>2284</v>
      </c>
      <c r="AD49" s="946" t="s">
        <v>2285</v>
      </c>
      <c r="AE49" s="946" t="s">
        <v>2290</v>
      </c>
      <c r="AF49" s="946" t="s">
        <v>2291</v>
      </c>
      <c r="AG49" s="946" t="s">
        <v>2292</v>
      </c>
      <c r="AH49" s="946" t="s">
        <v>2293</v>
      </c>
      <c r="AI49" s="946" t="s">
        <v>2294</v>
      </c>
      <c r="AJ49" s="946" t="s">
        <v>2295</v>
      </c>
      <c r="AK49" s="946" t="s">
        <v>2296</v>
      </c>
      <c r="AL49" s="946" t="s">
        <v>2297</v>
      </c>
    </row>
    <row r="50" spans="1:41" ht="39" thickBot="1">
      <c r="A50" s="919" t="s">
        <v>1437</v>
      </c>
      <c r="B50" s="919" t="s">
        <v>1582</v>
      </c>
      <c r="C50" s="917" t="s">
        <v>1589</v>
      </c>
      <c r="D50" s="926" t="s">
        <v>1590</v>
      </c>
      <c r="E50" s="927" t="s">
        <v>1591</v>
      </c>
      <c r="F50" s="928" t="s">
        <v>1442</v>
      </c>
      <c r="G50" s="928" t="s">
        <v>1442</v>
      </c>
      <c r="H50" s="929" t="s">
        <v>1588</v>
      </c>
      <c r="I50" s="929" t="str">
        <f t="shared" ref="I50:AL50" si="1">I49</f>
        <v>Issuer_Liquidation_Event1</v>
      </c>
      <c r="J50" s="929" t="str">
        <f t="shared" si="1"/>
        <v>Issuer_Liquidation_Event2</v>
      </c>
      <c r="K50" s="929" t="str">
        <f t="shared" si="1"/>
        <v>Issuer_Liquidation_Event3</v>
      </c>
      <c r="L50" s="929" t="str">
        <f t="shared" si="1"/>
        <v>Issuer_Liquidation_Event4</v>
      </c>
      <c r="M50" s="929" t="str">
        <f t="shared" si="1"/>
        <v>Issuer_Liquidation_Event5</v>
      </c>
      <c r="N50" s="929" t="str">
        <f t="shared" si="1"/>
        <v>Accelerated_Redemption_Event_1</v>
      </c>
      <c r="O50" s="929" t="str">
        <f t="shared" si="1"/>
        <v>Accelerated_Redemption_Event_2</v>
      </c>
      <c r="P50" s="929" t="str">
        <f t="shared" si="1"/>
        <v>Servicer_Termination_Event1</v>
      </c>
      <c r="Q50" s="929" t="str">
        <f t="shared" si="1"/>
        <v>Servicer_Termination_Event2</v>
      </c>
      <c r="R50" s="929" t="str">
        <f t="shared" si="1"/>
        <v>Servicer_Termination_Event3</v>
      </c>
      <c r="S50" s="929" t="str">
        <f t="shared" si="1"/>
        <v>Servicer_Termination_Event4</v>
      </c>
      <c r="T50" s="929" t="str">
        <f t="shared" si="1"/>
        <v>Servicer_Termination_Event5</v>
      </c>
      <c r="U50" s="929" t="str">
        <f t="shared" si="1"/>
        <v>Servicer_Termination_Event6</v>
      </c>
      <c r="V50" s="929" t="str">
        <f t="shared" si="1"/>
        <v>Servicer_Termination_Event7</v>
      </c>
      <c r="W50" s="929" t="str">
        <f t="shared" si="1"/>
        <v>Custodian_Termination_Event1</v>
      </c>
      <c r="X50" s="929" t="str">
        <f t="shared" si="1"/>
        <v>Custodian_Termination_Event2</v>
      </c>
      <c r="Y50" s="929" t="str">
        <f t="shared" si="1"/>
        <v>Custodian_Termination_Event3</v>
      </c>
      <c r="Z50" s="929" t="str">
        <f t="shared" si="1"/>
        <v>Custodian_Termination_Event4</v>
      </c>
      <c r="AA50" s="929" t="str">
        <f t="shared" si="1"/>
        <v>Management_Termination_Event1</v>
      </c>
      <c r="AB50" s="929" t="str">
        <f t="shared" si="1"/>
        <v>Management_Termination_Event2</v>
      </c>
      <c r="AC50" s="929" t="str">
        <f t="shared" si="1"/>
        <v>Management_Termination_Event3</v>
      </c>
      <c r="AD50" s="929" t="str">
        <f t="shared" si="1"/>
        <v>Management_Termination_Event4</v>
      </c>
      <c r="AE50" s="929" t="str">
        <f t="shared" si="1"/>
        <v>Management_Termination_Event5</v>
      </c>
      <c r="AF50" s="929" t="str">
        <f t="shared" si="1"/>
        <v>Management_Termination_Event6</v>
      </c>
      <c r="AG50" s="929" t="str">
        <f t="shared" si="1"/>
        <v>Management_Termination_Event7</v>
      </c>
      <c r="AH50" s="929" t="str">
        <f t="shared" si="1"/>
        <v>Account_Bank_Termination_Event1</v>
      </c>
      <c r="AI50" s="929" t="str">
        <f t="shared" si="1"/>
        <v>Account_Bank_Termination_Event2</v>
      </c>
      <c r="AJ50" s="929" t="str">
        <f t="shared" si="1"/>
        <v>Account_Bank_Termination_Event3</v>
      </c>
      <c r="AK50" s="929" t="str">
        <f t="shared" si="1"/>
        <v>Account_Bank_Termination_Event4</v>
      </c>
      <c r="AL50" s="929" t="str">
        <f t="shared" si="1"/>
        <v>Account_Bank_Termination_Event5</v>
      </c>
    </row>
    <row r="51" spans="1:41" ht="54" customHeight="1" thickBot="1">
      <c r="A51" s="919" t="s">
        <v>1437</v>
      </c>
      <c r="B51" s="919" t="s">
        <v>1582</v>
      </c>
      <c r="C51" s="917" t="s">
        <v>1592</v>
      </c>
      <c r="D51" s="926" t="s">
        <v>1593</v>
      </c>
      <c r="E51" s="927" t="s">
        <v>1594</v>
      </c>
      <c r="F51" s="928" t="s">
        <v>1442</v>
      </c>
      <c r="G51" s="928" t="s">
        <v>1442</v>
      </c>
      <c r="H51" s="929" t="s">
        <v>1595</v>
      </c>
      <c r="I51" s="929" t="s">
        <v>747</v>
      </c>
      <c r="J51" s="929" t="s">
        <v>748</v>
      </c>
      <c r="K51" s="929" t="s">
        <v>749</v>
      </c>
      <c r="L51" s="929" t="s">
        <v>750</v>
      </c>
      <c r="M51" s="929" t="s">
        <v>751</v>
      </c>
      <c r="N51" s="929" t="s">
        <v>753</v>
      </c>
      <c r="O51" s="929" t="s">
        <v>754</v>
      </c>
      <c r="P51" s="929" t="s">
        <v>801</v>
      </c>
      <c r="Q51" s="929" t="s">
        <v>802</v>
      </c>
      <c r="R51" s="929" t="s">
        <v>803</v>
      </c>
      <c r="S51" s="929" t="s">
        <v>804</v>
      </c>
      <c r="T51" s="929" t="s">
        <v>805</v>
      </c>
      <c r="U51" s="929" t="s">
        <v>806</v>
      </c>
      <c r="V51" s="929" t="s">
        <v>807</v>
      </c>
      <c r="W51" s="929" t="s">
        <v>756</v>
      </c>
      <c r="X51" s="929" t="s">
        <v>757</v>
      </c>
      <c r="Y51" s="929" t="s">
        <v>758</v>
      </c>
      <c r="Z51" s="929" t="s">
        <v>759</v>
      </c>
      <c r="AA51" s="929" t="s">
        <v>761</v>
      </c>
      <c r="AB51" s="929" t="s">
        <v>762</v>
      </c>
      <c r="AC51" s="929" t="s">
        <v>763</v>
      </c>
      <c r="AD51" s="929" t="s">
        <v>764</v>
      </c>
      <c r="AE51" s="929" t="s">
        <v>765</v>
      </c>
      <c r="AF51" s="929" t="s">
        <v>766</v>
      </c>
      <c r="AG51" s="929" t="s">
        <v>767</v>
      </c>
      <c r="AH51" s="929" t="s">
        <v>809</v>
      </c>
      <c r="AI51" s="929" t="s">
        <v>810</v>
      </c>
      <c r="AJ51" s="929" t="s">
        <v>811</v>
      </c>
      <c r="AK51" s="929" t="s">
        <v>812</v>
      </c>
      <c r="AL51" s="929" t="s">
        <v>813</v>
      </c>
      <c r="AM51" s="26"/>
      <c r="AO51" s="26"/>
    </row>
    <row r="52" spans="1:41" ht="39" thickBot="1">
      <c r="A52" s="919" t="s">
        <v>1437</v>
      </c>
      <c r="B52" s="919" t="s">
        <v>1582</v>
      </c>
      <c r="C52" s="917" t="s">
        <v>1596</v>
      </c>
      <c r="D52" s="926" t="s">
        <v>1597</v>
      </c>
      <c r="E52" s="927" t="s">
        <v>1598</v>
      </c>
      <c r="F52" s="928" t="s">
        <v>1442</v>
      </c>
      <c r="G52" s="928" t="s">
        <v>1486</v>
      </c>
      <c r="H52" s="929" t="s">
        <v>1599</v>
      </c>
      <c r="I52" s="929" t="s">
        <v>2244</v>
      </c>
      <c r="J52" s="929" t="s">
        <v>2244</v>
      </c>
      <c r="K52" s="929" t="s">
        <v>2244</v>
      </c>
      <c r="L52" s="929" t="s">
        <v>2244</v>
      </c>
      <c r="M52" s="929" t="s">
        <v>2244</v>
      </c>
      <c r="N52" s="929" t="s">
        <v>2244</v>
      </c>
      <c r="O52" s="929" t="s">
        <v>2244</v>
      </c>
      <c r="P52" s="929" t="s">
        <v>2244</v>
      </c>
      <c r="Q52" s="929" t="s">
        <v>2244</v>
      </c>
      <c r="R52" s="929" t="s">
        <v>2244</v>
      </c>
      <c r="S52" s="929" t="s">
        <v>2244</v>
      </c>
      <c r="T52" s="929" t="s">
        <v>2244</v>
      </c>
      <c r="U52" s="929" t="s">
        <v>2244</v>
      </c>
      <c r="V52" s="929" t="s">
        <v>2244</v>
      </c>
      <c r="W52" s="929" t="s">
        <v>2244</v>
      </c>
      <c r="X52" s="929" t="s">
        <v>2244</v>
      </c>
      <c r="Y52" s="929" t="s">
        <v>2244</v>
      </c>
      <c r="Z52" s="929" t="s">
        <v>2244</v>
      </c>
      <c r="AA52" s="929" t="s">
        <v>2244</v>
      </c>
      <c r="AB52" s="929" t="s">
        <v>2244</v>
      </c>
      <c r="AC52" s="929" t="s">
        <v>2244</v>
      </c>
      <c r="AD52" s="929" t="s">
        <v>2244</v>
      </c>
      <c r="AE52" s="929" t="s">
        <v>2244</v>
      </c>
      <c r="AF52" s="929" t="s">
        <v>2244</v>
      </c>
      <c r="AG52" s="929" t="s">
        <v>2244</v>
      </c>
      <c r="AH52" s="929" t="s">
        <v>2244</v>
      </c>
      <c r="AI52" s="929" t="s">
        <v>2244</v>
      </c>
      <c r="AJ52" s="929" t="s">
        <v>2244</v>
      </c>
      <c r="AK52" s="929" t="s">
        <v>2244</v>
      </c>
      <c r="AL52" s="929" t="s">
        <v>2244</v>
      </c>
      <c r="AM52" s="26"/>
      <c r="AO52" s="26"/>
    </row>
    <row r="53" spans="1:41" ht="51.75" thickBot="1">
      <c r="A53" s="919" t="s">
        <v>1437</v>
      </c>
      <c r="B53" s="919" t="s">
        <v>1582</v>
      </c>
      <c r="C53" s="917" t="s">
        <v>1600</v>
      </c>
      <c r="D53" s="926" t="s">
        <v>1601</v>
      </c>
      <c r="E53" s="927" t="s">
        <v>1602</v>
      </c>
      <c r="F53" s="928" t="s">
        <v>1442</v>
      </c>
      <c r="G53" s="928" t="s">
        <v>1486</v>
      </c>
      <c r="H53" s="929" t="s">
        <v>1599</v>
      </c>
      <c r="I53" s="929" t="s">
        <v>2244</v>
      </c>
      <c r="J53" s="929" t="s">
        <v>2244</v>
      </c>
      <c r="K53" s="929" t="s">
        <v>2244</v>
      </c>
      <c r="L53" s="929" t="s">
        <v>2244</v>
      </c>
      <c r="M53" s="929" t="s">
        <v>2244</v>
      </c>
      <c r="N53" s="929" t="s">
        <v>2244</v>
      </c>
      <c r="O53" s="929" t="s">
        <v>2244</v>
      </c>
      <c r="P53" s="929" t="s">
        <v>2244</v>
      </c>
      <c r="Q53" s="929" t="s">
        <v>2244</v>
      </c>
      <c r="R53" s="929" t="s">
        <v>2244</v>
      </c>
      <c r="S53" s="929" t="s">
        <v>2244</v>
      </c>
      <c r="T53" s="929" t="s">
        <v>2244</v>
      </c>
      <c r="U53" s="929" t="s">
        <v>2244</v>
      </c>
      <c r="V53" s="929" t="s">
        <v>2244</v>
      </c>
      <c r="W53" s="929" t="s">
        <v>2244</v>
      </c>
      <c r="X53" s="929" t="s">
        <v>2244</v>
      </c>
      <c r="Y53" s="929" t="s">
        <v>2244</v>
      </c>
      <c r="Z53" s="929" t="s">
        <v>2244</v>
      </c>
      <c r="AA53" s="929" t="s">
        <v>2244</v>
      </c>
      <c r="AB53" s="929" t="s">
        <v>2244</v>
      </c>
      <c r="AC53" s="929" t="s">
        <v>2244</v>
      </c>
      <c r="AD53" s="929" t="s">
        <v>2244</v>
      </c>
      <c r="AE53" s="929" t="s">
        <v>2244</v>
      </c>
      <c r="AF53" s="929" t="s">
        <v>2244</v>
      </c>
      <c r="AG53" s="929" t="s">
        <v>2244</v>
      </c>
      <c r="AH53" s="929" t="s">
        <v>2244</v>
      </c>
      <c r="AI53" s="929" t="s">
        <v>2244</v>
      </c>
      <c r="AJ53" s="929" t="s">
        <v>2244</v>
      </c>
      <c r="AK53" s="929" t="s">
        <v>2244</v>
      </c>
      <c r="AL53" s="929" t="s">
        <v>2244</v>
      </c>
    </row>
    <row r="54" spans="1:41" ht="39" thickBot="1">
      <c r="A54" s="919" t="s">
        <v>1437</v>
      </c>
      <c r="B54" s="919" t="s">
        <v>1582</v>
      </c>
      <c r="C54" s="917" t="s">
        <v>1603</v>
      </c>
      <c r="D54" s="926" t="s">
        <v>1604</v>
      </c>
      <c r="E54" s="927" t="s">
        <v>1605</v>
      </c>
      <c r="F54" s="928" t="s">
        <v>1442</v>
      </c>
      <c r="G54" s="928" t="s">
        <v>1442</v>
      </c>
      <c r="H54" s="929" t="s">
        <v>1479</v>
      </c>
      <c r="I54" s="929" t="s">
        <v>2243</v>
      </c>
      <c r="J54" s="929" t="s">
        <v>2243</v>
      </c>
      <c r="K54" s="929" t="s">
        <v>2243</v>
      </c>
      <c r="L54" s="929" t="s">
        <v>2243</v>
      </c>
      <c r="M54" s="929" t="s">
        <v>2243</v>
      </c>
      <c r="N54" s="929" t="s">
        <v>2243</v>
      </c>
      <c r="O54" s="929" t="s">
        <v>2243</v>
      </c>
      <c r="P54" s="929" t="s">
        <v>2243</v>
      </c>
      <c r="Q54" s="929" t="s">
        <v>2243</v>
      </c>
      <c r="R54" s="929" t="s">
        <v>2243</v>
      </c>
      <c r="S54" s="929" t="s">
        <v>2243</v>
      </c>
      <c r="T54" s="929" t="s">
        <v>2243</v>
      </c>
      <c r="U54" s="929" t="s">
        <v>2243</v>
      </c>
      <c r="V54" s="929" t="s">
        <v>2243</v>
      </c>
      <c r="W54" s="929" t="s">
        <v>2243</v>
      </c>
      <c r="X54" s="929" t="s">
        <v>2243</v>
      </c>
      <c r="Y54" s="929" t="s">
        <v>2243</v>
      </c>
      <c r="Z54" s="929" t="s">
        <v>2243</v>
      </c>
      <c r="AA54" s="929" t="s">
        <v>2243</v>
      </c>
      <c r="AB54" s="929" t="s">
        <v>2243</v>
      </c>
      <c r="AC54" s="929" t="s">
        <v>2243</v>
      </c>
      <c r="AD54" s="929" t="s">
        <v>2243</v>
      </c>
      <c r="AE54" s="929" t="s">
        <v>2243</v>
      </c>
      <c r="AF54" s="929" t="s">
        <v>2243</v>
      </c>
      <c r="AG54" s="929" t="s">
        <v>2243</v>
      </c>
      <c r="AH54" s="929" t="s">
        <v>2243</v>
      </c>
      <c r="AI54" s="929" t="s">
        <v>2243</v>
      </c>
      <c r="AJ54" s="929" t="s">
        <v>2243</v>
      </c>
      <c r="AK54" s="929" t="s">
        <v>2243</v>
      </c>
      <c r="AL54" s="929" t="s">
        <v>2243</v>
      </c>
    </row>
    <row r="55" spans="1:41" ht="26.25" thickBot="1">
      <c r="A55" s="919" t="s">
        <v>1437</v>
      </c>
      <c r="B55" s="919" t="s">
        <v>1582</v>
      </c>
      <c r="C55" s="917" t="s">
        <v>1606</v>
      </c>
      <c r="D55" s="926" t="s">
        <v>1607</v>
      </c>
      <c r="E55" s="927" t="s">
        <v>1608</v>
      </c>
      <c r="F55" s="928" t="s">
        <v>1442</v>
      </c>
      <c r="G55" s="928" t="s">
        <v>1486</v>
      </c>
      <c r="H55" s="929" t="s">
        <v>1609</v>
      </c>
      <c r="I55" s="929" t="s">
        <v>2244</v>
      </c>
      <c r="J55" s="929" t="s">
        <v>2244</v>
      </c>
      <c r="K55" s="929" t="s">
        <v>2244</v>
      </c>
      <c r="L55" s="929" t="s">
        <v>2244</v>
      </c>
      <c r="M55" s="929" t="s">
        <v>2244</v>
      </c>
      <c r="N55" s="929" t="s">
        <v>2244</v>
      </c>
      <c r="O55" s="929" t="s">
        <v>2244</v>
      </c>
      <c r="P55" s="929" t="s">
        <v>2244</v>
      </c>
      <c r="Q55" s="929" t="s">
        <v>2244</v>
      </c>
      <c r="R55" s="929" t="s">
        <v>2244</v>
      </c>
      <c r="S55" s="929" t="s">
        <v>2244</v>
      </c>
      <c r="T55" s="929" t="s">
        <v>2244</v>
      </c>
      <c r="U55" s="929" t="s">
        <v>2244</v>
      </c>
      <c r="V55" s="929" t="s">
        <v>2244</v>
      </c>
      <c r="W55" s="929" t="s">
        <v>2244</v>
      </c>
      <c r="X55" s="929" t="s">
        <v>2244</v>
      </c>
      <c r="Y55" s="929" t="s">
        <v>2244</v>
      </c>
      <c r="Z55" s="929" t="s">
        <v>2244</v>
      </c>
      <c r="AA55" s="929" t="s">
        <v>2244</v>
      </c>
      <c r="AB55" s="929" t="s">
        <v>2244</v>
      </c>
      <c r="AC55" s="929" t="s">
        <v>2244</v>
      </c>
      <c r="AD55" s="929" t="s">
        <v>2244</v>
      </c>
      <c r="AE55" s="929" t="s">
        <v>2244</v>
      </c>
      <c r="AF55" s="929" t="s">
        <v>2244</v>
      </c>
      <c r="AG55" s="929" t="s">
        <v>2244</v>
      </c>
      <c r="AH55" s="929" t="s">
        <v>2244</v>
      </c>
      <c r="AI55" s="929" t="s">
        <v>2244</v>
      </c>
      <c r="AJ55" s="929" t="s">
        <v>2244</v>
      </c>
      <c r="AK55" s="929" t="s">
        <v>2244</v>
      </c>
      <c r="AL55" s="929" t="s">
        <v>2244</v>
      </c>
    </row>
    <row r="56" spans="1:41" ht="26.25" thickBot="1">
      <c r="A56" s="919" t="s">
        <v>1437</v>
      </c>
      <c r="B56" s="919" t="s">
        <v>1582</v>
      </c>
      <c r="C56" s="917" t="s">
        <v>1610</v>
      </c>
      <c r="D56" s="926" t="s">
        <v>1611</v>
      </c>
      <c r="E56" s="927" t="s">
        <v>1612</v>
      </c>
      <c r="F56" s="928" t="s">
        <v>1442</v>
      </c>
      <c r="G56" s="928" t="s">
        <v>1486</v>
      </c>
      <c r="H56" s="929" t="s">
        <v>1609</v>
      </c>
      <c r="I56" s="929" t="s">
        <v>2244</v>
      </c>
      <c r="J56" s="929" t="s">
        <v>2244</v>
      </c>
      <c r="K56" s="929" t="s">
        <v>2244</v>
      </c>
      <c r="L56" s="929" t="s">
        <v>2244</v>
      </c>
      <c r="M56" s="929" t="s">
        <v>2244</v>
      </c>
      <c r="N56" s="929" t="s">
        <v>2244</v>
      </c>
      <c r="O56" s="929" t="s">
        <v>2244</v>
      </c>
      <c r="P56" s="929" t="s">
        <v>2244</v>
      </c>
      <c r="Q56" s="929" t="s">
        <v>2244</v>
      </c>
      <c r="R56" s="929" t="s">
        <v>2244</v>
      </c>
      <c r="S56" s="929" t="s">
        <v>2244</v>
      </c>
      <c r="T56" s="929" t="s">
        <v>2244</v>
      </c>
      <c r="U56" s="929" t="s">
        <v>2244</v>
      </c>
      <c r="V56" s="929" t="s">
        <v>2244</v>
      </c>
      <c r="W56" s="929" t="s">
        <v>2244</v>
      </c>
      <c r="X56" s="929" t="s">
        <v>2244</v>
      </c>
      <c r="Y56" s="929" t="s">
        <v>2244</v>
      </c>
      <c r="Z56" s="929" t="s">
        <v>2244</v>
      </c>
      <c r="AA56" s="929" t="s">
        <v>2244</v>
      </c>
      <c r="AB56" s="929" t="s">
        <v>2244</v>
      </c>
      <c r="AC56" s="929" t="s">
        <v>2244</v>
      </c>
      <c r="AD56" s="929" t="s">
        <v>2244</v>
      </c>
      <c r="AE56" s="929" t="s">
        <v>2244</v>
      </c>
      <c r="AF56" s="929" t="s">
        <v>2244</v>
      </c>
      <c r="AG56" s="929" t="s">
        <v>2244</v>
      </c>
      <c r="AH56" s="929" t="s">
        <v>2244</v>
      </c>
      <c r="AI56" s="929" t="s">
        <v>2244</v>
      </c>
      <c r="AJ56" s="929" t="s">
        <v>2244</v>
      </c>
      <c r="AK56" s="929" t="s">
        <v>2244</v>
      </c>
      <c r="AL56" s="929" t="s">
        <v>2244</v>
      </c>
    </row>
    <row r="57" spans="1:41" ht="90" thickBot="1">
      <c r="A57" s="919" t="s">
        <v>1437</v>
      </c>
      <c r="B57" s="919" t="s">
        <v>1582</v>
      </c>
      <c r="C57" s="917" t="s">
        <v>1613</v>
      </c>
      <c r="D57" s="926" t="s">
        <v>1614</v>
      </c>
      <c r="E57" s="927" t="s">
        <v>1615</v>
      </c>
      <c r="F57" s="928" t="s">
        <v>1442</v>
      </c>
      <c r="G57" s="928" t="s">
        <v>1442</v>
      </c>
      <c r="H57" s="929" t="s">
        <v>1469</v>
      </c>
      <c r="I57" s="929" t="s">
        <v>865</v>
      </c>
      <c r="J57" s="929" t="s">
        <v>865</v>
      </c>
      <c r="K57" s="929" t="s">
        <v>865</v>
      </c>
      <c r="L57" s="929" t="s">
        <v>865</v>
      </c>
      <c r="M57" s="929" t="s">
        <v>865</v>
      </c>
      <c r="N57" s="929" t="s">
        <v>865</v>
      </c>
      <c r="O57" s="929" t="s">
        <v>865</v>
      </c>
      <c r="P57" s="929" t="s">
        <v>865</v>
      </c>
      <c r="Q57" s="929" t="s">
        <v>865</v>
      </c>
      <c r="R57" s="929" t="s">
        <v>865</v>
      </c>
      <c r="S57" s="929" t="s">
        <v>865</v>
      </c>
      <c r="T57" s="929" t="s">
        <v>865</v>
      </c>
      <c r="U57" s="929" t="s">
        <v>865</v>
      </c>
      <c r="V57" s="929" t="s">
        <v>865</v>
      </c>
      <c r="W57" s="929" t="s">
        <v>865</v>
      </c>
      <c r="X57" s="929" t="s">
        <v>865</v>
      </c>
      <c r="Y57" s="929" t="s">
        <v>865</v>
      </c>
      <c r="Z57" s="929" t="s">
        <v>865</v>
      </c>
      <c r="AA57" s="929" t="s">
        <v>865</v>
      </c>
      <c r="AB57" s="929" t="s">
        <v>865</v>
      </c>
      <c r="AC57" s="929" t="s">
        <v>865</v>
      </c>
      <c r="AD57" s="929" t="s">
        <v>865</v>
      </c>
      <c r="AE57" s="929" t="s">
        <v>865</v>
      </c>
      <c r="AF57" s="929" t="s">
        <v>865</v>
      </c>
      <c r="AG57" s="929" t="s">
        <v>865</v>
      </c>
      <c r="AH57" s="929" t="s">
        <v>865</v>
      </c>
      <c r="AI57" s="929" t="s">
        <v>865</v>
      </c>
      <c r="AJ57" s="929" t="s">
        <v>865</v>
      </c>
      <c r="AK57" s="929" t="s">
        <v>865</v>
      </c>
      <c r="AL57" s="929" t="s">
        <v>865</v>
      </c>
    </row>
    <row r="58" spans="1:41" ht="13.5" thickBot="1">
      <c r="A58" s="919" t="s">
        <v>1437</v>
      </c>
      <c r="B58" s="919" t="s">
        <v>1616</v>
      </c>
      <c r="C58" s="920" t="s">
        <v>1616</v>
      </c>
      <c r="D58" s="921"/>
      <c r="E58" s="922"/>
      <c r="F58" s="923" t="s">
        <v>653</v>
      </c>
      <c r="G58" s="923" t="s">
        <v>653</v>
      </c>
      <c r="H58" s="924"/>
      <c r="I58" s="925"/>
    </row>
    <row r="59" spans="1:41" ht="13.5" thickBot="1">
      <c r="A59" s="919" t="s">
        <v>1437</v>
      </c>
      <c r="B59" s="919" t="s">
        <v>1616</v>
      </c>
      <c r="C59" s="917" t="s">
        <v>1617</v>
      </c>
      <c r="D59" s="926" t="s">
        <v>1440</v>
      </c>
      <c r="E59" s="927" t="s">
        <v>1584</v>
      </c>
      <c r="F59" s="928" t="s">
        <v>1442</v>
      </c>
      <c r="G59" s="928" t="s">
        <v>1442</v>
      </c>
      <c r="H59" s="929" t="s">
        <v>1443</v>
      </c>
      <c r="I59" s="936" t="str">
        <f>I3</f>
        <v>969500Z05GRNU3KPEY94</v>
      </c>
      <c r="J59" s="936" t="str">
        <f>$I$59</f>
        <v>969500Z05GRNU3KPEY94</v>
      </c>
      <c r="K59" s="936" t="str">
        <f t="shared" ref="K59:Z59" si="2">$I$59</f>
        <v>969500Z05GRNU3KPEY94</v>
      </c>
      <c r="L59" s="936" t="str">
        <f t="shared" si="2"/>
        <v>969500Z05GRNU3KPEY94</v>
      </c>
      <c r="M59" s="936" t="str">
        <f t="shared" si="2"/>
        <v>969500Z05GRNU3KPEY94</v>
      </c>
      <c r="N59" s="936" t="str">
        <f t="shared" si="2"/>
        <v>969500Z05GRNU3KPEY94</v>
      </c>
      <c r="O59" s="936" t="str">
        <f t="shared" si="2"/>
        <v>969500Z05GRNU3KPEY94</v>
      </c>
      <c r="P59" s="936" t="str">
        <f t="shared" si="2"/>
        <v>969500Z05GRNU3KPEY94</v>
      </c>
      <c r="Q59" s="936" t="str">
        <f t="shared" si="2"/>
        <v>969500Z05GRNU3KPEY94</v>
      </c>
      <c r="R59" s="936" t="str">
        <f t="shared" si="2"/>
        <v>969500Z05GRNU3KPEY94</v>
      </c>
      <c r="S59" s="936" t="str">
        <f t="shared" si="2"/>
        <v>969500Z05GRNU3KPEY94</v>
      </c>
      <c r="T59" s="936" t="str">
        <f t="shared" si="2"/>
        <v>969500Z05GRNU3KPEY94</v>
      </c>
      <c r="U59" s="936" t="str">
        <f t="shared" si="2"/>
        <v>969500Z05GRNU3KPEY94</v>
      </c>
      <c r="V59" s="936" t="str">
        <f t="shared" si="2"/>
        <v>969500Z05GRNU3KPEY94</v>
      </c>
      <c r="W59" s="936" t="str">
        <f t="shared" si="2"/>
        <v>969500Z05GRNU3KPEY94</v>
      </c>
      <c r="X59" s="936" t="str">
        <f t="shared" si="2"/>
        <v>969500Z05GRNU3KPEY94</v>
      </c>
      <c r="Y59" s="936" t="str">
        <f t="shared" si="2"/>
        <v>969500Z05GRNU3KPEY94</v>
      </c>
      <c r="Z59" s="936" t="str">
        <f t="shared" si="2"/>
        <v>969500Z05GRNU3KPEY94</v>
      </c>
    </row>
    <row r="60" spans="1:41" ht="26.25" thickBot="1">
      <c r="A60" s="919" t="s">
        <v>1437</v>
      </c>
      <c r="B60" s="919" t="s">
        <v>1616</v>
      </c>
      <c r="C60" s="917" t="s">
        <v>1618</v>
      </c>
      <c r="D60" s="926" t="s">
        <v>1619</v>
      </c>
      <c r="E60" s="927" t="s">
        <v>1620</v>
      </c>
      <c r="F60" s="928" t="s">
        <v>1442</v>
      </c>
      <c r="G60" s="928" t="s">
        <v>1442</v>
      </c>
      <c r="H60" s="929" t="s">
        <v>1588</v>
      </c>
      <c r="I60" s="929" t="s">
        <v>2245</v>
      </c>
      <c r="J60" s="929" t="s">
        <v>2246</v>
      </c>
      <c r="K60" s="929" t="s">
        <v>2247</v>
      </c>
      <c r="L60" s="929" t="s">
        <v>2248</v>
      </c>
      <c r="M60" s="929" t="s">
        <v>2249</v>
      </c>
      <c r="N60" s="929" t="s">
        <v>2262</v>
      </c>
      <c r="O60" s="929" t="s">
        <v>2250</v>
      </c>
      <c r="P60" s="929" t="s">
        <v>2251</v>
      </c>
      <c r="Q60" s="929" t="s">
        <v>2252</v>
      </c>
      <c r="R60" s="929" t="s">
        <v>2253</v>
      </c>
      <c r="S60" s="929" t="s">
        <v>2254</v>
      </c>
      <c r="T60" s="929" t="s">
        <v>2255</v>
      </c>
      <c r="U60" s="929" t="s">
        <v>2256</v>
      </c>
      <c r="V60" s="929" t="s">
        <v>2257</v>
      </c>
      <c r="W60" s="929" t="s">
        <v>2258</v>
      </c>
      <c r="X60" s="929" t="s">
        <v>2259</v>
      </c>
      <c r="Y60" s="929" t="s">
        <v>2260</v>
      </c>
      <c r="Z60" s="929" t="s">
        <v>2261</v>
      </c>
    </row>
    <row r="61" spans="1:41" ht="26.25" thickBot="1">
      <c r="A61" s="919" t="s">
        <v>1437</v>
      </c>
      <c r="B61" s="919" t="s">
        <v>1616</v>
      </c>
      <c r="C61" s="917" t="s">
        <v>1621</v>
      </c>
      <c r="D61" s="926" t="s">
        <v>1622</v>
      </c>
      <c r="E61" s="927" t="s">
        <v>1623</v>
      </c>
      <c r="F61" s="928" t="s">
        <v>1442</v>
      </c>
      <c r="G61" s="928" t="s">
        <v>1442</v>
      </c>
      <c r="H61" s="929" t="s">
        <v>1588</v>
      </c>
      <c r="I61" s="929" t="str">
        <f>I60</f>
        <v>PPOP_INCF1</v>
      </c>
      <c r="J61" s="929" t="str">
        <f t="shared" ref="J61:Z61" si="3">J60</f>
        <v>PPOP_OUTCF1</v>
      </c>
      <c r="K61" s="929" t="str">
        <f t="shared" si="3"/>
        <v>PPOP_OUTCF2</v>
      </c>
      <c r="L61" s="929" t="str">
        <f t="shared" si="3"/>
        <v>PPOP_OUTCF3</v>
      </c>
      <c r="M61" s="929" t="str">
        <f t="shared" si="3"/>
        <v>PPOP_OUTCF4</v>
      </c>
      <c r="N61" s="929" t="str">
        <f t="shared" si="3"/>
        <v>IPOP_INCF1</v>
      </c>
      <c r="O61" s="929" t="str">
        <f t="shared" si="3"/>
        <v>IPOP_OUTCF1</v>
      </c>
      <c r="P61" s="929" t="str">
        <f t="shared" si="3"/>
        <v>IPOP_OUTCF2</v>
      </c>
      <c r="Q61" s="929" t="str">
        <f t="shared" si="3"/>
        <v>IPOP_OUTCF3</v>
      </c>
      <c r="R61" s="929" t="str">
        <f t="shared" si="3"/>
        <v>IPOP_OUTCF4</v>
      </c>
      <c r="S61" s="929" t="str">
        <f t="shared" si="3"/>
        <v>IPOP_OUTCF5</v>
      </c>
      <c r="T61" s="929" t="str">
        <f t="shared" si="3"/>
        <v>IPOP_OUTCF6</v>
      </c>
      <c r="U61" s="929" t="str">
        <f t="shared" si="3"/>
        <v>IPOP_OUTCF7</v>
      </c>
      <c r="V61" s="929" t="str">
        <f t="shared" si="3"/>
        <v>IPOP_OUTCF8</v>
      </c>
      <c r="W61" s="929" t="str">
        <f t="shared" si="3"/>
        <v>IPOP_OUTCF9</v>
      </c>
      <c r="X61" s="929" t="str">
        <f t="shared" si="3"/>
        <v>IPOP_OUTCF10</v>
      </c>
      <c r="Y61" s="929" t="str">
        <f t="shared" si="3"/>
        <v>IPOP_OUTCF11</v>
      </c>
      <c r="Z61" s="929" t="str">
        <f t="shared" si="3"/>
        <v>IPOP_OUTCF12</v>
      </c>
    </row>
    <row r="62" spans="1:41" ht="141" thickBot="1">
      <c r="A62" s="919" t="s">
        <v>1437</v>
      </c>
      <c r="B62" s="919" t="s">
        <v>1616</v>
      </c>
      <c r="C62" s="917" t="s">
        <v>1624</v>
      </c>
      <c r="D62" s="926" t="s">
        <v>1625</v>
      </c>
      <c r="E62" s="927" t="s">
        <v>1626</v>
      </c>
      <c r="F62" s="928" t="s">
        <v>1442</v>
      </c>
      <c r="G62" s="928" t="s">
        <v>1442</v>
      </c>
      <c r="H62" s="929" t="s">
        <v>1588</v>
      </c>
      <c r="I62" s="938" t="str">
        <f t="array" ref="I62:M62">TRANSPOSE('15 - Priority of Payments'!F23:H27)</f>
        <v>Available Principal Distribution Amount</v>
      </c>
      <c r="J62" s="939" t="str">
        <v>(a)	payment of the Principal Reallocated Amount due and payable on such Payment Date</v>
      </c>
      <c r="K62" s="939" t="str">
        <v xml:space="preserve">(b)	during the Normal Redemption Period only, towards payment on a pari passu basis of the Class A Notes Principal Payment (and any principal arrears) to the Class A Noteholders until all the Class A Notes have been redeemed in full; </v>
      </c>
      <c r="L62" s="939"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39" t="str">
        <v>(d)	on the Issuer Liquidation Date, to the payment of the liquidation surplus (boni de liquidation) to the Residual Unitholder as principal and interest.</v>
      </c>
      <c r="N62" s="938" t="str">
        <f t="array" ref="N62:Z62">TRANSPOSE('15 - Priority of Payments'!F44:H56)</f>
        <v>Available Interest Distribution Amount</v>
      </c>
      <c r="O62" s="939" t="str">
        <v>(a)	payment, if any, of the Servicer Fees Arrears</v>
      </c>
      <c r="P62" s="939" t="str">
        <v>(b)	payment of the Servicer Fees;</v>
      </c>
      <c r="Q62" s="939" t="str">
        <v>(c)	payment, if any, of the Issuer Operating Expenses Arrears to each relevant creditor;</v>
      </c>
      <c r="R62" s="939" t="str">
        <v>(d)	payment of the Issuer Operating Expenses, excluding the Servicer Fees paid under paragraph (b) above, to each relevant creditor;</v>
      </c>
      <c r="S62" s="939" t="str">
        <v xml:space="preserve">(e)	payment pari passu and pro rata of the Class A Notes Interest Amount and, in priority thereto, any Class A Notes Interest Shortfall, due and payable to the Class A Noteholders; </v>
      </c>
      <c r="T62" s="939" t="str">
        <v>(f)	credit of the Class A Notes Deficiency Ledger in an amount sufficient to eliminate any debit thereof;</v>
      </c>
      <c r="U62" s="939" t="str">
        <v>(g)	transfer into the Reserve Account of an amount such as the amount standing to the credit of the Reserve Account after such transfer is equal to the Reserve Fund Required Amount;</v>
      </c>
      <c r="V62" s="939" t="str">
        <v>(h)	payment pari passu and pro rata of the Class B Notes Interest Amount and, in priority thereto, any Class B Notes Interest Shortfall, due and payable to the Class B Noteholders;</v>
      </c>
      <c r="W62" s="939" t="str">
        <v>(i)	credit of the Class B Notes Deficiency Ledger in an amount sufficient to eliminate any debit thereof;</v>
      </c>
      <c r="X62" s="939"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39"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39" t="str">
        <v>(l)	payment on a pro rata basis of any remaining credit balance on the Interest Account as interest to the Residual Unitholders.</v>
      </c>
    </row>
    <row r="63" spans="1:41" ht="77.25" thickBot="1">
      <c r="A63" s="919" t="s">
        <v>1437</v>
      </c>
      <c r="B63" s="919" t="s">
        <v>1616</v>
      </c>
      <c r="C63" s="917" t="s">
        <v>1627</v>
      </c>
      <c r="D63" s="926" t="s">
        <v>1628</v>
      </c>
      <c r="E63" s="927" t="s">
        <v>1629</v>
      </c>
      <c r="F63" s="928" t="s">
        <v>1442</v>
      </c>
      <c r="G63" s="928" t="s">
        <v>1442</v>
      </c>
      <c r="H63" s="929" t="s">
        <v>1490</v>
      </c>
      <c r="I63" s="941" t="str">
        <f t="array" ref="I63:M63">TEXT(TRANSPOSE('15 - Priority of Payments'!J23:J27),"### ###0,00")&amp;" EUR"</f>
        <v>21 458 261,35 EUR</v>
      </c>
      <c r="J63" s="940" t="str">
        <v>0,00 EUR</v>
      </c>
      <c r="K63" s="940" t="str">
        <v>21 458 261,35 EUR</v>
      </c>
      <c r="L63" s="940" t="str">
        <v>0,00 EUR</v>
      </c>
      <c r="M63" s="940" t="str">
        <v>0,00 EUR</v>
      </c>
      <c r="N63" s="941">
        <f t="array" ref="N63:Z63">TRANSPOSE('15 - Priority of Payments'!J44:J56)</f>
        <v>13270607.060000001</v>
      </c>
      <c r="O63" s="940">
        <v>0</v>
      </c>
      <c r="P63" s="940">
        <v>1891.84</v>
      </c>
      <c r="Q63" s="940">
        <v>0</v>
      </c>
      <c r="R63" s="940">
        <v>38931.621369863016</v>
      </c>
      <c r="S63" s="940">
        <v>412970.7</v>
      </c>
      <c r="T63" s="940">
        <v>0</v>
      </c>
      <c r="U63" s="940">
        <v>9802500</v>
      </c>
      <c r="V63" s="940">
        <v>0</v>
      </c>
      <c r="W63" s="940">
        <v>1544430.37</v>
      </c>
      <c r="X63" s="940">
        <v>0</v>
      </c>
      <c r="Y63" s="940">
        <v>0</v>
      </c>
      <c r="Z63" s="940">
        <v>1469882.5286301384</v>
      </c>
    </row>
    <row r="64" spans="1:41" ht="77.25" thickBot="1">
      <c r="A64" s="919" t="s">
        <v>1437</v>
      </c>
      <c r="B64" s="919" t="s">
        <v>1616</v>
      </c>
      <c r="C64" s="917" t="s">
        <v>1630</v>
      </c>
      <c r="D64" s="926" t="s">
        <v>1631</v>
      </c>
      <c r="E64" s="927" t="s">
        <v>1632</v>
      </c>
      <c r="F64" s="928" t="s">
        <v>1442</v>
      </c>
      <c r="G64" s="928" t="s">
        <v>1442</v>
      </c>
      <c r="H64" s="929" t="s">
        <v>1490</v>
      </c>
      <c r="I64" s="929" t="str">
        <f t="array" ref="I64:M64">TEXT(TRANSPOSE('15 - Priority of Payments'!L23:L27),"### ###0,00")&amp;" EUR"</f>
        <v>21 458 261,35 EUR</v>
      </c>
      <c r="J64" s="929" t="str">
        <v>21 458 261,35 EUR</v>
      </c>
      <c r="K64" s="929" t="str">
        <v>0,00 EUR</v>
      </c>
      <c r="L64" s="929" t="str">
        <v>0,00 EUR</v>
      </c>
      <c r="M64" s="929" t="str">
        <v>0,00 EUR</v>
      </c>
      <c r="N64" s="929" t="str">
        <f t="array" ref="N64:Z64">TEXT(TRANSPOSE('15 - Priority of Payments'!L44:L56),"### ###0,00")&amp;" EUR"</f>
        <v>13 270 607,06 EUR</v>
      </c>
      <c r="O64" s="929" t="str">
        <v>13 270 607,06 EUR</v>
      </c>
      <c r="P64" s="929" t="str">
        <v>13 268 715,22 EUR</v>
      </c>
      <c r="Q64" s="929" t="str">
        <v>13 268 715,22 EUR</v>
      </c>
      <c r="R64" s="929" t="str">
        <v>13 229 783,60 EUR</v>
      </c>
      <c r="S64" s="929" t="str">
        <v>12 816 812,90 EUR</v>
      </c>
      <c r="T64" s="929" t="str">
        <v>12 816 812,90 EUR</v>
      </c>
      <c r="U64" s="929" t="str">
        <v>3 014 312,90 EUR</v>
      </c>
      <c r="V64" s="929" t="str">
        <v>3 014 312,90 EUR</v>
      </c>
      <c r="W64" s="929" t="str">
        <v>1 469 882,53 EUR</v>
      </c>
      <c r="X64" s="929" t="str">
        <v>1 469 882,53 EUR</v>
      </c>
      <c r="Y64" s="929" t="str">
        <v>1 469 882,53 EUR</v>
      </c>
      <c r="Z64" s="929" t="str">
        <v>0,00 EUR</v>
      </c>
    </row>
  </sheetData>
  <phoneticPr fontId="176"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ColWidth="9.140625" defaultRowHeight="12.7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33.5703125" customWidth="1"/>
    <col min="10" max="10" width="33.140625" customWidth="1"/>
    <col min="11" max="11" width="32" customWidth="1"/>
    <col min="12" max="12" width="24.28515625" customWidth="1"/>
    <col min="13" max="18" width="26.28515625" customWidth="1"/>
  </cols>
  <sheetData>
    <row r="1" spans="1:9" ht="26.25" thickBot="1">
      <c r="A1" s="916" t="s">
        <v>1428</v>
      </c>
      <c r="B1" s="916" t="s">
        <v>1429</v>
      </c>
      <c r="C1" s="917" t="s">
        <v>1430</v>
      </c>
      <c r="D1" s="916" t="s">
        <v>1431</v>
      </c>
      <c r="E1" s="916" t="s">
        <v>1432</v>
      </c>
      <c r="F1" s="916" t="s">
        <v>1433</v>
      </c>
      <c r="G1" s="916" t="s">
        <v>1434</v>
      </c>
      <c r="H1" s="916" t="s">
        <v>1435</v>
      </c>
      <c r="I1" s="918" t="s">
        <v>1436</v>
      </c>
    </row>
    <row r="2" spans="1:9" ht="39" thickBot="1">
      <c r="A2" s="931" t="s">
        <v>1633</v>
      </c>
      <c r="B2" s="919" t="s">
        <v>1438</v>
      </c>
      <c r="C2" s="920" t="s">
        <v>1438</v>
      </c>
      <c r="D2" s="921"/>
      <c r="E2" s="922"/>
      <c r="F2" s="923" t="s">
        <v>653</v>
      </c>
      <c r="G2" s="923" t="s">
        <v>653</v>
      </c>
      <c r="H2" s="924"/>
      <c r="I2" s="925"/>
    </row>
    <row r="3" spans="1:9" ht="39" thickBot="1">
      <c r="A3" s="931" t="s">
        <v>1633</v>
      </c>
      <c r="B3" s="919" t="s">
        <v>1438</v>
      </c>
      <c r="C3" s="917" t="s">
        <v>1634</v>
      </c>
      <c r="D3" s="926" t="s">
        <v>1440</v>
      </c>
      <c r="E3" s="927" t="s">
        <v>1441</v>
      </c>
      <c r="F3" s="932" t="s">
        <v>1442</v>
      </c>
      <c r="G3" s="928" t="s">
        <v>1442</v>
      </c>
      <c r="H3" s="929" t="s">
        <v>1443</v>
      </c>
      <c r="I3" s="936" t="str">
        <f>'00 - Cover'!F10</f>
        <v>969500Z05GRNU3KPEY94</v>
      </c>
    </row>
    <row r="4" spans="1:9" ht="39" thickBot="1">
      <c r="A4" s="931" t="s">
        <v>1633</v>
      </c>
      <c r="B4" s="919" t="s">
        <v>1438</v>
      </c>
      <c r="C4" s="917" t="s">
        <v>1635</v>
      </c>
      <c r="D4" s="926" t="s">
        <v>1445</v>
      </c>
      <c r="E4" s="927" t="s">
        <v>1636</v>
      </c>
      <c r="F4" s="932" t="s">
        <v>1442</v>
      </c>
      <c r="G4" s="928" t="s">
        <v>1442</v>
      </c>
      <c r="H4" s="929" t="s">
        <v>1447</v>
      </c>
      <c r="I4" s="936">
        <f>'00 - Cover'!F13</f>
        <v>46203</v>
      </c>
    </row>
    <row r="5" spans="1:9" ht="39" thickBot="1">
      <c r="A5" s="931" t="s">
        <v>1633</v>
      </c>
      <c r="B5" s="919" t="s">
        <v>1438</v>
      </c>
      <c r="C5" s="917" t="s">
        <v>1637</v>
      </c>
      <c r="D5" s="926" t="s">
        <v>1638</v>
      </c>
      <c r="E5" s="927" t="s">
        <v>1639</v>
      </c>
      <c r="F5" s="928" t="s">
        <v>1442</v>
      </c>
      <c r="G5" s="928" t="s">
        <v>1486</v>
      </c>
      <c r="H5" s="929" t="s">
        <v>1479</v>
      </c>
      <c r="I5" s="929" t="s">
        <v>2244</v>
      </c>
    </row>
    <row r="6" spans="1:9" ht="39" thickBot="1">
      <c r="A6" s="931" t="s">
        <v>1633</v>
      </c>
      <c r="B6" s="919" t="s">
        <v>1438</v>
      </c>
      <c r="C6" s="917" t="s">
        <v>1640</v>
      </c>
      <c r="D6" s="926" t="s">
        <v>1641</v>
      </c>
      <c r="E6" s="927" t="s">
        <v>1642</v>
      </c>
      <c r="F6" s="928" t="s">
        <v>1442</v>
      </c>
      <c r="G6" s="928" t="s">
        <v>1486</v>
      </c>
      <c r="H6" s="929" t="s">
        <v>1479</v>
      </c>
      <c r="I6" s="929" t="s">
        <v>2244</v>
      </c>
    </row>
    <row r="7" spans="1:9" ht="39" thickBot="1">
      <c r="A7" s="931" t="s">
        <v>1633</v>
      </c>
      <c r="B7" s="919" t="s">
        <v>1438</v>
      </c>
      <c r="C7" s="917" t="s">
        <v>1643</v>
      </c>
      <c r="D7" s="926" t="s">
        <v>1644</v>
      </c>
      <c r="E7" s="927" t="s">
        <v>1645</v>
      </c>
      <c r="F7" s="928" t="s">
        <v>1442</v>
      </c>
      <c r="G7" s="928" t="s">
        <v>1486</v>
      </c>
      <c r="H7" s="929" t="s">
        <v>1479</v>
      </c>
      <c r="I7" s="929" t="s">
        <v>2244</v>
      </c>
    </row>
    <row r="8" spans="1:9" ht="39" thickBot="1">
      <c r="A8" s="931" t="s">
        <v>1633</v>
      </c>
      <c r="B8" s="919" t="s">
        <v>1438</v>
      </c>
      <c r="C8" s="917" t="s">
        <v>1646</v>
      </c>
      <c r="D8" s="926" t="s">
        <v>1647</v>
      </c>
      <c r="E8" s="927" t="s">
        <v>1648</v>
      </c>
      <c r="F8" s="928" t="s">
        <v>1442</v>
      </c>
      <c r="G8" s="928" t="s">
        <v>1486</v>
      </c>
      <c r="H8" s="929" t="s">
        <v>1595</v>
      </c>
      <c r="I8" s="929" t="s">
        <v>2244</v>
      </c>
    </row>
    <row r="9" spans="1:9" ht="39" thickBot="1">
      <c r="A9" s="931" t="s">
        <v>1633</v>
      </c>
      <c r="B9" s="919" t="s">
        <v>1438</v>
      </c>
      <c r="C9" s="917" t="s">
        <v>1649</v>
      </c>
      <c r="D9" s="926" t="s">
        <v>1650</v>
      </c>
      <c r="E9" s="927" t="s">
        <v>1651</v>
      </c>
      <c r="F9" s="928" t="s">
        <v>1442</v>
      </c>
      <c r="G9" s="928" t="s">
        <v>1486</v>
      </c>
      <c r="H9" s="929" t="s">
        <v>1479</v>
      </c>
      <c r="I9" s="929" t="s">
        <v>2244</v>
      </c>
    </row>
    <row r="10" spans="1:9" ht="102.75" thickBot="1">
      <c r="A10" s="931" t="s">
        <v>1633</v>
      </c>
      <c r="B10" s="919" t="s">
        <v>1438</v>
      </c>
      <c r="C10" s="917" t="s">
        <v>1652</v>
      </c>
      <c r="D10" s="926" t="s">
        <v>1653</v>
      </c>
      <c r="E10" s="927" t="s">
        <v>1654</v>
      </c>
      <c r="F10" s="928" t="s">
        <v>1442</v>
      </c>
      <c r="G10" s="928" t="s">
        <v>1442</v>
      </c>
      <c r="H10" s="929" t="s">
        <v>1469</v>
      </c>
      <c r="I10" s="929" t="s">
        <v>865</v>
      </c>
    </row>
    <row r="11" spans="1:9" ht="90" thickBot="1">
      <c r="A11" s="931" t="s">
        <v>1633</v>
      </c>
      <c r="B11" s="919" t="s">
        <v>1438</v>
      </c>
      <c r="C11" s="917" t="s">
        <v>1655</v>
      </c>
      <c r="D11" s="926" t="s">
        <v>1656</v>
      </c>
      <c r="E11" s="927" t="s">
        <v>1657</v>
      </c>
      <c r="F11" s="928" t="s">
        <v>1442</v>
      </c>
      <c r="G11" s="928" t="s">
        <v>1486</v>
      </c>
      <c r="H11" s="929" t="s">
        <v>1469</v>
      </c>
      <c r="I11" s="929" t="s">
        <v>865</v>
      </c>
    </row>
    <row r="12" spans="1:9" ht="51.75" thickBot="1">
      <c r="A12" s="931" t="s">
        <v>1633</v>
      </c>
      <c r="B12" s="919" t="s">
        <v>1438</v>
      </c>
      <c r="C12" s="917" t="s">
        <v>1658</v>
      </c>
      <c r="D12" s="926" t="s">
        <v>1659</v>
      </c>
      <c r="E12" s="927" t="s">
        <v>1660</v>
      </c>
      <c r="F12" s="928" t="s">
        <v>1442</v>
      </c>
      <c r="G12" s="928" t="s">
        <v>1486</v>
      </c>
      <c r="H12" s="929" t="s">
        <v>1490</v>
      </c>
      <c r="I12" s="929" t="s">
        <v>865</v>
      </c>
    </row>
    <row r="13" spans="1:9" ht="51.75" thickBot="1">
      <c r="A13" s="931" t="s">
        <v>1633</v>
      </c>
      <c r="B13" s="919" t="s">
        <v>1438</v>
      </c>
      <c r="C13" s="917" t="s">
        <v>1661</v>
      </c>
      <c r="D13" s="926" t="s">
        <v>1662</v>
      </c>
      <c r="E13" s="927" t="s">
        <v>1663</v>
      </c>
      <c r="F13" s="928" t="s">
        <v>1442</v>
      </c>
      <c r="G13" s="928" t="s">
        <v>1486</v>
      </c>
      <c r="H13" s="929" t="s">
        <v>1490</v>
      </c>
      <c r="I13" s="929" t="s">
        <v>2244</v>
      </c>
    </row>
    <row r="14" spans="1:9" ht="39" thickBot="1">
      <c r="A14" s="931" t="s">
        <v>1633</v>
      </c>
      <c r="B14" s="919" t="s">
        <v>1438</v>
      </c>
      <c r="C14" s="917" t="s">
        <v>1664</v>
      </c>
      <c r="D14" s="926" t="s">
        <v>1665</v>
      </c>
      <c r="E14" s="927" t="s">
        <v>1666</v>
      </c>
      <c r="F14" s="928" t="s">
        <v>1442</v>
      </c>
      <c r="G14" s="928" t="s">
        <v>1486</v>
      </c>
      <c r="H14" s="929" t="s">
        <v>1667</v>
      </c>
      <c r="I14" s="929" t="s">
        <v>2244</v>
      </c>
    </row>
    <row r="15" spans="1:9" ht="51.75" thickBot="1">
      <c r="A15" s="931" t="s">
        <v>1633</v>
      </c>
      <c r="B15" s="919" t="s">
        <v>1438</v>
      </c>
      <c r="C15" s="917" t="s">
        <v>1668</v>
      </c>
      <c r="D15" s="926" t="s">
        <v>1669</v>
      </c>
      <c r="E15" s="927" t="s">
        <v>1670</v>
      </c>
      <c r="F15" s="928" t="s">
        <v>1442</v>
      </c>
      <c r="G15" s="928" t="s">
        <v>1486</v>
      </c>
      <c r="H15" s="929" t="s">
        <v>1490</v>
      </c>
      <c r="I15" s="929" t="s">
        <v>2244</v>
      </c>
    </row>
    <row r="16" spans="1:9" ht="39" thickBot="1">
      <c r="A16" s="931" t="s">
        <v>1633</v>
      </c>
      <c r="B16" s="919" t="s">
        <v>1438</v>
      </c>
      <c r="C16" s="917" t="s">
        <v>1671</v>
      </c>
      <c r="D16" s="926" t="s">
        <v>1672</v>
      </c>
      <c r="E16" s="927" t="s">
        <v>1673</v>
      </c>
      <c r="F16" s="928" t="s">
        <v>1442</v>
      </c>
      <c r="G16" s="928" t="s">
        <v>1486</v>
      </c>
      <c r="H16" s="929" t="s">
        <v>1512</v>
      </c>
      <c r="I16" s="929" t="s">
        <v>2244</v>
      </c>
    </row>
    <row r="17" spans="1:10" ht="39" thickBot="1">
      <c r="A17" s="931" t="s">
        <v>1633</v>
      </c>
      <c r="B17" s="919" t="s">
        <v>1438</v>
      </c>
      <c r="C17" s="917" t="s">
        <v>1674</v>
      </c>
      <c r="D17" s="926" t="s">
        <v>1675</v>
      </c>
      <c r="E17" s="927" t="s">
        <v>1676</v>
      </c>
      <c r="F17" s="928" t="s">
        <v>1442</v>
      </c>
      <c r="G17" s="928" t="s">
        <v>1486</v>
      </c>
      <c r="H17" s="929" t="s">
        <v>1512</v>
      </c>
      <c r="I17" s="929" t="s">
        <v>2244</v>
      </c>
    </row>
    <row r="18" spans="1:10" ht="39" thickBot="1">
      <c r="A18" s="931" t="s">
        <v>1633</v>
      </c>
      <c r="B18" s="919" t="s">
        <v>1438</v>
      </c>
      <c r="C18" s="917" t="s">
        <v>1677</v>
      </c>
      <c r="D18" s="926" t="s">
        <v>1678</v>
      </c>
      <c r="E18" s="927" t="s">
        <v>1679</v>
      </c>
      <c r="F18" s="928" t="s">
        <v>1442</v>
      </c>
      <c r="G18" s="928" t="s">
        <v>1486</v>
      </c>
      <c r="H18" s="929" t="s">
        <v>1490</v>
      </c>
      <c r="I18" s="929" t="s">
        <v>2244</v>
      </c>
    </row>
    <row r="19" spans="1:10" ht="408.75" thickBot="1">
      <c r="A19" s="931" t="s">
        <v>1633</v>
      </c>
      <c r="B19" s="919" t="s">
        <v>1438</v>
      </c>
      <c r="C19" s="917" t="s">
        <v>1680</v>
      </c>
      <c r="D19" s="930" t="s">
        <v>1681</v>
      </c>
      <c r="E19" s="927" t="s">
        <v>1682</v>
      </c>
      <c r="F19" s="928" t="s">
        <v>1442</v>
      </c>
      <c r="G19" s="928" t="s">
        <v>1486</v>
      </c>
      <c r="H19" s="929" t="s">
        <v>1469</v>
      </c>
      <c r="I19" s="929" t="s">
        <v>2244</v>
      </c>
    </row>
    <row r="20" spans="1:10" ht="39" thickBot="1">
      <c r="A20" s="931" t="s">
        <v>1633</v>
      </c>
      <c r="B20" s="919" t="s">
        <v>1438</v>
      </c>
      <c r="C20" s="917" t="s">
        <v>1683</v>
      </c>
      <c r="D20" s="930" t="s">
        <v>1684</v>
      </c>
      <c r="E20" s="927" t="s">
        <v>1685</v>
      </c>
      <c r="F20" s="928" t="s">
        <v>1442</v>
      </c>
      <c r="G20" s="928" t="s">
        <v>1486</v>
      </c>
      <c r="H20" s="929" t="s">
        <v>1447</v>
      </c>
      <c r="I20" s="929" t="s">
        <v>2244</v>
      </c>
    </row>
    <row r="21" spans="1:10" ht="39" thickBot="1">
      <c r="A21" s="931" t="s">
        <v>1633</v>
      </c>
      <c r="B21" s="919" t="s">
        <v>1438</v>
      </c>
      <c r="C21" s="917" t="s">
        <v>1686</v>
      </c>
      <c r="D21" s="930" t="s">
        <v>1687</v>
      </c>
      <c r="E21" s="927" t="s">
        <v>1688</v>
      </c>
      <c r="F21" s="928" t="s">
        <v>1442</v>
      </c>
      <c r="G21" s="928" t="s">
        <v>1486</v>
      </c>
      <c r="H21" s="929" t="s">
        <v>1490</v>
      </c>
      <c r="I21" s="929" t="s">
        <v>2244</v>
      </c>
    </row>
    <row r="22" spans="1:10" ht="39" thickBot="1">
      <c r="A22" s="931" t="s">
        <v>1633</v>
      </c>
      <c r="B22" s="919" t="s">
        <v>1438</v>
      </c>
      <c r="C22" s="917" t="s">
        <v>1689</v>
      </c>
      <c r="D22" s="930" t="s">
        <v>1690</v>
      </c>
      <c r="E22" s="927" t="s">
        <v>1691</v>
      </c>
      <c r="F22" s="928" t="s">
        <v>1442</v>
      </c>
      <c r="G22" s="928" t="s">
        <v>1486</v>
      </c>
      <c r="H22" s="929" t="s">
        <v>1692</v>
      </c>
      <c r="I22" s="929" t="s">
        <v>2244</v>
      </c>
    </row>
    <row r="23" spans="1:10" ht="39" thickBot="1">
      <c r="A23" s="931" t="s">
        <v>1633</v>
      </c>
      <c r="B23" s="919" t="s">
        <v>1438</v>
      </c>
      <c r="C23" s="917" t="s">
        <v>1693</v>
      </c>
      <c r="D23" s="930" t="s">
        <v>1694</v>
      </c>
      <c r="E23" s="927" t="s">
        <v>1695</v>
      </c>
      <c r="F23" s="928" t="s">
        <v>1442</v>
      </c>
      <c r="G23" s="928" t="s">
        <v>1486</v>
      </c>
      <c r="H23" s="929" t="s">
        <v>1692</v>
      </c>
      <c r="I23" s="929" t="s">
        <v>2244</v>
      </c>
    </row>
    <row r="24" spans="1:10" ht="39" thickBot="1">
      <c r="A24" s="931" t="s">
        <v>1633</v>
      </c>
      <c r="B24" s="919" t="s">
        <v>1438</v>
      </c>
      <c r="C24" s="917" t="s">
        <v>1696</v>
      </c>
      <c r="D24" s="930" t="s">
        <v>1697</v>
      </c>
      <c r="E24" s="927" t="s">
        <v>1698</v>
      </c>
      <c r="F24" s="928" t="s">
        <v>1442</v>
      </c>
      <c r="G24" s="928" t="s">
        <v>1486</v>
      </c>
      <c r="H24" s="929" t="s">
        <v>1512</v>
      </c>
      <c r="I24" s="929" t="s">
        <v>2244</v>
      </c>
    </row>
    <row r="25" spans="1:10" ht="39" thickBot="1">
      <c r="A25" s="931" t="s">
        <v>1633</v>
      </c>
      <c r="B25" s="919" t="s">
        <v>1438</v>
      </c>
      <c r="C25" s="917" t="s">
        <v>1699</v>
      </c>
      <c r="D25" s="930" t="s">
        <v>1700</v>
      </c>
      <c r="E25" s="927" t="s">
        <v>1701</v>
      </c>
      <c r="F25" s="928" t="s">
        <v>1442</v>
      </c>
      <c r="G25" s="928" t="s">
        <v>1486</v>
      </c>
      <c r="H25" s="929" t="s">
        <v>1447</v>
      </c>
      <c r="I25" s="929" t="s">
        <v>2244</v>
      </c>
    </row>
    <row r="26" spans="1:10" ht="39" thickBot="1">
      <c r="A26" s="931" t="s">
        <v>1633</v>
      </c>
      <c r="B26" s="919" t="s">
        <v>1438</v>
      </c>
      <c r="C26" s="917" t="s">
        <v>1702</v>
      </c>
      <c r="D26" s="930" t="s">
        <v>1703</v>
      </c>
      <c r="E26" s="927" t="s">
        <v>1704</v>
      </c>
      <c r="F26" s="928" t="s">
        <v>1442</v>
      </c>
      <c r="G26" s="928" t="s">
        <v>1486</v>
      </c>
      <c r="H26" s="929" t="s">
        <v>1490</v>
      </c>
      <c r="I26" s="929" t="s">
        <v>2244</v>
      </c>
    </row>
    <row r="27" spans="1:10" ht="39" thickBot="1">
      <c r="A27" s="931" t="s">
        <v>1633</v>
      </c>
      <c r="B27" s="919" t="s">
        <v>1705</v>
      </c>
      <c r="C27" s="920" t="s">
        <v>1706</v>
      </c>
      <c r="D27" s="921"/>
      <c r="E27" s="922"/>
      <c r="F27" s="923" t="s">
        <v>653</v>
      </c>
      <c r="G27" s="923" t="s">
        <v>653</v>
      </c>
      <c r="H27" s="924"/>
      <c r="I27" s="925"/>
    </row>
    <row r="28" spans="1:10" ht="39" thickBot="1">
      <c r="A28" s="931" t="s">
        <v>1633</v>
      </c>
      <c r="B28" s="919" t="s">
        <v>1705</v>
      </c>
      <c r="C28" s="917" t="s">
        <v>1707</v>
      </c>
      <c r="D28" s="926" t="s">
        <v>1440</v>
      </c>
      <c r="E28" s="927" t="s">
        <v>1708</v>
      </c>
      <c r="F28" s="928" t="s">
        <v>1442</v>
      </c>
      <c r="G28" s="928" t="s">
        <v>1442</v>
      </c>
      <c r="H28" s="929" t="s">
        <v>1443</v>
      </c>
      <c r="I28" s="936" t="str">
        <f>'00 - Cover'!F10</f>
        <v>969500Z05GRNU3KPEY94</v>
      </c>
      <c r="J28" s="936" t="str">
        <f>I28</f>
        <v>969500Z05GRNU3KPEY94</v>
      </c>
    </row>
    <row r="29" spans="1:10" ht="39" thickBot="1">
      <c r="A29" s="931" t="s">
        <v>1633</v>
      </c>
      <c r="B29" s="919" t="s">
        <v>1705</v>
      </c>
      <c r="C29" s="917" t="s">
        <v>1709</v>
      </c>
      <c r="D29" s="926" t="s">
        <v>1710</v>
      </c>
      <c r="E29" s="927" t="s">
        <v>1711</v>
      </c>
      <c r="F29" s="928" t="s">
        <v>1442</v>
      </c>
      <c r="G29" s="928" t="s">
        <v>1442</v>
      </c>
      <c r="H29" s="929" t="s">
        <v>1588</v>
      </c>
      <c r="I29" s="927" t="s">
        <v>718</v>
      </c>
      <c r="J29" s="927" t="s">
        <v>719</v>
      </c>
    </row>
    <row r="30" spans="1:10" ht="39" thickBot="1">
      <c r="A30" s="931" t="s">
        <v>1633</v>
      </c>
      <c r="B30" s="919" t="s">
        <v>1705</v>
      </c>
      <c r="C30" s="917" t="s">
        <v>1712</v>
      </c>
      <c r="D30" s="926" t="s">
        <v>1713</v>
      </c>
      <c r="E30" s="927" t="s">
        <v>1714</v>
      </c>
      <c r="F30" s="928" t="s">
        <v>1442</v>
      </c>
      <c r="G30" s="928" t="s">
        <v>1442</v>
      </c>
      <c r="H30" s="929" t="s">
        <v>1588</v>
      </c>
      <c r="I30" s="927" t="str">
        <f>I29</f>
        <v>FR001400MGQ7</v>
      </c>
      <c r="J30" s="927" t="str">
        <f>J29</f>
        <v>FR001400MGO2</v>
      </c>
    </row>
    <row r="31" spans="1:10" ht="39" thickBot="1">
      <c r="A31" s="931" t="s">
        <v>1633</v>
      </c>
      <c r="B31" s="919" t="s">
        <v>1705</v>
      </c>
      <c r="C31" s="917" t="s">
        <v>1715</v>
      </c>
      <c r="D31" s="926" t="s">
        <v>1716</v>
      </c>
      <c r="E31" s="927" t="s">
        <v>1717</v>
      </c>
      <c r="F31" s="928" t="s">
        <v>1442</v>
      </c>
      <c r="G31" s="928" t="s">
        <v>1486</v>
      </c>
      <c r="H31" s="929" t="s">
        <v>1718</v>
      </c>
      <c r="I31" s="927" t="str">
        <f>I30</f>
        <v>FR001400MGQ7</v>
      </c>
      <c r="J31" s="927" t="str">
        <f>J30</f>
        <v>FR001400MGO2</v>
      </c>
    </row>
    <row r="32" spans="1:10" ht="39" thickBot="1">
      <c r="A32" s="931" t="s">
        <v>1633</v>
      </c>
      <c r="B32" s="919" t="s">
        <v>1705</v>
      </c>
      <c r="C32" s="917" t="s">
        <v>1719</v>
      </c>
      <c r="D32" s="926" t="s">
        <v>1720</v>
      </c>
      <c r="E32" s="927" t="s">
        <v>1721</v>
      </c>
      <c r="F32" s="928" t="s">
        <v>1442</v>
      </c>
      <c r="G32" s="928" t="s">
        <v>1486</v>
      </c>
      <c r="H32" s="929" t="s">
        <v>1451</v>
      </c>
      <c r="I32" s="942" t="str">
        <f>'11 - Notes Follow-up'!E12</f>
        <v>Class A Notes</v>
      </c>
      <c r="J32" s="942" t="str">
        <f>'11 - Notes Follow-up'!N12</f>
        <v>Class B Notes</v>
      </c>
    </row>
    <row r="33" spans="1:10" ht="90" thickBot="1">
      <c r="A33" s="931" t="s">
        <v>1633</v>
      </c>
      <c r="B33" s="919" t="s">
        <v>1705</v>
      </c>
      <c r="C33" s="917" t="s">
        <v>1722</v>
      </c>
      <c r="D33" s="926" t="s">
        <v>1723</v>
      </c>
      <c r="E33" s="927" t="s">
        <v>1724</v>
      </c>
      <c r="F33" s="928" t="s">
        <v>1442</v>
      </c>
      <c r="G33" s="928" t="s">
        <v>1442</v>
      </c>
      <c r="H33" s="929" t="s">
        <v>1469</v>
      </c>
      <c r="I33" s="927" t="s">
        <v>865</v>
      </c>
      <c r="J33" s="927" t="s">
        <v>865</v>
      </c>
    </row>
    <row r="34" spans="1:10" ht="39" thickBot="1">
      <c r="A34" s="931" t="s">
        <v>1633</v>
      </c>
      <c r="B34" s="919" t="s">
        <v>1705</v>
      </c>
      <c r="C34" s="917" t="s">
        <v>1725</v>
      </c>
      <c r="D34" s="926" t="s">
        <v>1726</v>
      </c>
      <c r="E34" s="927" t="s">
        <v>1727</v>
      </c>
      <c r="F34" s="928" t="s">
        <v>1442</v>
      </c>
      <c r="G34" s="928" t="s">
        <v>1442</v>
      </c>
      <c r="H34" s="929" t="s">
        <v>1692</v>
      </c>
      <c r="I34" s="927" t="s">
        <v>683</v>
      </c>
      <c r="J34" s="927" t="s">
        <v>683</v>
      </c>
    </row>
    <row r="35" spans="1:10" ht="39" thickBot="1">
      <c r="A35" s="931" t="s">
        <v>1633</v>
      </c>
      <c r="B35" s="919" t="s">
        <v>1705</v>
      </c>
      <c r="C35" s="917" t="s">
        <v>1728</v>
      </c>
      <c r="D35" s="926" t="s">
        <v>1729</v>
      </c>
      <c r="E35" s="927" t="s">
        <v>1730</v>
      </c>
      <c r="F35" s="928" t="s">
        <v>1442</v>
      </c>
      <c r="G35" s="928" t="s">
        <v>1442</v>
      </c>
      <c r="H35" s="929" t="s">
        <v>1490</v>
      </c>
      <c r="I35" s="944" t="str">
        <f>TEXT(683500000,"### ###,00")&amp;" EUR"</f>
        <v>683 500 000,00 EUR</v>
      </c>
      <c r="J35" s="944" t="str">
        <f>TEXT(67585000,"### ###,00")&amp;" EUR"</f>
        <v>67 585 000,00 EUR</v>
      </c>
    </row>
    <row r="36" spans="1:10" ht="39" thickBot="1">
      <c r="A36" s="931" t="s">
        <v>1633</v>
      </c>
      <c r="B36" s="919" t="s">
        <v>1705</v>
      </c>
      <c r="C36" s="917" t="s">
        <v>1731</v>
      </c>
      <c r="D36" s="926" t="s">
        <v>1732</v>
      </c>
      <c r="E36" s="927" t="s">
        <v>1733</v>
      </c>
      <c r="F36" s="928" t="s">
        <v>1442</v>
      </c>
      <c r="G36" s="928" t="s">
        <v>1442</v>
      </c>
      <c r="H36" s="929" t="s">
        <v>1490</v>
      </c>
      <c r="I36" s="927" t="str">
        <f>TEXT('11 - Notes Follow-up'!H24,"### ###,00")&amp;" EUR"</f>
        <v>653 500 000,00 EUR</v>
      </c>
      <c r="J36" s="927" t="str">
        <f>TEXT('11 - Notes Follow-up'!P24,"### ###,00")&amp;" EUR"</f>
        <v>67 585 000,00 EUR</v>
      </c>
    </row>
    <row r="37" spans="1:10" ht="90" thickBot="1">
      <c r="A37" s="931" t="s">
        <v>1633</v>
      </c>
      <c r="B37" s="919" t="s">
        <v>1705</v>
      </c>
      <c r="C37" s="917" t="s">
        <v>1734</v>
      </c>
      <c r="D37" s="926" t="s">
        <v>1735</v>
      </c>
      <c r="E37" s="927" t="s">
        <v>1736</v>
      </c>
      <c r="F37" s="928" t="s">
        <v>1442</v>
      </c>
      <c r="G37" s="928" t="s">
        <v>1442</v>
      </c>
      <c r="H37" s="929" t="s">
        <v>1469</v>
      </c>
      <c r="I37" s="927" t="s">
        <v>866</v>
      </c>
      <c r="J37" s="927" t="s">
        <v>866</v>
      </c>
    </row>
    <row r="38" spans="1:10" ht="39" thickBot="1">
      <c r="A38" s="931" t="s">
        <v>1633</v>
      </c>
      <c r="B38" s="919" t="s">
        <v>1705</v>
      </c>
      <c r="C38" s="917" t="s">
        <v>1737</v>
      </c>
      <c r="D38" s="926" t="s">
        <v>671</v>
      </c>
      <c r="E38" s="927" t="s">
        <v>1738</v>
      </c>
      <c r="F38" s="928" t="s">
        <v>1442</v>
      </c>
      <c r="G38" s="928" t="s">
        <v>1486</v>
      </c>
      <c r="H38" s="929" t="s">
        <v>1447</v>
      </c>
      <c r="I38" s="943">
        <f>'11 - Notes Follow-up'!B24</f>
        <v>46230</v>
      </c>
      <c r="J38" s="943">
        <f>I38</f>
        <v>46230</v>
      </c>
    </row>
    <row r="39" spans="1:10" ht="39" thickBot="1">
      <c r="A39" s="931" t="s">
        <v>1633</v>
      </c>
      <c r="B39" s="919" t="s">
        <v>1705</v>
      </c>
      <c r="C39" s="917" t="s">
        <v>1739</v>
      </c>
      <c r="D39" s="926" t="s">
        <v>1740</v>
      </c>
      <c r="E39" s="927" t="s">
        <v>1741</v>
      </c>
      <c r="F39" s="928" t="s">
        <v>1442</v>
      </c>
      <c r="G39" s="928" t="s">
        <v>1486</v>
      </c>
      <c r="H39" s="929" t="s">
        <v>1447</v>
      </c>
      <c r="I39" s="943">
        <f>I38</f>
        <v>46230</v>
      </c>
      <c r="J39" s="943">
        <f>J38</f>
        <v>46230</v>
      </c>
    </row>
    <row r="40" spans="1:10" ht="39" thickBot="1">
      <c r="A40" s="931" t="s">
        <v>1633</v>
      </c>
      <c r="B40" s="919" t="s">
        <v>1705</v>
      </c>
      <c r="C40" s="917" t="s">
        <v>1742</v>
      </c>
      <c r="D40" s="926" t="s">
        <v>1743</v>
      </c>
      <c r="E40" s="927" t="s">
        <v>1744</v>
      </c>
      <c r="F40" s="928" t="s">
        <v>1442</v>
      </c>
      <c r="G40" s="928" t="s">
        <v>1442</v>
      </c>
      <c r="H40" s="929" t="s">
        <v>1512</v>
      </c>
      <c r="I40" s="945">
        <f>'12 - Notes Interest'!G17</f>
        <v>2.5000000000000001E-3</v>
      </c>
      <c r="J40" s="945">
        <f>'12 - Notes Interest'!G23</f>
        <v>0</v>
      </c>
    </row>
    <row r="41" spans="1:10" ht="39" thickBot="1">
      <c r="A41" s="931" t="s">
        <v>1633</v>
      </c>
      <c r="B41" s="919" t="s">
        <v>1705</v>
      </c>
      <c r="C41" s="917" t="s">
        <v>1745</v>
      </c>
      <c r="D41" s="926" t="s">
        <v>1746</v>
      </c>
      <c r="E41" s="927" t="s">
        <v>1747</v>
      </c>
      <c r="F41" s="928" t="s">
        <v>1442</v>
      </c>
      <c r="G41" s="928" t="s">
        <v>1486</v>
      </c>
      <c r="H41" s="929" t="s">
        <v>1512</v>
      </c>
      <c r="I41" s="957">
        <f>I40</f>
        <v>2.5000000000000001E-3</v>
      </c>
      <c r="J41" s="957">
        <f>J40</f>
        <v>0</v>
      </c>
    </row>
    <row r="42" spans="1:10" ht="39" thickBot="1">
      <c r="A42" s="931" t="s">
        <v>1633</v>
      </c>
      <c r="B42" s="919" t="s">
        <v>1705</v>
      </c>
      <c r="C42" s="917" t="s">
        <v>1748</v>
      </c>
      <c r="D42" s="926" t="s">
        <v>1749</v>
      </c>
      <c r="E42" s="927" t="s">
        <v>1750</v>
      </c>
      <c r="F42" s="928" t="s">
        <v>1442</v>
      </c>
      <c r="G42" s="928" t="s">
        <v>1486</v>
      </c>
      <c r="H42" s="929" t="s">
        <v>1512</v>
      </c>
      <c r="I42" s="927" t="s">
        <v>2244</v>
      </c>
      <c r="J42" s="927" t="s">
        <v>2244</v>
      </c>
    </row>
    <row r="43" spans="1:10" ht="39" thickBot="1">
      <c r="A43" s="931" t="s">
        <v>1633</v>
      </c>
      <c r="B43" s="919" t="s">
        <v>1705</v>
      </c>
      <c r="C43" s="917" t="s">
        <v>1751</v>
      </c>
      <c r="D43" s="926" t="s">
        <v>1752</v>
      </c>
      <c r="E43" s="927" t="s">
        <v>1753</v>
      </c>
      <c r="F43" s="928" t="s">
        <v>1442</v>
      </c>
      <c r="G43" s="928" t="s">
        <v>1486</v>
      </c>
      <c r="H43" s="929" t="s">
        <v>1512</v>
      </c>
      <c r="I43" s="927" t="s">
        <v>2244</v>
      </c>
      <c r="J43" s="927" t="s">
        <v>2244</v>
      </c>
    </row>
    <row r="44" spans="1:10" ht="39" thickBot="1">
      <c r="A44" s="931" t="s">
        <v>1633</v>
      </c>
      <c r="B44" s="919" t="s">
        <v>1705</v>
      </c>
      <c r="C44" s="917" t="s">
        <v>1754</v>
      </c>
      <c r="D44" s="926" t="s">
        <v>1755</v>
      </c>
      <c r="E44" s="927" t="s">
        <v>1756</v>
      </c>
      <c r="F44" s="928" t="s">
        <v>1442</v>
      </c>
      <c r="G44" s="928" t="s">
        <v>1486</v>
      </c>
      <c r="H44" s="929" t="s">
        <v>1512</v>
      </c>
      <c r="I44" s="927" t="s">
        <v>2244</v>
      </c>
      <c r="J44" s="927" t="s">
        <v>2244</v>
      </c>
    </row>
    <row r="45" spans="1:10" ht="39" thickBot="1">
      <c r="A45" s="931" t="s">
        <v>1633</v>
      </c>
      <c r="B45" s="919" t="s">
        <v>1705</v>
      </c>
      <c r="C45" s="917" t="s">
        <v>1757</v>
      </c>
      <c r="D45" s="926" t="s">
        <v>1758</v>
      </c>
      <c r="E45" s="927" t="s">
        <v>1759</v>
      </c>
      <c r="F45" s="928" t="s">
        <v>1442</v>
      </c>
      <c r="G45" s="928" t="s">
        <v>1486</v>
      </c>
      <c r="H45" s="929" t="s">
        <v>1447</v>
      </c>
      <c r="I45" s="927" t="s">
        <v>2244</v>
      </c>
      <c r="J45" s="927" t="s">
        <v>2244</v>
      </c>
    </row>
    <row r="46" spans="1:10" ht="77.25" thickBot="1">
      <c r="A46" s="931" t="s">
        <v>1633</v>
      </c>
      <c r="B46" s="919" t="s">
        <v>1705</v>
      </c>
      <c r="C46" s="917" t="s">
        <v>1760</v>
      </c>
      <c r="D46" s="926" t="s">
        <v>1761</v>
      </c>
      <c r="E46" s="927" t="s">
        <v>1762</v>
      </c>
      <c r="F46" s="928" t="s">
        <v>1442</v>
      </c>
      <c r="G46" s="928" t="s">
        <v>1486</v>
      </c>
      <c r="H46" s="929" t="s">
        <v>1469</v>
      </c>
      <c r="I46" s="927" t="s">
        <v>2263</v>
      </c>
      <c r="J46" s="927" t="s">
        <v>2263</v>
      </c>
    </row>
    <row r="47" spans="1:10" ht="409.6" thickBot="1">
      <c r="A47" s="931" t="s">
        <v>1633</v>
      </c>
      <c r="B47" s="919" t="s">
        <v>1705</v>
      </c>
      <c r="C47" s="917" t="s">
        <v>1763</v>
      </c>
      <c r="D47" s="926" t="s">
        <v>1764</v>
      </c>
      <c r="E47" s="927" t="s">
        <v>1765</v>
      </c>
      <c r="F47" s="928" t="s">
        <v>1442</v>
      </c>
      <c r="G47" s="928" t="s">
        <v>1486</v>
      </c>
      <c r="H47" s="929" t="s">
        <v>1469</v>
      </c>
      <c r="I47" s="927" t="s">
        <v>2244</v>
      </c>
      <c r="J47" s="927" t="s">
        <v>2244</v>
      </c>
    </row>
    <row r="48" spans="1:10" ht="204.75" thickBot="1">
      <c r="A48" s="931" t="s">
        <v>1633</v>
      </c>
      <c r="B48" s="919" t="s">
        <v>1705</v>
      </c>
      <c r="C48" s="917" t="s">
        <v>1766</v>
      </c>
      <c r="D48" s="926" t="s">
        <v>1767</v>
      </c>
      <c r="E48" s="927" t="s">
        <v>1768</v>
      </c>
      <c r="F48" s="928" t="s">
        <v>1442</v>
      </c>
      <c r="G48" s="928" t="s">
        <v>1486</v>
      </c>
      <c r="H48" s="929" t="s">
        <v>1469</v>
      </c>
      <c r="I48" s="927" t="s">
        <v>2244</v>
      </c>
      <c r="J48" s="927" t="s">
        <v>2244</v>
      </c>
    </row>
    <row r="49" spans="1:10" ht="39" thickBot="1">
      <c r="A49" s="931" t="s">
        <v>1633</v>
      </c>
      <c r="B49" s="919" t="s">
        <v>1705</v>
      </c>
      <c r="C49" s="917" t="s">
        <v>1769</v>
      </c>
      <c r="D49" s="926" t="s">
        <v>672</v>
      </c>
      <c r="E49" s="927" t="s">
        <v>1770</v>
      </c>
      <c r="F49" s="928" t="s">
        <v>1442</v>
      </c>
      <c r="G49" s="928" t="s">
        <v>1442</v>
      </c>
      <c r="H49" s="929" t="s">
        <v>1447</v>
      </c>
      <c r="I49" s="943">
        <f>'00 - Cover'!$F$18</f>
        <v>45268</v>
      </c>
      <c r="J49" s="943">
        <f>'00 - Cover'!$F$18</f>
        <v>45268</v>
      </c>
    </row>
    <row r="50" spans="1:10" ht="39" thickBot="1">
      <c r="A50" s="931" t="s">
        <v>1633</v>
      </c>
      <c r="B50" s="919" t="s">
        <v>1705</v>
      </c>
      <c r="C50" s="917" t="s">
        <v>1771</v>
      </c>
      <c r="D50" s="926" t="s">
        <v>1772</v>
      </c>
      <c r="E50" s="927" t="s">
        <v>1773</v>
      </c>
      <c r="F50" s="928" t="s">
        <v>1442</v>
      </c>
      <c r="G50" s="928" t="s">
        <v>1486</v>
      </c>
      <c r="H50" s="929" t="s">
        <v>1447</v>
      </c>
      <c r="I50" s="943">
        <f>'17 - Calendar'!$K$39</f>
        <v>45407</v>
      </c>
      <c r="J50" s="943">
        <f>'17 - Calendar'!$K$39</f>
        <v>45407</v>
      </c>
    </row>
    <row r="51" spans="1:10" ht="39" thickBot="1">
      <c r="A51" s="931" t="s">
        <v>1633</v>
      </c>
      <c r="B51" s="919" t="s">
        <v>1705</v>
      </c>
      <c r="C51" s="917" t="s">
        <v>1774</v>
      </c>
      <c r="D51" s="926" t="s">
        <v>1775</v>
      </c>
      <c r="E51" s="927" t="s">
        <v>1776</v>
      </c>
      <c r="F51" s="928" t="s">
        <v>1442</v>
      </c>
      <c r="G51" s="928" t="s">
        <v>1486</v>
      </c>
      <c r="H51" s="929" t="s">
        <v>1447</v>
      </c>
      <c r="I51" s="943">
        <v>55451</v>
      </c>
      <c r="J51" s="943">
        <v>55451</v>
      </c>
    </row>
    <row r="52" spans="1:10" ht="90" thickBot="1">
      <c r="A52" s="931" t="s">
        <v>1633</v>
      </c>
      <c r="B52" s="919" t="s">
        <v>1705</v>
      </c>
      <c r="C52" s="917" t="s">
        <v>1777</v>
      </c>
      <c r="D52" s="926" t="s">
        <v>1778</v>
      </c>
      <c r="E52" s="927" t="s">
        <v>1779</v>
      </c>
      <c r="F52" s="928" t="s">
        <v>1442</v>
      </c>
      <c r="G52" s="928" t="s">
        <v>1486</v>
      </c>
      <c r="H52" s="929" t="s">
        <v>1469</v>
      </c>
      <c r="I52" s="927" t="s">
        <v>2244</v>
      </c>
      <c r="J52" s="927" t="s">
        <v>2244</v>
      </c>
    </row>
    <row r="53" spans="1:10" ht="39" thickBot="1">
      <c r="A53" s="931" t="s">
        <v>1633</v>
      </c>
      <c r="B53" s="919" t="s">
        <v>1705</v>
      </c>
      <c r="C53" s="917" t="s">
        <v>1780</v>
      </c>
      <c r="D53" s="926" t="s">
        <v>1781</v>
      </c>
      <c r="E53" s="927" t="s">
        <v>1782</v>
      </c>
      <c r="F53" s="928" t="s">
        <v>1442</v>
      </c>
      <c r="G53" s="928" t="s">
        <v>1486</v>
      </c>
      <c r="H53" s="929" t="s">
        <v>1447</v>
      </c>
      <c r="I53" s="927" t="s">
        <v>2244</v>
      </c>
      <c r="J53" s="927" t="s">
        <v>2244</v>
      </c>
    </row>
    <row r="54" spans="1:10" ht="39" thickBot="1">
      <c r="A54" s="931" t="s">
        <v>1633</v>
      </c>
      <c r="B54" s="919" t="s">
        <v>1705</v>
      </c>
      <c r="C54" s="917" t="s">
        <v>1783</v>
      </c>
      <c r="D54" s="926" t="s">
        <v>1784</v>
      </c>
      <c r="E54" s="927" t="s">
        <v>1785</v>
      </c>
      <c r="F54" s="928" t="s">
        <v>1442</v>
      </c>
      <c r="G54" s="928" t="s">
        <v>1486</v>
      </c>
      <c r="H54" s="929" t="s">
        <v>1588</v>
      </c>
      <c r="I54" s="927" t="s">
        <v>2244</v>
      </c>
      <c r="J54" s="927" t="s">
        <v>2244</v>
      </c>
    </row>
    <row r="55" spans="1:10" ht="39" thickBot="1">
      <c r="A55" s="931" t="s">
        <v>1633</v>
      </c>
      <c r="B55" s="919" t="s">
        <v>1705</v>
      </c>
      <c r="C55" s="917" t="s">
        <v>1786</v>
      </c>
      <c r="D55" s="926" t="s">
        <v>1787</v>
      </c>
      <c r="E55" s="927" t="s">
        <v>1788</v>
      </c>
      <c r="F55" s="928" t="s">
        <v>1442</v>
      </c>
      <c r="G55" s="928" t="s">
        <v>1486</v>
      </c>
      <c r="H55" s="929" t="s">
        <v>1447</v>
      </c>
      <c r="I55" s="927" t="s">
        <v>2244</v>
      </c>
      <c r="J55" s="927" t="s">
        <v>2244</v>
      </c>
    </row>
    <row r="56" spans="1:10" ht="141" thickBot="1">
      <c r="A56" s="931" t="s">
        <v>1633</v>
      </c>
      <c r="B56" s="919" t="s">
        <v>1705</v>
      </c>
      <c r="C56" s="917" t="s">
        <v>1789</v>
      </c>
      <c r="D56" s="926" t="s">
        <v>1790</v>
      </c>
      <c r="E56" s="927" t="s">
        <v>1791</v>
      </c>
      <c r="F56" s="928" t="s">
        <v>1442</v>
      </c>
      <c r="G56" s="928" t="s">
        <v>1486</v>
      </c>
      <c r="H56" s="929" t="s">
        <v>1469</v>
      </c>
      <c r="I56" s="927" t="s">
        <v>2266</v>
      </c>
      <c r="J56" s="927" t="s">
        <v>2244</v>
      </c>
    </row>
    <row r="57" spans="1:10" ht="39" thickBot="1">
      <c r="A57" s="931" t="s">
        <v>1633</v>
      </c>
      <c r="B57" s="919" t="s">
        <v>1705</v>
      </c>
      <c r="C57" s="917" t="s">
        <v>1792</v>
      </c>
      <c r="D57" s="926" t="s">
        <v>1793</v>
      </c>
      <c r="E57" s="927" t="s">
        <v>2358</v>
      </c>
      <c r="F57" s="928" t="s">
        <v>1442</v>
      </c>
      <c r="G57" s="928" t="s">
        <v>1486</v>
      </c>
      <c r="H57" s="929" t="s">
        <v>1469</v>
      </c>
      <c r="I57" s="927" t="s">
        <v>865</v>
      </c>
      <c r="J57" s="927" t="s">
        <v>865</v>
      </c>
    </row>
    <row r="58" spans="1:10" ht="39" thickBot="1">
      <c r="A58" s="931" t="s">
        <v>1633</v>
      </c>
      <c r="B58" s="919" t="s">
        <v>1705</v>
      </c>
      <c r="C58" s="917" t="s">
        <v>1794</v>
      </c>
      <c r="D58" s="926" t="s">
        <v>1795</v>
      </c>
      <c r="E58" s="927" t="s">
        <v>1796</v>
      </c>
      <c r="F58" s="928" t="s">
        <v>1442</v>
      </c>
      <c r="G58" s="928" t="s">
        <v>1486</v>
      </c>
      <c r="H58" s="929" t="s">
        <v>1512</v>
      </c>
      <c r="I58" s="927" t="s">
        <v>2244</v>
      </c>
      <c r="J58" s="927" t="s">
        <v>2244</v>
      </c>
    </row>
    <row r="59" spans="1:10" ht="39" thickBot="1">
      <c r="A59" s="931" t="s">
        <v>1633</v>
      </c>
      <c r="B59" s="919" t="s">
        <v>1705</v>
      </c>
      <c r="C59" s="917" t="s">
        <v>1797</v>
      </c>
      <c r="D59" s="926" t="s">
        <v>1798</v>
      </c>
      <c r="E59" s="927" t="s">
        <v>1799</v>
      </c>
      <c r="F59" s="928" t="s">
        <v>1442</v>
      </c>
      <c r="G59" s="928" t="s">
        <v>1486</v>
      </c>
      <c r="H59" s="929" t="s">
        <v>1512</v>
      </c>
      <c r="I59" s="927" t="s">
        <v>2244</v>
      </c>
      <c r="J59" s="927" t="s">
        <v>2244</v>
      </c>
    </row>
    <row r="60" spans="1:10" ht="39" thickBot="1">
      <c r="A60" s="931" t="s">
        <v>1633</v>
      </c>
      <c r="B60" s="919" t="s">
        <v>1705</v>
      </c>
      <c r="C60" s="917" t="s">
        <v>1800</v>
      </c>
      <c r="D60" s="926" t="s">
        <v>1801</v>
      </c>
      <c r="E60" s="927" t="s">
        <v>1802</v>
      </c>
      <c r="F60" s="928" t="s">
        <v>1442</v>
      </c>
      <c r="G60" s="928" t="s">
        <v>1442</v>
      </c>
      <c r="H60" s="929" t="s">
        <v>1512</v>
      </c>
      <c r="I60" s="956">
        <f>('16 - Simplified Balance Sheet'!K16+'16 - Simplified Balance Sheet'!F21)/'16 - Simplified Balance Sheet'!K13</f>
        <v>0.11842004590665646</v>
      </c>
      <c r="J60" s="955">
        <v>0</v>
      </c>
    </row>
    <row r="61" spans="1:10" ht="39" thickBot="1">
      <c r="A61" s="931" t="s">
        <v>1633</v>
      </c>
      <c r="B61" s="919" t="s">
        <v>1705</v>
      </c>
      <c r="C61" s="917" t="s">
        <v>1803</v>
      </c>
      <c r="D61" s="926" t="s">
        <v>1804</v>
      </c>
      <c r="E61" s="927" t="s">
        <v>1805</v>
      </c>
      <c r="F61" s="928" t="s">
        <v>1442</v>
      </c>
      <c r="G61" s="928" t="s">
        <v>1486</v>
      </c>
      <c r="H61" s="929" t="s">
        <v>1512</v>
      </c>
      <c r="I61" s="927" t="s">
        <v>2244</v>
      </c>
      <c r="J61" s="927" t="s">
        <v>2244</v>
      </c>
    </row>
    <row r="62" spans="1:10" ht="39" thickBot="1">
      <c r="A62" s="931" t="s">
        <v>1633</v>
      </c>
      <c r="B62" s="919" t="s">
        <v>1705</v>
      </c>
      <c r="C62" s="917" t="s">
        <v>1806</v>
      </c>
      <c r="D62" s="926" t="s">
        <v>1807</v>
      </c>
      <c r="E62" s="927" t="s">
        <v>1808</v>
      </c>
      <c r="F62" s="928" t="s">
        <v>1442</v>
      </c>
      <c r="G62" s="928" t="s">
        <v>1442</v>
      </c>
      <c r="H62" s="929" t="s">
        <v>1588</v>
      </c>
      <c r="I62" s="927" t="s">
        <v>2327</v>
      </c>
      <c r="J62" s="927" t="s">
        <v>2328</v>
      </c>
    </row>
    <row r="63" spans="1:10" ht="39" thickBot="1">
      <c r="A63" s="931" t="s">
        <v>1633</v>
      </c>
      <c r="B63" s="919" t="s">
        <v>1705</v>
      </c>
      <c r="C63" s="917" t="s">
        <v>1809</v>
      </c>
      <c r="D63" s="926" t="s">
        <v>1810</v>
      </c>
      <c r="E63" s="927" t="s">
        <v>1811</v>
      </c>
      <c r="F63" s="928" t="s">
        <v>1442</v>
      </c>
      <c r="G63" s="928" t="s">
        <v>1486</v>
      </c>
      <c r="H63" s="929" t="s">
        <v>1718</v>
      </c>
      <c r="I63" s="927" t="str">
        <f>I29</f>
        <v>FR001400MGQ7</v>
      </c>
      <c r="J63" s="927" t="str">
        <f>J29</f>
        <v>FR001400MGO2</v>
      </c>
    </row>
    <row r="64" spans="1:10" ht="39" thickBot="1">
      <c r="A64" s="931" t="s">
        <v>1633</v>
      </c>
      <c r="B64" s="919" t="s">
        <v>1705</v>
      </c>
      <c r="C64" s="917" t="s">
        <v>1812</v>
      </c>
      <c r="D64" s="926" t="s">
        <v>1813</v>
      </c>
      <c r="E64" s="927" t="s">
        <v>1814</v>
      </c>
      <c r="F64" s="928" t="s">
        <v>1442</v>
      </c>
      <c r="G64" s="928" t="s">
        <v>1486</v>
      </c>
      <c r="H64" s="929" t="s">
        <v>1718</v>
      </c>
      <c r="I64" s="927" t="s">
        <v>722</v>
      </c>
      <c r="J64" s="927" t="s">
        <v>2265</v>
      </c>
    </row>
    <row r="65" spans="1:18" ht="39" thickBot="1">
      <c r="A65" s="931" t="s">
        <v>1633</v>
      </c>
      <c r="B65" s="919" t="s">
        <v>1705</v>
      </c>
      <c r="C65" s="917" t="s">
        <v>1815</v>
      </c>
      <c r="D65" s="926" t="s">
        <v>1816</v>
      </c>
      <c r="E65" s="927" t="s">
        <v>1817</v>
      </c>
      <c r="F65" s="928" t="s">
        <v>1442</v>
      </c>
      <c r="G65" s="928" t="s">
        <v>1486</v>
      </c>
      <c r="H65" s="929" t="s">
        <v>1490</v>
      </c>
      <c r="I65" s="944" t="str">
        <f>TEXT('10 -Principal Deficiency Ledger'!K12,"### ###0,00")&amp;" EUR"</f>
        <v>0,00 EUR</v>
      </c>
      <c r="J65" s="927" t="str">
        <f>TEXT('10 -Principal Deficiency Ledger'!H12,"### ###0,00")&amp;" EUR"</f>
        <v>0,00 EUR</v>
      </c>
    </row>
    <row r="66" spans="1:18" ht="39" thickBot="1">
      <c r="A66" s="931" t="s">
        <v>1633</v>
      </c>
      <c r="B66" s="919" t="s">
        <v>1705</v>
      </c>
      <c r="C66" s="917" t="s">
        <v>1818</v>
      </c>
      <c r="D66" s="926" t="s">
        <v>1819</v>
      </c>
      <c r="E66" s="927" t="s">
        <v>1820</v>
      </c>
      <c r="F66" s="928" t="s">
        <v>1442</v>
      </c>
      <c r="G66" s="928" t="s">
        <v>1486</v>
      </c>
      <c r="H66" s="929" t="s">
        <v>1821</v>
      </c>
      <c r="I66" s="927" t="s">
        <v>2244</v>
      </c>
      <c r="J66" s="927" t="s">
        <v>2244</v>
      </c>
    </row>
    <row r="67" spans="1:18" ht="39" thickBot="1">
      <c r="A67" s="931" t="s">
        <v>1633</v>
      </c>
      <c r="B67" s="919" t="s">
        <v>1705</v>
      </c>
      <c r="C67" s="917" t="s">
        <v>1822</v>
      </c>
      <c r="D67" s="926" t="s">
        <v>1823</v>
      </c>
      <c r="E67" s="927" t="s">
        <v>1824</v>
      </c>
      <c r="F67" s="928" t="s">
        <v>1442</v>
      </c>
      <c r="G67" s="928" t="s">
        <v>1486</v>
      </c>
      <c r="H67" s="929" t="s">
        <v>1588</v>
      </c>
      <c r="I67" s="927" t="s">
        <v>2244</v>
      </c>
      <c r="J67" s="927" t="s">
        <v>2244</v>
      </c>
    </row>
    <row r="68" spans="1:18" ht="39" thickBot="1">
      <c r="A68" s="931" t="s">
        <v>1633</v>
      </c>
      <c r="B68" s="919" t="s">
        <v>1705</v>
      </c>
      <c r="C68" s="917" t="s">
        <v>1825</v>
      </c>
      <c r="D68" s="926" t="s">
        <v>1826</v>
      </c>
      <c r="E68" s="927" t="s">
        <v>1827</v>
      </c>
      <c r="F68" s="928" t="s">
        <v>1442</v>
      </c>
      <c r="G68" s="928" t="s">
        <v>1486</v>
      </c>
      <c r="H68" s="929" t="s">
        <v>1828</v>
      </c>
      <c r="I68" s="927" t="s">
        <v>2244</v>
      </c>
      <c r="J68" s="927" t="s">
        <v>2244</v>
      </c>
    </row>
    <row r="69" spans="1:18" ht="102.75" thickBot="1">
      <c r="A69" s="931" t="s">
        <v>1633</v>
      </c>
      <c r="B69" s="919" t="s">
        <v>1705</v>
      </c>
      <c r="C69" s="917" t="s">
        <v>1829</v>
      </c>
      <c r="D69" s="926" t="s">
        <v>1830</v>
      </c>
      <c r="E69" s="927" t="s">
        <v>1831</v>
      </c>
      <c r="F69" s="928" t="s">
        <v>1442</v>
      </c>
      <c r="G69" s="928" t="s">
        <v>1486</v>
      </c>
      <c r="H69" s="929" t="s">
        <v>1469</v>
      </c>
      <c r="I69" s="927" t="s">
        <v>2244</v>
      </c>
      <c r="J69" s="927" t="s">
        <v>2244</v>
      </c>
    </row>
    <row r="70" spans="1:18" ht="39" thickBot="1">
      <c r="A70" s="931" t="s">
        <v>1633</v>
      </c>
      <c r="B70" s="919" t="s">
        <v>1832</v>
      </c>
      <c r="C70" s="920" t="s">
        <v>1833</v>
      </c>
      <c r="D70" s="921"/>
      <c r="E70" s="922"/>
      <c r="F70" s="923" t="s">
        <v>653</v>
      </c>
      <c r="G70" s="923" t="s">
        <v>653</v>
      </c>
      <c r="H70" s="924"/>
      <c r="I70" s="925"/>
    </row>
    <row r="71" spans="1:18" ht="39" thickBot="1">
      <c r="A71" s="931" t="s">
        <v>1633</v>
      </c>
      <c r="B71" s="919" t="s">
        <v>1832</v>
      </c>
      <c r="C71" s="917" t="s">
        <v>1834</v>
      </c>
      <c r="D71" s="926" t="s">
        <v>1440</v>
      </c>
      <c r="E71" s="927" t="s">
        <v>1708</v>
      </c>
      <c r="F71" s="928" t="s">
        <v>1442</v>
      </c>
      <c r="G71" s="928" t="s">
        <v>1442</v>
      </c>
      <c r="H71" s="929" t="s">
        <v>1443</v>
      </c>
      <c r="I71" s="936" t="str">
        <f>I3</f>
        <v>969500Z05GRNU3KPEY94</v>
      </c>
      <c r="J71" s="936" t="str">
        <f>I71</f>
        <v>969500Z05GRNU3KPEY94</v>
      </c>
      <c r="K71" s="936" t="str">
        <f>J71</f>
        <v>969500Z05GRNU3KPEY94</v>
      </c>
      <c r="L71" s="936" t="str">
        <f>K71</f>
        <v>969500Z05GRNU3KPEY94</v>
      </c>
    </row>
    <row r="72" spans="1:18" ht="39" thickBot="1">
      <c r="A72" s="931" t="s">
        <v>1633</v>
      </c>
      <c r="B72" s="919" t="s">
        <v>1832</v>
      </c>
      <c r="C72" s="917" t="s">
        <v>1835</v>
      </c>
      <c r="D72" s="926" t="s">
        <v>1836</v>
      </c>
      <c r="E72" s="927" t="s">
        <v>1837</v>
      </c>
      <c r="F72" s="928" t="s">
        <v>1442</v>
      </c>
      <c r="G72" s="928" t="s">
        <v>1442</v>
      </c>
      <c r="H72" s="929" t="s">
        <v>1588</v>
      </c>
      <c r="I72" s="929" t="str">
        <f>'13 - Issuer Account'!C10</f>
        <v>General Account 479325K</v>
      </c>
      <c r="J72" s="929" t="str">
        <f>'13 - Issuer Account'!C31</f>
        <v>Principal Account 479327R</v>
      </c>
      <c r="K72" s="929" t="str">
        <f>'13 - Issuer Account'!C43</f>
        <v>Interest Account 479326M</v>
      </c>
      <c r="L72" s="929" t="str">
        <f>'13 - Issuer Account'!C54</f>
        <v>Reserve Account 479328U</v>
      </c>
    </row>
    <row r="73" spans="1:18" ht="39" thickBot="1">
      <c r="A73" s="931" t="s">
        <v>1633</v>
      </c>
      <c r="B73" s="919" t="s">
        <v>1832</v>
      </c>
      <c r="C73" s="917" t="s">
        <v>1838</v>
      </c>
      <c r="D73" s="926" t="s">
        <v>1839</v>
      </c>
      <c r="E73" s="927" t="s">
        <v>1840</v>
      </c>
      <c r="F73" s="928" t="s">
        <v>1442</v>
      </c>
      <c r="G73" s="928" t="s">
        <v>1442</v>
      </c>
      <c r="H73" s="929" t="s">
        <v>1588</v>
      </c>
      <c r="I73" s="929" t="str">
        <f>I72</f>
        <v>General Account 479325K</v>
      </c>
      <c r="J73" s="929" t="str">
        <f>J72</f>
        <v>Principal Account 479327R</v>
      </c>
      <c r="K73" s="929" t="str">
        <f>K72</f>
        <v>Interest Account 479326M</v>
      </c>
      <c r="L73" s="929" t="str">
        <f>L72</f>
        <v>Reserve Account 479328U</v>
      </c>
    </row>
    <row r="74" spans="1:18" ht="102.75" thickBot="1">
      <c r="A74" s="931" t="s">
        <v>1633</v>
      </c>
      <c r="B74" s="919" t="s">
        <v>1832</v>
      </c>
      <c r="C74" s="917" t="s">
        <v>1841</v>
      </c>
      <c r="D74" s="926" t="s">
        <v>1842</v>
      </c>
      <c r="E74" s="927" t="s">
        <v>1843</v>
      </c>
      <c r="F74" s="928" t="s">
        <v>1442</v>
      </c>
      <c r="G74" s="928" t="s">
        <v>1442</v>
      </c>
      <c r="H74" s="929" t="s">
        <v>1469</v>
      </c>
      <c r="I74" s="929" t="s">
        <v>865</v>
      </c>
      <c r="J74" s="929" t="s">
        <v>865</v>
      </c>
      <c r="K74" s="929" t="s">
        <v>865</v>
      </c>
      <c r="L74" s="929" t="s">
        <v>2264</v>
      </c>
    </row>
    <row r="75" spans="1:18" ht="51.75" thickBot="1">
      <c r="A75" s="931" t="s">
        <v>1633</v>
      </c>
      <c r="B75" s="919" t="s">
        <v>1832</v>
      </c>
      <c r="C75" s="917" t="s">
        <v>1844</v>
      </c>
      <c r="D75" s="926" t="s">
        <v>1845</v>
      </c>
      <c r="E75" s="927" t="s">
        <v>1846</v>
      </c>
      <c r="F75" s="928" t="s">
        <v>1442</v>
      </c>
      <c r="G75" s="928" t="s">
        <v>1486</v>
      </c>
      <c r="H75" s="929" t="s">
        <v>1490</v>
      </c>
      <c r="I75" s="952" t="s">
        <v>2303</v>
      </c>
      <c r="J75" s="952" t="s">
        <v>2303</v>
      </c>
      <c r="K75" s="952" t="s">
        <v>2303</v>
      </c>
      <c r="L75" s="952" t="str">
        <f>TEXT(10252500,"### ###,00")&amp;" EUR"</f>
        <v>10 252 500,00 EUR</v>
      </c>
    </row>
    <row r="76" spans="1:18" ht="39" thickBot="1">
      <c r="A76" s="931" t="s">
        <v>1633</v>
      </c>
      <c r="B76" s="919" t="s">
        <v>1832</v>
      </c>
      <c r="C76" s="917" t="s">
        <v>1847</v>
      </c>
      <c r="D76" s="926" t="s">
        <v>1848</v>
      </c>
      <c r="E76" s="927" t="s">
        <v>1849</v>
      </c>
      <c r="F76" s="928" t="s">
        <v>1442</v>
      </c>
      <c r="G76" s="928" t="s">
        <v>1442</v>
      </c>
      <c r="H76" s="929" t="s">
        <v>1490</v>
      </c>
      <c r="I76" s="929" t="str">
        <f>TEXT('13 - Issuer Account'!I27,"### ###0,00")&amp;" EUR"</f>
        <v>300,00 EUR</v>
      </c>
      <c r="J76" s="929" t="str">
        <f>TEXT('13 - Issuer Account'!I38,"### ###0,00")&amp;" EUR"</f>
        <v>0,00 EUR</v>
      </c>
      <c r="K76" s="929" t="str">
        <f>TEXT('13 - Issuer Account'!I50,"### ###0,00")&amp;" EUR"</f>
        <v>0,00 EUR</v>
      </c>
      <c r="L76" s="929" t="str">
        <f>TEXT('13 - Issuer Account'!I63,"### ###0,00")&amp;" EUR"</f>
        <v>9 802 500,00 EUR</v>
      </c>
    </row>
    <row r="77" spans="1:18" ht="39" thickBot="1">
      <c r="A77" s="931" t="s">
        <v>1633</v>
      </c>
      <c r="B77" s="919" t="s">
        <v>1832</v>
      </c>
      <c r="C77" s="917" t="s">
        <v>1850</v>
      </c>
      <c r="D77" s="926" t="s">
        <v>1851</v>
      </c>
      <c r="E77" s="927" t="s">
        <v>1852</v>
      </c>
      <c r="F77" s="928" t="s">
        <v>1442</v>
      </c>
      <c r="G77" s="928" t="s">
        <v>1442</v>
      </c>
      <c r="H77" s="929" t="s">
        <v>1479</v>
      </c>
      <c r="I77" s="929" t="s">
        <v>2242</v>
      </c>
      <c r="J77" s="929" t="s">
        <v>2242</v>
      </c>
      <c r="K77" s="929" t="s">
        <v>2242</v>
      </c>
      <c r="L77" s="929" t="s">
        <v>2242</v>
      </c>
    </row>
    <row r="78" spans="1:18" ht="39" thickBot="1">
      <c r="A78" s="931" t="s">
        <v>1633</v>
      </c>
      <c r="B78" s="919" t="s">
        <v>1853</v>
      </c>
      <c r="C78" s="920" t="s">
        <v>1854</v>
      </c>
      <c r="D78" s="921"/>
      <c r="E78" s="922"/>
      <c r="F78" s="923" t="s">
        <v>653</v>
      </c>
      <c r="G78" s="923" t="s">
        <v>653</v>
      </c>
      <c r="H78" s="924"/>
      <c r="I78" s="925"/>
    </row>
    <row r="79" spans="1:18" ht="39" thickBot="1">
      <c r="A79" s="931" t="s">
        <v>1633</v>
      </c>
      <c r="B79" s="919" t="s">
        <v>1853</v>
      </c>
      <c r="C79" s="917" t="s">
        <v>1855</v>
      </c>
      <c r="D79" s="926" t="s">
        <v>1440</v>
      </c>
      <c r="E79" s="927" t="s">
        <v>1708</v>
      </c>
      <c r="F79" s="928" t="s">
        <v>1442</v>
      </c>
      <c r="G79" s="928" t="s">
        <v>1442</v>
      </c>
      <c r="H79" s="929" t="s">
        <v>1443</v>
      </c>
      <c r="I79" s="936" t="str">
        <f>'00 - Cover'!$F$10</f>
        <v>969500Z05GRNU3KPEY94</v>
      </c>
      <c r="J79" s="936" t="str">
        <f>'00 - Cover'!$F$10</f>
        <v>969500Z05GRNU3KPEY94</v>
      </c>
      <c r="K79" s="936" t="str">
        <f>'00 - Cover'!$F$10</f>
        <v>969500Z05GRNU3KPEY94</v>
      </c>
      <c r="L79" s="936" t="str">
        <f>'00 - Cover'!$F$10</f>
        <v>969500Z05GRNU3KPEY94</v>
      </c>
      <c r="M79" s="936" t="str">
        <f>'00 - Cover'!$F$10</f>
        <v>969500Z05GRNU3KPEY94</v>
      </c>
      <c r="N79" s="936" t="str">
        <f>'00 - Cover'!$F$10</f>
        <v>969500Z05GRNU3KPEY94</v>
      </c>
      <c r="O79" s="936" t="str">
        <f>'00 - Cover'!$F$10</f>
        <v>969500Z05GRNU3KPEY94</v>
      </c>
      <c r="P79" s="936" t="str">
        <f>'00 - Cover'!$F$10</f>
        <v>969500Z05GRNU3KPEY94</v>
      </c>
      <c r="Q79" s="936" t="str">
        <f>'00 - Cover'!$F$10</f>
        <v>969500Z05GRNU3KPEY94</v>
      </c>
      <c r="R79" s="936" t="str">
        <f>'00 - Cover'!$F$10</f>
        <v>969500Z05GRNU3KPEY94</v>
      </c>
    </row>
    <row r="80" spans="1:18" ht="39" thickBot="1">
      <c r="A80" s="931" t="s">
        <v>1633</v>
      </c>
      <c r="B80" s="919" t="s">
        <v>1853</v>
      </c>
      <c r="C80" s="917" t="s">
        <v>1856</v>
      </c>
      <c r="D80" s="926" t="s">
        <v>1857</v>
      </c>
      <c r="E80" s="927" t="s">
        <v>1858</v>
      </c>
      <c r="F80" s="928" t="s">
        <v>1442</v>
      </c>
      <c r="G80" s="928" t="s">
        <v>1442</v>
      </c>
      <c r="H80" s="929" t="s">
        <v>1821</v>
      </c>
      <c r="I80" s="929" t="s">
        <v>2312</v>
      </c>
      <c r="J80" s="929" t="s">
        <v>869</v>
      </c>
      <c r="K80" s="929" t="s">
        <v>869</v>
      </c>
      <c r="L80" s="929" t="s">
        <v>869</v>
      </c>
      <c r="M80" s="929" t="s">
        <v>869</v>
      </c>
      <c r="N80" s="929" t="s">
        <v>2306</v>
      </c>
      <c r="O80" s="929" t="s">
        <v>2306</v>
      </c>
      <c r="P80" s="929" t="s">
        <v>2306</v>
      </c>
      <c r="Q80" s="929" t="s">
        <v>2308</v>
      </c>
      <c r="R80" s="929" t="s">
        <v>2310</v>
      </c>
    </row>
    <row r="81" spans="1:18" ht="39" thickBot="1">
      <c r="A81" s="931" t="s">
        <v>1633</v>
      </c>
      <c r="B81" s="919" t="s">
        <v>1853</v>
      </c>
      <c r="C81" s="917" t="s">
        <v>1859</v>
      </c>
      <c r="D81" s="926" t="s">
        <v>1860</v>
      </c>
      <c r="E81" s="927" t="s">
        <v>1861</v>
      </c>
      <c r="F81" s="928" t="s">
        <v>1442</v>
      </c>
      <c r="G81" s="928" t="s">
        <v>1442</v>
      </c>
      <c r="H81" s="929" t="s">
        <v>1451</v>
      </c>
      <c r="I81" s="929" t="s">
        <v>247</v>
      </c>
      <c r="J81" s="929" t="s">
        <v>248</v>
      </c>
      <c r="K81" s="929" t="s">
        <v>248</v>
      </c>
      <c r="L81" s="929" t="s">
        <v>248</v>
      </c>
      <c r="M81" s="929" t="s">
        <v>248</v>
      </c>
      <c r="N81" s="929" t="s">
        <v>1370</v>
      </c>
      <c r="O81" s="929" t="s">
        <v>1370</v>
      </c>
      <c r="P81" s="929" t="s">
        <v>1370</v>
      </c>
      <c r="Q81" s="929" t="s">
        <v>2309</v>
      </c>
      <c r="R81" s="929" t="s">
        <v>2311</v>
      </c>
    </row>
    <row r="82" spans="1:18" ht="409.6" thickBot="1">
      <c r="A82" s="931" t="s">
        <v>1633</v>
      </c>
      <c r="B82" s="919" t="s">
        <v>1853</v>
      </c>
      <c r="C82" s="917" t="s">
        <v>1862</v>
      </c>
      <c r="D82" s="926" t="s">
        <v>1863</v>
      </c>
      <c r="E82" s="934" t="s">
        <v>1864</v>
      </c>
      <c r="F82" s="928" t="s">
        <v>1442</v>
      </c>
      <c r="G82" s="928" t="s">
        <v>1442</v>
      </c>
      <c r="H82" s="929" t="s">
        <v>1469</v>
      </c>
      <c r="I82" s="929" t="s">
        <v>2317</v>
      </c>
      <c r="J82" s="929" t="s">
        <v>2322</v>
      </c>
      <c r="K82" s="929" t="s">
        <v>2240</v>
      </c>
      <c r="L82" s="929" t="s">
        <v>2318</v>
      </c>
      <c r="M82" s="929" t="s">
        <v>2321</v>
      </c>
      <c r="N82" s="929" t="s">
        <v>2320</v>
      </c>
      <c r="O82" s="929" t="s">
        <v>2319</v>
      </c>
      <c r="P82" s="929" t="s">
        <v>2323</v>
      </c>
      <c r="Q82" s="929" t="s">
        <v>2324</v>
      </c>
      <c r="R82" s="929" t="s">
        <v>2325</v>
      </c>
    </row>
    <row r="83" spans="1:18" ht="39" thickBot="1">
      <c r="A83" s="931" t="s">
        <v>1633</v>
      </c>
      <c r="B83" s="919" t="s">
        <v>1853</v>
      </c>
      <c r="C83" s="917" t="s">
        <v>1865</v>
      </c>
      <c r="D83" s="926" t="s">
        <v>1866</v>
      </c>
      <c r="E83" s="927" t="s">
        <v>1867</v>
      </c>
      <c r="F83" s="928" t="s">
        <v>1442</v>
      </c>
      <c r="G83" s="928" t="s">
        <v>1442</v>
      </c>
      <c r="H83" s="929" t="s">
        <v>1868</v>
      </c>
      <c r="I83" s="929" t="s">
        <v>2304</v>
      </c>
      <c r="J83" s="929" t="s">
        <v>2304</v>
      </c>
      <c r="K83" s="929" t="s">
        <v>2304</v>
      </c>
      <c r="L83" s="929" t="s">
        <v>2304</v>
      </c>
      <c r="M83" s="929" t="s">
        <v>2304</v>
      </c>
      <c r="N83" s="929" t="s">
        <v>2307</v>
      </c>
      <c r="O83" s="929" t="s">
        <v>2304</v>
      </c>
      <c r="P83" s="929" t="s">
        <v>2304</v>
      </c>
      <c r="Q83" s="929" t="s">
        <v>2307</v>
      </c>
      <c r="R83" s="929" t="s">
        <v>2304</v>
      </c>
    </row>
    <row r="84" spans="1:18" ht="64.5" thickBot="1">
      <c r="A84" s="931" t="s">
        <v>1633</v>
      </c>
      <c r="B84" s="919" t="s">
        <v>1853</v>
      </c>
      <c r="C84" s="917" t="s">
        <v>1869</v>
      </c>
      <c r="D84" s="926" t="s">
        <v>1870</v>
      </c>
      <c r="E84" s="927" t="s">
        <v>1871</v>
      </c>
      <c r="F84" s="928" t="s">
        <v>1442</v>
      </c>
      <c r="G84" s="928" t="s">
        <v>1486</v>
      </c>
      <c r="H84" s="929" t="s">
        <v>1595</v>
      </c>
      <c r="I84" s="929" t="s">
        <v>2244</v>
      </c>
      <c r="J84" s="929" t="s">
        <v>2244</v>
      </c>
      <c r="K84" s="929" t="s">
        <v>2244</v>
      </c>
      <c r="L84" s="929" t="s">
        <v>2244</v>
      </c>
      <c r="M84" s="929" t="s">
        <v>2244</v>
      </c>
      <c r="N84" s="929" t="s">
        <v>2305</v>
      </c>
      <c r="O84" s="929" t="s">
        <v>2244</v>
      </c>
      <c r="P84" s="929" t="s">
        <v>2244</v>
      </c>
      <c r="Q84" s="929" t="s">
        <v>2244</v>
      </c>
      <c r="R84" s="929" t="s">
        <v>2244</v>
      </c>
    </row>
    <row r="85" spans="1:18" ht="64.5" thickBot="1">
      <c r="A85" s="931" t="s">
        <v>1633</v>
      </c>
      <c r="B85" s="919" t="s">
        <v>1853</v>
      </c>
      <c r="C85" s="917" t="s">
        <v>1872</v>
      </c>
      <c r="D85" s="926" t="s">
        <v>1873</v>
      </c>
      <c r="E85" s="927" t="s">
        <v>1874</v>
      </c>
      <c r="F85" s="928" t="s">
        <v>1442</v>
      </c>
      <c r="G85" s="928" t="s">
        <v>1486</v>
      </c>
      <c r="H85" s="929" t="s">
        <v>1595</v>
      </c>
      <c r="I85" s="929" t="s">
        <v>2244</v>
      </c>
      <c r="J85" s="929" t="s">
        <v>2244</v>
      </c>
      <c r="K85" s="929" t="s">
        <v>2244</v>
      </c>
      <c r="L85" s="929" t="s">
        <v>2244</v>
      </c>
      <c r="M85" s="929" t="s">
        <v>2244</v>
      </c>
      <c r="N85" s="929" t="s">
        <v>2315</v>
      </c>
      <c r="O85" s="929" t="s">
        <v>2244</v>
      </c>
      <c r="P85" s="929" t="s">
        <v>2244</v>
      </c>
      <c r="Q85" s="929" t="s">
        <v>2244</v>
      </c>
      <c r="R85" s="929" t="s">
        <v>2244</v>
      </c>
    </row>
    <row r="86" spans="1:18" ht="77.25" thickBot="1">
      <c r="A86" s="931" t="s">
        <v>1633</v>
      </c>
      <c r="B86" s="919" t="s">
        <v>1853</v>
      </c>
      <c r="C86" s="917" t="s">
        <v>1875</v>
      </c>
      <c r="D86" s="926" t="s">
        <v>1876</v>
      </c>
      <c r="E86" s="927" t="s">
        <v>1877</v>
      </c>
      <c r="F86" s="928" t="s">
        <v>1442</v>
      </c>
      <c r="G86" s="928" t="s">
        <v>1486</v>
      </c>
      <c r="H86" s="929" t="s">
        <v>1821</v>
      </c>
      <c r="I86" s="929" t="s">
        <v>2244</v>
      </c>
      <c r="J86" s="929" t="s">
        <v>2244</v>
      </c>
      <c r="K86" s="929" t="s">
        <v>2244</v>
      </c>
      <c r="L86" s="929" t="s">
        <v>2244</v>
      </c>
      <c r="M86" s="929" t="s">
        <v>2244</v>
      </c>
      <c r="N86" s="929" t="s">
        <v>2314</v>
      </c>
      <c r="O86" s="929" t="s">
        <v>2244</v>
      </c>
      <c r="P86" s="929" t="s">
        <v>2244</v>
      </c>
      <c r="Q86" s="929" t="s">
        <v>2244</v>
      </c>
      <c r="R86" s="929" t="s">
        <v>2244</v>
      </c>
    </row>
    <row r="87" spans="1:18" ht="77.25" thickBot="1">
      <c r="A87" s="931" t="s">
        <v>1633</v>
      </c>
      <c r="B87" s="919" t="s">
        <v>1853</v>
      </c>
      <c r="C87" s="917" t="s">
        <v>1878</v>
      </c>
      <c r="D87" s="926" t="s">
        <v>1879</v>
      </c>
      <c r="E87" s="927" t="s">
        <v>1880</v>
      </c>
      <c r="F87" s="928" t="s">
        <v>1442</v>
      </c>
      <c r="G87" s="928" t="s">
        <v>1486</v>
      </c>
      <c r="H87" s="929" t="s">
        <v>1451</v>
      </c>
      <c r="I87" s="929" t="s">
        <v>2244</v>
      </c>
      <c r="J87" s="929" t="s">
        <v>2244</v>
      </c>
      <c r="K87" s="929" t="s">
        <v>2244</v>
      </c>
      <c r="L87" s="929" t="s">
        <v>2244</v>
      </c>
      <c r="M87" s="929" t="s">
        <v>2244</v>
      </c>
      <c r="N87" s="929" t="s">
        <v>2313</v>
      </c>
      <c r="O87" s="929" t="s">
        <v>2244</v>
      </c>
      <c r="P87" s="929" t="s">
        <v>2244</v>
      </c>
      <c r="Q87" s="929" t="s">
        <v>2244</v>
      </c>
      <c r="R87" s="929" t="s">
        <v>2244</v>
      </c>
    </row>
    <row r="88" spans="1:18" ht="39" thickBot="1">
      <c r="A88" s="931" t="s">
        <v>1633</v>
      </c>
      <c r="B88" s="919" t="s">
        <v>1881</v>
      </c>
      <c r="C88" s="920" t="s">
        <v>1882</v>
      </c>
      <c r="D88" s="921"/>
      <c r="E88" s="922"/>
      <c r="F88" s="933" t="s">
        <v>653</v>
      </c>
      <c r="G88" s="923" t="s">
        <v>653</v>
      </c>
      <c r="H88" s="924"/>
      <c r="I88" s="925"/>
    </row>
    <row r="89" spans="1:18" ht="39" thickBot="1">
      <c r="A89" s="931" t="s">
        <v>1633</v>
      </c>
      <c r="B89" s="919" t="s">
        <v>1881</v>
      </c>
      <c r="C89" s="917" t="s">
        <v>1883</v>
      </c>
      <c r="D89" s="926" t="s">
        <v>1440</v>
      </c>
      <c r="E89" s="927" t="s">
        <v>1708</v>
      </c>
      <c r="F89" s="928" t="s">
        <v>1442</v>
      </c>
      <c r="G89" s="928" t="s">
        <v>1442</v>
      </c>
      <c r="H89" s="929" t="s">
        <v>1443</v>
      </c>
      <c r="I89" s="936" t="str">
        <f>I3</f>
        <v>969500Z05GRNU3KPEY94</v>
      </c>
    </row>
    <row r="90" spans="1:18" ht="39" thickBot="1">
      <c r="A90" s="931" t="s">
        <v>1633</v>
      </c>
      <c r="B90" s="919" t="s">
        <v>1881</v>
      </c>
      <c r="C90" s="917" t="s">
        <v>1884</v>
      </c>
      <c r="D90" s="926" t="s">
        <v>1885</v>
      </c>
      <c r="E90" s="927" t="s">
        <v>1886</v>
      </c>
      <c r="F90" s="928" t="s">
        <v>1442</v>
      </c>
      <c r="G90" s="928" t="s">
        <v>1486</v>
      </c>
      <c r="H90" s="929" t="s">
        <v>1447</v>
      </c>
      <c r="I90" s="929" t="s">
        <v>2244</v>
      </c>
    </row>
    <row r="91" spans="1:18" ht="64.5" thickBot="1">
      <c r="A91" s="931" t="s">
        <v>1633</v>
      </c>
      <c r="B91" s="919" t="s">
        <v>1881</v>
      </c>
      <c r="C91" s="917" t="s">
        <v>1887</v>
      </c>
      <c r="D91" s="926" t="s">
        <v>1888</v>
      </c>
      <c r="E91" s="927" t="s">
        <v>1889</v>
      </c>
      <c r="F91" s="928" t="s">
        <v>1442</v>
      </c>
      <c r="G91" s="928" t="s">
        <v>1486</v>
      </c>
      <c r="H91" s="929" t="s">
        <v>1469</v>
      </c>
      <c r="I91" s="929" t="s">
        <v>2267</v>
      </c>
    </row>
    <row r="92" spans="1:18" ht="90" thickBot="1">
      <c r="A92" s="931" t="s">
        <v>1633</v>
      </c>
      <c r="B92" s="919" t="s">
        <v>1881</v>
      </c>
      <c r="C92" s="917" t="s">
        <v>1890</v>
      </c>
      <c r="D92" s="926" t="s">
        <v>1891</v>
      </c>
      <c r="E92" s="927" t="s">
        <v>1892</v>
      </c>
      <c r="F92" s="928" t="s">
        <v>1442</v>
      </c>
      <c r="G92" s="928" t="s">
        <v>1442</v>
      </c>
      <c r="H92" s="929" t="s">
        <v>1469</v>
      </c>
      <c r="I92" s="929" t="s">
        <v>865</v>
      </c>
    </row>
    <row r="93" spans="1:18" ht="39" thickBot="1">
      <c r="A93" s="931" t="s">
        <v>1633</v>
      </c>
      <c r="B93" s="919" t="s">
        <v>1881</v>
      </c>
      <c r="C93" s="917" t="s">
        <v>1893</v>
      </c>
      <c r="D93" s="926" t="s">
        <v>1894</v>
      </c>
      <c r="E93" s="927" t="s">
        <v>1895</v>
      </c>
      <c r="F93" s="928" t="s">
        <v>1442</v>
      </c>
      <c r="G93" s="928" t="s">
        <v>1486</v>
      </c>
      <c r="H93" s="929" t="s">
        <v>1447</v>
      </c>
      <c r="I93" s="929" t="s">
        <v>2244</v>
      </c>
    </row>
    <row r="94" spans="1:18" ht="39" thickBot="1">
      <c r="A94" s="931" t="s">
        <v>1633</v>
      </c>
      <c r="B94" s="919" t="s">
        <v>1881</v>
      </c>
      <c r="C94" s="917" t="s">
        <v>1896</v>
      </c>
      <c r="D94" s="926" t="s">
        <v>1897</v>
      </c>
      <c r="E94" s="927" t="s">
        <v>1898</v>
      </c>
      <c r="F94" s="928" t="s">
        <v>1442</v>
      </c>
      <c r="G94" s="928" t="s">
        <v>1486</v>
      </c>
      <c r="H94" s="929" t="s">
        <v>1447</v>
      </c>
      <c r="I94" s="929" t="s">
        <v>2244</v>
      </c>
    </row>
    <row r="95" spans="1:18" ht="51.75" thickBot="1">
      <c r="A95" s="931" t="s">
        <v>1633</v>
      </c>
      <c r="B95" s="919" t="s">
        <v>1881</v>
      </c>
      <c r="C95" s="917" t="s">
        <v>1899</v>
      </c>
      <c r="D95" s="926" t="s">
        <v>1900</v>
      </c>
      <c r="E95" s="927" t="s">
        <v>1901</v>
      </c>
      <c r="F95" s="928" t="s">
        <v>1442</v>
      </c>
      <c r="G95" s="928" t="s">
        <v>1486</v>
      </c>
      <c r="H95" s="929" t="s">
        <v>1512</v>
      </c>
      <c r="I95" s="929" t="s">
        <v>2244</v>
      </c>
    </row>
    <row r="96" spans="1:18" ht="39" thickBot="1">
      <c r="A96" s="931" t="s">
        <v>1633</v>
      </c>
      <c r="B96" s="919" t="s">
        <v>1881</v>
      </c>
      <c r="C96" s="917" t="s">
        <v>1902</v>
      </c>
      <c r="D96" s="926" t="s">
        <v>1903</v>
      </c>
      <c r="E96" s="927" t="s">
        <v>1904</v>
      </c>
      <c r="F96" s="928" t="s">
        <v>1442</v>
      </c>
      <c r="G96" s="928" t="s">
        <v>1486</v>
      </c>
      <c r="H96" s="929" t="s">
        <v>1512</v>
      </c>
      <c r="I96" s="929" t="s">
        <v>2244</v>
      </c>
    </row>
    <row r="97" spans="1:9" ht="39" thickBot="1">
      <c r="A97" s="931" t="s">
        <v>1633</v>
      </c>
      <c r="B97" s="919" t="s">
        <v>1881</v>
      </c>
      <c r="C97" s="917" t="s">
        <v>1905</v>
      </c>
      <c r="D97" s="926" t="s">
        <v>1906</v>
      </c>
      <c r="E97" s="927" t="s">
        <v>1907</v>
      </c>
      <c r="F97" s="928" t="s">
        <v>1442</v>
      </c>
      <c r="G97" s="928" t="s">
        <v>1486</v>
      </c>
      <c r="H97" s="929" t="s">
        <v>1512</v>
      </c>
      <c r="I97" s="929" t="s">
        <v>2244</v>
      </c>
    </row>
    <row r="98" spans="1:9" ht="39" thickBot="1">
      <c r="A98" s="931" t="s">
        <v>1633</v>
      </c>
      <c r="B98" s="919" t="s">
        <v>1881</v>
      </c>
      <c r="C98" s="917" t="s">
        <v>1908</v>
      </c>
      <c r="D98" s="926" t="s">
        <v>1909</v>
      </c>
      <c r="E98" s="927" t="s">
        <v>1910</v>
      </c>
      <c r="F98" s="928" t="s">
        <v>1442</v>
      </c>
      <c r="G98" s="928" t="s">
        <v>1486</v>
      </c>
      <c r="H98" s="929" t="s">
        <v>1512</v>
      </c>
      <c r="I98" s="929" t="s">
        <v>2244</v>
      </c>
    </row>
    <row r="99" spans="1:9" ht="39" thickBot="1">
      <c r="A99" s="931" t="s">
        <v>1633</v>
      </c>
      <c r="B99" s="919" t="s">
        <v>1881</v>
      </c>
      <c r="C99" s="917" t="s">
        <v>1911</v>
      </c>
      <c r="D99" s="926" t="s">
        <v>1912</v>
      </c>
      <c r="E99" s="927" t="s">
        <v>1913</v>
      </c>
      <c r="F99" s="928" t="s">
        <v>1442</v>
      </c>
      <c r="G99" s="928" t="s">
        <v>1486</v>
      </c>
      <c r="H99" s="929" t="s">
        <v>1512</v>
      </c>
      <c r="I99" s="929" t="s">
        <v>2244</v>
      </c>
    </row>
    <row r="100" spans="1:9" ht="39" thickBot="1">
      <c r="A100" s="931" t="s">
        <v>1633</v>
      </c>
      <c r="B100" s="919" t="s">
        <v>1881</v>
      </c>
      <c r="C100" s="917" t="s">
        <v>1914</v>
      </c>
      <c r="D100" s="926" t="s">
        <v>1915</v>
      </c>
      <c r="E100" s="927" t="s">
        <v>1916</v>
      </c>
      <c r="F100" s="928" t="s">
        <v>1442</v>
      </c>
      <c r="G100" s="928" t="s">
        <v>1486</v>
      </c>
      <c r="H100" s="929" t="s">
        <v>1512</v>
      </c>
      <c r="I100" s="929" t="s">
        <v>2244</v>
      </c>
    </row>
    <row r="101" spans="1:9" ht="39" thickBot="1">
      <c r="A101" s="931" t="s">
        <v>1633</v>
      </c>
      <c r="B101" s="919" t="s">
        <v>1881</v>
      </c>
      <c r="C101" s="917" t="s">
        <v>1917</v>
      </c>
      <c r="D101" s="926" t="s">
        <v>1918</v>
      </c>
      <c r="E101" s="927" t="s">
        <v>1919</v>
      </c>
      <c r="F101" s="928" t="s">
        <v>1442</v>
      </c>
      <c r="G101" s="928" t="s">
        <v>1486</v>
      </c>
      <c r="H101" s="929" t="s">
        <v>1512</v>
      </c>
      <c r="I101" s="929" t="s">
        <v>2244</v>
      </c>
    </row>
    <row r="102" spans="1:9" ht="39" thickBot="1">
      <c r="A102" s="931" t="s">
        <v>1633</v>
      </c>
      <c r="B102" s="919" t="s">
        <v>1881</v>
      </c>
      <c r="C102" s="917" t="s">
        <v>1920</v>
      </c>
      <c r="D102" s="926" t="s">
        <v>1921</v>
      </c>
      <c r="E102" s="927" t="s">
        <v>1922</v>
      </c>
      <c r="F102" s="928" t="s">
        <v>1442</v>
      </c>
      <c r="G102" s="928" t="s">
        <v>1486</v>
      </c>
      <c r="H102" s="929" t="s">
        <v>1512</v>
      </c>
      <c r="I102" s="929" t="s">
        <v>2244</v>
      </c>
    </row>
    <row r="103" spans="1:9" ht="39" thickBot="1">
      <c r="A103" s="931" t="s">
        <v>1633</v>
      </c>
      <c r="B103" s="919" t="s">
        <v>1881</v>
      </c>
      <c r="C103" s="917" t="s">
        <v>1923</v>
      </c>
      <c r="D103" s="926" t="s">
        <v>1924</v>
      </c>
      <c r="E103" s="927" t="s">
        <v>1925</v>
      </c>
      <c r="F103" s="928" t="s">
        <v>1442</v>
      </c>
      <c r="G103" s="928" t="s">
        <v>1486</v>
      </c>
      <c r="H103" s="929" t="s">
        <v>1512</v>
      </c>
      <c r="I103" s="929" t="s">
        <v>2244</v>
      </c>
    </row>
    <row r="104" spans="1:9" ht="39" thickBot="1">
      <c r="A104" s="931" t="s">
        <v>1633</v>
      </c>
      <c r="B104" s="919" t="s">
        <v>1881</v>
      </c>
      <c r="C104" s="917" t="s">
        <v>1926</v>
      </c>
      <c r="D104" s="926" t="s">
        <v>1927</v>
      </c>
      <c r="E104" s="927" t="s">
        <v>1928</v>
      </c>
      <c r="F104" s="928" t="s">
        <v>1442</v>
      </c>
      <c r="G104" s="928" t="s">
        <v>1442</v>
      </c>
      <c r="H104" s="929" t="s">
        <v>1490</v>
      </c>
      <c r="I104" s="929" t="s">
        <v>2303</v>
      </c>
    </row>
    <row r="105" spans="1:9" ht="39" thickBot="1">
      <c r="A105" s="931" t="s">
        <v>1633</v>
      </c>
      <c r="B105" s="919" t="s">
        <v>1881</v>
      </c>
      <c r="C105" s="917" t="s">
        <v>1929</v>
      </c>
      <c r="D105" s="926" t="s">
        <v>1930</v>
      </c>
      <c r="E105" s="927" t="s">
        <v>1931</v>
      </c>
      <c r="F105" s="928" t="s">
        <v>1442</v>
      </c>
      <c r="G105" s="928" t="s">
        <v>1442</v>
      </c>
      <c r="H105" s="929" t="s">
        <v>1490</v>
      </c>
      <c r="I105" s="929" t="s">
        <v>2303</v>
      </c>
    </row>
    <row r="106" spans="1:9" ht="39" thickBot="1">
      <c r="A106" s="931" t="s">
        <v>1633</v>
      </c>
      <c r="B106" s="919" t="s">
        <v>1881</v>
      </c>
      <c r="C106" s="917" t="s">
        <v>1932</v>
      </c>
      <c r="D106" s="926" t="s">
        <v>1933</v>
      </c>
      <c r="E106" s="927" t="s">
        <v>1934</v>
      </c>
      <c r="F106" s="928" t="s">
        <v>1442</v>
      </c>
      <c r="G106" s="928" t="s">
        <v>1442</v>
      </c>
      <c r="H106" s="929" t="s">
        <v>1479</v>
      </c>
      <c r="I106" s="929" t="s">
        <v>2243</v>
      </c>
    </row>
    <row r="107" spans="1:9" ht="39" thickBot="1">
      <c r="A107" s="931" t="s">
        <v>1633</v>
      </c>
      <c r="B107" s="919" t="s">
        <v>1881</v>
      </c>
      <c r="C107" s="917" t="s">
        <v>1935</v>
      </c>
      <c r="D107" s="926" t="s">
        <v>1936</v>
      </c>
      <c r="E107" s="927" t="s">
        <v>1937</v>
      </c>
      <c r="F107" s="928" t="s">
        <v>1442</v>
      </c>
      <c r="G107" s="928" t="s">
        <v>1442</v>
      </c>
      <c r="H107" s="929" t="s">
        <v>1479</v>
      </c>
      <c r="I107" s="929" t="s">
        <v>2243</v>
      </c>
    </row>
    <row r="108" spans="1:9" ht="39" thickBot="1">
      <c r="A108" s="931" t="s">
        <v>1633</v>
      </c>
      <c r="B108" s="919" t="s">
        <v>1881</v>
      </c>
      <c r="C108" s="917" t="s">
        <v>1938</v>
      </c>
      <c r="D108" s="926" t="s">
        <v>1939</v>
      </c>
      <c r="E108" s="927" t="s">
        <v>1940</v>
      </c>
      <c r="F108" s="928" t="s">
        <v>1442</v>
      </c>
      <c r="G108" s="928" t="s">
        <v>1442</v>
      </c>
      <c r="H108" s="929" t="s">
        <v>1479</v>
      </c>
      <c r="I108" s="929" t="s">
        <v>2243</v>
      </c>
    </row>
    <row r="109" spans="1:9" ht="39" thickBot="1">
      <c r="A109" s="931" t="s">
        <v>1633</v>
      </c>
      <c r="B109" s="919" t="s">
        <v>1881</v>
      </c>
      <c r="C109" s="917" t="s">
        <v>1941</v>
      </c>
      <c r="D109" s="926" t="s">
        <v>1942</v>
      </c>
      <c r="E109" s="927" t="s">
        <v>1943</v>
      </c>
      <c r="F109" s="928" t="s">
        <v>1442</v>
      </c>
      <c r="G109" s="928" t="s">
        <v>1442</v>
      </c>
      <c r="H109" s="929" t="s">
        <v>1479</v>
      </c>
      <c r="I109" s="929" t="s">
        <v>2243</v>
      </c>
    </row>
    <row r="110" spans="1:9" ht="39" thickBot="1">
      <c r="A110" s="931" t="s">
        <v>1633</v>
      </c>
      <c r="B110" s="919" t="s">
        <v>1881</v>
      </c>
      <c r="C110" s="917" t="s">
        <v>1944</v>
      </c>
      <c r="D110" s="926" t="s">
        <v>1945</v>
      </c>
      <c r="E110" s="927" t="s">
        <v>1946</v>
      </c>
      <c r="F110" s="928" t="s">
        <v>1442</v>
      </c>
      <c r="G110" s="928" t="s">
        <v>1442</v>
      </c>
      <c r="H110" s="929" t="s">
        <v>1479</v>
      </c>
      <c r="I110" s="929" t="s">
        <v>2242</v>
      </c>
    </row>
    <row r="111" spans="1:9" ht="39" thickBot="1">
      <c r="A111" s="931" t="s">
        <v>1633</v>
      </c>
      <c r="B111" s="919" t="s">
        <v>1881</v>
      </c>
      <c r="C111" s="917" t="s">
        <v>1947</v>
      </c>
      <c r="D111" s="926" t="s">
        <v>1948</v>
      </c>
      <c r="E111" s="927" t="s">
        <v>1949</v>
      </c>
      <c r="F111" s="928" t="s">
        <v>1442</v>
      </c>
      <c r="G111" s="928" t="s">
        <v>1442</v>
      </c>
      <c r="H111" s="929" t="s">
        <v>1479</v>
      </c>
      <c r="I111" s="929" t="s">
        <v>2242</v>
      </c>
    </row>
    <row r="112" spans="1:9" ht="39" thickBot="1">
      <c r="A112" s="931" t="s">
        <v>1633</v>
      </c>
      <c r="B112" s="919" t="s">
        <v>1881</v>
      </c>
      <c r="C112" s="917" t="s">
        <v>1950</v>
      </c>
      <c r="D112" s="926" t="s">
        <v>1951</v>
      </c>
      <c r="E112" s="927" t="s">
        <v>1952</v>
      </c>
      <c r="F112" s="928" t="s">
        <v>1442</v>
      </c>
      <c r="G112" s="928" t="s">
        <v>1442</v>
      </c>
      <c r="H112" s="929" t="s">
        <v>1479</v>
      </c>
      <c r="I112" s="929" t="s">
        <v>2243</v>
      </c>
    </row>
    <row r="113" spans="1:9" ht="39" thickBot="1">
      <c r="A113" s="931" t="s">
        <v>1633</v>
      </c>
      <c r="B113" s="919" t="s">
        <v>1881</v>
      </c>
      <c r="C113" s="917" t="s">
        <v>1953</v>
      </c>
      <c r="D113" s="926" t="s">
        <v>1954</v>
      </c>
      <c r="E113" s="927" t="s">
        <v>1955</v>
      </c>
      <c r="F113" s="928" t="s">
        <v>1442</v>
      </c>
      <c r="G113" s="928" t="s">
        <v>1442</v>
      </c>
      <c r="H113" s="929" t="s">
        <v>1479</v>
      </c>
      <c r="I113" s="929" t="s">
        <v>2243</v>
      </c>
    </row>
    <row r="114" spans="1:9" ht="39" thickBot="1">
      <c r="A114" s="931" t="s">
        <v>1633</v>
      </c>
      <c r="B114" s="919" t="s">
        <v>1881</v>
      </c>
      <c r="C114" s="917" t="s">
        <v>1956</v>
      </c>
      <c r="D114" s="926" t="s">
        <v>1957</v>
      </c>
      <c r="E114" s="927" t="s">
        <v>1958</v>
      </c>
      <c r="F114" s="928" t="s">
        <v>1442</v>
      </c>
      <c r="G114" s="928" t="s">
        <v>1486</v>
      </c>
      <c r="H114" s="929" t="s">
        <v>1609</v>
      </c>
      <c r="I114" s="929" t="s">
        <v>2244</v>
      </c>
    </row>
    <row r="115" spans="1:9" ht="39" thickBot="1">
      <c r="A115" s="931" t="s">
        <v>1633</v>
      </c>
      <c r="B115" s="919" t="s">
        <v>1881</v>
      </c>
      <c r="C115" s="917" t="s">
        <v>1959</v>
      </c>
      <c r="D115" s="926" t="s">
        <v>1960</v>
      </c>
      <c r="E115" s="927" t="s">
        <v>1961</v>
      </c>
      <c r="F115" s="928" t="s">
        <v>1442</v>
      </c>
      <c r="G115" s="928" t="s">
        <v>1442</v>
      </c>
      <c r="H115" s="929" t="s">
        <v>1479</v>
      </c>
      <c r="I115" s="929" t="s">
        <v>2242</v>
      </c>
    </row>
    <row r="116" spans="1:9" ht="39" thickBot="1">
      <c r="A116" s="931" t="s">
        <v>1633</v>
      </c>
      <c r="B116" s="919" t="s">
        <v>1962</v>
      </c>
      <c r="C116" s="920" t="s">
        <v>1963</v>
      </c>
      <c r="D116" s="921"/>
      <c r="E116" s="922"/>
      <c r="F116" s="923" t="s">
        <v>653</v>
      </c>
      <c r="G116" s="923" t="s">
        <v>653</v>
      </c>
      <c r="H116" s="924"/>
      <c r="I116" s="925"/>
    </row>
    <row r="117" spans="1:9" ht="39" thickBot="1">
      <c r="A117" s="931" t="s">
        <v>1633</v>
      </c>
      <c r="B117" s="919" t="s">
        <v>1962</v>
      </c>
      <c r="C117" s="917" t="s">
        <v>1964</v>
      </c>
      <c r="D117" s="926" t="s">
        <v>1440</v>
      </c>
      <c r="E117" s="927" t="s">
        <v>1708</v>
      </c>
      <c r="F117" s="928" t="s">
        <v>1442</v>
      </c>
      <c r="G117" s="928" t="s">
        <v>1442</v>
      </c>
      <c r="H117" s="929" t="s">
        <v>1443</v>
      </c>
      <c r="I117" s="936" t="str">
        <f>I3</f>
        <v>969500Z05GRNU3KPEY94</v>
      </c>
    </row>
    <row r="118" spans="1:9" ht="39" thickBot="1">
      <c r="A118" s="931" t="s">
        <v>1633</v>
      </c>
      <c r="B118" s="919" t="s">
        <v>1962</v>
      </c>
      <c r="C118" s="917" t="s">
        <v>1965</v>
      </c>
      <c r="D118" s="926" t="s">
        <v>1966</v>
      </c>
      <c r="E118" s="927" t="s">
        <v>1967</v>
      </c>
      <c r="F118" s="928" t="s">
        <v>1442</v>
      </c>
      <c r="G118" s="928" t="s">
        <v>1442</v>
      </c>
      <c r="H118" s="929" t="s">
        <v>1821</v>
      </c>
      <c r="I118" s="929" t="str">
        <f>I80</f>
        <v>969500CY9YKWDZW47Y85</v>
      </c>
    </row>
    <row r="119" spans="1:9" ht="39" thickBot="1">
      <c r="A119" s="931" t="s">
        <v>1633</v>
      </c>
      <c r="B119" s="919" t="s">
        <v>1962</v>
      </c>
      <c r="C119" s="917" t="s">
        <v>1968</v>
      </c>
      <c r="D119" s="926" t="s">
        <v>1969</v>
      </c>
      <c r="E119" s="927" t="s">
        <v>1970</v>
      </c>
      <c r="F119" s="928" t="s">
        <v>1442</v>
      </c>
      <c r="G119" s="928" t="s">
        <v>1442</v>
      </c>
      <c r="H119" s="929" t="s">
        <v>1588</v>
      </c>
      <c r="I119" s="929" t="str">
        <f>I82</f>
        <v>MNGR</v>
      </c>
    </row>
    <row r="120" spans="1:9" ht="39" thickBot="1">
      <c r="A120" s="931" t="s">
        <v>1633</v>
      </c>
      <c r="B120" s="919" t="s">
        <v>1962</v>
      </c>
      <c r="C120" s="917" t="s">
        <v>1971</v>
      </c>
      <c r="D120" s="926" t="s">
        <v>129</v>
      </c>
      <c r="E120" s="927" t="s">
        <v>1972</v>
      </c>
      <c r="F120" s="928" t="s">
        <v>1442</v>
      </c>
      <c r="G120" s="928" t="s">
        <v>1486</v>
      </c>
      <c r="H120" s="929" t="s">
        <v>1447</v>
      </c>
      <c r="I120" s="929" t="s">
        <v>2244</v>
      </c>
    </row>
    <row r="121" spans="1:9" ht="39" thickBot="1">
      <c r="A121" s="931" t="s">
        <v>1633</v>
      </c>
      <c r="B121" s="919" t="s">
        <v>1962</v>
      </c>
      <c r="C121" s="917" t="s">
        <v>1973</v>
      </c>
      <c r="D121" s="926" t="s">
        <v>1974</v>
      </c>
      <c r="E121" s="927" t="s">
        <v>1975</v>
      </c>
      <c r="F121" s="928" t="s">
        <v>1442</v>
      </c>
      <c r="G121" s="928" t="s">
        <v>1486</v>
      </c>
      <c r="H121" s="929" t="s">
        <v>1447</v>
      </c>
      <c r="I121" s="929" t="s">
        <v>2244</v>
      </c>
    </row>
    <row r="122" spans="1:9" ht="39" thickBot="1">
      <c r="A122" s="931" t="s">
        <v>1633</v>
      </c>
      <c r="B122" s="919" t="s">
        <v>1962</v>
      </c>
      <c r="C122" s="917" t="s">
        <v>1976</v>
      </c>
      <c r="D122" s="926" t="s">
        <v>1977</v>
      </c>
      <c r="E122" s="927" t="s">
        <v>1978</v>
      </c>
      <c r="F122" s="928" t="s">
        <v>1442</v>
      </c>
      <c r="G122" s="928" t="s">
        <v>1442</v>
      </c>
      <c r="H122" s="929" t="s">
        <v>1609</v>
      </c>
      <c r="I122" s="929">
        <v>0</v>
      </c>
    </row>
    <row r="123" spans="1:9" ht="39" thickBot="1">
      <c r="A123" s="931" t="s">
        <v>1633</v>
      </c>
      <c r="B123" s="919" t="s">
        <v>1962</v>
      </c>
      <c r="C123" s="917" t="s">
        <v>1979</v>
      </c>
      <c r="D123" s="926" t="s">
        <v>1980</v>
      </c>
      <c r="E123" s="927" t="s">
        <v>1981</v>
      </c>
      <c r="F123" s="928" t="s">
        <v>1442</v>
      </c>
      <c r="G123" s="928" t="s">
        <v>1442</v>
      </c>
      <c r="H123" s="929" t="s">
        <v>1609</v>
      </c>
      <c r="I123" s="929">
        <v>0</v>
      </c>
    </row>
    <row r="124" spans="1:9" ht="39" thickBot="1">
      <c r="A124" s="931" t="s">
        <v>1633</v>
      </c>
      <c r="B124" s="919" t="s">
        <v>1962</v>
      </c>
      <c r="C124" s="917" t="s">
        <v>1982</v>
      </c>
      <c r="D124" s="926" t="s">
        <v>1983</v>
      </c>
      <c r="E124" s="927" t="s">
        <v>1984</v>
      </c>
      <c r="F124" s="928" t="s">
        <v>1442</v>
      </c>
      <c r="G124" s="928" t="s">
        <v>1442</v>
      </c>
      <c r="H124" s="929" t="s">
        <v>1609</v>
      </c>
      <c r="I124" s="929">
        <v>0</v>
      </c>
    </row>
    <row r="125" spans="1:9" ht="39" thickBot="1">
      <c r="A125" s="931" t="s">
        <v>1633</v>
      </c>
      <c r="B125" s="919" t="s">
        <v>1962</v>
      </c>
      <c r="C125" s="917" t="s">
        <v>1985</v>
      </c>
      <c r="D125" s="926" t="s">
        <v>1986</v>
      </c>
      <c r="E125" s="927" t="s">
        <v>1987</v>
      </c>
      <c r="F125" s="928" t="s">
        <v>1442</v>
      </c>
      <c r="G125" s="928" t="s">
        <v>1442</v>
      </c>
      <c r="H125" s="929" t="s">
        <v>1490</v>
      </c>
      <c r="I125" s="929" t="s">
        <v>2303</v>
      </c>
    </row>
    <row r="126" spans="1:9" ht="39" thickBot="1">
      <c r="A126" s="931" t="s">
        <v>1633</v>
      </c>
      <c r="B126" s="919" t="s">
        <v>1962</v>
      </c>
      <c r="C126" s="917" t="s">
        <v>1988</v>
      </c>
      <c r="D126" s="926" t="s">
        <v>1989</v>
      </c>
      <c r="E126" s="927" t="s">
        <v>1990</v>
      </c>
      <c r="F126" s="928" t="s">
        <v>1442</v>
      </c>
      <c r="G126" s="928" t="s">
        <v>1442</v>
      </c>
      <c r="H126" s="929" t="s">
        <v>1490</v>
      </c>
      <c r="I126" s="929" t="s">
        <v>2303</v>
      </c>
    </row>
    <row r="127" spans="1:9" ht="39" thickBot="1">
      <c r="A127" s="931" t="s">
        <v>1633</v>
      </c>
      <c r="B127" s="919" t="s">
        <v>1962</v>
      </c>
      <c r="C127" s="917" t="s">
        <v>1991</v>
      </c>
      <c r="D127" s="926" t="s">
        <v>1992</v>
      </c>
      <c r="E127" s="927" t="s">
        <v>1993</v>
      </c>
      <c r="F127" s="928" t="s">
        <v>1442</v>
      </c>
      <c r="G127" s="928" t="s">
        <v>1442</v>
      </c>
      <c r="H127" s="929" t="s">
        <v>1490</v>
      </c>
      <c r="I127" s="929">
        <v>0</v>
      </c>
    </row>
    <row r="128" spans="1:9" ht="39" thickBot="1">
      <c r="A128" s="931" t="s">
        <v>1633</v>
      </c>
      <c r="B128" s="919" t="s">
        <v>1962</v>
      </c>
      <c r="C128" s="917" t="s">
        <v>1994</v>
      </c>
      <c r="D128" s="926" t="s">
        <v>1995</v>
      </c>
      <c r="E128" s="927" t="s">
        <v>1996</v>
      </c>
      <c r="F128" s="928" t="s">
        <v>1442</v>
      </c>
      <c r="G128" s="928" t="s">
        <v>1442</v>
      </c>
      <c r="H128" s="929" t="s">
        <v>1490</v>
      </c>
      <c r="I128" s="929">
        <v>0</v>
      </c>
    </row>
    <row r="129" spans="1:9" ht="39" thickBot="1">
      <c r="A129" s="931" t="s">
        <v>1633</v>
      </c>
      <c r="B129" s="919" t="s">
        <v>1962</v>
      </c>
      <c r="C129" s="917" t="s">
        <v>1997</v>
      </c>
      <c r="D129" s="926" t="s">
        <v>1998</v>
      </c>
      <c r="E129" s="927" t="s">
        <v>1999</v>
      </c>
      <c r="F129" s="928" t="s">
        <v>1442</v>
      </c>
      <c r="G129" s="928" t="s">
        <v>1442</v>
      </c>
      <c r="H129" s="929" t="s">
        <v>1490</v>
      </c>
      <c r="I129" s="929">
        <v>0</v>
      </c>
    </row>
    <row r="130" spans="1:9" ht="39" thickBot="1">
      <c r="A130" s="931" t="s">
        <v>1633</v>
      </c>
      <c r="B130" s="919" t="s">
        <v>1962</v>
      </c>
      <c r="C130" s="917" t="s">
        <v>2000</v>
      </c>
      <c r="D130" s="926" t="s">
        <v>2001</v>
      </c>
      <c r="E130" s="927" t="s">
        <v>2002</v>
      </c>
      <c r="F130" s="928" t="s">
        <v>1442</v>
      </c>
      <c r="G130" s="928" t="s">
        <v>1442</v>
      </c>
      <c r="H130" s="929" t="s">
        <v>1609</v>
      </c>
      <c r="I130" s="929">
        <v>0</v>
      </c>
    </row>
    <row r="131" spans="1:9" ht="39" thickBot="1">
      <c r="A131" s="931" t="s">
        <v>1633</v>
      </c>
      <c r="B131" s="919" t="s">
        <v>1962</v>
      </c>
      <c r="C131" s="917" t="s">
        <v>2003</v>
      </c>
      <c r="D131" s="926" t="s">
        <v>2004</v>
      </c>
      <c r="E131" s="927" t="s">
        <v>2005</v>
      </c>
      <c r="F131" s="928" t="s">
        <v>1442</v>
      </c>
      <c r="G131" s="928" t="s">
        <v>1442</v>
      </c>
      <c r="H131" s="929" t="s">
        <v>1490</v>
      </c>
      <c r="I131" s="929" t="s">
        <v>2303</v>
      </c>
    </row>
    <row r="132" spans="1:9" ht="39" thickBot="1">
      <c r="A132" s="931" t="s">
        <v>1633</v>
      </c>
      <c r="B132" s="919" t="s">
        <v>1962</v>
      </c>
      <c r="C132" s="917" t="s">
        <v>2006</v>
      </c>
      <c r="D132" s="926" t="s">
        <v>2007</v>
      </c>
      <c r="E132" s="927" t="s">
        <v>2008</v>
      </c>
      <c r="F132" s="928" t="s">
        <v>1442</v>
      </c>
      <c r="G132" s="928" t="s">
        <v>1442</v>
      </c>
      <c r="H132" s="929" t="s">
        <v>1490</v>
      </c>
      <c r="I132" s="929" t="s">
        <v>2303</v>
      </c>
    </row>
    <row r="133" spans="1:9" ht="39" thickBot="1">
      <c r="A133" s="931" t="s">
        <v>1633</v>
      </c>
      <c r="B133" s="919" t="s">
        <v>1962</v>
      </c>
      <c r="C133" s="917" t="s">
        <v>2009</v>
      </c>
      <c r="D133" s="926" t="s">
        <v>2010</v>
      </c>
      <c r="E133" s="927" t="s">
        <v>2011</v>
      </c>
      <c r="F133" s="928" t="s">
        <v>1442</v>
      </c>
      <c r="G133" s="928" t="s">
        <v>1442</v>
      </c>
      <c r="H133" s="929" t="s">
        <v>1609</v>
      </c>
      <c r="I133" s="929">
        <v>0</v>
      </c>
    </row>
    <row r="134" spans="1:9" ht="39" thickBot="1">
      <c r="A134" s="931" t="s">
        <v>1633</v>
      </c>
      <c r="B134" s="919" t="s">
        <v>1962</v>
      </c>
      <c r="C134" s="917" t="s">
        <v>2012</v>
      </c>
      <c r="D134" s="926" t="s">
        <v>2013</v>
      </c>
      <c r="E134" s="927" t="s">
        <v>2014</v>
      </c>
      <c r="F134" s="928" t="s">
        <v>1442</v>
      </c>
      <c r="G134" s="928" t="s">
        <v>1442</v>
      </c>
      <c r="H134" s="929" t="s">
        <v>1609</v>
      </c>
      <c r="I134" s="929">
        <v>0</v>
      </c>
    </row>
    <row r="135" spans="1:9" ht="39" thickBot="1">
      <c r="A135" s="931" t="s">
        <v>1633</v>
      </c>
      <c r="B135" s="919" t="s">
        <v>1962</v>
      </c>
      <c r="C135" s="917" t="s">
        <v>2015</v>
      </c>
      <c r="D135" s="926" t="s">
        <v>2016</v>
      </c>
      <c r="E135" s="927" t="s">
        <v>2017</v>
      </c>
      <c r="F135" s="928" t="s">
        <v>1442</v>
      </c>
      <c r="G135" s="928" t="s">
        <v>1442</v>
      </c>
      <c r="H135" s="929" t="s">
        <v>1512</v>
      </c>
      <c r="I135" s="954">
        <v>0</v>
      </c>
    </row>
    <row r="136" spans="1:9" ht="39" thickBot="1">
      <c r="A136" s="931" t="s">
        <v>1633</v>
      </c>
      <c r="B136" s="919" t="s">
        <v>1962</v>
      </c>
      <c r="C136" s="917" t="s">
        <v>2018</v>
      </c>
      <c r="D136" s="926" t="s">
        <v>2019</v>
      </c>
      <c r="E136" s="927" t="s">
        <v>2020</v>
      </c>
      <c r="F136" s="928" t="s">
        <v>1442</v>
      </c>
      <c r="G136" s="928" t="s">
        <v>1442</v>
      </c>
      <c r="H136" s="929" t="s">
        <v>1512</v>
      </c>
      <c r="I136" s="954">
        <v>0</v>
      </c>
    </row>
    <row r="137" spans="1:9" ht="39" thickBot="1">
      <c r="A137" s="931" t="s">
        <v>1633</v>
      </c>
      <c r="B137" s="919" t="s">
        <v>1962</v>
      </c>
      <c r="C137" s="917" t="s">
        <v>2021</v>
      </c>
      <c r="D137" s="926" t="s">
        <v>2022</v>
      </c>
      <c r="E137" s="927" t="s">
        <v>2023</v>
      </c>
      <c r="F137" s="928" t="s">
        <v>1442</v>
      </c>
      <c r="G137" s="928" t="s">
        <v>1442</v>
      </c>
      <c r="H137" s="929" t="s">
        <v>1512</v>
      </c>
      <c r="I137" s="954">
        <v>0</v>
      </c>
    </row>
    <row r="138" spans="1:9" ht="51.75" thickBot="1">
      <c r="A138" s="931" t="s">
        <v>1633</v>
      </c>
      <c r="B138" s="919" t="s">
        <v>2024</v>
      </c>
      <c r="C138" s="920" t="s">
        <v>2025</v>
      </c>
      <c r="D138" s="921"/>
      <c r="E138" s="922"/>
      <c r="F138" s="923" t="s">
        <v>653</v>
      </c>
      <c r="G138" s="923" t="s">
        <v>653</v>
      </c>
      <c r="H138" s="924"/>
      <c r="I138" s="925"/>
    </row>
    <row r="139" spans="1:9" ht="51.75" thickBot="1">
      <c r="A139" s="931" t="s">
        <v>1633</v>
      </c>
      <c r="B139" s="919" t="s">
        <v>2024</v>
      </c>
      <c r="C139" s="917" t="s">
        <v>2026</v>
      </c>
      <c r="D139" s="926" t="s">
        <v>1440</v>
      </c>
      <c r="E139" s="927" t="s">
        <v>1708</v>
      </c>
      <c r="F139" s="928" t="s">
        <v>1442</v>
      </c>
      <c r="G139" s="928" t="s">
        <v>1442</v>
      </c>
      <c r="H139" s="929" t="s">
        <v>1443</v>
      </c>
      <c r="I139" s="936" t="str">
        <f>I3</f>
        <v>969500Z05GRNU3KPEY94</v>
      </c>
    </row>
    <row r="140" spans="1:9" ht="51.75" thickBot="1">
      <c r="A140" s="931" t="s">
        <v>1633</v>
      </c>
      <c r="B140" s="919" t="s">
        <v>2024</v>
      </c>
      <c r="C140" s="917" t="s">
        <v>2027</v>
      </c>
      <c r="D140" s="930" t="s">
        <v>2028</v>
      </c>
      <c r="E140" s="927" t="s">
        <v>2029</v>
      </c>
      <c r="F140" s="928" t="s">
        <v>1442</v>
      </c>
      <c r="G140" s="928" t="s">
        <v>1442</v>
      </c>
      <c r="H140" s="929" t="s">
        <v>1588</v>
      </c>
      <c r="I140" s="936" t="s">
        <v>869</v>
      </c>
    </row>
    <row r="141" spans="1:9" ht="102.75" thickBot="1">
      <c r="A141" s="931" t="s">
        <v>1633</v>
      </c>
      <c r="B141" s="919" t="s">
        <v>2024</v>
      </c>
      <c r="C141" s="917" t="s">
        <v>2030</v>
      </c>
      <c r="D141" s="930" t="s">
        <v>1830</v>
      </c>
      <c r="E141" s="927" t="s">
        <v>1831</v>
      </c>
      <c r="F141" s="928" t="s">
        <v>1442</v>
      </c>
      <c r="G141" s="928" t="s">
        <v>1442</v>
      </c>
      <c r="H141" s="929" t="s">
        <v>1469</v>
      </c>
      <c r="I141" s="929" t="s">
        <v>865</v>
      </c>
    </row>
    <row r="142" spans="1:9" ht="51.75" thickBot="1">
      <c r="A142" s="931" t="s">
        <v>1633</v>
      </c>
      <c r="B142" s="919" t="s">
        <v>2024</v>
      </c>
      <c r="C142" s="917" t="s">
        <v>2031</v>
      </c>
      <c r="D142" s="930" t="s">
        <v>2032</v>
      </c>
      <c r="E142" s="927" t="s">
        <v>2033</v>
      </c>
      <c r="F142" s="928" t="s">
        <v>1442</v>
      </c>
      <c r="G142" s="928" t="s">
        <v>1486</v>
      </c>
      <c r="H142" s="929" t="s">
        <v>1718</v>
      </c>
      <c r="I142" s="929" t="s">
        <v>2244</v>
      </c>
    </row>
    <row r="143" spans="1:9" ht="51.75" thickBot="1">
      <c r="A143" s="931" t="s">
        <v>1633</v>
      </c>
      <c r="B143" s="919" t="s">
        <v>2024</v>
      </c>
      <c r="C143" s="917" t="s">
        <v>2034</v>
      </c>
      <c r="D143" s="930" t="s">
        <v>2035</v>
      </c>
      <c r="E143" s="927" t="s">
        <v>2036</v>
      </c>
      <c r="F143" s="928" t="s">
        <v>1442</v>
      </c>
      <c r="G143" s="928" t="s">
        <v>1442</v>
      </c>
      <c r="H143" s="929" t="s">
        <v>1451</v>
      </c>
      <c r="I143" s="929" t="s">
        <v>248</v>
      </c>
    </row>
    <row r="144" spans="1:9" ht="51.75" thickBot="1">
      <c r="A144" s="931" t="s">
        <v>1633</v>
      </c>
      <c r="B144" s="919" t="s">
        <v>2024</v>
      </c>
      <c r="C144" s="917" t="s">
        <v>2037</v>
      </c>
      <c r="D144" s="930" t="s">
        <v>2038</v>
      </c>
      <c r="E144" s="927" t="s">
        <v>2039</v>
      </c>
      <c r="F144" s="928" t="s">
        <v>1442</v>
      </c>
      <c r="G144" s="928" t="s">
        <v>1442</v>
      </c>
      <c r="H144" s="929" t="s">
        <v>1821</v>
      </c>
      <c r="I144" s="929" t="s">
        <v>869</v>
      </c>
    </row>
    <row r="145" spans="1:9" ht="51.75" thickBot="1">
      <c r="A145" s="931" t="s">
        <v>1633</v>
      </c>
      <c r="B145" s="919" t="s">
        <v>2024</v>
      </c>
      <c r="C145" s="917" t="s">
        <v>2040</v>
      </c>
      <c r="D145" s="930" t="s">
        <v>2041</v>
      </c>
      <c r="E145" s="927" t="s">
        <v>2042</v>
      </c>
      <c r="F145" s="928" t="s">
        <v>1442</v>
      </c>
      <c r="G145" s="928" t="s">
        <v>1442</v>
      </c>
      <c r="H145" s="929" t="s">
        <v>1479</v>
      </c>
      <c r="I145" s="929" t="s">
        <v>2243</v>
      </c>
    </row>
    <row r="146" spans="1:9" ht="51.75" thickBot="1">
      <c r="A146" s="931" t="s">
        <v>1633</v>
      </c>
      <c r="B146" s="919" t="s">
        <v>2024</v>
      </c>
      <c r="C146" s="917" t="s">
        <v>2043</v>
      </c>
      <c r="D146" s="930" t="s">
        <v>2044</v>
      </c>
      <c r="E146" s="927" t="s">
        <v>2045</v>
      </c>
      <c r="F146" s="928" t="s">
        <v>1442</v>
      </c>
      <c r="G146" s="928" t="s">
        <v>1442</v>
      </c>
      <c r="H146" s="929" t="s">
        <v>1868</v>
      </c>
      <c r="I146" s="929" t="s">
        <v>2304</v>
      </c>
    </row>
    <row r="147" spans="1:9" ht="90" thickBot="1">
      <c r="A147" s="931" t="s">
        <v>1633</v>
      </c>
      <c r="B147" s="919" t="s">
        <v>2024</v>
      </c>
      <c r="C147" s="917" t="s">
        <v>2046</v>
      </c>
      <c r="D147" s="930" t="s">
        <v>2047</v>
      </c>
      <c r="E147" s="927" t="s">
        <v>2048</v>
      </c>
      <c r="F147" s="928" t="s">
        <v>1442</v>
      </c>
      <c r="G147" s="928" t="s">
        <v>1442</v>
      </c>
      <c r="H147" s="929" t="s">
        <v>1469</v>
      </c>
      <c r="I147" s="929" t="s">
        <v>865</v>
      </c>
    </row>
    <row r="148" spans="1:9" ht="64.5" thickBot="1">
      <c r="A148" s="931" t="s">
        <v>1633</v>
      </c>
      <c r="B148" s="919" t="s">
        <v>2024</v>
      </c>
      <c r="C148" s="917" t="s">
        <v>2049</v>
      </c>
      <c r="D148" s="930" t="s">
        <v>2050</v>
      </c>
      <c r="E148" s="927" t="s">
        <v>2051</v>
      </c>
      <c r="F148" s="928" t="s">
        <v>1442</v>
      </c>
      <c r="G148" s="928" t="s">
        <v>1486</v>
      </c>
      <c r="H148" s="929" t="s">
        <v>1469</v>
      </c>
      <c r="I148" s="929" t="s">
        <v>2244</v>
      </c>
    </row>
    <row r="149" spans="1:9" ht="51.75" thickBot="1">
      <c r="A149" s="931" t="s">
        <v>1633</v>
      </c>
      <c r="B149" s="919" t="s">
        <v>2024</v>
      </c>
      <c r="C149" s="917" t="s">
        <v>2052</v>
      </c>
      <c r="D149" s="930" t="s">
        <v>2053</v>
      </c>
      <c r="E149" s="927" t="s">
        <v>2054</v>
      </c>
      <c r="F149" s="928" t="s">
        <v>1442</v>
      </c>
      <c r="G149" s="928" t="s">
        <v>1442</v>
      </c>
      <c r="H149" s="929" t="s">
        <v>1479</v>
      </c>
      <c r="I149" s="929" t="s">
        <v>2243</v>
      </c>
    </row>
    <row r="150" spans="1:9" ht="51.75" thickBot="1">
      <c r="A150" s="931" t="s">
        <v>1633</v>
      </c>
      <c r="B150" s="919" t="s">
        <v>2024</v>
      </c>
      <c r="C150" s="917" t="s">
        <v>2055</v>
      </c>
      <c r="D150" s="930" t="s">
        <v>2056</v>
      </c>
      <c r="E150" s="927" t="s">
        <v>2057</v>
      </c>
      <c r="F150" s="928" t="s">
        <v>1442</v>
      </c>
      <c r="G150" s="928" t="s">
        <v>1442</v>
      </c>
      <c r="H150" s="929" t="s">
        <v>1692</v>
      </c>
      <c r="I150" s="929" t="s">
        <v>683</v>
      </c>
    </row>
    <row r="151" spans="1:9" ht="51.75" thickBot="1">
      <c r="A151" s="931" t="s">
        <v>1633</v>
      </c>
      <c r="B151" s="919" t="s">
        <v>2024</v>
      </c>
      <c r="C151" s="917" t="s">
        <v>2058</v>
      </c>
      <c r="D151" s="930" t="s">
        <v>2059</v>
      </c>
      <c r="E151" s="927" t="s">
        <v>2060</v>
      </c>
      <c r="F151" s="928" t="s">
        <v>1442</v>
      </c>
      <c r="G151" s="928" t="s">
        <v>1442</v>
      </c>
      <c r="H151" s="929" t="s">
        <v>1490</v>
      </c>
      <c r="I151" s="952" t="str">
        <f>TEXT('11 - Notes Follow-up'!D24,"### ###0,00")&amp;" EUR"</f>
        <v>653 500 000,00 EUR</v>
      </c>
    </row>
    <row r="152" spans="1:9" ht="51.75" thickBot="1">
      <c r="A152" s="931" t="s">
        <v>1633</v>
      </c>
      <c r="B152" s="919" t="s">
        <v>2024</v>
      </c>
      <c r="C152" s="917" t="s">
        <v>2061</v>
      </c>
      <c r="D152" s="930" t="s">
        <v>2062</v>
      </c>
      <c r="E152" s="927" t="s">
        <v>2063</v>
      </c>
      <c r="F152" s="928" t="s">
        <v>1442</v>
      </c>
      <c r="G152" s="928" t="s">
        <v>1442</v>
      </c>
      <c r="H152" s="929" t="s">
        <v>1490</v>
      </c>
      <c r="I152" s="952" t="str">
        <f>I151</f>
        <v>653 500 000,00 EUR</v>
      </c>
    </row>
    <row r="153" spans="1:9" ht="51.75" thickBot="1">
      <c r="A153" s="931" t="s">
        <v>1633</v>
      </c>
      <c r="B153" s="919" t="s">
        <v>2024</v>
      </c>
      <c r="C153" s="917" t="s">
        <v>2064</v>
      </c>
      <c r="D153" s="930" t="s">
        <v>2065</v>
      </c>
      <c r="E153" s="927" t="s">
        <v>2066</v>
      </c>
      <c r="F153" s="928" t="s">
        <v>1442</v>
      </c>
      <c r="G153" s="928" t="s">
        <v>1486</v>
      </c>
      <c r="H153" s="929" t="s">
        <v>1512</v>
      </c>
      <c r="I153" s="929" t="s">
        <v>2244</v>
      </c>
    </row>
    <row r="154" spans="1:9" ht="51.75" thickBot="1">
      <c r="A154" s="931" t="s">
        <v>1633</v>
      </c>
      <c r="B154" s="919" t="s">
        <v>2024</v>
      </c>
      <c r="C154" s="917" t="s">
        <v>2067</v>
      </c>
      <c r="D154" s="930" t="s">
        <v>2068</v>
      </c>
      <c r="E154" s="927" t="s">
        <v>2069</v>
      </c>
      <c r="F154" s="928" t="s">
        <v>1442</v>
      </c>
      <c r="G154" s="928" t="s">
        <v>1486</v>
      </c>
      <c r="H154" s="929" t="s">
        <v>1512</v>
      </c>
      <c r="I154" s="929" t="s">
        <v>2244</v>
      </c>
    </row>
    <row r="155" spans="1:9" ht="51.75" thickBot="1">
      <c r="A155" s="931" t="s">
        <v>1633</v>
      </c>
      <c r="B155" s="919" t="s">
        <v>2024</v>
      </c>
      <c r="C155" s="917" t="s">
        <v>2070</v>
      </c>
      <c r="D155" s="930" t="s">
        <v>2071</v>
      </c>
      <c r="E155" s="927" t="s">
        <v>2072</v>
      </c>
      <c r="F155" s="928" t="s">
        <v>1442</v>
      </c>
      <c r="G155" s="928" t="s">
        <v>1486</v>
      </c>
      <c r="H155" s="929" t="s">
        <v>1718</v>
      </c>
      <c r="I155" s="929" t="s">
        <v>2244</v>
      </c>
    </row>
    <row r="156" spans="1:9" ht="102.75" thickBot="1">
      <c r="A156" s="931" t="s">
        <v>1633</v>
      </c>
      <c r="B156" s="919" t="s">
        <v>2024</v>
      </c>
      <c r="C156" s="917" t="s">
        <v>2073</v>
      </c>
      <c r="D156" s="930" t="s">
        <v>2074</v>
      </c>
      <c r="E156" s="927" t="s">
        <v>2075</v>
      </c>
      <c r="F156" s="928" t="s">
        <v>1442</v>
      </c>
      <c r="G156" s="928" t="s">
        <v>1486</v>
      </c>
      <c r="H156" s="929" t="s">
        <v>1469</v>
      </c>
      <c r="I156" s="929" t="s">
        <v>2244</v>
      </c>
    </row>
    <row r="157" spans="1:9" ht="51.75" thickBot="1">
      <c r="A157" s="931" t="s">
        <v>1633</v>
      </c>
      <c r="B157" s="919" t="s">
        <v>2024</v>
      </c>
      <c r="C157" s="917" t="s">
        <v>2076</v>
      </c>
      <c r="D157" s="930" t="s">
        <v>2077</v>
      </c>
      <c r="E157" s="927" t="s">
        <v>2078</v>
      </c>
      <c r="F157" s="928" t="s">
        <v>1442</v>
      </c>
      <c r="G157" s="928" t="s">
        <v>1486</v>
      </c>
      <c r="H157" s="929" t="s">
        <v>1447</v>
      </c>
      <c r="I157" s="929" t="s">
        <v>2244</v>
      </c>
    </row>
    <row r="158" spans="1:9" ht="51.75" thickBot="1">
      <c r="A158" s="931" t="s">
        <v>1633</v>
      </c>
      <c r="B158" s="919" t="s">
        <v>2024</v>
      </c>
      <c r="C158" s="917" t="s">
        <v>2079</v>
      </c>
      <c r="D158" s="930" t="s">
        <v>2080</v>
      </c>
      <c r="E158" s="927" t="s">
        <v>2081</v>
      </c>
      <c r="F158" s="928" t="s">
        <v>1442</v>
      </c>
      <c r="G158" s="928" t="s">
        <v>1442</v>
      </c>
      <c r="H158" s="929" t="s">
        <v>1479</v>
      </c>
      <c r="I158" s="929" t="s">
        <v>2242</v>
      </c>
    </row>
    <row r="159" spans="1:9" ht="179.25" thickBot="1">
      <c r="A159" s="931" t="s">
        <v>1633</v>
      </c>
      <c r="B159" s="919" t="s">
        <v>2024</v>
      </c>
      <c r="C159" s="917" t="s">
        <v>2082</v>
      </c>
      <c r="D159" s="930" t="s">
        <v>2083</v>
      </c>
      <c r="E159" s="927" t="s">
        <v>2084</v>
      </c>
      <c r="F159" s="928" t="s">
        <v>1442</v>
      </c>
      <c r="G159" s="928" t="s">
        <v>1486</v>
      </c>
      <c r="H159" s="929" t="s">
        <v>1469</v>
      </c>
      <c r="I159" s="929" t="s">
        <v>2244</v>
      </c>
    </row>
    <row r="160" spans="1:9" ht="51.75" thickBot="1">
      <c r="A160" s="931" t="s">
        <v>1633</v>
      </c>
      <c r="B160" s="919" t="s">
        <v>2024</v>
      </c>
      <c r="C160" s="917" t="s">
        <v>2085</v>
      </c>
      <c r="D160" s="930" t="s">
        <v>2086</v>
      </c>
      <c r="E160" s="927" t="s">
        <v>2087</v>
      </c>
      <c r="F160" s="928" t="s">
        <v>1442</v>
      </c>
      <c r="G160" s="928" t="s">
        <v>1442</v>
      </c>
      <c r="H160" s="929" t="s">
        <v>1479</v>
      </c>
      <c r="I160" s="929" t="s">
        <v>2243</v>
      </c>
    </row>
    <row r="161" spans="1:9" ht="51.75" thickBot="1">
      <c r="A161" s="931" t="s">
        <v>1633</v>
      </c>
      <c r="B161" s="919" t="s">
        <v>2024</v>
      </c>
      <c r="C161" s="917" t="s">
        <v>2088</v>
      </c>
      <c r="D161" s="930" t="s">
        <v>2089</v>
      </c>
      <c r="E161" s="927" t="s">
        <v>2090</v>
      </c>
      <c r="F161" s="928" t="s">
        <v>1442</v>
      </c>
      <c r="G161" s="928" t="s">
        <v>1486</v>
      </c>
      <c r="H161" s="929" t="s">
        <v>1609</v>
      </c>
      <c r="I161" s="929" t="s">
        <v>2244</v>
      </c>
    </row>
    <row r="162" spans="1:9" ht="51.75" thickBot="1">
      <c r="A162" s="931" t="s">
        <v>1633</v>
      </c>
      <c r="B162" s="919" t="s">
        <v>2024</v>
      </c>
      <c r="C162" s="917" t="s">
        <v>2091</v>
      </c>
      <c r="D162" s="930" t="s">
        <v>2092</v>
      </c>
      <c r="E162" s="927" t="s">
        <v>2093</v>
      </c>
      <c r="F162" s="928" t="s">
        <v>1442</v>
      </c>
      <c r="G162" s="928" t="s">
        <v>1442</v>
      </c>
      <c r="H162" s="929" t="s">
        <v>1479</v>
      </c>
      <c r="I162" s="929" t="s">
        <v>2242</v>
      </c>
    </row>
    <row r="163" spans="1:9" ht="51.75" thickBot="1">
      <c r="A163" s="931" t="s">
        <v>1633</v>
      </c>
      <c r="B163" s="919" t="s">
        <v>2024</v>
      </c>
      <c r="C163" s="917" t="s">
        <v>2094</v>
      </c>
      <c r="D163" s="930" t="s">
        <v>2095</v>
      </c>
      <c r="E163" s="927" t="s">
        <v>2096</v>
      </c>
      <c r="F163" s="928" t="s">
        <v>1442</v>
      </c>
      <c r="G163" s="928" t="s">
        <v>1442</v>
      </c>
      <c r="H163" s="929" t="s">
        <v>1479</v>
      </c>
      <c r="I163" s="929" t="s">
        <v>2243</v>
      </c>
    </row>
    <row r="164" spans="1:9" ht="51.75" thickBot="1">
      <c r="A164" s="931" t="s">
        <v>1633</v>
      </c>
      <c r="B164" s="919" t="s">
        <v>2024</v>
      </c>
      <c r="C164" s="917" t="s">
        <v>2097</v>
      </c>
      <c r="D164" s="930" t="s">
        <v>2098</v>
      </c>
      <c r="E164" s="927" t="s">
        <v>2099</v>
      </c>
      <c r="F164" s="928" t="s">
        <v>1442</v>
      </c>
      <c r="G164" s="928" t="s">
        <v>1486</v>
      </c>
      <c r="H164" s="929" t="s">
        <v>1512</v>
      </c>
      <c r="I164" s="929" t="s">
        <v>2244</v>
      </c>
    </row>
    <row r="165" spans="1:9" ht="64.5" thickBot="1">
      <c r="A165" s="931" t="s">
        <v>1633</v>
      </c>
      <c r="B165" s="919" t="s">
        <v>2024</v>
      </c>
      <c r="C165" s="917" t="s">
        <v>2100</v>
      </c>
      <c r="D165" s="930" t="s">
        <v>2101</v>
      </c>
      <c r="E165" s="927" t="s">
        <v>2102</v>
      </c>
      <c r="F165" s="928" t="s">
        <v>1442</v>
      </c>
      <c r="G165" s="928" t="s">
        <v>1486</v>
      </c>
      <c r="H165" s="929" t="s">
        <v>1490</v>
      </c>
      <c r="I165" s="929" t="s">
        <v>2244</v>
      </c>
    </row>
    <row r="166" spans="1:9" ht="51.75" thickBot="1">
      <c r="A166" s="931" t="s">
        <v>1633</v>
      </c>
      <c r="B166" s="919" t="s">
        <v>2024</v>
      </c>
      <c r="C166" s="917" t="s">
        <v>2103</v>
      </c>
      <c r="D166" s="930" t="s">
        <v>2104</v>
      </c>
      <c r="E166" s="927" t="s">
        <v>2105</v>
      </c>
      <c r="F166" s="928" t="s">
        <v>1442</v>
      </c>
      <c r="G166" s="928" t="s">
        <v>1486</v>
      </c>
      <c r="H166" s="929" t="s">
        <v>1609</v>
      </c>
      <c r="I166" s="929" t="s">
        <v>2244</v>
      </c>
    </row>
    <row r="167" spans="1:9" ht="51.75" thickBot="1">
      <c r="A167" s="931" t="s">
        <v>1633</v>
      </c>
      <c r="B167" s="919" t="s">
        <v>2024</v>
      </c>
      <c r="C167" s="917" t="s">
        <v>2106</v>
      </c>
      <c r="D167" s="930" t="s">
        <v>2107</v>
      </c>
      <c r="E167" s="927" t="s">
        <v>2108</v>
      </c>
      <c r="F167" s="928" t="s">
        <v>1442</v>
      </c>
      <c r="G167" s="928" t="s">
        <v>1486</v>
      </c>
      <c r="H167" s="929" t="s">
        <v>1469</v>
      </c>
      <c r="I167" s="929" t="s">
        <v>2244</v>
      </c>
    </row>
    <row r="168" spans="1:9" ht="51.75" thickBot="1">
      <c r="A168" s="931" t="s">
        <v>1633</v>
      </c>
      <c r="B168" s="919" t="s">
        <v>2024</v>
      </c>
      <c r="C168" s="917" t="s">
        <v>2109</v>
      </c>
      <c r="D168" s="930" t="s">
        <v>2110</v>
      </c>
      <c r="E168" s="927" t="s">
        <v>2111</v>
      </c>
      <c r="F168" s="928" t="s">
        <v>1442</v>
      </c>
      <c r="G168" s="928" t="s">
        <v>1486</v>
      </c>
      <c r="H168" s="929" t="s">
        <v>1447</v>
      </c>
      <c r="I168" s="929" t="s">
        <v>2244</v>
      </c>
    </row>
    <row r="169" spans="1:9" ht="409.6" thickBot="1">
      <c r="A169" s="931" t="s">
        <v>1633</v>
      </c>
      <c r="B169" s="919" t="s">
        <v>2024</v>
      </c>
      <c r="C169" s="917" t="s">
        <v>2112</v>
      </c>
      <c r="D169" s="930" t="s">
        <v>2113</v>
      </c>
      <c r="E169" s="934" t="s">
        <v>2114</v>
      </c>
      <c r="F169" s="928" t="s">
        <v>1442</v>
      </c>
      <c r="G169" s="928" t="s">
        <v>1486</v>
      </c>
      <c r="H169" s="929" t="s">
        <v>1469</v>
      </c>
      <c r="I169" s="929" t="s">
        <v>2244</v>
      </c>
    </row>
    <row r="170" spans="1:9" ht="192" thickBot="1">
      <c r="A170" s="931" t="s">
        <v>1633</v>
      </c>
      <c r="B170" s="919" t="s">
        <v>2024</v>
      </c>
      <c r="C170" s="917" t="s">
        <v>2115</v>
      </c>
      <c r="D170" s="930" t="s">
        <v>2116</v>
      </c>
      <c r="E170" s="934" t="s">
        <v>2117</v>
      </c>
      <c r="F170" s="928" t="s">
        <v>1442</v>
      </c>
      <c r="G170" s="928" t="s">
        <v>1486</v>
      </c>
      <c r="H170" s="929" t="s">
        <v>1469</v>
      </c>
      <c r="I170" s="929" t="s">
        <v>2244</v>
      </c>
    </row>
    <row r="171" spans="1:9" ht="90" thickBot="1">
      <c r="A171" s="931" t="s">
        <v>1633</v>
      </c>
      <c r="B171" s="919" t="s">
        <v>2024</v>
      </c>
      <c r="C171" s="917" t="s">
        <v>2118</v>
      </c>
      <c r="D171" s="930" t="s">
        <v>2119</v>
      </c>
      <c r="E171" s="927" t="s">
        <v>2120</v>
      </c>
      <c r="F171" s="928" t="s">
        <v>1442</v>
      </c>
      <c r="G171" s="928" t="s">
        <v>1486</v>
      </c>
      <c r="H171" s="929" t="s">
        <v>1469</v>
      </c>
      <c r="I171" s="929" t="s">
        <v>2244</v>
      </c>
    </row>
    <row r="172" spans="1:9" ht="51.75" thickBot="1">
      <c r="A172" s="931" t="s">
        <v>1633</v>
      </c>
      <c r="B172" s="919" t="s">
        <v>2024</v>
      </c>
      <c r="C172" s="917" t="s">
        <v>2121</v>
      </c>
      <c r="D172" s="930" t="s">
        <v>2122</v>
      </c>
      <c r="E172" s="935" t="s">
        <v>2123</v>
      </c>
      <c r="F172" s="928" t="s">
        <v>1442</v>
      </c>
      <c r="G172" s="928" t="s">
        <v>1486</v>
      </c>
      <c r="H172" s="929" t="s">
        <v>1512</v>
      </c>
      <c r="I172" s="929" t="s">
        <v>2244</v>
      </c>
    </row>
    <row r="173" spans="1:9" ht="51.75" thickBot="1">
      <c r="A173" s="931" t="s">
        <v>1633</v>
      </c>
      <c r="B173" s="919" t="s">
        <v>2024</v>
      </c>
      <c r="C173" s="917" t="s">
        <v>2124</v>
      </c>
      <c r="D173" s="930" t="s">
        <v>2125</v>
      </c>
      <c r="E173" s="935" t="s">
        <v>2126</v>
      </c>
      <c r="F173" s="928" t="s">
        <v>1442</v>
      </c>
      <c r="G173" s="928" t="s">
        <v>1486</v>
      </c>
      <c r="H173" s="929" t="s">
        <v>1512</v>
      </c>
      <c r="I173" s="929" t="s">
        <v>2244</v>
      </c>
    </row>
    <row r="174" spans="1:9" ht="409.6" thickBot="1">
      <c r="A174" s="931" t="s">
        <v>1633</v>
      </c>
      <c r="B174" s="919" t="s">
        <v>2024</v>
      </c>
      <c r="C174" s="917" t="s">
        <v>2127</v>
      </c>
      <c r="D174" s="930" t="s">
        <v>2128</v>
      </c>
      <c r="E174" s="934" t="s">
        <v>2129</v>
      </c>
      <c r="F174" s="928" t="s">
        <v>1442</v>
      </c>
      <c r="G174" s="928" t="s">
        <v>1486</v>
      </c>
      <c r="H174" s="929" t="s">
        <v>1469</v>
      </c>
      <c r="I174" s="929" t="s">
        <v>2244</v>
      </c>
    </row>
    <row r="175" spans="1:9" ht="192" thickBot="1">
      <c r="A175" s="931" t="s">
        <v>1633</v>
      </c>
      <c r="B175" s="919" t="s">
        <v>2024</v>
      </c>
      <c r="C175" s="917" t="s">
        <v>2130</v>
      </c>
      <c r="D175" s="930" t="s">
        <v>2131</v>
      </c>
      <c r="E175" s="934" t="s">
        <v>2132</v>
      </c>
      <c r="F175" s="928" t="s">
        <v>1442</v>
      </c>
      <c r="G175" s="928" t="s">
        <v>1486</v>
      </c>
      <c r="H175" s="929" t="s">
        <v>1469</v>
      </c>
      <c r="I175" s="929" t="s">
        <v>2244</v>
      </c>
    </row>
    <row r="176" spans="1:9" ht="90" thickBot="1">
      <c r="A176" s="931" t="s">
        <v>1633</v>
      </c>
      <c r="B176" s="919" t="s">
        <v>2024</v>
      </c>
      <c r="C176" s="917" t="s">
        <v>2133</v>
      </c>
      <c r="D176" s="930" t="s">
        <v>2134</v>
      </c>
      <c r="E176" s="927" t="s">
        <v>2135</v>
      </c>
      <c r="F176" s="928" t="s">
        <v>1442</v>
      </c>
      <c r="G176" s="928" t="s">
        <v>1486</v>
      </c>
      <c r="H176" s="929" t="s">
        <v>1469</v>
      </c>
      <c r="I176" s="929" t="s">
        <v>2244</v>
      </c>
    </row>
    <row r="177" spans="1:9" ht="51.75" thickBot="1">
      <c r="A177" s="931" t="s">
        <v>1633</v>
      </c>
      <c r="B177" s="919" t="s">
        <v>2024</v>
      </c>
      <c r="C177" s="917" t="s">
        <v>2136</v>
      </c>
      <c r="D177" s="930" t="s">
        <v>2137</v>
      </c>
      <c r="E177" s="935" t="s">
        <v>2138</v>
      </c>
      <c r="F177" s="928" t="s">
        <v>1442</v>
      </c>
      <c r="G177" s="928" t="s">
        <v>1486</v>
      </c>
      <c r="H177" s="929" t="s">
        <v>1512</v>
      </c>
      <c r="I177" s="929" t="s">
        <v>2244</v>
      </c>
    </row>
    <row r="178" spans="1:9" ht="51.75" thickBot="1">
      <c r="A178" s="931" t="s">
        <v>1633</v>
      </c>
      <c r="B178" s="919" t="s">
        <v>2024</v>
      </c>
      <c r="C178" s="917" t="s">
        <v>2139</v>
      </c>
      <c r="D178" s="930" t="s">
        <v>2140</v>
      </c>
      <c r="E178" s="935" t="s">
        <v>2141</v>
      </c>
      <c r="F178" s="928" t="s">
        <v>1442</v>
      </c>
      <c r="G178" s="928" t="s">
        <v>1486</v>
      </c>
      <c r="H178" s="929" t="s">
        <v>1512</v>
      </c>
      <c r="I178" s="929" t="s">
        <v>2244</v>
      </c>
    </row>
    <row r="179" spans="1:9" ht="51.75" thickBot="1">
      <c r="A179" s="931" t="s">
        <v>1633</v>
      </c>
      <c r="B179" s="919" t="s">
        <v>2024</v>
      </c>
      <c r="C179" s="917" t="s">
        <v>2142</v>
      </c>
      <c r="D179" s="930" t="s">
        <v>2143</v>
      </c>
      <c r="E179" s="927" t="s">
        <v>2144</v>
      </c>
      <c r="F179" s="928" t="s">
        <v>1442</v>
      </c>
      <c r="G179" s="928" t="s">
        <v>1442</v>
      </c>
      <c r="H179" s="929" t="s">
        <v>1479</v>
      </c>
      <c r="I179" s="929" t="s">
        <v>2242</v>
      </c>
    </row>
    <row r="180" spans="1:9" ht="51.75" thickBot="1">
      <c r="A180" s="931" t="s">
        <v>1633</v>
      </c>
      <c r="B180" s="919" t="s">
        <v>2024</v>
      </c>
      <c r="C180" s="917" t="s">
        <v>2145</v>
      </c>
      <c r="D180" s="930" t="s">
        <v>2146</v>
      </c>
      <c r="E180" s="927" t="s">
        <v>2147</v>
      </c>
      <c r="F180" s="928" t="s">
        <v>1442</v>
      </c>
      <c r="G180" s="928" t="s">
        <v>1442</v>
      </c>
      <c r="H180" s="928" t="s">
        <v>1479</v>
      </c>
      <c r="I180" s="929" t="s">
        <v>2243</v>
      </c>
    </row>
    <row r="181" spans="1:9" ht="128.25" thickBot="1">
      <c r="A181" s="931" t="s">
        <v>1633</v>
      </c>
      <c r="B181" s="919" t="s">
        <v>2024</v>
      </c>
      <c r="C181" s="917" t="s">
        <v>2148</v>
      </c>
      <c r="D181" s="930" t="s">
        <v>2149</v>
      </c>
      <c r="E181" s="927" t="s">
        <v>2150</v>
      </c>
      <c r="F181" s="928" t="s">
        <v>1442</v>
      </c>
      <c r="G181" s="928" t="s">
        <v>1442</v>
      </c>
      <c r="H181" s="929" t="s">
        <v>1469</v>
      </c>
      <c r="I181" s="929" t="s">
        <v>2316</v>
      </c>
    </row>
    <row r="182" spans="1:9" ht="51.75" thickBot="1">
      <c r="A182" s="931" t="s">
        <v>1633</v>
      </c>
      <c r="B182" s="919" t="s">
        <v>2024</v>
      </c>
      <c r="C182" s="917" t="s">
        <v>2151</v>
      </c>
      <c r="D182" s="930" t="s">
        <v>2152</v>
      </c>
      <c r="E182" s="927" t="s">
        <v>2153</v>
      </c>
      <c r="F182" s="928" t="s">
        <v>1442</v>
      </c>
      <c r="G182" s="928" t="s">
        <v>1442</v>
      </c>
      <c r="H182" s="929" t="s">
        <v>1479</v>
      </c>
      <c r="I182" s="929" t="s">
        <v>2243</v>
      </c>
    </row>
    <row r="183" spans="1:9" ht="51.75" thickBot="1">
      <c r="A183" s="931" t="s">
        <v>1633</v>
      </c>
      <c r="B183" s="919" t="s">
        <v>2024</v>
      </c>
      <c r="C183" s="917" t="s">
        <v>2154</v>
      </c>
      <c r="D183" s="930" t="s">
        <v>2155</v>
      </c>
      <c r="E183" s="927" t="s">
        <v>2156</v>
      </c>
      <c r="F183" s="928" t="s">
        <v>1442</v>
      </c>
      <c r="G183" s="928" t="s">
        <v>1442</v>
      </c>
      <c r="H183" s="929" t="s">
        <v>1479</v>
      </c>
      <c r="I183" s="929" t="s">
        <v>2243</v>
      </c>
    </row>
    <row r="184" spans="1:9" ht="51.75" thickBot="1">
      <c r="A184" s="931" t="s">
        <v>1633</v>
      </c>
      <c r="B184" s="919" t="s">
        <v>2024</v>
      </c>
      <c r="C184" s="917" t="s">
        <v>2157</v>
      </c>
      <c r="D184" s="930" t="s">
        <v>2158</v>
      </c>
      <c r="E184" s="927" t="s">
        <v>2159</v>
      </c>
      <c r="F184" s="928" t="s">
        <v>1442</v>
      </c>
      <c r="G184" s="928" t="s">
        <v>1442</v>
      </c>
      <c r="H184" s="929" t="s">
        <v>1479</v>
      </c>
      <c r="I184" s="929" t="s">
        <v>2243</v>
      </c>
    </row>
    <row r="185" spans="1:9" ht="51.75" thickBot="1">
      <c r="A185" s="931" t="s">
        <v>1633</v>
      </c>
      <c r="B185" s="919" t="s">
        <v>2024</v>
      </c>
      <c r="C185" s="917" t="s">
        <v>2160</v>
      </c>
      <c r="D185" s="930" t="s">
        <v>2161</v>
      </c>
      <c r="E185" s="927" t="s">
        <v>2162</v>
      </c>
      <c r="F185" s="928" t="s">
        <v>1442</v>
      </c>
      <c r="G185" s="928" t="s">
        <v>1442</v>
      </c>
      <c r="H185" s="929" t="s">
        <v>1479</v>
      </c>
      <c r="I185" s="929" t="s">
        <v>2243</v>
      </c>
    </row>
    <row r="186" spans="1:9" ht="51.75" thickBot="1">
      <c r="A186" s="931" t="s">
        <v>1633</v>
      </c>
      <c r="B186" s="919" t="s">
        <v>2024</v>
      </c>
      <c r="C186" s="917" t="s">
        <v>2163</v>
      </c>
      <c r="D186" s="930" t="s">
        <v>2164</v>
      </c>
      <c r="E186" s="927" t="s">
        <v>2165</v>
      </c>
      <c r="F186" s="928" t="s">
        <v>1442</v>
      </c>
      <c r="G186" s="928" t="s">
        <v>1442</v>
      </c>
      <c r="H186" s="929" t="s">
        <v>1490</v>
      </c>
      <c r="I186" s="929" t="s">
        <v>2303</v>
      </c>
    </row>
    <row r="187" spans="1:9" ht="64.5" thickBot="1">
      <c r="A187" s="931" t="s">
        <v>1633</v>
      </c>
      <c r="B187" s="919" t="s">
        <v>2024</v>
      </c>
      <c r="C187" s="917" t="s">
        <v>2166</v>
      </c>
      <c r="D187" s="930" t="s">
        <v>2167</v>
      </c>
      <c r="E187" s="927" t="s">
        <v>2168</v>
      </c>
      <c r="F187" s="928" t="s">
        <v>1442</v>
      </c>
      <c r="G187" s="928" t="s">
        <v>1442</v>
      </c>
      <c r="H187" s="929" t="s">
        <v>1490</v>
      </c>
      <c r="I187" s="929" t="s">
        <v>2303</v>
      </c>
    </row>
    <row r="188" spans="1:9" ht="51.75" thickBot="1">
      <c r="A188" s="931" t="s">
        <v>1633</v>
      </c>
      <c r="B188" s="919" t="s">
        <v>2024</v>
      </c>
      <c r="C188" s="917" t="s">
        <v>2169</v>
      </c>
      <c r="D188" s="930" t="s">
        <v>2170</v>
      </c>
      <c r="E188" s="927" t="s">
        <v>2171</v>
      </c>
      <c r="F188" s="928" t="s">
        <v>1442</v>
      </c>
      <c r="G188" s="928" t="s">
        <v>1442</v>
      </c>
      <c r="H188" s="929" t="s">
        <v>1490</v>
      </c>
      <c r="I188" s="929" t="s">
        <v>2303</v>
      </c>
    </row>
    <row r="189" spans="1:9" ht="64.5" thickBot="1">
      <c r="A189" s="931" t="s">
        <v>1633</v>
      </c>
      <c r="B189" s="919" t="s">
        <v>2024</v>
      </c>
      <c r="C189" s="917" t="s">
        <v>2172</v>
      </c>
      <c r="D189" s="930" t="s">
        <v>2173</v>
      </c>
      <c r="E189" s="927" t="s">
        <v>2174</v>
      </c>
      <c r="F189" s="928" t="s">
        <v>1442</v>
      </c>
      <c r="G189" s="928" t="s">
        <v>1442</v>
      </c>
      <c r="H189" s="929" t="s">
        <v>1490</v>
      </c>
      <c r="I189" s="929" t="s">
        <v>2303</v>
      </c>
    </row>
    <row r="190" spans="1:9" ht="51.75" thickBot="1">
      <c r="A190" s="931" t="s">
        <v>1633</v>
      </c>
      <c r="B190" s="919" t="s">
        <v>2024</v>
      </c>
      <c r="C190" s="917" t="s">
        <v>2175</v>
      </c>
      <c r="D190" s="930" t="s">
        <v>2176</v>
      </c>
      <c r="E190" s="927" t="s">
        <v>2177</v>
      </c>
      <c r="F190" s="928" t="s">
        <v>1442</v>
      </c>
      <c r="G190" s="928" t="s">
        <v>1486</v>
      </c>
      <c r="H190" s="929" t="s">
        <v>1490</v>
      </c>
      <c r="I190" s="929" t="s">
        <v>2303</v>
      </c>
    </row>
    <row r="191" spans="1:9" ht="39" thickBot="1">
      <c r="A191" s="931" t="s">
        <v>1633</v>
      </c>
      <c r="B191" s="919" t="s">
        <v>2178</v>
      </c>
      <c r="C191" s="920" t="s">
        <v>2179</v>
      </c>
      <c r="D191" s="921"/>
      <c r="E191" s="922"/>
      <c r="F191" s="923" t="s">
        <v>653</v>
      </c>
      <c r="G191" s="923" t="s">
        <v>653</v>
      </c>
      <c r="H191" s="924"/>
      <c r="I191" s="925"/>
    </row>
    <row r="192" spans="1:9" ht="39" thickBot="1">
      <c r="A192" s="931" t="s">
        <v>1633</v>
      </c>
      <c r="B192" s="919" t="s">
        <v>2178</v>
      </c>
      <c r="C192" s="917" t="s">
        <v>2180</v>
      </c>
      <c r="D192" s="926" t="s">
        <v>1440</v>
      </c>
      <c r="E192" s="927" t="s">
        <v>1708</v>
      </c>
      <c r="F192" s="928" t="s">
        <v>1442</v>
      </c>
      <c r="G192" s="928" t="s">
        <v>1442</v>
      </c>
      <c r="H192" s="929" t="s">
        <v>1443</v>
      </c>
      <c r="I192" s="936" t="str">
        <f>I3</f>
        <v>969500Z05GRNU3KPEY94</v>
      </c>
    </row>
    <row r="193" spans="1:9" ht="39" thickBot="1">
      <c r="A193" s="931" t="s">
        <v>1633</v>
      </c>
      <c r="B193" s="919" t="s">
        <v>2178</v>
      </c>
      <c r="C193" s="917" t="s">
        <v>2181</v>
      </c>
      <c r="D193" s="930" t="s">
        <v>2028</v>
      </c>
      <c r="E193" s="927" t="s">
        <v>2182</v>
      </c>
      <c r="F193" s="928" t="s">
        <v>1442</v>
      </c>
      <c r="G193" s="928" t="s">
        <v>1442</v>
      </c>
      <c r="H193" s="929" t="s">
        <v>1588</v>
      </c>
      <c r="I193" s="936" t="str">
        <f>I140</f>
        <v>2138008864ADTHGQP554</v>
      </c>
    </row>
    <row r="194" spans="1:9" ht="39" thickBot="1">
      <c r="A194" s="931" t="s">
        <v>1633</v>
      </c>
      <c r="B194" s="919" t="s">
        <v>2178</v>
      </c>
      <c r="C194" s="917" t="s">
        <v>2183</v>
      </c>
      <c r="D194" s="930" t="s">
        <v>2184</v>
      </c>
      <c r="E194" s="927" t="s">
        <v>2185</v>
      </c>
      <c r="F194" s="928" t="s">
        <v>1442</v>
      </c>
      <c r="G194" s="928" t="s">
        <v>1442</v>
      </c>
      <c r="H194" s="929" t="s">
        <v>1588</v>
      </c>
      <c r="I194" s="929" t="s">
        <v>2326</v>
      </c>
    </row>
    <row r="195" spans="1:9" ht="39" thickBot="1">
      <c r="A195" s="931" t="s">
        <v>1633</v>
      </c>
      <c r="B195" s="919" t="s">
        <v>2178</v>
      </c>
      <c r="C195" s="917" t="s">
        <v>2186</v>
      </c>
      <c r="D195" s="926" t="s">
        <v>2187</v>
      </c>
      <c r="E195" s="927" t="s">
        <v>2188</v>
      </c>
      <c r="F195" s="928" t="s">
        <v>1442</v>
      </c>
      <c r="G195" s="928" t="s">
        <v>1442</v>
      </c>
      <c r="H195" s="929" t="s">
        <v>1588</v>
      </c>
      <c r="I195" s="929" t="str">
        <f>I194</f>
        <v>Cash_Reserve</v>
      </c>
    </row>
    <row r="196" spans="1:9" ht="51.75" thickBot="1">
      <c r="A196" s="931" t="s">
        <v>1633</v>
      </c>
      <c r="B196" s="919" t="s">
        <v>2178</v>
      </c>
      <c r="C196" s="917" t="s">
        <v>2189</v>
      </c>
      <c r="D196" s="930" t="s">
        <v>2190</v>
      </c>
      <c r="E196" s="927" t="s">
        <v>2191</v>
      </c>
      <c r="F196" s="928" t="s">
        <v>1442</v>
      </c>
      <c r="G196" s="928" t="s">
        <v>1486</v>
      </c>
      <c r="H196" s="929" t="s">
        <v>1718</v>
      </c>
      <c r="I196" s="929" t="s">
        <v>2244</v>
      </c>
    </row>
    <row r="197" spans="1:9" ht="141" thickBot="1">
      <c r="A197" s="931" t="s">
        <v>1633</v>
      </c>
      <c r="B197" s="919" t="s">
        <v>2178</v>
      </c>
      <c r="C197" s="917" t="s">
        <v>2192</v>
      </c>
      <c r="D197" s="930" t="s">
        <v>2193</v>
      </c>
      <c r="E197" s="927" t="s">
        <v>2194</v>
      </c>
      <c r="F197" s="928" t="s">
        <v>1442</v>
      </c>
      <c r="G197" s="928" t="s">
        <v>1442</v>
      </c>
      <c r="H197" s="929" t="s">
        <v>1469</v>
      </c>
      <c r="I197" s="929" t="s">
        <v>865</v>
      </c>
    </row>
    <row r="198" spans="1:9" ht="39" thickBot="1">
      <c r="A198" s="931" t="s">
        <v>1633</v>
      </c>
      <c r="B198" s="919" t="s">
        <v>2178</v>
      </c>
      <c r="C198" s="917" t="s">
        <v>2195</v>
      </c>
      <c r="D198" s="930" t="s">
        <v>2196</v>
      </c>
      <c r="E198" s="927" t="s">
        <v>2197</v>
      </c>
      <c r="F198" s="928" t="s">
        <v>1442</v>
      </c>
      <c r="G198" s="928" t="s">
        <v>1486</v>
      </c>
      <c r="H198" s="929" t="s">
        <v>1828</v>
      </c>
      <c r="I198" s="929" t="s">
        <v>2244</v>
      </c>
    </row>
    <row r="199" spans="1:9" ht="39" thickBot="1">
      <c r="A199" s="931" t="s">
        <v>1633</v>
      </c>
      <c r="B199" s="919" t="s">
        <v>2178</v>
      </c>
      <c r="C199" s="917" t="s">
        <v>2198</v>
      </c>
      <c r="D199" s="930" t="s">
        <v>2199</v>
      </c>
      <c r="E199" s="927" t="s">
        <v>2200</v>
      </c>
      <c r="F199" s="928" t="s">
        <v>1442</v>
      </c>
      <c r="G199" s="928" t="s">
        <v>1442</v>
      </c>
      <c r="H199" s="929" t="s">
        <v>1821</v>
      </c>
      <c r="I199" s="936" t="str">
        <f>I193</f>
        <v>2138008864ADTHGQP554</v>
      </c>
    </row>
    <row r="200" spans="1:9" ht="39" thickBot="1">
      <c r="A200" s="931" t="s">
        <v>1633</v>
      </c>
      <c r="B200" s="919" t="s">
        <v>2178</v>
      </c>
      <c r="C200" s="917" t="s">
        <v>2201</v>
      </c>
      <c r="D200" s="930" t="s">
        <v>2202</v>
      </c>
      <c r="E200" s="927" t="s">
        <v>2203</v>
      </c>
      <c r="F200" s="928" t="s">
        <v>1442</v>
      </c>
      <c r="G200" s="928" t="s">
        <v>1442</v>
      </c>
      <c r="H200" s="929" t="s">
        <v>1479</v>
      </c>
      <c r="I200" s="929" t="s">
        <v>2242</v>
      </c>
    </row>
    <row r="201" spans="1:9" ht="39" thickBot="1">
      <c r="A201" s="931" t="s">
        <v>1633</v>
      </c>
      <c r="B201" s="919" t="s">
        <v>2178</v>
      </c>
      <c r="C201" s="917" t="s">
        <v>2204</v>
      </c>
      <c r="D201" s="930" t="s">
        <v>2205</v>
      </c>
      <c r="E201" s="927" t="s">
        <v>2206</v>
      </c>
      <c r="F201" s="928" t="s">
        <v>1442</v>
      </c>
      <c r="G201" s="928" t="s">
        <v>1442</v>
      </c>
      <c r="H201" s="929" t="s">
        <v>1490</v>
      </c>
      <c r="I201" s="929" t="str">
        <f>L76</f>
        <v>9 802 500,00 EUR</v>
      </c>
    </row>
    <row r="202" spans="1:9" ht="39" thickBot="1">
      <c r="A202" s="931" t="s">
        <v>1633</v>
      </c>
      <c r="B202" s="919" t="s">
        <v>2178</v>
      </c>
      <c r="C202" s="917" t="s">
        <v>2207</v>
      </c>
      <c r="D202" s="930" t="s">
        <v>2208</v>
      </c>
      <c r="E202" s="927" t="s">
        <v>2209</v>
      </c>
      <c r="F202" s="928" t="s">
        <v>1442</v>
      </c>
      <c r="G202" s="928" t="s">
        <v>1442</v>
      </c>
      <c r="H202" s="929" t="s">
        <v>1692</v>
      </c>
      <c r="I202" s="929" t="s">
        <v>683</v>
      </c>
    </row>
    <row r="203" spans="1:9" ht="39" thickBot="1">
      <c r="A203" s="931" t="s">
        <v>1633</v>
      </c>
      <c r="B203" s="919" t="s">
        <v>2178</v>
      </c>
      <c r="C203" s="917" t="s">
        <v>2210</v>
      </c>
      <c r="D203" s="930" t="s">
        <v>2211</v>
      </c>
      <c r="E203" s="927" t="s">
        <v>2212</v>
      </c>
      <c r="F203" s="928" t="s">
        <v>1442</v>
      </c>
      <c r="G203" s="928" t="s">
        <v>1486</v>
      </c>
      <c r="H203" s="929" t="s">
        <v>1447</v>
      </c>
      <c r="I203" s="929" t="s">
        <v>2244</v>
      </c>
    </row>
    <row r="204" spans="1:9" ht="39" thickBot="1">
      <c r="A204" s="931" t="s">
        <v>1633</v>
      </c>
      <c r="B204" s="919" t="s">
        <v>2178</v>
      </c>
      <c r="C204" s="917" t="s">
        <v>2213</v>
      </c>
      <c r="D204" s="930" t="s">
        <v>2214</v>
      </c>
      <c r="E204" s="927" t="s">
        <v>2215</v>
      </c>
      <c r="F204" s="928" t="s">
        <v>1442</v>
      </c>
      <c r="G204" s="928" t="s">
        <v>1486</v>
      </c>
      <c r="H204" s="929" t="s">
        <v>1512</v>
      </c>
      <c r="I204" s="929" t="s">
        <v>2244</v>
      </c>
    </row>
    <row r="205" spans="1:9" ht="409.6" thickBot="1">
      <c r="A205" s="931" t="s">
        <v>1633</v>
      </c>
      <c r="B205" s="919" t="s">
        <v>2178</v>
      </c>
      <c r="C205" s="917" t="s">
        <v>2216</v>
      </c>
      <c r="D205" s="926" t="s">
        <v>1764</v>
      </c>
      <c r="E205" s="927" t="s">
        <v>1765</v>
      </c>
      <c r="F205" s="928" t="s">
        <v>1442</v>
      </c>
      <c r="G205" s="928" t="s">
        <v>1486</v>
      </c>
      <c r="H205" s="929" t="s">
        <v>1469</v>
      </c>
      <c r="I205" s="929" t="s">
        <v>2244</v>
      </c>
    </row>
    <row r="206" spans="1:9" ht="204.75" thickBot="1">
      <c r="A206" s="931" t="s">
        <v>1633</v>
      </c>
      <c r="B206" s="919" t="s">
        <v>2178</v>
      </c>
      <c r="C206" s="917" t="s">
        <v>2217</v>
      </c>
      <c r="D206" s="926" t="s">
        <v>1767</v>
      </c>
      <c r="E206" s="927" t="s">
        <v>1768</v>
      </c>
      <c r="F206" s="928" t="s">
        <v>1442</v>
      </c>
      <c r="G206" s="928" t="s">
        <v>1486</v>
      </c>
      <c r="H206" s="929" t="s">
        <v>1469</v>
      </c>
      <c r="I206" s="929" t="s">
        <v>2244</v>
      </c>
    </row>
    <row r="207" spans="1:9" ht="39" thickBot="1">
      <c r="A207" s="931" t="s">
        <v>1633</v>
      </c>
      <c r="B207" s="919" t="s">
        <v>2178</v>
      </c>
      <c r="C207" s="917" t="s">
        <v>2218</v>
      </c>
      <c r="D207" s="930" t="s">
        <v>2219</v>
      </c>
      <c r="E207" s="927" t="s">
        <v>2220</v>
      </c>
      <c r="F207" s="928" t="s">
        <v>1442</v>
      </c>
      <c r="G207" s="928" t="s">
        <v>1486</v>
      </c>
      <c r="H207" s="929" t="s">
        <v>1512</v>
      </c>
      <c r="I207" s="929" t="s">
        <v>2244</v>
      </c>
    </row>
    <row r="208" spans="1:9" ht="39" thickBot="1">
      <c r="A208" s="931" t="s">
        <v>1633</v>
      </c>
      <c r="B208" s="919" t="s">
        <v>2178</v>
      </c>
      <c r="C208" s="917" t="s">
        <v>2221</v>
      </c>
      <c r="D208" s="930" t="s">
        <v>2222</v>
      </c>
      <c r="E208" s="927" t="s">
        <v>2223</v>
      </c>
      <c r="F208" s="928" t="s">
        <v>1442</v>
      </c>
      <c r="G208" s="928" t="s">
        <v>1486</v>
      </c>
      <c r="H208" s="929" t="s">
        <v>1451</v>
      </c>
      <c r="I208" s="929" t="s">
        <v>2244</v>
      </c>
    </row>
    <row r="209" spans="1:9" ht="39" thickBot="1">
      <c r="A209" s="931" t="s">
        <v>1633</v>
      </c>
      <c r="B209" s="919" t="s">
        <v>2178</v>
      </c>
      <c r="C209" s="917" t="s">
        <v>2224</v>
      </c>
      <c r="D209" s="930" t="s">
        <v>2225</v>
      </c>
      <c r="E209" s="927" t="s">
        <v>2226</v>
      </c>
      <c r="F209" s="928" t="s">
        <v>1442</v>
      </c>
      <c r="G209" s="928" t="s">
        <v>1486</v>
      </c>
      <c r="H209" s="929" t="s">
        <v>1821</v>
      </c>
      <c r="I209" s="929" t="s">
        <v>2244</v>
      </c>
    </row>
    <row r="210" spans="1:9" ht="39" thickBot="1">
      <c r="A210" s="931" t="s">
        <v>1633</v>
      </c>
      <c r="B210" s="919" t="s">
        <v>2178</v>
      </c>
      <c r="C210" s="917" t="s">
        <v>2227</v>
      </c>
      <c r="D210" s="930" t="s">
        <v>2228</v>
      </c>
      <c r="E210" s="927" t="s">
        <v>2229</v>
      </c>
      <c r="F210" s="928" t="s">
        <v>1442</v>
      </c>
      <c r="G210" s="928" t="s">
        <v>1486</v>
      </c>
      <c r="H210" s="929" t="s">
        <v>1447</v>
      </c>
      <c r="I210" s="929" t="s">
        <v>2244</v>
      </c>
    </row>
    <row r="211" spans="1:9" ht="39" thickBot="1">
      <c r="A211" s="931" t="s">
        <v>1633</v>
      </c>
      <c r="B211" s="919" t="s">
        <v>2230</v>
      </c>
      <c r="C211" s="920" t="s">
        <v>2230</v>
      </c>
      <c r="D211" s="921"/>
      <c r="E211" s="922"/>
      <c r="F211" s="923" t="s">
        <v>653</v>
      </c>
      <c r="G211" s="923" t="s">
        <v>653</v>
      </c>
      <c r="H211" s="924"/>
      <c r="I211" s="925"/>
    </row>
    <row r="212" spans="1:9" ht="39" thickBot="1">
      <c r="A212" s="931" t="s">
        <v>1633</v>
      </c>
      <c r="B212" s="919" t="s">
        <v>2230</v>
      </c>
      <c r="C212" s="917" t="s">
        <v>2231</v>
      </c>
      <c r="D212" s="926" t="s">
        <v>1440</v>
      </c>
      <c r="E212" s="927" t="s">
        <v>2232</v>
      </c>
      <c r="F212" s="928" t="s">
        <v>1442</v>
      </c>
      <c r="G212" s="928" t="s">
        <v>1442</v>
      </c>
      <c r="H212" s="929" t="s">
        <v>1443</v>
      </c>
      <c r="I212" s="936" t="str">
        <f>I3</f>
        <v>969500Z05GRNU3KPEY94</v>
      </c>
    </row>
    <row r="213" spans="1:9" ht="39" thickBot="1">
      <c r="A213" s="931" t="s">
        <v>1633</v>
      </c>
      <c r="B213" s="919" t="s">
        <v>2230</v>
      </c>
      <c r="C213" s="917" t="s">
        <v>2233</v>
      </c>
      <c r="D213" s="930" t="s">
        <v>2234</v>
      </c>
      <c r="E213" s="927" t="s">
        <v>2235</v>
      </c>
      <c r="F213" s="928" t="s">
        <v>1442</v>
      </c>
      <c r="G213" s="928" t="s">
        <v>1442</v>
      </c>
      <c r="H213" s="929" t="s">
        <v>1609</v>
      </c>
      <c r="I213" s="929">
        <v>0</v>
      </c>
    </row>
    <row r="214" spans="1:9" ht="39" thickBot="1">
      <c r="A214" s="931" t="s">
        <v>1633</v>
      </c>
      <c r="B214" s="919" t="s">
        <v>2230</v>
      </c>
      <c r="C214" s="917" t="s">
        <v>2236</v>
      </c>
      <c r="D214" s="930" t="s">
        <v>2237</v>
      </c>
      <c r="E214" s="927" t="s">
        <v>2238</v>
      </c>
      <c r="F214" s="928" t="s">
        <v>1442</v>
      </c>
      <c r="G214" s="928" t="s">
        <v>1442</v>
      </c>
      <c r="H214" s="929" t="s">
        <v>1588</v>
      </c>
      <c r="I214" s="929">
        <v>0</v>
      </c>
    </row>
  </sheetData>
  <phoneticPr fontId="117"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E3" sqref="E3"/>
    </sheetView>
  </sheetViews>
  <sheetFormatPr defaultColWidth="9.140625" defaultRowHeight="12.75"/>
  <cols>
    <col min="1" max="1" width="18.7109375" customWidth="1"/>
    <col min="2" max="2" width="19" customWidth="1"/>
    <col min="3" max="3" width="17.7109375" customWidth="1"/>
    <col min="4" max="4" width="25" customWidth="1"/>
    <col min="5" max="5" width="12.42578125" customWidth="1"/>
  </cols>
  <sheetData>
    <row r="1" spans="1:5">
      <c r="A1" s="1357" t="s">
        <v>2410</v>
      </c>
      <c r="B1" s="1358"/>
      <c r="C1" s="1358"/>
      <c r="D1" s="1358"/>
      <c r="E1" s="1358"/>
    </row>
    <row r="2" spans="1:5" ht="30">
      <c r="A2" s="659" t="s">
        <v>88</v>
      </c>
      <c r="B2" s="659" t="s">
        <v>89</v>
      </c>
      <c r="C2" s="659" t="s">
        <v>651</v>
      </c>
      <c r="D2" s="659" t="s">
        <v>92</v>
      </c>
      <c r="E2" s="659" t="s">
        <v>85</v>
      </c>
    </row>
    <row r="3" spans="1:5">
      <c r="A3" s="215">
        <f>'00 - Cover'!F12</f>
        <v>46113</v>
      </c>
      <c r="B3" s="215">
        <f>'00 - Cover'!F13</f>
        <v>46203</v>
      </c>
      <c r="C3" s="215">
        <f>'00 - Cover'!F14</f>
        <v>46219</v>
      </c>
      <c r="D3" s="215">
        <f>'00 - Cover'!F15</f>
        <v>46224</v>
      </c>
      <c r="E3" s="215">
        <f>'00 - Cover'!F16</f>
        <v>46230</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8"/>
  <sheetViews>
    <sheetView workbookViewId="0">
      <selection activeCell="E16" sqref="E16"/>
    </sheetView>
  </sheetViews>
  <sheetFormatPr defaultColWidth="11.5703125" defaultRowHeight="12.75"/>
  <cols>
    <col min="1" max="1" width="12.5703125" style="293" bestFit="1" customWidth="1"/>
    <col min="2" max="2" width="25.85546875" style="293" bestFit="1" customWidth="1"/>
    <col min="3" max="3" width="17.42578125" style="293" bestFit="1" customWidth="1"/>
    <col min="4" max="4" width="17.85546875" style="293" bestFit="1" customWidth="1"/>
    <col min="5" max="5" width="16.5703125" style="295" bestFit="1" customWidth="1"/>
    <col min="6" max="6" width="18" style="293" bestFit="1" customWidth="1"/>
    <col min="7" max="7" width="60.42578125" style="293" customWidth="1"/>
    <col min="8" max="8" width="61.5703125" style="293" bestFit="1" customWidth="1"/>
    <col min="9" max="9" width="15.42578125" style="293" customWidth="1"/>
    <col min="10" max="10" width="11.42578125" style="293" customWidth="1"/>
    <col min="11" max="11" width="16.5703125" style="293" customWidth="1"/>
    <col min="12" max="12" width="46.140625" style="293" customWidth="1"/>
    <col min="13" max="13" width="27.42578125" style="293" customWidth="1"/>
    <col min="14" max="14" width="27.140625" style="293" customWidth="1"/>
    <col min="15" max="15" width="34.42578125" style="293" bestFit="1" customWidth="1"/>
    <col min="16" max="16" width="34.42578125" style="293" customWidth="1"/>
    <col min="17" max="17" width="36.5703125" style="293" bestFit="1" customWidth="1"/>
    <col min="18" max="18" width="20.85546875" style="293" bestFit="1" customWidth="1"/>
    <col min="19" max="19" width="30.5703125" style="293" bestFit="1" customWidth="1"/>
    <col min="20" max="21" width="19.5703125" style="293" bestFit="1" customWidth="1"/>
    <col min="22" max="22" width="44" style="293" bestFit="1" customWidth="1"/>
    <col min="23" max="23" width="36.5703125" style="293" bestFit="1" customWidth="1"/>
    <col min="24" max="24" width="28" style="293" bestFit="1" customWidth="1"/>
    <col min="25" max="25" width="38.5703125" style="293" bestFit="1" customWidth="1"/>
    <col min="26" max="26" width="16" style="293" bestFit="1" customWidth="1"/>
    <col min="27" max="27" width="14.5703125" style="293" bestFit="1" customWidth="1"/>
    <col min="28" max="28" width="8" style="293" bestFit="1" customWidth="1"/>
    <col min="29" max="29" width="14.5703125" style="293" bestFit="1" customWidth="1"/>
    <col min="30" max="30" width="46.5703125" style="293" bestFit="1" customWidth="1"/>
    <col min="31" max="32" width="11.5703125" style="293"/>
    <col min="33" max="33" width="24.42578125" style="293" bestFit="1" customWidth="1"/>
    <col min="34" max="34" width="11.5703125" style="293"/>
    <col min="35" max="35" width="22.85546875" style="293" bestFit="1" customWidth="1"/>
    <col min="36" max="258" width="11.5703125" style="293"/>
    <col min="259" max="259" width="18.42578125" style="293" customWidth="1"/>
    <col min="260" max="260" width="47.42578125" style="293" customWidth="1"/>
    <col min="261" max="261" width="15.5703125" style="293" customWidth="1"/>
    <col min="262" max="262" width="17" style="293" customWidth="1"/>
    <col min="263" max="263" width="22.42578125" style="293" customWidth="1"/>
    <col min="264" max="265" width="15.5703125" style="293" customWidth="1"/>
    <col min="266" max="266" width="25.5703125" style="293" customWidth="1"/>
    <col min="267" max="514" width="11.5703125" style="293"/>
    <col min="515" max="515" width="18.42578125" style="293" customWidth="1"/>
    <col min="516" max="516" width="47.42578125" style="293" customWidth="1"/>
    <col min="517" max="517" width="15.5703125" style="293" customWidth="1"/>
    <col min="518" max="518" width="17" style="293" customWidth="1"/>
    <col min="519" max="519" width="22.42578125" style="293" customWidth="1"/>
    <col min="520" max="521" width="15.5703125" style="293" customWidth="1"/>
    <col min="522" max="522" width="25.5703125" style="293" customWidth="1"/>
    <col min="523" max="770" width="11.5703125" style="293"/>
    <col min="771" max="771" width="18.42578125" style="293" customWidth="1"/>
    <col min="772" max="772" width="47.42578125" style="293" customWidth="1"/>
    <col min="773" max="773" width="15.5703125" style="293" customWidth="1"/>
    <col min="774" max="774" width="17" style="293" customWidth="1"/>
    <col min="775" max="775" width="22.42578125" style="293" customWidth="1"/>
    <col min="776" max="777" width="15.5703125" style="293" customWidth="1"/>
    <col min="778" max="778" width="25.5703125" style="293" customWidth="1"/>
    <col min="779" max="1026" width="11.5703125" style="293"/>
    <col min="1027" max="1027" width="18.42578125" style="293" customWidth="1"/>
    <col min="1028" max="1028" width="47.42578125" style="293" customWidth="1"/>
    <col min="1029" max="1029" width="15.5703125" style="293" customWidth="1"/>
    <col min="1030" max="1030" width="17" style="293" customWidth="1"/>
    <col min="1031" max="1031" width="22.42578125" style="293" customWidth="1"/>
    <col min="1032" max="1033" width="15.5703125" style="293" customWidth="1"/>
    <col min="1034" max="1034" width="25.5703125" style="293" customWidth="1"/>
    <col min="1035" max="1282" width="11.5703125" style="293"/>
    <col min="1283" max="1283" width="18.42578125" style="293" customWidth="1"/>
    <col min="1284" max="1284" width="47.42578125" style="293" customWidth="1"/>
    <col min="1285" max="1285" width="15.5703125" style="293" customWidth="1"/>
    <col min="1286" max="1286" width="17" style="293" customWidth="1"/>
    <col min="1287" max="1287" width="22.42578125" style="293" customWidth="1"/>
    <col min="1288" max="1289" width="15.5703125" style="293" customWidth="1"/>
    <col min="1290" max="1290" width="25.5703125" style="293" customWidth="1"/>
    <col min="1291" max="1538" width="11.5703125" style="293"/>
    <col min="1539" max="1539" width="18.42578125" style="293" customWidth="1"/>
    <col min="1540" max="1540" width="47.42578125" style="293" customWidth="1"/>
    <col min="1541" max="1541" width="15.5703125" style="293" customWidth="1"/>
    <col min="1542" max="1542" width="17" style="293" customWidth="1"/>
    <col min="1543" max="1543" width="22.42578125" style="293" customWidth="1"/>
    <col min="1544" max="1545" width="15.5703125" style="293" customWidth="1"/>
    <col min="1546" max="1546" width="25.5703125" style="293" customWidth="1"/>
    <col min="1547" max="1794" width="11.5703125" style="293"/>
    <col min="1795" max="1795" width="18.42578125" style="293" customWidth="1"/>
    <col min="1796" max="1796" width="47.42578125" style="293" customWidth="1"/>
    <col min="1797" max="1797" width="15.5703125" style="293" customWidth="1"/>
    <col min="1798" max="1798" width="17" style="293" customWidth="1"/>
    <col min="1799" max="1799" width="22.42578125" style="293" customWidth="1"/>
    <col min="1800" max="1801" width="15.5703125" style="293" customWidth="1"/>
    <col min="1802" max="1802" width="25.5703125" style="293" customWidth="1"/>
    <col min="1803" max="2050" width="11.5703125" style="293"/>
    <col min="2051" max="2051" width="18.42578125" style="293" customWidth="1"/>
    <col min="2052" max="2052" width="47.42578125" style="293" customWidth="1"/>
    <col min="2053" max="2053" width="15.5703125" style="293" customWidth="1"/>
    <col min="2054" max="2054" width="17" style="293" customWidth="1"/>
    <col min="2055" max="2055" width="22.42578125" style="293" customWidth="1"/>
    <col min="2056" max="2057" width="15.5703125" style="293" customWidth="1"/>
    <col min="2058" max="2058" width="25.5703125" style="293" customWidth="1"/>
    <col min="2059" max="2306" width="11.5703125" style="293"/>
    <col min="2307" max="2307" width="18.42578125" style="293" customWidth="1"/>
    <col min="2308" max="2308" width="47.42578125" style="293" customWidth="1"/>
    <col min="2309" max="2309" width="15.5703125" style="293" customWidth="1"/>
    <col min="2310" max="2310" width="17" style="293" customWidth="1"/>
    <col min="2311" max="2311" width="22.42578125" style="293" customWidth="1"/>
    <col min="2312" max="2313" width="15.5703125" style="293" customWidth="1"/>
    <col min="2314" max="2314" width="25.5703125" style="293" customWidth="1"/>
    <col min="2315" max="2562" width="11.5703125" style="293"/>
    <col min="2563" max="2563" width="18.42578125" style="293" customWidth="1"/>
    <col min="2564" max="2564" width="47.42578125" style="293" customWidth="1"/>
    <col min="2565" max="2565" width="15.5703125" style="293" customWidth="1"/>
    <col min="2566" max="2566" width="17" style="293" customWidth="1"/>
    <col min="2567" max="2567" width="22.42578125" style="293" customWidth="1"/>
    <col min="2568" max="2569" width="15.5703125" style="293" customWidth="1"/>
    <col min="2570" max="2570" width="25.5703125" style="293" customWidth="1"/>
    <col min="2571" max="2818" width="11.5703125" style="293"/>
    <col min="2819" max="2819" width="18.42578125" style="293" customWidth="1"/>
    <col min="2820" max="2820" width="47.42578125" style="293" customWidth="1"/>
    <col min="2821" max="2821" width="15.5703125" style="293" customWidth="1"/>
    <col min="2822" max="2822" width="17" style="293" customWidth="1"/>
    <col min="2823" max="2823" width="22.42578125" style="293" customWidth="1"/>
    <col min="2824" max="2825" width="15.5703125" style="293" customWidth="1"/>
    <col min="2826" max="2826" width="25.5703125" style="293" customWidth="1"/>
    <col min="2827" max="3074" width="11.5703125" style="293"/>
    <col min="3075" max="3075" width="18.42578125" style="293" customWidth="1"/>
    <col min="3076" max="3076" width="47.42578125" style="293" customWidth="1"/>
    <col min="3077" max="3077" width="15.5703125" style="293" customWidth="1"/>
    <col min="3078" max="3078" width="17" style="293" customWidth="1"/>
    <col min="3079" max="3079" width="22.42578125" style="293" customWidth="1"/>
    <col min="3080" max="3081" width="15.5703125" style="293" customWidth="1"/>
    <col min="3082" max="3082" width="25.5703125" style="293" customWidth="1"/>
    <col min="3083" max="3330" width="11.5703125" style="293"/>
    <col min="3331" max="3331" width="18.42578125" style="293" customWidth="1"/>
    <col min="3332" max="3332" width="47.42578125" style="293" customWidth="1"/>
    <col min="3333" max="3333" width="15.5703125" style="293" customWidth="1"/>
    <col min="3334" max="3334" width="17" style="293" customWidth="1"/>
    <col min="3335" max="3335" width="22.42578125" style="293" customWidth="1"/>
    <col min="3336" max="3337" width="15.5703125" style="293" customWidth="1"/>
    <col min="3338" max="3338" width="25.5703125" style="293" customWidth="1"/>
    <col min="3339" max="3586" width="11.5703125" style="293"/>
    <col min="3587" max="3587" width="18.42578125" style="293" customWidth="1"/>
    <col min="3588" max="3588" width="47.42578125" style="293" customWidth="1"/>
    <col min="3589" max="3589" width="15.5703125" style="293" customWidth="1"/>
    <col min="3590" max="3590" width="17" style="293" customWidth="1"/>
    <col min="3591" max="3591" width="22.42578125" style="293" customWidth="1"/>
    <col min="3592" max="3593" width="15.5703125" style="293" customWidth="1"/>
    <col min="3594" max="3594" width="25.5703125" style="293" customWidth="1"/>
    <col min="3595" max="3842" width="11.5703125" style="293"/>
    <col min="3843" max="3843" width="18.42578125" style="293" customWidth="1"/>
    <col min="3844" max="3844" width="47.42578125" style="293" customWidth="1"/>
    <col min="3845" max="3845" width="15.5703125" style="293" customWidth="1"/>
    <col min="3846" max="3846" width="17" style="293" customWidth="1"/>
    <col min="3847" max="3847" width="22.42578125" style="293" customWidth="1"/>
    <col min="3848" max="3849" width="15.5703125" style="293" customWidth="1"/>
    <col min="3850" max="3850" width="25.5703125" style="293" customWidth="1"/>
    <col min="3851" max="4098" width="11.5703125" style="293"/>
    <col min="4099" max="4099" width="18.42578125" style="293" customWidth="1"/>
    <col min="4100" max="4100" width="47.42578125" style="293" customWidth="1"/>
    <col min="4101" max="4101" width="15.5703125" style="293" customWidth="1"/>
    <col min="4102" max="4102" width="17" style="293" customWidth="1"/>
    <col min="4103" max="4103" width="22.42578125" style="293" customWidth="1"/>
    <col min="4104" max="4105" width="15.5703125" style="293" customWidth="1"/>
    <col min="4106" max="4106" width="25.5703125" style="293" customWidth="1"/>
    <col min="4107" max="4354" width="11.5703125" style="293"/>
    <col min="4355" max="4355" width="18.42578125" style="293" customWidth="1"/>
    <col min="4356" max="4356" width="47.42578125" style="293" customWidth="1"/>
    <col min="4357" max="4357" width="15.5703125" style="293" customWidth="1"/>
    <col min="4358" max="4358" width="17" style="293" customWidth="1"/>
    <col min="4359" max="4359" width="22.42578125" style="293" customWidth="1"/>
    <col min="4360" max="4361" width="15.5703125" style="293" customWidth="1"/>
    <col min="4362" max="4362" width="25.5703125" style="293" customWidth="1"/>
    <col min="4363" max="4610" width="11.5703125" style="293"/>
    <col min="4611" max="4611" width="18.42578125" style="293" customWidth="1"/>
    <col min="4612" max="4612" width="47.42578125" style="293" customWidth="1"/>
    <col min="4613" max="4613" width="15.5703125" style="293" customWidth="1"/>
    <col min="4614" max="4614" width="17" style="293" customWidth="1"/>
    <col min="4615" max="4615" width="22.42578125" style="293" customWidth="1"/>
    <col min="4616" max="4617" width="15.5703125" style="293" customWidth="1"/>
    <col min="4618" max="4618" width="25.5703125" style="293" customWidth="1"/>
    <col min="4619" max="4866" width="11.5703125" style="293"/>
    <col min="4867" max="4867" width="18.42578125" style="293" customWidth="1"/>
    <col min="4868" max="4868" width="47.42578125" style="293" customWidth="1"/>
    <col min="4869" max="4869" width="15.5703125" style="293" customWidth="1"/>
    <col min="4870" max="4870" width="17" style="293" customWidth="1"/>
    <col min="4871" max="4871" width="22.42578125" style="293" customWidth="1"/>
    <col min="4872" max="4873" width="15.5703125" style="293" customWidth="1"/>
    <col min="4874" max="4874" width="25.5703125" style="293" customWidth="1"/>
    <col min="4875" max="5122" width="11.5703125" style="293"/>
    <col min="5123" max="5123" width="18.42578125" style="293" customWidth="1"/>
    <col min="5124" max="5124" width="47.42578125" style="293" customWidth="1"/>
    <col min="5125" max="5125" width="15.5703125" style="293" customWidth="1"/>
    <col min="5126" max="5126" width="17" style="293" customWidth="1"/>
    <col min="5127" max="5127" width="22.42578125" style="293" customWidth="1"/>
    <col min="5128" max="5129" width="15.5703125" style="293" customWidth="1"/>
    <col min="5130" max="5130" width="25.5703125" style="293" customWidth="1"/>
    <col min="5131" max="5378" width="11.5703125" style="293"/>
    <col min="5379" max="5379" width="18.42578125" style="293" customWidth="1"/>
    <col min="5380" max="5380" width="47.42578125" style="293" customWidth="1"/>
    <col min="5381" max="5381" width="15.5703125" style="293" customWidth="1"/>
    <col min="5382" max="5382" width="17" style="293" customWidth="1"/>
    <col min="5383" max="5383" width="22.42578125" style="293" customWidth="1"/>
    <col min="5384" max="5385" width="15.5703125" style="293" customWidth="1"/>
    <col min="5386" max="5386" width="25.5703125" style="293" customWidth="1"/>
    <col min="5387" max="5634" width="11.5703125" style="293"/>
    <col min="5635" max="5635" width="18.42578125" style="293" customWidth="1"/>
    <col min="5636" max="5636" width="47.42578125" style="293" customWidth="1"/>
    <col min="5637" max="5637" width="15.5703125" style="293" customWidth="1"/>
    <col min="5638" max="5638" width="17" style="293" customWidth="1"/>
    <col min="5639" max="5639" width="22.42578125" style="293" customWidth="1"/>
    <col min="5640" max="5641" width="15.5703125" style="293" customWidth="1"/>
    <col min="5642" max="5642" width="25.5703125" style="293" customWidth="1"/>
    <col min="5643" max="5890" width="11.5703125" style="293"/>
    <col min="5891" max="5891" width="18.42578125" style="293" customWidth="1"/>
    <col min="5892" max="5892" width="47.42578125" style="293" customWidth="1"/>
    <col min="5893" max="5893" width="15.5703125" style="293" customWidth="1"/>
    <col min="5894" max="5894" width="17" style="293" customWidth="1"/>
    <col min="5895" max="5895" width="22.42578125" style="293" customWidth="1"/>
    <col min="5896" max="5897" width="15.5703125" style="293" customWidth="1"/>
    <col min="5898" max="5898" width="25.5703125" style="293" customWidth="1"/>
    <col min="5899" max="6146" width="11.5703125" style="293"/>
    <col min="6147" max="6147" width="18.42578125" style="293" customWidth="1"/>
    <col min="6148" max="6148" width="47.42578125" style="293" customWidth="1"/>
    <col min="6149" max="6149" width="15.5703125" style="293" customWidth="1"/>
    <col min="6150" max="6150" width="17" style="293" customWidth="1"/>
    <col min="6151" max="6151" width="22.42578125" style="293" customWidth="1"/>
    <col min="6152" max="6153" width="15.5703125" style="293" customWidth="1"/>
    <col min="6154" max="6154" width="25.5703125" style="293" customWidth="1"/>
    <col min="6155" max="6402" width="11.5703125" style="293"/>
    <col min="6403" max="6403" width="18.42578125" style="293" customWidth="1"/>
    <col min="6404" max="6404" width="47.42578125" style="293" customWidth="1"/>
    <col min="6405" max="6405" width="15.5703125" style="293" customWidth="1"/>
    <col min="6406" max="6406" width="17" style="293" customWidth="1"/>
    <col min="6407" max="6407" width="22.42578125" style="293" customWidth="1"/>
    <col min="6408" max="6409" width="15.5703125" style="293" customWidth="1"/>
    <col min="6410" max="6410" width="25.5703125" style="293" customWidth="1"/>
    <col min="6411" max="6658" width="11.5703125" style="293"/>
    <col min="6659" max="6659" width="18.42578125" style="293" customWidth="1"/>
    <col min="6660" max="6660" width="47.42578125" style="293" customWidth="1"/>
    <col min="6661" max="6661" width="15.5703125" style="293" customWidth="1"/>
    <col min="6662" max="6662" width="17" style="293" customWidth="1"/>
    <col min="6663" max="6663" width="22.42578125" style="293" customWidth="1"/>
    <col min="6664" max="6665" width="15.5703125" style="293" customWidth="1"/>
    <col min="6666" max="6666" width="25.5703125" style="293" customWidth="1"/>
    <col min="6667" max="6914" width="11.5703125" style="293"/>
    <col min="6915" max="6915" width="18.42578125" style="293" customWidth="1"/>
    <col min="6916" max="6916" width="47.42578125" style="293" customWidth="1"/>
    <col min="6917" max="6917" width="15.5703125" style="293" customWidth="1"/>
    <col min="6918" max="6918" width="17" style="293" customWidth="1"/>
    <col min="6919" max="6919" width="22.42578125" style="293" customWidth="1"/>
    <col min="6920" max="6921" width="15.5703125" style="293" customWidth="1"/>
    <col min="6922" max="6922" width="25.5703125" style="293" customWidth="1"/>
    <col min="6923" max="7170" width="11.5703125" style="293"/>
    <col min="7171" max="7171" width="18.42578125" style="293" customWidth="1"/>
    <col min="7172" max="7172" width="47.42578125" style="293" customWidth="1"/>
    <col min="7173" max="7173" width="15.5703125" style="293" customWidth="1"/>
    <col min="7174" max="7174" width="17" style="293" customWidth="1"/>
    <col min="7175" max="7175" width="22.42578125" style="293" customWidth="1"/>
    <col min="7176" max="7177" width="15.5703125" style="293" customWidth="1"/>
    <col min="7178" max="7178" width="25.5703125" style="293" customWidth="1"/>
    <col min="7179" max="7426" width="11.5703125" style="293"/>
    <col min="7427" max="7427" width="18.42578125" style="293" customWidth="1"/>
    <col min="7428" max="7428" width="47.42578125" style="293" customWidth="1"/>
    <col min="7429" max="7429" width="15.5703125" style="293" customWidth="1"/>
    <col min="7430" max="7430" width="17" style="293" customWidth="1"/>
    <col min="7431" max="7431" width="22.42578125" style="293" customWidth="1"/>
    <col min="7432" max="7433" width="15.5703125" style="293" customWidth="1"/>
    <col min="7434" max="7434" width="25.5703125" style="293" customWidth="1"/>
    <col min="7435" max="7682" width="11.5703125" style="293"/>
    <col min="7683" max="7683" width="18.42578125" style="293" customWidth="1"/>
    <col min="7684" max="7684" width="47.42578125" style="293" customWidth="1"/>
    <col min="7685" max="7685" width="15.5703125" style="293" customWidth="1"/>
    <col min="7686" max="7686" width="17" style="293" customWidth="1"/>
    <col min="7687" max="7687" width="22.42578125" style="293" customWidth="1"/>
    <col min="7688" max="7689" width="15.5703125" style="293" customWidth="1"/>
    <col min="7690" max="7690" width="25.5703125" style="293" customWidth="1"/>
    <col min="7691" max="7938" width="11.5703125" style="293"/>
    <col min="7939" max="7939" width="18.42578125" style="293" customWidth="1"/>
    <col min="7940" max="7940" width="47.42578125" style="293" customWidth="1"/>
    <col min="7941" max="7941" width="15.5703125" style="293" customWidth="1"/>
    <col min="7942" max="7942" width="17" style="293" customWidth="1"/>
    <col min="7943" max="7943" width="22.42578125" style="293" customWidth="1"/>
    <col min="7944" max="7945" width="15.5703125" style="293" customWidth="1"/>
    <col min="7946" max="7946" width="25.5703125" style="293" customWidth="1"/>
    <col min="7947" max="8194" width="11.5703125" style="293"/>
    <col min="8195" max="8195" width="18.42578125" style="293" customWidth="1"/>
    <col min="8196" max="8196" width="47.42578125" style="293" customWidth="1"/>
    <col min="8197" max="8197" width="15.5703125" style="293" customWidth="1"/>
    <col min="8198" max="8198" width="17" style="293" customWidth="1"/>
    <col min="8199" max="8199" width="22.42578125" style="293" customWidth="1"/>
    <col min="8200" max="8201" width="15.5703125" style="293" customWidth="1"/>
    <col min="8202" max="8202" width="25.5703125" style="293" customWidth="1"/>
    <col min="8203" max="8450" width="11.5703125" style="293"/>
    <col min="8451" max="8451" width="18.42578125" style="293" customWidth="1"/>
    <col min="8452" max="8452" width="47.42578125" style="293" customWidth="1"/>
    <col min="8453" max="8453" width="15.5703125" style="293" customWidth="1"/>
    <col min="8454" max="8454" width="17" style="293" customWidth="1"/>
    <col min="8455" max="8455" width="22.42578125" style="293" customWidth="1"/>
    <col min="8456" max="8457" width="15.5703125" style="293" customWidth="1"/>
    <col min="8458" max="8458" width="25.5703125" style="293" customWidth="1"/>
    <col min="8459" max="8706" width="11.5703125" style="293"/>
    <col min="8707" max="8707" width="18.42578125" style="293" customWidth="1"/>
    <col min="8708" max="8708" width="47.42578125" style="293" customWidth="1"/>
    <col min="8709" max="8709" width="15.5703125" style="293" customWidth="1"/>
    <col min="8710" max="8710" width="17" style="293" customWidth="1"/>
    <col min="8711" max="8711" width="22.42578125" style="293" customWidth="1"/>
    <col min="8712" max="8713" width="15.5703125" style="293" customWidth="1"/>
    <col min="8714" max="8714" width="25.5703125" style="293" customWidth="1"/>
    <col min="8715" max="8962" width="11.5703125" style="293"/>
    <col min="8963" max="8963" width="18.42578125" style="293" customWidth="1"/>
    <col min="8964" max="8964" width="47.42578125" style="293" customWidth="1"/>
    <col min="8965" max="8965" width="15.5703125" style="293" customWidth="1"/>
    <col min="8966" max="8966" width="17" style="293" customWidth="1"/>
    <col min="8967" max="8967" width="22.42578125" style="293" customWidth="1"/>
    <col min="8968" max="8969" width="15.5703125" style="293" customWidth="1"/>
    <col min="8970" max="8970" width="25.5703125" style="293" customWidth="1"/>
    <col min="8971" max="9218" width="11.5703125" style="293"/>
    <col min="9219" max="9219" width="18.42578125" style="293" customWidth="1"/>
    <col min="9220" max="9220" width="47.42578125" style="293" customWidth="1"/>
    <col min="9221" max="9221" width="15.5703125" style="293" customWidth="1"/>
    <col min="9222" max="9222" width="17" style="293" customWidth="1"/>
    <col min="9223" max="9223" width="22.42578125" style="293" customWidth="1"/>
    <col min="9224" max="9225" width="15.5703125" style="293" customWidth="1"/>
    <col min="9226" max="9226" width="25.5703125" style="293" customWidth="1"/>
    <col min="9227" max="9474" width="11.5703125" style="293"/>
    <col min="9475" max="9475" width="18.42578125" style="293" customWidth="1"/>
    <col min="9476" max="9476" width="47.42578125" style="293" customWidth="1"/>
    <col min="9477" max="9477" width="15.5703125" style="293" customWidth="1"/>
    <col min="9478" max="9478" width="17" style="293" customWidth="1"/>
    <col min="9479" max="9479" width="22.42578125" style="293" customWidth="1"/>
    <col min="9480" max="9481" width="15.5703125" style="293" customWidth="1"/>
    <col min="9482" max="9482" width="25.5703125" style="293" customWidth="1"/>
    <col min="9483" max="9730" width="11.5703125" style="293"/>
    <col min="9731" max="9731" width="18.42578125" style="293" customWidth="1"/>
    <col min="9732" max="9732" width="47.42578125" style="293" customWidth="1"/>
    <col min="9733" max="9733" width="15.5703125" style="293" customWidth="1"/>
    <col min="9734" max="9734" width="17" style="293" customWidth="1"/>
    <col min="9735" max="9735" width="22.42578125" style="293" customWidth="1"/>
    <col min="9736" max="9737" width="15.5703125" style="293" customWidth="1"/>
    <col min="9738" max="9738" width="25.5703125" style="293" customWidth="1"/>
    <col min="9739" max="9986" width="11.5703125" style="293"/>
    <col min="9987" max="9987" width="18.42578125" style="293" customWidth="1"/>
    <col min="9988" max="9988" width="47.42578125" style="293" customWidth="1"/>
    <col min="9989" max="9989" width="15.5703125" style="293" customWidth="1"/>
    <col min="9990" max="9990" width="17" style="293" customWidth="1"/>
    <col min="9991" max="9991" width="22.42578125" style="293" customWidth="1"/>
    <col min="9992" max="9993" width="15.5703125" style="293" customWidth="1"/>
    <col min="9994" max="9994" width="25.5703125" style="293" customWidth="1"/>
    <col min="9995" max="10242" width="11.5703125" style="293"/>
    <col min="10243" max="10243" width="18.42578125" style="293" customWidth="1"/>
    <col min="10244" max="10244" width="47.42578125" style="293" customWidth="1"/>
    <col min="10245" max="10245" width="15.5703125" style="293" customWidth="1"/>
    <col min="10246" max="10246" width="17" style="293" customWidth="1"/>
    <col min="10247" max="10247" width="22.42578125" style="293" customWidth="1"/>
    <col min="10248" max="10249" width="15.5703125" style="293" customWidth="1"/>
    <col min="10250" max="10250" width="25.5703125" style="293" customWidth="1"/>
    <col min="10251" max="10498" width="11.5703125" style="293"/>
    <col min="10499" max="10499" width="18.42578125" style="293" customWidth="1"/>
    <col min="10500" max="10500" width="47.42578125" style="293" customWidth="1"/>
    <col min="10501" max="10501" width="15.5703125" style="293" customWidth="1"/>
    <col min="10502" max="10502" width="17" style="293" customWidth="1"/>
    <col min="10503" max="10503" width="22.42578125" style="293" customWidth="1"/>
    <col min="10504" max="10505" width="15.5703125" style="293" customWidth="1"/>
    <col min="10506" max="10506" width="25.5703125" style="293" customWidth="1"/>
    <col min="10507" max="10754" width="11.5703125" style="293"/>
    <col min="10755" max="10755" width="18.42578125" style="293" customWidth="1"/>
    <col min="10756" max="10756" width="47.42578125" style="293" customWidth="1"/>
    <col min="10757" max="10757" width="15.5703125" style="293" customWidth="1"/>
    <col min="10758" max="10758" width="17" style="293" customWidth="1"/>
    <col min="10759" max="10759" width="22.42578125" style="293" customWidth="1"/>
    <col min="10760" max="10761" width="15.5703125" style="293" customWidth="1"/>
    <col min="10762" max="10762" width="25.5703125" style="293" customWidth="1"/>
    <col min="10763" max="11010" width="11.5703125" style="293"/>
    <col min="11011" max="11011" width="18.42578125" style="293" customWidth="1"/>
    <col min="11012" max="11012" width="47.42578125" style="293" customWidth="1"/>
    <col min="11013" max="11013" width="15.5703125" style="293" customWidth="1"/>
    <col min="11014" max="11014" width="17" style="293" customWidth="1"/>
    <col min="11015" max="11015" width="22.42578125" style="293" customWidth="1"/>
    <col min="11016" max="11017" width="15.5703125" style="293" customWidth="1"/>
    <col min="11018" max="11018" width="25.5703125" style="293" customWidth="1"/>
    <col min="11019" max="11266" width="11.5703125" style="293"/>
    <col min="11267" max="11267" width="18.42578125" style="293" customWidth="1"/>
    <col min="11268" max="11268" width="47.42578125" style="293" customWidth="1"/>
    <col min="11269" max="11269" width="15.5703125" style="293" customWidth="1"/>
    <col min="11270" max="11270" width="17" style="293" customWidth="1"/>
    <col min="11271" max="11271" width="22.42578125" style="293" customWidth="1"/>
    <col min="11272" max="11273" width="15.5703125" style="293" customWidth="1"/>
    <col min="11274" max="11274" width="25.5703125" style="293" customWidth="1"/>
    <col min="11275" max="11522" width="11.5703125" style="293"/>
    <col min="11523" max="11523" width="18.42578125" style="293" customWidth="1"/>
    <col min="11524" max="11524" width="47.42578125" style="293" customWidth="1"/>
    <col min="11525" max="11525" width="15.5703125" style="293" customWidth="1"/>
    <col min="11526" max="11526" width="17" style="293" customWidth="1"/>
    <col min="11527" max="11527" width="22.42578125" style="293" customWidth="1"/>
    <col min="11528" max="11529" width="15.5703125" style="293" customWidth="1"/>
    <col min="11530" max="11530" width="25.5703125" style="293" customWidth="1"/>
    <col min="11531" max="11778" width="11.5703125" style="293"/>
    <col min="11779" max="11779" width="18.42578125" style="293" customWidth="1"/>
    <col min="11780" max="11780" width="47.42578125" style="293" customWidth="1"/>
    <col min="11781" max="11781" width="15.5703125" style="293" customWidth="1"/>
    <col min="11782" max="11782" width="17" style="293" customWidth="1"/>
    <col min="11783" max="11783" width="22.42578125" style="293" customWidth="1"/>
    <col min="11784" max="11785" width="15.5703125" style="293" customWidth="1"/>
    <col min="11786" max="11786" width="25.5703125" style="293" customWidth="1"/>
    <col min="11787" max="12034" width="11.5703125" style="293"/>
    <col min="12035" max="12035" width="18.42578125" style="293" customWidth="1"/>
    <col min="12036" max="12036" width="47.42578125" style="293" customWidth="1"/>
    <col min="12037" max="12037" width="15.5703125" style="293" customWidth="1"/>
    <col min="12038" max="12038" width="17" style="293" customWidth="1"/>
    <col min="12039" max="12039" width="22.42578125" style="293" customWidth="1"/>
    <col min="12040" max="12041" width="15.5703125" style="293" customWidth="1"/>
    <col min="12042" max="12042" width="25.5703125" style="293" customWidth="1"/>
    <col min="12043" max="12290" width="11.5703125" style="293"/>
    <col min="12291" max="12291" width="18.42578125" style="293" customWidth="1"/>
    <col min="12292" max="12292" width="47.42578125" style="293" customWidth="1"/>
    <col min="12293" max="12293" width="15.5703125" style="293" customWidth="1"/>
    <col min="12294" max="12294" width="17" style="293" customWidth="1"/>
    <col min="12295" max="12295" width="22.42578125" style="293" customWidth="1"/>
    <col min="12296" max="12297" width="15.5703125" style="293" customWidth="1"/>
    <col min="12298" max="12298" width="25.5703125" style="293" customWidth="1"/>
    <col min="12299" max="12546" width="11.5703125" style="293"/>
    <col min="12547" max="12547" width="18.42578125" style="293" customWidth="1"/>
    <col min="12548" max="12548" width="47.42578125" style="293" customWidth="1"/>
    <col min="12549" max="12549" width="15.5703125" style="293" customWidth="1"/>
    <col min="12550" max="12550" width="17" style="293" customWidth="1"/>
    <col min="12551" max="12551" width="22.42578125" style="293" customWidth="1"/>
    <col min="12552" max="12553" width="15.5703125" style="293" customWidth="1"/>
    <col min="12554" max="12554" width="25.5703125" style="293" customWidth="1"/>
    <col min="12555" max="12802" width="11.5703125" style="293"/>
    <col min="12803" max="12803" width="18.42578125" style="293" customWidth="1"/>
    <col min="12804" max="12804" width="47.42578125" style="293" customWidth="1"/>
    <col min="12805" max="12805" width="15.5703125" style="293" customWidth="1"/>
    <col min="12806" max="12806" width="17" style="293" customWidth="1"/>
    <col min="12807" max="12807" width="22.42578125" style="293" customWidth="1"/>
    <col min="12808" max="12809" width="15.5703125" style="293" customWidth="1"/>
    <col min="12810" max="12810" width="25.5703125" style="293" customWidth="1"/>
    <col min="12811" max="13058" width="11.5703125" style="293"/>
    <col min="13059" max="13059" width="18.42578125" style="293" customWidth="1"/>
    <col min="13060" max="13060" width="47.42578125" style="293" customWidth="1"/>
    <col min="13061" max="13061" width="15.5703125" style="293" customWidth="1"/>
    <col min="13062" max="13062" width="17" style="293" customWidth="1"/>
    <col min="13063" max="13063" width="22.42578125" style="293" customWidth="1"/>
    <col min="13064" max="13065" width="15.5703125" style="293" customWidth="1"/>
    <col min="13066" max="13066" width="25.5703125" style="293" customWidth="1"/>
    <col min="13067" max="13314" width="11.5703125" style="293"/>
    <col min="13315" max="13315" width="18.42578125" style="293" customWidth="1"/>
    <col min="13316" max="13316" width="47.42578125" style="293" customWidth="1"/>
    <col min="13317" max="13317" width="15.5703125" style="293" customWidth="1"/>
    <col min="13318" max="13318" width="17" style="293" customWidth="1"/>
    <col min="13319" max="13319" width="22.42578125" style="293" customWidth="1"/>
    <col min="13320" max="13321" width="15.5703125" style="293" customWidth="1"/>
    <col min="13322" max="13322" width="25.5703125" style="293" customWidth="1"/>
    <col min="13323" max="13570" width="11.5703125" style="293"/>
    <col min="13571" max="13571" width="18.42578125" style="293" customWidth="1"/>
    <col min="13572" max="13572" width="47.42578125" style="293" customWidth="1"/>
    <col min="13573" max="13573" width="15.5703125" style="293" customWidth="1"/>
    <col min="13574" max="13574" width="17" style="293" customWidth="1"/>
    <col min="13575" max="13575" width="22.42578125" style="293" customWidth="1"/>
    <col min="13576" max="13577" width="15.5703125" style="293" customWidth="1"/>
    <col min="13578" max="13578" width="25.5703125" style="293" customWidth="1"/>
    <col min="13579" max="13826" width="11.5703125" style="293"/>
    <col min="13827" max="13827" width="18.42578125" style="293" customWidth="1"/>
    <col min="13828" max="13828" width="47.42578125" style="293" customWidth="1"/>
    <col min="13829" max="13829" width="15.5703125" style="293" customWidth="1"/>
    <col min="13830" max="13830" width="17" style="293" customWidth="1"/>
    <col min="13831" max="13831" width="22.42578125" style="293" customWidth="1"/>
    <col min="13832" max="13833" width="15.5703125" style="293" customWidth="1"/>
    <col min="13834" max="13834" width="25.5703125" style="293" customWidth="1"/>
    <col min="13835" max="14082" width="11.5703125" style="293"/>
    <col min="14083" max="14083" width="18.42578125" style="293" customWidth="1"/>
    <col min="14084" max="14084" width="47.42578125" style="293" customWidth="1"/>
    <col min="14085" max="14085" width="15.5703125" style="293" customWidth="1"/>
    <col min="14086" max="14086" width="17" style="293" customWidth="1"/>
    <col min="14087" max="14087" width="22.42578125" style="293" customWidth="1"/>
    <col min="14088" max="14089" width="15.5703125" style="293" customWidth="1"/>
    <col min="14090" max="14090" width="25.5703125" style="293" customWidth="1"/>
    <col min="14091" max="14338" width="11.5703125" style="293"/>
    <col min="14339" max="14339" width="18.42578125" style="293" customWidth="1"/>
    <col min="14340" max="14340" width="47.42578125" style="293" customWidth="1"/>
    <col min="14341" max="14341" width="15.5703125" style="293" customWidth="1"/>
    <col min="14342" max="14342" width="17" style="293" customWidth="1"/>
    <col min="14343" max="14343" width="22.42578125" style="293" customWidth="1"/>
    <col min="14344" max="14345" width="15.5703125" style="293" customWidth="1"/>
    <col min="14346" max="14346" width="25.5703125" style="293" customWidth="1"/>
    <col min="14347" max="14594" width="11.5703125" style="293"/>
    <col min="14595" max="14595" width="18.42578125" style="293" customWidth="1"/>
    <col min="14596" max="14596" width="47.42578125" style="293" customWidth="1"/>
    <col min="14597" max="14597" width="15.5703125" style="293" customWidth="1"/>
    <col min="14598" max="14598" width="17" style="293" customWidth="1"/>
    <col min="14599" max="14599" width="22.42578125" style="293" customWidth="1"/>
    <col min="14600" max="14601" width="15.5703125" style="293" customWidth="1"/>
    <col min="14602" max="14602" width="25.5703125" style="293" customWidth="1"/>
    <col min="14603" max="14850" width="11.5703125" style="293"/>
    <col min="14851" max="14851" width="18.42578125" style="293" customWidth="1"/>
    <col min="14852" max="14852" width="47.42578125" style="293" customWidth="1"/>
    <col min="14853" max="14853" width="15.5703125" style="293" customWidth="1"/>
    <col min="14854" max="14854" width="17" style="293" customWidth="1"/>
    <col min="14855" max="14855" width="22.42578125" style="293" customWidth="1"/>
    <col min="14856" max="14857" width="15.5703125" style="293" customWidth="1"/>
    <col min="14858" max="14858" width="25.5703125" style="293" customWidth="1"/>
    <col min="14859" max="15106" width="11.5703125" style="293"/>
    <col min="15107" max="15107" width="18.42578125" style="293" customWidth="1"/>
    <col min="15108" max="15108" width="47.42578125" style="293" customWidth="1"/>
    <col min="15109" max="15109" width="15.5703125" style="293" customWidth="1"/>
    <col min="15110" max="15110" width="17" style="293" customWidth="1"/>
    <col min="15111" max="15111" width="22.42578125" style="293" customWidth="1"/>
    <col min="15112" max="15113" width="15.5703125" style="293" customWidth="1"/>
    <col min="15114" max="15114" width="25.5703125" style="293" customWidth="1"/>
    <col min="15115" max="15362" width="11.5703125" style="293"/>
    <col min="15363" max="15363" width="18.42578125" style="293" customWidth="1"/>
    <col min="15364" max="15364" width="47.42578125" style="293" customWidth="1"/>
    <col min="15365" max="15365" width="15.5703125" style="293" customWidth="1"/>
    <col min="15366" max="15366" width="17" style="293" customWidth="1"/>
    <col min="15367" max="15367" width="22.42578125" style="293" customWidth="1"/>
    <col min="15368" max="15369" width="15.5703125" style="293" customWidth="1"/>
    <col min="15370" max="15370" width="25.5703125" style="293" customWidth="1"/>
    <col min="15371" max="15618" width="11.5703125" style="293"/>
    <col min="15619" max="15619" width="18.42578125" style="293" customWidth="1"/>
    <col min="15620" max="15620" width="47.42578125" style="293" customWidth="1"/>
    <col min="15621" max="15621" width="15.5703125" style="293" customWidth="1"/>
    <col min="15622" max="15622" width="17" style="293" customWidth="1"/>
    <col min="15623" max="15623" width="22.42578125" style="293" customWidth="1"/>
    <col min="15624" max="15625" width="15.5703125" style="293" customWidth="1"/>
    <col min="15626" max="15626" width="25.5703125" style="293" customWidth="1"/>
    <col min="15627" max="15874" width="11.5703125" style="293"/>
    <col min="15875" max="15875" width="18.42578125" style="293" customWidth="1"/>
    <col min="15876" max="15876" width="47.42578125" style="293" customWidth="1"/>
    <col min="15877" max="15877" width="15.5703125" style="293" customWidth="1"/>
    <col min="15878" max="15878" width="17" style="293" customWidth="1"/>
    <col min="15879" max="15879" width="22.42578125" style="293" customWidth="1"/>
    <col min="15880" max="15881" width="15.5703125" style="293" customWidth="1"/>
    <col min="15882" max="15882" width="25.5703125" style="293" customWidth="1"/>
    <col min="15883" max="16130" width="11.5703125" style="293"/>
    <col min="16131" max="16131" width="18.42578125" style="293" customWidth="1"/>
    <col min="16132" max="16132" width="47.42578125" style="293" customWidth="1"/>
    <col min="16133" max="16133" width="15.5703125" style="293" customWidth="1"/>
    <col min="16134" max="16134" width="17" style="293" customWidth="1"/>
    <col min="16135" max="16135" width="22.42578125" style="293" customWidth="1"/>
    <col min="16136" max="16137" width="15.5703125" style="293" customWidth="1"/>
    <col min="16138" max="16138" width="25.5703125" style="293" customWidth="1"/>
    <col min="16139" max="16384" width="11.5703125" style="293"/>
  </cols>
  <sheetData>
    <row r="1" spans="1:30">
      <c r="A1" s="1037" t="s">
        <v>173</v>
      </c>
      <c r="B1" s="1037" t="s">
        <v>174</v>
      </c>
      <c r="C1" s="1037" t="s">
        <v>175</v>
      </c>
      <c r="D1" s="1037" t="s">
        <v>176</v>
      </c>
      <c r="E1" s="1038" t="s">
        <v>177</v>
      </c>
      <c r="F1" s="1037" t="s">
        <v>178</v>
      </c>
      <c r="G1" s="1037" t="s">
        <v>179</v>
      </c>
      <c r="H1" s="1037" t="s">
        <v>180</v>
      </c>
      <c r="I1" s="1039" t="s">
        <v>181</v>
      </c>
      <c r="J1" s="1039" t="s">
        <v>182</v>
      </c>
      <c r="K1" s="1040" t="s">
        <v>183</v>
      </c>
      <c r="L1" s="1041" t="s">
        <v>184</v>
      </c>
      <c r="M1" s="1041" t="s">
        <v>185</v>
      </c>
      <c r="N1" s="1041" t="s">
        <v>186</v>
      </c>
      <c r="O1" s="1041" t="s">
        <v>187</v>
      </c>
      <c r="P1" s="1041"/>
      <c r="Q1" s="1042" t="s">
        <v>188</v>
      </c>
      <c r="R1" s="1042" t="s">
        <v>189</v>
      </c>
      <c r="S1" s="1042" t="s">
        <v>190</v>
      </c>
      <c r="T1" s="1042" t="s">
        <v>191</v>
      </c>
      <c r="U1" s="1042" t="s">
        <v>192</v>
      </c>
      <c r="V1" s="1039" t="s">
        <v>193</v>
      </c>
      <c r="W1" s="1039" t="s">
        <v>194</v>
      </c>
      <c r="X1" s="1039" t="s">
        <v>195</v>
      </c>
      <c r="Y1" s="1039" t="s">
        <v>196</v>
      </c>
      <c r="Z1" s="376" t="s">
        <v>241</v>
      </c>
      <c r="AA1" s="376" t="s">
        <v>242</v>
      </c>
      <c r="AB1" s="376" t="s">
        <v>243</v>
      </c>
      <c r="AC1" s="376" t="s">
        <v>244</v>
      </c>
      <c r="AD1" s="376" t="s">
        <v>245</v>
      </c>
    </row>
    <row r="2" spans="1:30">
      <c r="A2" s="894" t="str">
        <f t="shared" ref="A2:A17" si="0">ROW()-1&amp;"_"&amp;TEXT(I2,"JJMMAA")</f>
        <v>1_270726</v>
      </c>
      <c r="B2" s="1043" t="s">
        <v>2368</v>
      </c>
      <c r="C2" s="895" t="s">
        <v>1366</v>
      </c>
      <c r="D2" s="896" t="s">
        <v>1367</v>
      </c>
      <c r="E2" s="1044">
        <f>'15 - Priority of Payments'!K17</f>
        <v>0</v>
      </c>
      <c r="F2" s="1045" t="s">
        <v>683</v>
      </c>
      <c r="G2" s="1051" t="s">
        <v>2373</v>
      </c>
      <c r="H2" s="1046" t="str">
        <f t="shared" ref="H2:H17" si="1">+G2</f>
        <v>Transfert General to Principal</v>
      </c>
      <c r="I2" s="1047">
        <f>+'00 - Cover'!$F$16</f>
        <v>46230</v>
      </c>
      <c r="J2" s="1047">
        <f>+'00 - Cover'!$F$16</f>
        <v>46230</v>
      </c>
      <c r="K2" s="897" t="s">
        <v>1368</v>
      </c>
      <c r="L2" s="1043" t="s">
        <v>1412</v>
      </c>
      <c r="M2" s="1043" t="s">
        <v>1370</v>
      </c>
      <c r="N2" s="1043" t="s">
        <v>1369</v>
      </c>
      <c r="O2" s="1043" t="s">
        <v>2371</v>
      </c>
      <c r="P2" s="1043" t="s">
        <v>1416</v>
      </c>
      <c r="Q2" s="1050"/>
      <c r="R2" s="1043"/>
      <c r="S2" s="1048"/>
      <c r="T2" s="1049"/>
      <c r="U2" s="1050"/>
      <c r="V2" s="1043" t="s">
        <v>1372</v>
      </c>
      <c r="W2" s="1043" t="s">
        <v>1370</v>
      </c>
      <c r="X2" s="1043" t="s">
        <v>1369</v>
      </c>
      <c r="Y2" s="1043" t="s">
        <v>2374</v>
      </c>
      <c r="Z2" s="1043"/>
      <c r="AA2" s="1043"/>
      <c r="AB2" s="1043"/>
      <c r="AC2" s="1043"/>
      <c r="AD2" s="1043" t="s">
        <v>2372</v>
      </c>
    </row>
    <row r="3" spans="1:30">
      <c r="A3" s="894" t="str">
        <f>ROW()-1&amp;"_"&amp;TEXT(I3,"JJMMAA")</f>
        <v>2_270726</v>
      </c>
      <c r="B3" s="1043" t="s">
        <v>2368</v>
      </c>
      <c r="C3" s="895" t="s">
        <v>1366</v>
      </c>
      <c r="D3" s="896" t="s">
        <v>1367</v>
      </c>
      <c r="E3" s="1044">
        <f>'15 - Priority of Payments'!K17</f>
        <v>0</v>
      </c>
      <c r="F3" s="1045" t="s">
        <v>683</v>
      </c>
      <c r="G3" s="1051" t="s">
        <v>2604</v>
      </c>
      <c r="H3" s="1046" t="str">
        <f>+G3</f>
        <v>Restitution overcollaterisation juillet</v>
      </c>
      <c r="I3" s="1047">
        <f>+'00 - Cover'!$F$16</f>
        <v>46230</v>
      </c>
      <c r="J3" s="1047">
        <f>+'00 - Cover'!$F$16</f>
        <v>46230</v>
      </c>
      <c r="K3" s="897" t="s">
        <v>1368</v>
      </c>
      <c r="L3" s="1043" t="s">
        <v>2605</v>
      </c>
      <c r="M3" s="1043" t="s">
        <v>1370</v>
      </c>
      <c r="N3" s="1043" t="s">
        <v>1369</v>
      </c>
      <c r="O3" s="1043" t="s">
        <v>2374</v>
      </c>
      <c r="P3" s="1043" t="s">
        <v>1418</v>
      </c>
      <c r="Q3" s="1050"/>
      <c r="R3" s="1043"/>
      <c r="S3" s="1048"/>
      <c r="T3" s="1049"/>
      <c r="U3" s="1050"/>
      <c r="V3" s="1043" t="s">
        <v>2393</v>
      </c>
      <c r="W3" s="1043" t="s">
        <v>248</v>
      </c>
      <c r="X3" s="1043" t="s">
        <v>2394</v>
      </c>
      <c r="Y3" s="1043" t="s">
        <v>2395</v>
      </c>
      <c r="Z3" s="1043"/>
      <c r="AA3" s="1043"/>
      <c r="AB3" s="1043"/>
      <c r="AC3" s="1043"/>
      <c r="AD3" s="1043"/>
    </row>
    <row r="4" spans="1:30">
      <c r="A4" s="894" t="str">
        <f t="shared" si="0"/>
        <v>3_270726</v>
      </c>
      <c r="B4" s="1043" t="s">
        <v>2368</v>
      </c>
      <c r="C4" s="895" t="s">
        <v>1366</v>
      </c>
      <c r="D4" s="896" t="s">
        <v>1367</v>
      </c>
      <c r="E4" s="1044">
        <f>+'13 - Issuer Account'!H26-'15 - Priority of Payments'!K17</f>
        <v>11726176.690000001</v>
      </c>
      <c r="F4" s="1045" t="s">
        <v>683</v>
      </c>
      <c r="G4" s="1051" t="s">
        <v>2406</v>
      </c>
      <c r="H4" s="1046" t="str">
        <f t="shared" si="1"/>
        <v>Transfert General to Compte interest</v>
      </c>
      <c r="I4" s="1047">
        <f>+'00 - Cover'!$F$16</f>
        <v>46230</v>
      </c>
      <c r="J4" s="1047">
        <f>+'00 - Cover'!$F$16</f>
        <v>46230</v>
      </c>
      <c r="K4" s="897" t="s">
        <v>1368</v>
      </c>
      <c r="L4" s="1043" t="s">
        <v>1412</v>
      </c>
      <c r="M4" s="1043" t="s">
        <v>1370</v>
      </c>
      <c r="N4" s="1043" t="s">
        <v>1369</v>
      </c>
      <c r="O4" s="1043" t="s">
        <v>2371</v>
      </c>
      <c r="P4" s="1043" t="s">
        <v>1416</v>
      </c>
      <c r="Q4" s="1050"/>
      <c r="R4" s="1043"/>
      <c r="S4" s="1048"/>
      <c r="T4" s="1049"/>
      <c r="U4" s="1050"/>
      <c r="V4" s="1043" t="s">
        <v>1373</v>
      </c>
      <c r="W4" s="1043" t="s">
        <v>1370</v>
      </c>
      <c r="X4" s="1043" t="s">
        <v>1369</v>
      </c>
      <c r="Y4" s="1043" t="s">
        <v>2376</v>
      </c>
      <c r="Z4" s="1043"/>
      <c r="AA4" s="1043"/>
      <c r="AB4" s="1043"/>
      <c r="AC4" s="1043"/>
      <c r="AD4" s="1043" t="s">
        <v>2372</v>
      </c>
    </row>
    <row r="5" spans="1:30">
      <c r="A5" s="894" t="str">
        <f t="shared" si="0"/>
        <v>4_270726</v>
      </c>
      <c r="B5" s="1043" t="s">
        <v>2368</v>
      </c>
      <c r="C5" s="895" t="s">
        <v>1366</v>
      </c>
      <c r="D5" s="896" t="s">
        <v>1367</v>
      </c>
      <c r="E5" s="1044">
        <f>+'15 - Priority of Payments'!I49</f>
        <v>412970.7</v>
      </c>
      <c r="F5" s="1045" t="s">
        <v>683</v>
      </c>
      <c r="G5" s="1051" t="s">
        <v>2377</v>
      </c>
      <c r="H5" s="1046" t="str">
        <f t="shared" si="1"/>
        <v xml:space="preserve">Class A Notes Interest </v>
      </c>
      <c r="I5" s="1047">
        <f>+'00 - Cover'!$F$16</f>
        <v>46230</v>
      </c>
      <c r="J5" s="1047">
        <f>+'00 - Cover'!$F$16</f>
        <v>46230</v>
      </c>
      <c r="K5" s="897" t="s">
        <v>1368</v>
      </c>
      <c r="L5" s="1043" t="s">
        <v>1413</v>
      </c>
      <c r="M5" s="1043" t="s">
        <v>1370</v>
      </c>
      <c r="N5" s="1043" t="s">
        <v>1369</v>
      </c>
      <c r="O5" s="1043" t="s">
        <v>2376</v>
      </c>
      <c r="P5" s="1043" t="s">
        <v>1417</v>
      </c>
      <c r="Q5" s="1050"/>
      <c r="R5" s="1043"/>
      <c r="S5" s="1048"/>
      <c r="T5" s="1049"/>
      <c r="U5" s="1050"/>
      <c r="V5" s="1043" t="s">
        <v>2378</v>
      </c>
      <c r="W5" s="1043" t="s">
        <v>2379</v>
      </c>
      <c r="X5" s="1043" t="s">
        <v>2380</v>
      </c>
      <c r="Y5" s="1043" t="s">
        <v>2381</v>
      </c>
      <c r="Z5" s="1043"/>
      <c r="AA5" s="1043"/>
      <c r="AB5" s="1043"/>
      <c r="AC5" s="1043"/>
      <c r="AD5" s="1043" t="s">
        <v>2382</v>
      </c>
    </row>
    <row r="6" spans="1:30">
      <c r="A6" s="894" t="str">
        <f t="shared" si="0"/>
        <v>5_270726</v>
      </c>
      <c r="B6" s="1043" t="s">
        <v>2368</v>
      </c>
      <c r="C6" s="895" t="s">
        <v>1366</v>
      </c>
      <c r="D6" s="896" t="s">
        <v>1367</v>
      </c>
      <c r="E6" s="1044">
        <f>+SUM('14 - Fees'!J20:J36)</f>
        <v>23227.58</v>
      </c>
      <c r="F6" s="1045" t="s">
        <v>683</v>
      </c>
      <c r="G6" s="1051" t="s">
        <v>2383</v>
      </c>
      <c r="H6" s="1046" t="str">
        <f t="shared" si="1"/>
        <v xml:space="preserve">Fees - Management Company </v>
      </c>
      <c r="I6" s="1047">
        <f>+'00 - Cover'!$F$16</f>
        <v>46230</v>
      </c>
      <c r="J6" s="1047">
        <f>+'00 - Cover'!$F$16</f>
        <v>46230</v>
      </c>
      <c r="K6" s="897" t="s">
        <v>1368</v>
      </c>
      <c r="L6" s="1043" t="s">
        <v>1413</v>
      </c>
      <c r="M6" s="1043" t="s">
        <v>1370</v>
      </c>
      <c r="N6" s="1043" t="s">
        <v>1369</v>
      </c>
      <c r="O6" s="1043" t="s">
        <v>2376</v>
      </c>
      <c r="P6" s="1043" t="s">
        <v>1417</v>
      </c>
      <c r="Q6" s="1050"/>
      <c r="R6" s="1043"/>
      <c r="S6" s="1048"/>
      <c r="T6" s="1049"/>
      <c r="U6" s="1050"/>
      <c r="V6" s="1043" t="s">
        <v>2384</v>
      </c>
      <c r="W6" s="1043" t="s">
        <v>1374</v>
      </c>
      <c r="X6" s="1043" t="s">
        <v>1375</v>
      </c>
      <c r="Y6" s="1043" t="s">
        <v>1376</v>
      </c>
      <c r="Z6" s="1043"/>
      <c r="AA6" s="1043"/>
      <c r="AB6" s="1043"/>
      <c r="AC6" s="1043"/>
      <c r="AD6" s="1043" t="s">
        <v>2372</v>
      </c>
    </row>
    <row r="7" spans="1:30">
      <c r="A7" s="894" t="str">
        <f t="shared" si="0"/>
        <v>6_270726</v>
      </c>
      <c r="B7" s="1043" t="s">
        <v>2368</v>
      </c>
      <c r="C7" s="895" t="s">
        <v>1366</v>
      </c>
      <c r="D7" s="896" t="s">
        <v>1367</v>
      </c>
      <c r="E7" s="1044">
        <f>+'14 - Fees'!J39+'14 - Fees'!J40+'14 - Fees'!J41+'14 - Fees'!J43</f>
        <v>12917.740000000002</v>
      </c>
      <c r="F7" s="1045" t="s">
        <v>683</v>
      </c>
      <c r="G7" s="1051" t="s">
        <v>2385</v>
      </c>
      <c r="H7" s="1046" t="str">
        <f t="shared" si="1"/>
        <v>Fees - Custodian</v>
      </c>
      <c r="I7" s="1047">
        <f>+'00 - Cover'!$F$16</f>
        <v>46230</v>
      </c>
      <c r="J7" s="1047">
        <f>+'00 - Cover'!$F$16</f>
        <v>46230</v>
      </c>
      <c r="K7" s="897" t="s">
        <v>1368</v>
      </c>
      <c r="L7" s="1043" t="s">
        <v>1413</v>
      </c>
      <c r="M7" s="1043" t="s">
        <v>1370</v>
      </c>
      <c r="N7" s="1043" t="s">
        <v>1369</v>
      </c>
      <c r="O7" s="1043" t="s">
        <v>2376</v>
      </c>
      <c r="P7" s="1043" t="s">
        <v>1417</v>
      </c>
      <c r="Q7" s="1050"/>
      <c r="R7" s="1043"/>
      <c r="S7" s="1048"/>
      <c r="T7" s="1049"/>
      <c r="U7" s="1050"/>
      <c r="V7" s="1043" t="s">
        <v>2379</v>
      </c>
      <c r="W7" s="1043" t="s">
        <v>2386</v>
      </c>
      <c r="X7" s="1043" t="s">
        <v>1369</v>
      </c>
      <c r="Y7" s="1043" t="s">
        <v>2387</v>
      </c>
      <c r="Z7" s="1043"/>
      <c r="AA7" s="1043"/>
      <c r="AB7" s="1043"/>
      <c r="AC7" s="1043"/>
      <c r="AD7" s="1043"/>
    </row>
    <row r="8" spans="1:30">
      <c r="A8" s="894" t="str">
        <f t="shared" si="0"/>
        <v>7_270726</v>
      </c>
      <c r="B8" s="1043" t="s">
        <v>2368</v>
      </c>
      <c r="C8" s="895" t="s">
        <v>1366</v>
      </c>
      <c r="D8" s="896" t="s">
        <v>1367</v>
      </c>
      <c r="E8" s="1044">
        <f>+'14 - Fees'!J50</f>
        <v>598.35616438356169</v>
      </c>
      <c r="F8" s="1045" t="s">
        <v>683</v>
      </c>
      <c r="G8" s="1051" t="s">
        <v>2388</v>
      </c>
      <c r="H8" s="1046" t="str">
        <f t="shared" si="1"/>
        <v xml:space="preserve">Fees - FCT Account Bank </v>
      </c>
      <c r="I8" s="1047">
        <f>+'00 - Cover'!$F$16</f>
        <v>46230</v>
      </c>
      <c r="J8" s="1047">
        <f>+'00 - Cover'!$F$16</f>
        <v>46230</v>
      </c>
      <c r="K8" s="897" t="s">
        <v>1368</v>
      </c>
      <c r="L8" s="1043" t="s">
        <v>1413</v>
      </c>
      <c r="M8" s="1043" t="s">
        <v>1370</v>
      </c>
      <c r="N8" s="1043" t="s">
        <v>1369</v>
      </c>
      <c r="O8" s="1043" t="s">
        <v>2376</v>
      </c>
      <c r="P8" s="1043" t="s">
        <v>1417</v>
      </c>
      <c r="Q8" s="1050"/>
      <c r="R8" s="1043"/>
      <c r="S8" s="1048"/>
      <c r="T8" s="1049"/>
      <c r="U8" s="1050"/>
      <c r="V8" s="1043" t="s">
        <v>2379</v>
      </c>
      <c r="W8" s="1043" t="s">
        <v>2379</v>
      </c>
      <c r="X8" s="1043" t="s">
        <v>1369</v>
      </c>
      <c r="Y8" s="1043" t="s">
        <v>1421</v>
      </c>
      <c r="Z8" s="1043"/>
      <c r="AA8" s="1043"/>
      <c r="AB8" s="1043"/>
      <c r="AC8" s="1043"/>
      <c r="AD8" s="1043"/>
    </row>
    <row r="9" spans="1:30">
      <c r="A9" s="894" t="str">
        <f t="shared" si="0"/>
        <v>8_270726</v>
      </c>
      <c r="B9" s="1043" t="s">
        <v>2368</v>
      </c>
      <c r="C9" s="895" t="s">
        <v>1366</v>
      </c>
      <c r="D9" s="896" t="s">
        <v>1367</v>
      </c>
      <c r="E9" s="1044">
        <f>+'14 - Fees'!J52+'14 - Fees'!J53+'14 - Fees'!J54+'14 - Fees'!J55+'14 - Fees'!J57</f>
        <v>1888.7671232876712</v>
      </c>
      <c r="F9" s="1045" t="s">
        <v>683</v>
      </c>
      <c r="G9" s="1051" t="s">
        <v>2389</v>
      </c>
      <c r="H9" s="1046" t="str">
        <f t="shared" si="1"/>
        <v>Fees - FCT Paying Agent Fees</v>
      </c>
      <c r="I9" s="1047">
        <f>+'00 - Cover'!$F$16</f>
        <v>46230</v>
      </c>
      <c r="J9" s="1047">
        <f>+'00 - Cover'!$F$16</f>
        <v>46230</v>
      </c>
      <c r="K9" s="897" t="s">
        <v>1368</v>
      </c>
      <c r="L9" s="1043" t="s">
        <v>1413</v>
      </c>
      <c r="M9" s="1043" t="s">
        <v>1370</v>
      </c>
      <c r="N9" s="1043" t="s">
        <v>1369</v>
      </c>
      <c r="O9" s="1043" t="s">
        <v>2376</v>
      </c>
      <c r="P9" s="1043" t="s">
        <v>1417</v>
      </c>
      <c r="Q9" s="1050"/>
      <c r="R9" s="1043"/>
      <c r="S9" s="1048"/>
      <c r="T9" s="1049"/>
      <c r="U9" s="1050"/>
      <c r="V9" s="1043" t="s">
        <v>2379</v>
      </c>
      <c r="W9" s="1043" t="s">
        <v>2379</v>
      </c>
      <c r="X9" s="1043" t="s">
        <v>1369</v>
      </c>
      <c r="Y9" s="1043" t="s">
        <v>1421</v>
      </c>
      <c r="Z9" s="1043"/>
      <c r="AA9" s="1043"/>
      <c r="AB9" s="1043"/>
      <c r="AC9" s="1043"/>
      <c r="AD9" s="1043"/>
    </row>
    <row r="10" spans="1:30">
      <c r="A10" s="894" t="str">
        <f t="shared" si="0"/>
        <v>9_270726</v>
      </c>
      <c r="B10" s="1043" t="s">
        <v>2368</v>
      </c>
      <c r="C10" s="895" t="s">
        <v>1366</v>
      </c>
      <c r="D10" s="896" t="s">
        <v>1367</v>
      </c>
      <c r="E10" s="1044">
        <f>+'14 - Fees'!J60+'14 - Fees'!J61</f>
        <v>299.17808219178085</v>
      </c>
      <c r="F10" s="1045" t="s">
        <v>683</v>
      </c>
      <c r="G10" s="1051" t="s">
        <v>2390</v>
      </c>
      <c r="H10" s="1046" t="str">
        <f t="shared" si="1"/>
        <v>Fees - Data Protection Agent</v>
      </c>
      <c r="I10" s="1047">
        <f>+'00 - Cover'!$F$16</f>
        <v>46230</v>
      </c>
      <c r="J10" s="1047">
        <f>+'00 - Cover'!$F$16</f>
        <v>46230</v>
      </c>
      <c r="K10" s="897" t="s">
        <v>1368</v>
      </c>
      <c r="L10" s="1043" t="s">
        <v>1413</v>
      </c>
      <c r="M10" s="1043" t="s">
        <v>1370</v>
      </c>
      <c r="N10" s="1043" t="s">
        <v>1369</v>
      </c>
      <c r="O10" s="1043" t="s">
        <v>2376</v>
      </c>
      <c r="P10" s="1043" t="s">
        <v>1417</v>
      </c>
      <c r="Q10" s="1050"/>
      <c r="R10" s="1043"/>
      <c r="S10" s="1048"/>
      <c r="T10" s="1049"/>
      <c r="U10" s="1050"/>
      <c r="V10" s="1043" t="s">
        <v>2379</v>
      </c>
      <c r="W10" s="1043" t="s">
        <v>2379</v>
      </c>
      <c r="X10" s="1043" t="s">
        <v>1369</v>
      </c>
      <c r="Y10" s="1043" t="s">
        <v>1421</v>
      </c>
      <c r="Z10" s="1043"/>
      <c r="AA10" s="1043"/>
      <c r="AB10" s="1043"/>
      <c r="AC10" s="1043"/>
      <c r="AD10" s="1043"/>
    </row>
    <row r="11" spans="1:30">
      <c r="A11" s="894" t="str">
        <f>ROW()-1&amp;"_"&amp;TEXT(I11,"JJMMAA")</f>
        <v>10_270726</v>
      </c>
      <c r="B11" s="1043" t="s">
        <v>2368</v>
      </c>
      <c r="C11" s="895" t="s">
        <v>1366</v>
      </c>
      <c r="D11" s="896" t="s">
        <v>1367</v>
      </c>
      <c r="E11" s="1044">
        <f>'14 - Fees'!J74+'14 - Fees'!J75</f>
        <v>0</v>
      </c>
      <c r="F11" s="1045" t="s">
        <v>683</v>
      </c>
      <c r="G11" s="1051" t="s">
        <v>2596</v>
      </c>
      <c r="H11" s="1046" t="str">
        <f>+G11</f>
        <v xml:space="preserve">Fees - Statutory auditor </v>
      </c>
      <c r="I11" s="1047">
        <f>+'00 - Cover'!$F$16</f>
        <v>46230</v>
      </c>
      <c r="J11" s="1047">
        <f>+'00 - Cover'!$F$16</f>
        <v>46230</v>
      </c>
      <c r="K11" s="897" t="s">
        <v>1368</v>
      </c>
      <c r="L11" s="1043" t="s">
        <v>1413</v>
      </c>
      <c r="M11" s="1043" t="s">
        <v>1370</v>
      </c>
      <c r="N11" s="1043" t="s">
        <v>1369</v>
      </c>
      <c r="O11" s="1043" t="s">
        <v>2376</v>
      </c>
      <c r="P11" s="1043" t="s">
        <v>1417</v>
      </c>
      <c r="Q11" s="1050"/>
      <c r="R11" s="1043"/>
      <c r="S11" s="1048"/>
      <c r="T11" s="1049"/>
      <c r="U11" s="1050"/>
      <c r="V11" s="1043" t="s">
        <v>2597</v>
      </c>
      <c r="W11" s="1043" t="s">
        <v>2598</v>
      </c>
      <c r="X11" s="1043" t="s">
        <v>2599</v>
      </c>
      <c r="Y11" s="1043" t="s">
        <v>2600</v>
      </c>
      <c r="Z11" s="1043"/>
      <c r="AA11" s="1043"/>
      <c r="AB11" s="1043"/>
      <c r="AC11" s="1043"/>
      <c r="AD11" s="1043"/>
    </row>
    <row r="12" spans="1:30">
      <c r="A12" s="894" t="str">
        <f t="shared" si="0"/>
        <v>11_270726</v>
      </c>
      <c r="B12" s="1043" t="s">
        <v>2368</v>
      </c>
      <c r="C12" s="895" t="s">
        <v>1366</v>
      </c>
      <c r="D12" s="896" t="s">
        <v>1367</v>
      </c>
      <c r="E12" s="1044">
        <f>+'15 - Priority of Payments'!I25*0</f>
        <v>0</v>
      </c>
      <c r="F12" s="1045" t="s">
        <v>683</v>
      </c>
      <c r="G12" s="1051" t="s">
        <v>2391</v>
      </c>
      <c r="H12" s="1046" t="str">
        <f t="shared" si="1"/>
        <v>Redemption Class A</v>
      </c>
      <c r="I12" s="1047">
        <f>+'00 - Cover'!$F$16</f>
        <v>46230</v>
      </c>
      <c r="J12" s="1047">
        <f>+'00 - Cover'!$F$16</f>
        <v>46230</v>
      </c>
      <c r="K12" s="897" t="s">
        <v>1368</v>
      </c>
      <c r="L12" s="1043" t="s">
        <v>1414</v>
      </c>
      <c r="M12" s="1043" t="s">
        <v>1370</v>
      </c>
      <c r="N12" s="1043" t="s">
        <v>1369</v>
      </c>
      <c r="O12" s="1043" t="s">
        <v>2374</v>
      </c>
      <c r="P12" s="1043" t="s">
        <v>1418</v>
      </c>
      <c r="Q12" s="1050"/>
      <c r="R12" s="1043"/>
      <c r="S12" s="1048"/>
      <c r="T12" s="1049"/>
      <c r="U12" s="1050"/>
      <c r="V12" s="1043" t="s">
        <v>2378</v>
      </c>
      <c r="W12" s="1043" t="s">
        <v>2379</v>
      </c>
      <c r="X12" s="1043" t="s">
        <v>2380</v>
      </c>
      <c r="Y12" s="1043" t="s">
        <v>2381</v>
      </c>
      <c r="Z12" s="1043"/>
      <c r="AA12" s="1043"/>
      <c r="AB12" s="1043"/>
      <c r="AC12" s="1043"/>
      <c r="AD12" s="1043" t="s">
        <v>2382</v>
      </c>
    </row>
    <row r="13" spans="1:30">
      <c r="A13" s="894" t="str">
        <f t="shared" si="0"/>
        <v>12_270726</v>
      </c>
      <c r="B13" s="1043" t="s">
        <v>2368</v>
      </c>
      <c r="C13" s="895" t="s">
        <v>1366</v>
      </c>
      <c r="D13" s="896" t="s">
        <v>1367</v>
      </c>
      <c r="E13" s="1044">
        <f>+'15 - Priority of Payments'!I56</f>
        <v>1469882.5286301384</v>
      </c>
      <c r="F13" s="1045" t="s">
        <v>683</v>
      </c>
      <c r="G13" s="1051" t="s">
        <v>2392</v>
      </c>
      <c r="H13" s="1046" t="str">
        <f t="shared" si="1"/>
        <v>Interest to the Residual Unitholders</v>
      </c>
      <c r="I13" s="1047">
        <f>+'00 - Cover'!$F$16</f>
        <v>46230</v>
      </c>
      <c r="J13" s="1047">
        <f>+'00 - Cover'!$F$16</f>
        <v>46230</v>
      </c>
      <c r="K13" s="897" t="s">
        <v>1368</v>
      </c>
      <c r="L13" s="1043" t="s">
        <v>1413</v>
      </c>
      <c r="M13" s="1043" t="s">
        <v>1370</v>
      </c>
      <c r="N13" s="1043" t="s">
        <v>1369</v>
      </c>
      <c r="O13" s="1043" t="s">
        <v>2376</v>
      </c>
      <c r="P13" s="1043" t="s">
        <v>1417</v>
      </c>
      <c r="Q13" s="1050"/>
      <c r="R13" s="1043"/>
      <c r="S13" s="1048"/>
      <c r="T13" s="1049"/>
      <c r="U13" s="1050"/>
      <c r="V13" s="1043" t="s">
        <v>2393</v>
      </c>
      <c r="W13" s="1043" t="s">
        <v>248</v>
      </c>
      <c r="X13" s="1043" t="s">
        <v>2394</v>
      </c>
      <c r="Y13" s="1043" t="s">
        <v>2395</v>
      </c>
      <c r="Z13" s="1043"/>
      <c r="AA13" s="1043"/>
      <c r="AB13" s="1043"/>
      <c r="AC13" s="1043"/>
      <c r="AD13" s="1043"/>
    </row>
    <row r="14" spans="1:30">
      <c r="A14" s="894" t="str">
        <f t="shared" si="0"/>
        <v>13_270726</v>
      </c>
      <c r="B14" s="1043" t="s">
        <v>2368</v>
      </c>
      <c r="C14" s="895" t="s">
        <v>1366</v>
      </c>
      <c r="D14" s="896" t="s">
        <v>1367</v>
      </c>
      <c r="E14" s="1044">
        <f>+'14 - Fees'!J63+'14 - Fees'!J64</f>
        <v>1891.84</v>
      </c>
      <c r="F14" s="1045" t="s">
        <v>683</v>
      </c>
      <c r="G14" s="1051" t="s">
        <v>2396</v>
      </c>
      <c r="H14" s="1046" t="str">
        <f t="shared" si="1"/>
        <v>Fees - Servicer</v>
      </c>
      <c r="I14" s="1047">
        <f>+'00 - Cover'!$F$16</f>
        <v>46230</v>
      </c>
      <c r="J14" s="1047">
        <f>+'00 - Cover'!$F$16</f>
        <v>46230</v>
      </c>
      <c r="K14" s="897" t="s">
        <v>1368</v>
      </c>
      <c r="L14" s="1043" t="s">
        <v>1413</v>
      </c>
      <c r="M14" s="1043" t="s">
        <v>1370</v>
      </c>
      <c r="N14" s="1043" t="s">
        <v>1369</v>
      </c>
      <c r="O14" s="1043" t="s">
        <v>2376</v>
      </c>
      <c r="P14" s="1043" t="s">
        <v>1417</v>
      </c>
      <c r="Q14" s="1050"/>
      <c r="R14" s="1043"/>
      <c r="S14" s="1048"/>
      <c r="T14" s="1049"/>
      <c r="U14" s="1050"/>
      <c r="V14" s="1043" t="s">
        <v>2393</v>
      </c>
      <c r="W14" s="1043" t="s">
        <v>248</v>
      </c>
      <c r="X14" s="1043" t="s">
        <v>2394</v>
      </c>
      <c r="Y14" s="1043" t="s">
        <v>2395</v>
      </c>
      <c r="Z14" s="1043"/>
      <c r="AA14" s="1043"/>
      <c r="AB14" s="1043"/>
      <c r="AC14" s="1043"/>
      <c r="AD14" s="1043"/>
    </row>
    <row r="15" spans="1:30">
      <c r="A15" s="894" t="str">
        <f t="shared" si="0"/>
        <v>14_270726</v>
      </c>
      <c r="B15" s="1043" t="s">
        <v>2368</v>
      </c>
      <c r="C15" s="895" t="s">
        <v>1366</v>
      </c>
      <c r="D15" s="896" t="s">
        <v>1367</v>
      </c>
      <c r="E15" s="1044">
        <f>+'13 - Issuer Account'!H61</f>
        <v>9826558.7100000009</v>
      </c>
      <c r="F15" s="1045" t="s">
        <v>683</v>
      </c>
      <c r="G15" s="1051" t="s">
        <v>2397</v>
      </c>
      <c r="H15" s="1046" t="str">
        <f t="shared" si="1"/>
        <v>Transfert Financial Reserve to General</v>
      </c>
      <c r="I15" s="1047">
        <f>+'00 - Cover'!$F$16</f>
        <v>46230</v>
      </c>
      <c r="J15" s="1047">
        <f>+'00 - Cover'!$F$16</f>
        <v>46230</v>
      </c>
      <c r="K15" s="897" t="s">
        <v>1368</v>
      </c>
      <c r="L15" s="1043" t="s">
        <v>1415</v>
      </c>
      <c r="M15" s="1043" t="s">
        <v>1370</v>
      </c>
      <c r="N15" s="1043" t="s">
        <v>1369</v>
      </c>
      <c r="O15" s="1043" t="s">
        <v>2370</v>
      </c>
      <c r="P15" s="1043" t="s">
        <v>1419</v>
      </c>
      <c r="Q15" s="1050"/>
      <c r="R15" s="1043"/>
      <c r="S15" s="1048"/>
      <c r="T15" s="1049"/>
      <c r="U15" s="1050"/>
      <c r="V15" s="1043" t="s">
        <v>1371</v>
      </c>
      <c r="W15" s="1043" t="s">
        <v>1370</v>
      </c>
      <c r="X15" s="1043" t="s">
        <v>1369</v>
      </c>
      <c r="Y15" s="1043" t="s">
        <v>2371</v>
      </c>
      <c r="Z15" s="1043"/>
      <c r="AA15" s="1043"/>
      <c r="AB15" s="1043"/>
      <c r="AC15" s="1043"/>
      <c r="AD15" s="1043" t="s">
        <v>2372</v>
      </c>
    </row>
    <row r="16" spans="1:30">
      <c r="A16" s="894" t="str">
        <f t="shared" si="0"/>
        <v>15_270726</v>
      </c>
      <c r="B16" s="1043" t="s">
        <v>2368</v>
      </c>
      <c r="C16" s="895" t="s">
        <v>1366</v>
      </c>
      <c r="D16" s="896" t="s">
        <v>1367</v>
      </c>
      <c r="E16" s="1044">
        <f>+'13 - Issuer Account'!H58</f>
        <v>9802500</v>
      </c>
      <c r="F16" s="1045" t="s">
        <v>683</v>
      </c>
      <c r="G16" s="1051" t="s">
        <v>2398</v>
      </c>
      <c r="H16" s="1046" t="str">
        <f t="shared" si="1"/>
        <v>Transfert requiered reserved amount</v>
      </c>
      <c r="I16" s="1047">
        <f>+'00 - Cover'!$F$16</f>
        <v>46230</v>
      </c>
      <c r="J16" s="1047">
        <f>+'00 - Cover'!$F$16</f>
        <v>46230</v>
      </c>
      <c r="K16" s="897" t="s">
        <v>1368</v>
      </c>
      <c r="L16" s="1043" t="s">
        <v>1413</v>
      </c>
      <c r="M16" s="1043" t="s">
        <v>1370</v>
      </c>
      <c r="N16" s="1043" t="s">
        <v>1369</v>
      </c>
      <c r="O16" s="1043" t="s">
        <v>2376</v>
      </c>
      <c r="P16" s="1043" t="s">
        <v>1417</v>
      </c>
      <c r="Q16" s="1050"/>
      <c r="R16" s="1043"/>
      <c r="S16" s="1048"/>
      <c r="T16" s="1049"/>
      <c r="U16" s="1050"/>
      <c r="V16" s="1043" t="s">
        <v>2405</v>
      </c>
      <c r="W16" s="1043" t="s">
        <v>1370</v>
      </c>
      <c r="X16" s="1043" t="s">
        <v>1369</v>
      </c>
      <c r="Y16" s="1043" t="s">
        <v>2370</v>
      </c>
      <c r="Z16" s="1043"/>
      <c r="AA16" s="1043"/>
      <c r="AB16" s="1043"/>
      <c r="AC16" s="1043"/>
      <c r="AD16" s="1043"/>
    </row>
    <row r="17" spans="1:30">
      <c r="A17" s="894" t="str">
        <f t="shared" si="0"/>
        <v>16_270726</v>
      </c>
      <c r="B17" s="1043" t="s">
        <v>2368</v>
      </c>
      <c r="C17" s="895" t="s">
        <v>1366</v>
      </c>
      <c r="D17" s="896" t="s">
        <v>1367</v>
      </c>
      <c r="E17" s="1044">
        <f>+'15 - Priority of Payments'!I54</f>
        <v>0</v>
      </c>
      <c r="F17" s="1045" t="s">
        <v>683</v>
      </c>
      <c r="G17" s="1051" t="s">
        <v>2404</v>
      </c>
      <c r="H17" s="1046" t="str">
        <f t="shared" si="1"/>
        <v xml:space="preserve"> exceeds Reserve Fund repaid</v>
      </c>
      <c r="I17" s="1047">
        <f>+'00 - Cover'!$F$16</f>
        <v>46230</v>
      </c>
      <c r="J17" s="1047">
        <f>+'00 - Cover'!$F$16</f>
        <v>46230</v>
      </c>
      <c r="K17" s="897" t="s">
        <v>1368</v>
      </c>
      <c r="L17" s="1043" t="s">
        <v>1413</v>
      </c>
      <c r="M17" s="1043" t="s">
        <v>1370</v>
      </c>
      <c r="N17" s="1043" t="s">
        <v>1369</v>
      </c>
      <c r="O17" s="1043" t="s">
        <v>2376</v>
      </c>
      <c r="P17" s="1043" t="s">
        <v>1417</v>
      </c>
      <c r="Q17" s="1050"/>
      <c r="R17" s="1043"/>
      <c r="S17" s="1048"/>
      <c r="T17" s="1049"/>
      <c r="U17" s="1050"/>
      <c r="V17" s="1043" t="s">
        <v>2393</v>
      </c>
      <c r="W17" s="1043" t="s">
        <v>248</v>
      </c>
      <c r="X17" s="1043" t="s">
        <v>2394</v>
      </c>
      <c r="Y17" s="1043" t="s">
        <v>2395</v>
      </c>
      <c r="Z17" s="1043"/>
      <c r="AA17" s="1043"/>
      <c r="AB17" s="1043"/>
      <c r="AC17" s="1043"/>
      <c r="AD17" s="1043"/>
    </row>
    <row r="18" spans="1:30">
      <c r="A18" s="894"/>
      <c r="B18" s="1043"/>
      <c r="C18" s="895"/>
      <c r="D18" s="896"/>
      <c r="E18" s="1044"/>
      <c r="F18" s="1045"/>
      <c r="G18" s="1051"/>
      <c r="H18" s="1046"/>
      <c r="I18" s="1047"/>
      <c r="J18" s="1047"/>
      <c r="K18" s="897"/>
      <c r="L18" s="1043"/>
      <c r="M18" s="1043"/>
      <c r="N18" s="1043"/>
      <c r="O18" s="1043"/>
      <c r="P18" s="1043"/>
      <c r="Q18" s="1050"/>
      <c r="R18" s="1043"/>
      <c r="S18" s="1048"/>
      <c r="T18" s="1049"/>
      <c r="U18" s="1050"/>
      <c r="V18" s="1043"/>
      <c r="W18" s="1043"/>
      <c r="X18" s="1043"/>
      <c r="Y18" s="1043"/>
      <c r="Z18" s="1043"/>
      <c r="AA18" s="1043"/>
      <c r="AB18" s="1043"/>
      <c r="AC18" s="1043"/>
      <c r="AD18" s="1043"/>
    </row>
    <row r="19" spans="1:30">
      <c r="C19" s="112"/>
      <c r="H19" s="295"/>
    </row>
    <row r="20" spans="1:30">
      <c r="C20" s="112"/>
      <c r="H20" s="295"/>
    </row>
    <row r="21" spans="1:30">
      <c r="C21" s="112"/>
      <c r="H21" s="295"/>
    </row>
    <row r="22" spans="1:30">
      <c r="C22" s="112"/>
      <c r="H22" s="295"/>
    </row>
    <row r="23" spans="1:30">
      <c r="C23" s="112"/>
      <c r="D23" s="293" t="s">
        <v>2436</v>
      </c>
      <c r="E23" s="295">
        <f>9345144.66+E15-E4</f>
        <v>7445526.6799999997</v>
      </c>
      <c r="H23" s="295"/>
    </row>
    <row r="24" spans="1:30" ht="13.5" thickBot="1">
      <c r="C24" s="112"/>
      <c r="D24" s="293" t="s">
        <v>204</v>
      </c>
      <c r="E24" s="295">
        <f>129.58+E4-E5-E6-E7-E8-E9-E10-E13-E14-E16-E11</f>
        <v>129.58000000193715</v>
      </c>
      <c r="H24" s="295"/>
    </row>
    <row r="25" spans="1:30" ht="12.75" customHeight="1" thickBot="1">
      <c r="C25" s="112"/>
      <c r="D25" s="293" t="s">
        <v>2437</v>
      </c>
      <c r="E25" s="295">
        <f>8688589.29-E15+E16</f>
        <v>8664530.5799999982</v>
      </c>
      <c r="H25" s="295"/>
      <c r="L25" s="913" t="s">
        <v>1411</v>
      </c>
      <c r="M25" s="913" t="s">
        <v>1409</v>
      </c>
      <c r="N25" s="913" t="s">
        <v>1389</v>
      </c>
    </row>
    <row r="26" spans="1:30" ht="14.25" customHeight="1">
      <c r="C26" s="112"/>
      <c r="H26" s="295"/>
      <c r="L26" s="914" t="s">
        <v>1412</v>
      </c>
      <c r="M26" s="915" t="s">
        <v>1384</v>
      </c>
      <c r="N26" s="915" t="s">
        <v>1416</v>
      </c>
    </row>
    <row r="27" spans="1:30" ht="14.25" customHeight="1">
      <c r="C27" s="112"/>
      <c r="G27" s="295">
        <f>E25-E16</f>
        <v>-1137969.4200000018</v>
      </c>
      <c r="H27" s="295"/>
      <c r="L27" s="914" t="s">
        <v>1413</v>
      </c>
      <c r="M27" s="915" t="s">
        <v>1384</v>
      </c>
      <c r="N27" s="915" t="s">
        <v>1417</v>
      </c>
    </row>
    <row r="28" spans="1:30" ht="14.25" customHeight="1">
      <c r="C28" s="112"/>
      <c r="F28" s="295"/>
      <c r="H28" s="295"/>
      <c r="L28" s="914" t="s">
        <v>1414</v>
      </c>
      <c r="M28" s="915" t="s">
        <v>1384</v>
      </c>
      <c r="N28" s="915" t="s">
        <v>1418</v>
      </c>
    </row>
    <row r="29" spans="1:30" ht="14.25" customHeight="1">
      <c r="E29" s="339"/>
      <c r="F29" s="294"/>
      <c r="L29" s="914" t="s">
        <v>1415</v>
      </c>
      <c r="M29" s="915" t="s">
        <v>1384</v>
      </c>
      <c r="N29" s="915" t="s">
        <v>1419</v>
      </c>
    </row>
    <row r="30" spans="1:30" ht="12.75" customHeight="1">
      <c r="D30" s="295"/>
    </row>
    <row r="31" spans="1:30" ht="15.75" customHeight="1">
      <c r="D31" s="295"/>
    </row>
    <row r="32" spans="1:30" ht="15.75" customHeight="1">
      <c r="D32" s="295"/>
    </row>
    <row r="33" spans="4:4" ht="15.75" customHeight="1">
      <c r="D33" s="295"/>
    </row>
    <row r="34" spans="4:4" ht="15.75" customHeight="1">
      <c r="D34" s="295"/>
    </row>
    <row r="35" spans="4:4">
      <c r="D35" s="295"/>
    </row>
    <row r="38" spans="4:4">
      <c r="D38" s="295"/>
    </row>
  </sheetData>
  <phoneticPr fontId="117"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2578125" defaultRowHeight="12.75"/>
  <cols>
    <col min="1" max="1" width="3.5703125" style="26" customWidth="1"/>
    <col min="2" max="2" width="2.42578125" style="26" customWidth="1"/>
    <col min="3" max="3" width="66.85546875" style="26" customWidth="1"/>
    <col min="4" max="4" width="5" style="26" customWidth="1"/>
    <col min="5" max="5" width="5.140625" style="26" customWidth="1"/>
    <col min="6" max="6" width="29.5703125" style="26" customWidth="1"/>
    <col min="7" max="7" width="1.42578125" style="26" customWidth="1"/>
    <col min="8" max="8" width="31.42578125" style="26" customWidth="1"/>
    <col min="9" max="9" width="4.85546875" style="26" customWidth="1"/>
    <col min="10" max="10" width="4.5703125" style="26" customWidth="1"/>
    <col min="11" max="11" width="12.42578125" style="26" bestFit="1" customWidth="1"/>
    <col min="12" max="12" width="13.42578125" style="26" customWidth="1"/>
    <col min="13" max="13" width="7.42578125" style="26" bestFit="1" customWidth="1"/>
    <col min="14" max="14" width="19.85546875" style="26" bestFit="1" customWidth="1"/>
    <col min="15" max="249" width="11.42578125" style="26"/>
    <col min="250" max="250" width="2.42578125" style="26" customWidth="1"/>
    <col min="251" max="251" width="49" style="26" customWidth="1"/>
    <col min="252" max="252" width="16.85546875" style="26" customWidth="1"/>
    <col min="253" max="253" width="1.140625" style="26" customWidth="1"/>
    <col min="254" max="254" width="20.5703125" style="26" customWidth="1"/>
    <col min="255" max="255" width="17.5703125" style="26" customWidth="1"/>
    <col min="256" max="256" width="18.140625" style="26" customWidth="1"/>
    <col min="257" max="257" width="17.140625" style="26" customWidth="1"/>
    <col min="258" max="258" width="22.42578125" style="26" bestFit="1" customWidth="1"/>
    <col min="259" max="259" width="22.140625" style="26" customWidth="1"/>
    <col min="260" max="260" width="17.85546875" style="26" customWidth="1"/>
    <col min="261" max="261" width="22.42578125" style="26" customWidth="1"/>
    <col min="262" max="262" width="10.140625" style="26" bestFit="1" customWidth="1"/>
    <col min="263" max="263" width="13.42578125" style="26" customWidth="1"/>
    <col min="264" max="264" width="7.42578125" style="26" bestFit="1" customWidth="1"/>
    <col min="265" max="265" width="15.42578125" style="26" bestFit="1" customWidth="1"/>
    <col min="266" max="266" width="7.42578125" style="26" bestFit="1" customWidth="1"/>
    <col min="267" max="267" width="19.5703125" style="26" bestFit="1" customWidth="1"/>
    <col min="268" max="268" width="7.42578125" style="26" bestFit="1" customWidth="1"/>
    <col min="269" max="269" width="26.85546875" style="26" bestFit="1" customWidth="1"/>
    <col min="270" max="270" width="19.85546875" style="26" bestFit="1" customWidth="1"/>
    <col min="271" max="505" width="11.42578125" style="26"/>
    <col min="506" max="506" width="2.42578125" style="26" customWidth="1"/>
    <col min="507" max="507" width="49" style="26" customWidth="1"/>
    <col min="508" max="508" width="16.85546875" style="26" customWidth="1"/>
    <col min="509" max="509" width="1.140625" style="26" customWidth="1"/>
    <col min="510" max="510" width="20.5703125" style="26" customWidth="1"/>
    <col min="511" max="511" width="17.5703125" style="26" customWidth="1"/>
    <col min="512" max="512" width="18.140625" style="26" customWidth="1"/>
    <col min="513" max="513" width="17.140625" style="26" customWidth="1"/>
    <col min="514" max="514" width="22.42578125" style="26" bestFit="1" customWidth="1"/>
    <col min="515" max="515" width="22.140625" style="26" customWidth="1"/>
    <col min="516" max="516" width="17.85546875" style="26" customWidth="1"/>
    <col min="517" max="517" width="22.42578125" style="26" customWidth="1"/>
    <col min="518" max="518" width="10.140625" style="26" bestFit="1" customWidth="1"/>
    <col min="519" max="519" width="13.42578125" style="26" customWidth="1"/>
    <col min="520" max="520" width="7.42578125" style="26" bestFit="1" customWidth="1"/>
    <col min="521" max="521" width="15.42578125" style="26" bestFit="1" customWidth="1"/>
    <col min="522" max="522" width="7.42578125" style="26" bestFit="1" customWidth="1"/>
    <col min="523" max="523" width="19.5703125" style="26" bestFit="1" customWidth="1"/>
    <col min="524" max="524" width="7.42578125" style="26" bestFit="1" customWidth="1"/>
    <col min="525" max="525" width="26.85546875" style="26" bestFit="1" customWidth="1"/>
    <col min="526" max="526" width="19.85546875" style="26" bestFit="1" customWidth="1"/>
    <col min="527" max="761" width="11.42578125" style="26"/>
    <col min="762" max="762" width="2.42578125" style="26" customWidth="1"/>
    <col min="763" max="763" width="49" style="26" customWidth="1"/>
    <col min="764" max="764" width="16.85546875" style="26" customWidth="1"/>
    <col min="765" max="765" width="1.140625" style="26" customWidth="1"/>
    <col min="766" max="766" width="20.5703125" style="26" customWidth="1"/>
    <col min="767" max="767" width="17.5703125" style="26" customWidth="1"/>
    <col min="768" max="768" width="18.140625" style="26" customWidth="1"/>
    <col min="769" max="769" width="17.140625" style="26" customWidth="1"/>
    <col min="770" max="770" width="22.42578125" style="26" bestFit="1" customWidth="1"/>
    <col min="771" max="771" width="22.140625" style="26" customWidth="1"/>
    <col min="772" max="772" width="17.85546875" style="26" customWidth="1"/>
    <col min="773" max="773" width="22.42578125" style="26" customWidth="1"/>
    <col min="774" max="774" width="10.140625" style="26" bestFit="1" customWidth="1"/>
    <col min="775" max="775" width="13.42578125" style="26" customWidth="1"/>
    <col min="776" max="776" width="7.42578125" style="26" bestFit="1" customWidth="1"/>
    <col min="777" max="777" width="15.42578125" style="26" bestFit="1" customWidth="1"/>
    <col min="778" max="778" width="7.42578125" style="26" bestFit="1" customWidth="1"/>
    <col min="779" max="779" width="19.5703125" style="26" bestFit="1" customWidth="1"/>
    <col min="780" max="780" width="7.42578125" style="26" bestFit="1" customWidth="1"/>
    <col min="781" max="781" width="26.85546875" style="26" bestFit="1" customWidth="1"/>
    <col min="782" max="782" width="19.85546875" style="26" bestFit="1" customWidth="1"/>
    <col min="783" max="1017" width="11.42578125" style="26"/>
    <col min="1018" max="1018" width="2.42578125" style="26" customWidth="1"/>
    <col min="1019" max="1019" width="49" style="26" customWidth="1"/>
    <col min="1020" max="1020" width="16.85546875" style="26" customWidth="1"/>
    <col min="1021" max="1021" width="1.140625" style="26" customWidth="1"/>
    <col min="1022" max="1022" width="20.5703125" style="26" customWidth="1"/>
    <col min="1023" max="1023" width="17.5703125" style="26" customWidth="1"/>
    <col min="1024" max="1024" width="18.140625" style="26" customWidth="1"/>
    <col min="1025" max="1025" width="17.140625" style="26" customWidth="1"/>
    <col min="1026" max="1026" width="22.42578125" style="26" bestFit="1" customWidth="1"/>
    <col min="1027" max="1027" width="22.140625" style="26" customWidth="1"/>
    <col min="1028" max="1028" width="17.85546875" style="26" customWidth="1"/>
    <col min="1029" max="1029" width="22.42578125" style="26" customWidth="1"/>
    <col min="1030" max="1030" width="10.140625" style="26" bestFit="1" customWidth="1"/>
    <col min="1031" max="1031" width="13.42578125" style="26" customWidth="1"/>
    <col min="1032" max="1032" width="7.42578125" style="26" bestFit="1" customWidth="1"/>
    <col min="1033" max="1033" width="15.42578125" style="26" bestFit="1" customWidth="1"/>
    <col min="1034" max="1034" width="7.42578125" style="26" bestFit="1" customWidth="1"/>
    <col min="1035" max="1035" width="19.5703125" style="26" bestFit="1" customWidth="1"/>
    <col min="1036" max="1036" width="7.42578125" style="26" bestFit="1" customWidth="1"/>
    <col min="1037" max="1037" width="26.85546875" style="26" bestFit="1" customWidth="1"/>
    <col min="1038" max="1038" width="19.85546875" style="26" bestFit="1" customWidth="1"/>
    <col min="1039" max="1273" width="11.42578125" style="26"/>
    <col min="1274" max="1274" width="2.42578125" style="26" customWidth="1"/>
    <col min="1275" max="1275" width="49" style="26" customWidth="1"/>
    <col min="1276" max="1276" width="16.85546875" style="26" customWidth="1"/>
    <col min="1277" max="1277" width="1.140625" style="26" customWidth="1"/>
    <col min="1278" max="1278" width="20.5703125" style="26" customWidth="1"/>
    <col min="1279" max="1279" width="17.5703125" style="26" customWidth="1"/>
    <col min="1280" max="1280" width="18.140625" style="26" customWidth="1"/>
    <col min="1281" max="1281" width="17.140625" style="26" customWidth="1"/>
    <col min="1282" max="1282" width="22.42578125" style="26" bestFit="1" customWidth="1"/>
    <col min="1283" max="1283" width="22.140625" style="26" customWidth="1"/>
    <col min="1284" max="1284" width="17.85546875" style="26" customWidth="1"/>
    <col min="1285" max="1285" width="22.42578125" style="26" customWidth="1"/>
    <col min="1286" max="1286" width="10.140625" style="26" bestFit="1" customWidth="1"/>
    <col min="1287" max="1287" width="13.42578125" style="26" customWidth="1"/>
    <col min="1288" max="1288" width="7.42578125" style="26" bestFit="1" customWidth="1"/>
    <col min="1289" max="1289" width="15.42578125" style="26" bestFit="1" customWidth="1"/>
    <col min="1290" max="1290" width="7.42578125" style="26" bestFit="1" customWidth="1"/>
    <col min="1291" max="1291" width="19.5703125" style="26" bestFit="1" customWidth="1"/>
    <col min="1292" max="1292" width="7.42578125" style="26" bestFit="1" customWidth="1"/>
    <col min="1293" max="1293" width="26.85546875" style="26" bestFit="1" customWidth="1"/>
    <col min="1294" max="1294" width="19.85546875" style="26" bestFit="1" customWidth="1"/>
    <col min="1295" max="1529" width="11.42578125" style="26"/>
    <col min="1530" max="1530" width="2.42578125" style="26" customWidth="1"/>
    <col min="1531" max="1531" width="49" style="26" customWidth="1"/>
    <col min="1532" max="1532" width="16.85546875" style="26" customWidth="1"/>
    <col min="1533" max="1533" width="1.140625" style="26" customWidth="1"/>
    <col min="1534" max="1534" width="20.5703125" style="26" customWidth="1"/>
    <col min="1535" max="1535" width="17.5703125" style="26" customWidth="1"/>
    <col min="1536" max="1536" width="18.140625" style="26" customWidth="1"/>
    <col min="1537" max="1537" width="17.140625" style="26" customWidth="1"/>
    <col min="1538" max="1538" width="22.42578125" style="26" bestFit="1" customWidth="1"/>
    <col min="1539" max="1539" width="22.140625" style="26" customWidth="1"/>
    <col min="1540" max="1540" width="17.85546875" style="26" customWidth="1"/>
    <col min="1541" max="1541" width="22.42578125" style="26" customWidth="1"/>
    <col min="1542" max="1542" width="10.140625" style="26" bestFit="1" customWidth="1"/>
    <col min="1543" max="1543" width="13.42578125" style="26" customWidth="1"/>
    <col min="1544" max="1544" width="7.42578125" style="26" bestFit="1" customWidth="1"/>
    <col min="1545" max="1545" width="15.42578125" style="26" bestFit="1" customWidth="1"/>
    <col min="1546" max="1546" width="7.42578125" style="26" bestFit="1" customWidth="1"/>
    <col min="1547" max="1547" width="19.5703125" style="26" bestFit="1" customWidth="1"/>
    <col min="1548" max="1548" width="7.42578125" style="26" bestFit="1" customWidth="1"/>
    <col min="1549" max="1549" width="26.85546875" style="26" bestFit="1" customWidth="1"/>
    <col min="1550" max="1550" width="19.85546875" style="26" bestFit="1" customWidth="1"/>
    <col min="1551" max="1785" width="11.42578125" style="26"/>
    <col min="1786" max="1786" width="2.42578125" style="26" customWidth="1"/>
    <col min="1787" max="1787" width="49" style="26" customWidth="1"/>
    <col min="1788" max="1788" width="16.85546875" style="26" customWidth="1"/>
    <col min="1789" max="1789" width="1.140625" style="26" customWidth="1"/>
    <col min="1790" max="1790" width="20.5703125" style="26" customWidth="1"/>
    <col min="1791" max="1791" width="17.5703125" style="26" customWidth="1"/>
    <col min="1792" max="1792" width="18.140625" style="26" customWidth="1"/>
    <col min="1793" max="1793" width="17.140625" style="26" customWidth="1"/>
    <col min="1794" max="1794" width="22.42578125" style="26" bestFit="1" customWidth="1"/>
    <col min="1795" max="1795" width="22.140625" style="26" customWidth="1"/>
    <col min="1796" max="1796" width="17.85546875" style="26" customWidth="1"/>
    <col min="1797" max="1797" width="22.42578125" style="26" customWidth="1"/>
    <col min="1798" max="1798" width="10.140625" style="26" bestFit="1" customWidth="1"/>
    <col min="1799" max="1799" width="13.42578125" style="26" customWidth="1"/>
    <col min="1800" max="1800" width="7.42578125" style="26" bestFit="1" customWidth="1"/>
    <col min="1801" max="1801" width="15.42578125" style="26" bestFit="1" customWidth="1"/>
    <col min="1802" max="1802" width="7.42578125" style="26" bestFit="1" customWidth="1"/>
    <col min="1803" max="1803" width="19.5703125" style="26" bestFit="1" customWidth="1"/>
    <col min="1804" max="1804" width="7.42578125" style="26" bestFit="1" customWidth="1"/>
    <col min="1805" max="1805" width="26.85546875" style="26" bestFit="1" customWidth="1"/>
    <col min="1806" max="1806" width="19.85546875" style="26" bestFit="1" customWidth="1"/>
    <col min="1807" max="2041" width="11.42578125" style="26"/>
    <col min="2042" max="2042" width="2.42578125" style="26" customWidth="1"/>
    <col min="2043" max="2043" width="49" style="26" customWidth="1"/>
    <col min="2044" max="2044" width="16.85546875" style="26" customWidth="1"/>
    <col min="2045" max="2045" width="1.140625" style="26" customWidth="1"/>
    <col min="2046" max="2046" width="20.5703125" style="26" customWidth="1"/>
    <col min="2047" max="2047" width="17.5703125" style="26" customWidth="1"/>
    <col min="2048" max="2048" width="18.140625" style="26" customWidth="1"/>
    <col min="2049" max="2049" width="17.140625" style="26" customWidth="1"/>
    <col min="2050" max="2050" width="22.42578125" style="26" bestFit="1" customWidth="1"/>
    <col min="2051" max="2051" width="22.140625" style="26" customWidth="1"/>
    <col min="2052" max="2052" width="17.85546875" style="26" customWidth="1"/>
    <col min="2053" max="2053" width="22.42578125" style="26" customWidth="1"/>
    <col min="2054" max="2054" width="10.140625" style="26" bestFit="1" customWidth="1"/>
    <col min="2055" max="2055" width="13.42578125" style="26" customWidth="1"/>
    <col min="2056" max="2056" width="7.42578125" style="26" bestFit="1" customWidth="1"/>
    <col min="2057" max="2057" width="15.42578125" style="26" bestFit="1" customWidth="1"/>
    <col min="2058" max="2058" width="7.42578125" style="26" bestFit="1" customWidth="1"/>
    <col min="2059" max="2059" width="19.5703125" style="26" bestFit="1" customWidth="1"/>
    <col min="2060" max="2060" width="7.42578125" style="26" bestFit="1" customWidth="1"/>
    <col min="2061" max="2061" width="26.85546875" style="26" bestFit="1" customWidth="1"/>
    <col min="2062" max="2062" width="19.85546875" style="26" bestFit="1" customWidth="1"/>
    <col min="2063" max="2297" width="11.42578125" style="26"/>
    <col min="2298" max="2298" width="2.42578125" style="26" customWidth="1"/>
    <col min="2299" max="2299" width="49" style="26" customWidth="1"/>
    <col min="2300" max="2300" width="16.85546875" style="26" customWidth="1"/>
    <col min="2301" max="2301" width="1.140625" style="26" customWidth="1"/>
    <col min="2302" max="2302" width="20.5703125" style="26" customWidth="1"/>
    <col min="2303" max="2303" width="17.5703125" style="26" customWidth="1"/>
    <col min="2304" max="2304" width="18.140625" style="26" customWidth="1"/>
    <col min="2305" max="2305" width="17.140625" style="26" customWidth="1"/>
    <col min="2306" max="2306" width="22.42578125" style="26" bestFit="1" customWidth="1"/>
    <col min="2307" max="2307" width="22.140625" style="26" customWidth="1"/>
    <col min="2308" max="2308" width="17.85546875" style="26" customWidth="1"/>
    <col min="2309" max="2309" width="22.42578125" style="26" customWidth="1"/>
    <col min="2310" max="2310" width="10.140625" style="26" bestFit="1" customWidth="1"/>
    <col min="2311" max="2311" width="13.42578125" style="26" customWidth="1"/>
    <col min="2312" max="2312" width="7.42578125" style="26" bestFit="1" customWidth="1"/>
    <col min="2313" max="2313" width="15.42578125" style="26" bestFit="1" customWidth="1"/>
    <col min="2314" max="2314" width="7.42578125" style="26" bestFit="1" customWidth="1"/>
    <col min="2315" max="2315" width="19.5703125" style="26" bestFit="1" customWidth="1"/>
    <col min="2316" max="2316" width="7.42578125" style="26" bestFit="1" customWidth="1"/>
    <col min="2317" max="2317" width="26.85546875" style="26" bestFit="1" customWidth="1"/>
    <col min="2318" max="2318" width="19.85546875" style="26" bestFit="1" customWidth="1"/>
    <col min="2319" max="2553" width="11.42578125" style="26"/>
    <col min="2554" max="2554" width="2.42578125" style="26" customWidth="1"/>
    <col min="2555" max="2555" width="49" style="26" customWidth="1"/>
    <col min="2556" max="2556" width="16.85546875" style="26" customWidth="1"/>
    <col min="2557" max="2557" width="1.140625" style="26" customWidth="1"/>
    <col min="2558" max="2558" width="20.5703125" style="26" customWidth="1"/>
    <col min="2559" max="2559" width="17.5703125" style="26" customWidth="1"/>
    <col min="2560" max="2560" width="18.140625" style="26" customWidth="1"/>
    <col min="2561" max="2561" width="17.140625" style="26" customWidth="1"/>
    <col min="2562" max="2562" width="22.42578125" style="26" bestFit="1" customWidth="1"/>
    <col min="2563" max="2563" width="22.140625" style="26" customWidth="1"/>
    <col min="2564" max="2564" width="17.85546875" style="26" customWidth="1"/>
    <col min="2565" max="2565" width="22.42578125" style="26" customWidth="1"/>
    <col min="2566" max="2566" width="10.140625" style="26" bestFit="1" customWidth="1"/>
    <col min="2567" max="2567" width="13.42578125" style="26" customWidth="1"/>
    <col min="2568" max="2568" width="7.42578125" style="26" bestFit="1" customWidth="1"/>
    <col min="2569" max="2569" width="15.42578125" style="26" bestFit="1" customWidth="1"/>
    <col min="2570" max="2570" width="7.42578125" style="26" bestFit="1" customWidth="1"/>
    <col min="2571" max="2571" width="19.5703125" style="26" bestFit="1" customWidth="1"/>
    <col min="2572" max="2572" width="7.42578125" style="26" bestFit="1" customWidth="1"/>
    <col min="2573" max="2573" width="26.85546875" style="26" bestFit="1" customWidth="1"/>
    <col min="2574" max="2574" width="19.85546875" style="26" bestFit="1" customWidth="1"/>
    <col min="2575" max="2809" width="11.42578125" style="26"/>
    <col min="2810" max="2810" width="2.42578125" style="26" customWidth="1"/>
    <col min="2811" max="2811" width="49" style="26" customWidth="1"/>
    <col min="2812" max="2812" width="16.85546875" style="26" customWidth="1"/>
    <col min="2813" max="2813" width="1.140625" style="26" customWidth="1"/>
    <col min="2814" max="2814" width="20.5703125" style="26" customWidth="1"/>
    <col min="2815" max="2815" width="17.5703125" style="26" customWidth="1"/>
    <col min="2816" max="2816" width="18.140625" style="26" customWidth="1"/>
    <col min="2817" max="2817" width="17.140625" style="26" customWidth="1"/>
    <col min="2818" max="2818" width="22.42578125" style="26" bestFit="1" customWidth="1"/>
    <col min="2819" max="2819" width="22.140625" style="26" customWidth="1"/>
    <col min="2820" max="2820" width="17.85546875" style="26" customWidth="1"/>
    <col min="2821" max="2821" width="22.42578125" style="26" customWidth="1"/>
    <col min="2822" max="2822" width="10.140625" style="26" bestFit="1" customWidth="1"/>
    <col min="2823" max="2823" width="13.42578125" style="26" customWidth="1"/>
    <col min="2824" max="2824" width="7.42578125" style="26" bestFit="1" customWidth="1"/>
    <col min="2825" max="2825" width="15.42578125" style="26" bestFit="1" customWidth="1"/>
    <col min="2826" max="2826" width="7.42578125" style="26" bestFit="1" customWidth="1"/>
    <col min="2827" max="2827" width="19.5703125" style="26" bestFit="1" customWidth="1"/>
    <col min="2828" max="2828" width="7.42578125" style="26" bestFit="1" customWidth="1"/>
    <col min="2829" max="2829" width="26.85546875" style="26" bestFit="1" customWidth="1"/>
    <col min="2830" max="2830" width="19.85546875" style="26" bestFit="1" customWidth="1"/>
    <col min="2831" max="3065" width="11.42578125" style="26"/>
    <col min="3066" max="3066" width="2.42578125" style="26" customWidth="1"/>
    <col min="3067" max="3067" width="49" style="26" customWidth="1"/>
    <col min="3068" max="3068" width="16.85546875" style="26" customWidth="1"/>
    <col min="3069" max="3069" width="1.140625" style="26" customWidth="1"/>
    <col min="3070" max="3070" width="20.5703125" style="26" customWidth="1"/>
    <col min="3071" max="3071" width="17.5703125" style="26" customWidth="1"/>
    <col min="3072" max="3072" width="18.140625" style="26" customWidth="1"/>
    <col min="3073" max="3073" width="17.140625" style="26" customWidth="1"/>
    <col min="3074" max="3074" width="22.42578125" style="26" bestFit="1" customWidth="1"/>
    <col min="3075" max="3075" width="22.140625" style="26" customWidth="1"/>
    <col min="3076" max="3076" width="17.85546875" style="26" customWidth="1"/>
    <col min="3077" max="3077" width="22.42578125" style="26" customWidth="1"/>
    <col min="3078" max="3078" width="10.140625" style="26" bestFit="1" customWidth="1"/>
    <col min="3079" max="3079" width="13.42578125" style="26" customWidth="1"/>
    <col min="3080" max="3080" width="7.42578125" style="26" bestFit="1" customWidth="1"/>
    <col min="3081" max="3081" width="15.42578125" style="26" bestFit="1" customWidth="1"/>
    <col min="3082" max="3082" width="7.42578125" style="26" bestFit="1" customWidth="1"/>
    <col min="3083" max="3083" width="19.5703125" style="26" bestFit="1" customWidth="1"/>
    <col min="3084" max="3084" width="7.42578125" style="26" bestFit="1" customWidth="1"/>
    <col min="3085" max="3085" width="26.85546875" style="26" bestFit="1" customWidth="1"/>
    <col min="3086" max="3086" width="19.85546875" style="26" bestFit="1" customWidth="1"/>
    <col min="3087" max="3321" width="11.42578125" style="26"/>
    <col min="3322" max="3322" width="2.42578125" style="26" customWidth="1"/>
    <col min="3323" max="3323" width="49" style="26" customWidth="1"/>
    <col min="3324" max="3324" width="16.85546875" style="26" customWidth="1"/>
    <col min="3325" max="3325" width="1.140625" style="26" customWidth="1"/>
    <col min="3326" max="3326" width="20.5703125" style="26" customWidth="1"/>
    <col min="3327" max="3327" width="17.5703125" style="26" customWidth="1"/>
    <col min="3328" max="3328" width="18.140625" style="26" customWidth="1"/>
    <col min="3329" max="3329" width="17.140625" style="26" customWidth="1"/>
    <col min="3330" max="3330" width="22.42578125" style="26" bestFit="1" customWidth="1"/>
    <col min="3331" max="3331" width="22.140625" style="26" customWidth="1"/>
    <col min="3332" max="3332" width="17.85546875" style="26" customWidth="1"/>
    <col min="3333" max="3333" width="22.42578125" style="26" customWidth="1"/>
    <col min="3334" max="3334" width="10.140625" style="26" bestFit="1" customWidth="1"/>
    <col min="3335" max="3335" width="13.42578125" style="26" customWidth="1"/>
    <col min="3336" max="3336" width="7.42578125" style="26" bestFit="1" customWidth="1"/>
    <col min="3337" max="3337" width="15.42578125" style="26" bestFit="1" customWidth="1"/>
    <col min="3338" max="3338" width="7.42578125" style="26" bestFit="1" customWidth="1"/>
    <col min="3339" max="3339" width="19.5703125" style="26" bestFit="1" customWidth="1"/>
    <col min="3340" max="3340" width="7.42578125" style="26" bestFit="1" customWidth="1"/>
    <col min="3341" max="3341" width="26.85546875" style="26" bestFit="1" customWidth="1"/>
    <col min="3342" max="3342" width="19.85546875" style="26" bestFit="1" customWidth="1"/>
    <col min="3343" max="3577" width="11.42578125" style="26"/>
    <col min="3578" max="3578" width="2.42578125" style="26" customWidth="1"/>
    <col min="3579" max="3579" width="49" style="26" customWidth="1"/>
    <col min="3580" max="3580" width="16.85546875" style="26" customWidth="1"/>
    <col min="3581" max="3581" width="1.140625" style="26" customWidth="1"/>
    <col min="3582" max="3582" width="20.5703125" style="26" customWidth="1"/>
    <col min="3583" max="3583" width="17.5703125" style="26" customWidth="1"/>
    <col min="3584" max="3584" width="18.140625" style="26" customWidth="1"/>
    <col min="3585" max="3585" width="17.140625" style="26" customWidth="1"/>
    <col min="3586" max="3586" width="22.42578125" style="26" bestFit="1" customWidth="1"/>
    <col min="3587" max="3587" width="22.140625" style="26" customWidth="1"/>
    <col min="3588" max="3588" width="17.85546875" style="26" customWidth="1"/>
    <col min="3589" max="3589" width="22.42578125" style="26" customWidth="1"/>
    <col min="3590" max="3590" width="10.140625" style="26" bestFit="1" customWidth="1"/>
    <col min="3591" max="3591" width="13.42578125" style="26" customWidth="1"/>
    <col min="3592" max="3592" width="7.42578125" style="26" bestFit="1" customWidth="1"/>
    <col min="3593" max="3593" width="15.42578125" style="26" bestFit="1" customWidth="1"/>
    <col min="3594" max="3594" width="7.42578125" style="26" bestFit="1" customWidth="1"/>
    <col min="3595" max="3595" width="19.5703125" style="26" bestFit="1" customWidth="1"/>
    <col min="3596" max="3596" width="7.42578125" style="26" bestFit="1" customWidth="1"/>
    <col min="3597" max="3597" width="26.85546875" style="26" bestFit="1" customWidth="1"/>
    <col min="3598" max="3598" width="19.85546875" style="26" bestFit="1" customWidth="1"/>
    <col min="3599" max="3833" width="11.42578125" style="26"/>
    <col min="3834" max="3834" width="2.42578125" style="26" customWidth="1"/>
    <col min="3835" max="3835" width="49" style="26" customWidth="1"/>
    <col min="3836" max="3836" width="16.85546875" style="26" customWidth="1"/>
    <col min="3837" max="3837" width="1.140625" style="26" customWidth="1"/>
    <col min="3838" max="3838" width="20.5703125" style="26" customWidth="1"/>
    <col min="3839" max="3839" width="17.5703125" style="26" customWidth="1"/>
    <col min="3840" max="3840" width="18.140625" style="26" customWidth="1"/>
    <col min="3841" max="3841" width="17.140625" style="26" customWidth="1"/>
    <col min="3842" max="3842" width="22.42578125" style="26" bestFit="1" customWidth="1"/>
    <col min="3843" max="3843" width="22.140625" style="26" customWidth="1"/>
    <col min="3844" max="3844" width="17.85546875" style="26" customWidth="1"/>
    <col min="3845" max="3845" width="22.42578125" style="26" customWidth="1"/>
    <col min="3846" max="3846" width="10.140625" style="26" bestFit="1" customWidth="1"/>
    <col min="3847" max="3847" width="13.42578125" style="26" customWidth="1"/>
    <col min="3848" max="3848" width="7.42578125" style="26" bestFit="1" customWidth="1"/>
    <col min="3849" max="3849" width="15.42578125" style="26" bestFit="1" customWidth="1"/>
    <col min="3850" max="3850" width="7.42578125" style="26" bestFit="1" customWidth="1"/>
    <col min="3851" max="3851" width="19.5703125" style="26" bestFit="1" customWidth="1"/>
    <col min="3852" max="3852" width="7.42578125" style="26" bestFit="1" customWidth="1"/>
    <col min="3853" max="3853" width="26.85546875" style="26" bestFit="1" customWidth="1"/>
    <col min="3854" max="3854" width="19.85546875" style="26" bestFit="1" customWidth="1"/>
    <col min="3855" max="4089" width="11.42578125" style="26"/>
    <col min="4090" max="4090" width="2.42578125" style="26" customWidth="1"/>
    <col min="4091" max="4091" width="49" style="26" customWidth="1"/>
    <col min="4092" max="4092" width="16.85546875" style="26" customWidth="1"/>
    <col min="4093" max="4093" width="1.140625" style="26" customWidth="1"/>
    <col min="4094" max="4094" width="20.5703125" style="26" customWidth="1"/>
    <col min="4095" max="4095" width="17.5703125" style="26" customWidth="1"/>
    <col min="4096" max="4096" width="18.140625" style="26" customWidth="1"/>
    <col min="4097" max="4097" width="17.140625" style="26" customWidth="1"/>
    <col min="4098" max="4098" width="22.42578125" style="26" bestFit="1" customWidth="1"/>
    <col min="4099" max="4099" width="22.140625" style="26" customWidth="1"/>
    <col min="4100" max="4100" width="17.85546875" style="26" customWidth="1"/>
    <col min="4101" max="4101" width="22.42578125" style="26" customWidth="1"/>
    <col min="4102" max="4102" width="10.140625" style="26" bestFit="1" customWidth="1"/>
    <col min="4103" max="4103" width="13.42578125" style="26" customWidth="1"/>
    <col min="4104" max="4104" width="7.42578125" style="26" bestFit="1" customWidth="1"/>
    <col min="4105" max="4105" width="15.42578125" style="26" bestFit="1" customWidth="1"/>
    <col min="4106" max="4106" width="7.42578125" style="26" bestFit="1" customWidth="1"/>
    <col min="4107" max="4107" width="19.5703125" style="26" bestFit="1" customWidth="1"/>
    <col min="4108" max="4108" width="7.42578125" style="26" bestFit="1" customWidth="1"/>
    <col min="4109" max="4109" width="26.85546875" style="26" bestFit="1" customWidth="1"/>
    <col min="4110" max="4110" width="19.85546875" style="26" bestFit="1" customWidth="1"/>
    <col min="4111" max="4345" width="11.42578125" style="26"/>
    <col min="4346" max="4346" width="2.42578125" style="26" customWidth="1"/>
    <col min="4347" max="4347" width="49" style="26" customWidth="1"/>
    <col min="4348" max="4348" width="16.85546875" style="26" customWidth="1"/>
    <col min="4349" max="4349" width="1.140625" style="26" customWidth="1"/>
    <col min="4350" max="4350" width="20.5703125" style="26" customWidth="1"/>
    <col min="4351" max="4351" width="17.5703125" style="26" customWidth="1"/>
    <col min="4352" max="4352" width="18.140625" style="26" customWidth="1"/>
    <col min="4353" max="4353" width="17.140625" style="26" customWidth="1"/>
    <col min="4354" max="4354" width="22.42578125" style="26" bestFit="1" customWidth="1"/>
    <col min="4355" max="4355" width="22.140625" style="26" customWidth="1"/>
    <col min="4356" max="4356" width="17.85546875" style="26" customWidth="1"/>
    <col min="4357" max="4357" width="22.42578125" style="26" customWidth="1"/>
    <col min="4358" max="4358" width="10.140625" style="26" bestFit="1" customWidth="1"/>
    <col min="4359" max="4359" width="13.42578125" style="26" customWidth="1"/>
    <col min="4360" max="4360" width="7.42578125" style="26" bestFit="1" customWidth="1"/>
    <col min="4361" max="4361" width="15.42578125" style="26" bestFit="1" customWidth="1"/>
    <col min="4362" max="4362" width="7.42578125" style="26" bestFit="1" customWidth="1"/>
    <col min="4363" max="4363" width="19.5703125" style="26" bestFit="1" customWidth="1"/>
    <col min="4364" max="4364" width="7.42578125" style="26" bestFit="1" customWidth="1"/>
    <col min="4365" max="4365" width="26.85546875" style="26" bestFit="1" customWidth="1"/>
    <col min="4366" max="4366" width="19.85546875" style="26" bestFit="1" customWidth="1"/>
    <col min="4367" max="4601" width="11.42578125" style="26"/>
    <col min="4602" max="4602" width="2.42578125" style="26" customWidth="1"/>
    <col min="4603" max="4603" width="49" style="26" customWidth="1"/>
    <col min="4604" max="4604" width="16.85546875" style="26" customWidth="1"/>
    <col min="4605" max="4605" width="1.140625" style="26" customWidth="1"/>
    <col min="4606" max="4606" width="20.5703125" style="26" customWidth="1"/>
    <col min="4607" max="4607" width="17.5703125" style="26" customWidth="1"/>
    <col min="4608" max="4608" width="18.140625" style="26" customWidth="1"/>
    <col min="4609" max="4609" width="17.140625" style="26" customWidth="1"/>
    <col min="4610" max="4610" width="22.42578125" style="26" bestFit="1" customWidth="1"/>
    <col min="4611" max="4611" width="22.140625" style="26" customWidth="1"/>
    <col min="4612" max="4612" width="17.85546875" style="26" customWidth="1"/>
    <col min="4613" max="4613" width="22.42578125" style="26" customWidth="1"/>
    <col min="4614" max="4614" width="10.140625" style="26" bestFit="1" customWidth="1"/>
    <col min="4615" max="4615" width="13.42578125" style="26" customWidth="1"/>
    <col min="4616" max="4616" width="7.42578125" style="26" bestFit="1" customWidth="1"/>
    <col min="4617" max="4617" width="15.42578125" style="26" bestFit="1" customWidth="1"/>
    <col min="4618" max="4618" width="7.42578125" style="26" bestFit="1" customWidth="1"/>
    <col min="4619" max="4619" width="19.5703125" style="26" bestFit="1" customWidth="1"/>
    <col min="4620" max="4620" width="7.42578125" style="26" bestFit="1" customWidth="1"/>
    <col min="4621" max="4621" width="26.85546875" style="26" bestFit="1" customWidth="1"/>
    <col min="4622" max="4622" width="19.85546875" style="26" bestFit="1" customWidth="1"/>
    <col min="4623" max="4857" width="11.42578125" style="26"/>
    <col min="4858" max="4858" width="2.42578125" style="26" customWidth="1"/>
    <col min="4859" max="4859" width="49" style="26" customWidth="1"/>
    <col min="4860" max="4860" width="16.85546875" style="26" customWidth="1"/>
    <col min="4861" max="4861" width="1.140625" style="26" customWidth="1"/>
    <col min="4862" max="4862" width="20.5703125" style="26" customWidth="1"/>
    <col min="4863" max="4863" width="17.5703125" style="26" customWidth="1"/>
    <col min="4864" max="4864" width="18.140625" style="26" customWidth="1"/>
    <col min="4865" max="4865" width="17.140625" style="26" customWidth="1"/>
    <col min="4866" max="4866" width="22.42578125" style="26" bestFit="1" customWidth="1"/>
    <col min="4867" max="4867" width="22.140625" style="26" customWidth="1"/>
    <col min="4868" max="4868" width="17.85546875" style="26" customWidth="1"/>
    <col min="4869" max="4869" width="22.42578125" style="26" customWidth="1"/>
    <col min="4870" max="4870" width="10.140625" style="26" bestFit="1" customWidth="1"/>
    <col min="4871" max="4871" width="13.42578125" style="26" customWidth="1"/>
    <col min="4872" max="4872" width="7.42578125" style="26" bestFit="1" customWidth="1"/>
    <col min="4873" max="4873" width="15.42578125" style="26" bestFit="1" customWidth="1"/>
    <col min="4874" max="4874" width="7.42578125" style="26" bestFit="1" customWidth="1"/>
    <col min="4875" max="4875" width="19.5703125" style="26" bestFit="1" customWidth="1"/>
    <col min="4876" max="4876" width="7.42578125" style="26" bestFit="1" customWidth="1"/>
    <col min="4877" max="4877" width="26.85546875" style="26" bestFit="1" customWidth="1"/>
    <col min="4878" max="4878" width="19.85546875" style="26" bestFit="1" customWidth="1"/>
    <col min="4879" max="5113" width="11.42578125" style="26"/>
    <col min="5114" max="5114" width="2.42578125" style="26" customWidth="1"/>
    <col min="5115" max="5115" width="49" style="26" customWidth="1"/>
    <col min="5116" max="5116" width="16.85546875" style="26" customWidth="1"/>
    <col min="5117" max="5117" width="1.140625" style="26" customWidth="1"/>
    <col min="5118" max="5118" width="20.5703125" style="26" customWidth="1"/>
    <col min="5119" max="5119" width="17.5703125" style="26" customWidth="1"/>
    <col min="5120" max="5120" width="18.140625" style="26" customWidth="1"/>
    <col min="5121" max="5121" width="17.140625" style="26" customWidth="1"/>
    <col min="5122" max="5122" width="22.42578125" style="26" bestFit="1" customWidth="1"/>
    <col min="5123" max="5123" width="22.140625" style="26" customWidth="1"/>
    <col min="5124" max="5124" width="17.85546875" style="26" customWidth="1"/>
    <col min="5125" max="5125" width="22.42578125" style="26" customWidth="1"/>
    <col min="5126" max="5126" width="10.140625" style="26" bestFit="1" customWidth="1"/>
    <col min="5127" max="5127" width="13.42578125" style="26" customWidth="1"/>
    <col min="5128" max="5128" width="7.42578125" style="26" bestFit="1" customWidth="1"/>
    <col min="5129" max="5129" width="15.42578125" style="26" bestFit="1" customWidth="1"/>
    <col min="5130" max="5130" width="7.42578125" style="26" bestFit="1" customWidth="1"/>
    <col min="5131" max="5131" width="19.5703125" style="26" bestFit="1" customWidth="1"/>
    <col min="5132" max="5132" width="7.42578125" style="26" bestFit="1" customWidth="1"/>
    <col min="5133" max="5133" width="26.85546875" style="26" bestFit="1" customWidth="1"/>
    <col min="5134" max="5134" width="19.85546875" style="26" bestFit="1" customWidth="1"/>
    <col min="5135" max="5369" width="11.42578125" style="26"/>
    <col min="5370" max="5370" width="2.42578125" style="26" customWidth="1"/>
    <col min="5371" max="5371" width="49" style="26" customWidth="1"/>
    <col min="5372" max="5372" width="16.85546875" style="26" customWidth="1"/>
    <col min="5373" max="5373" width="1.140625" style="26" customWidth="1"/>
    <col min="5374" max="5374" width="20.5703125" style="26" customWidth="1"/>
    <col min="5375" max="5375" width="17.5703125" style="26" customWidth="1"/>
    <col min="5376" max="5376" width="18.140625" style="26" customWidth="1"/>
    <col min="5377" max="5377" width="17.140625" style="26" customWidth="1"/>
    <col min="5378" max="5378" width="22.42578125" style="26" bestFit="1" customWidth="1"/>
    <col min="5379" max="5379" width="22.140625" style="26" customWidth="1"/>
    <col min="5380" max="5380" width="17.85546875" style="26" customWidth="1"/>
    <col min="5381" max="5381" width="22.42578125" style="26" customWidth="1"/>
    <col min="5382" max="5382" width="10.140625" style="26" bestFit="1" customWidth="1"/>
    <col min="5383" max="5383" width="13.42578125" style="26" customWidth="1"/>
    <col min="5384" max="5384" width="7.42578125" style="26" bestFit="1" customWidth="1"/>
    <col min="5385" max="5385" width="15.42578125" style="26" bestFit="1" customWidth="1"/>
    <col min="5386" max="5386" width="7.42578125" style="26" bestFit="1" customWidth="1"/>
    <col min="5387" max="5387" width="19.5703125" style="26" bestFit="1" customWidth="1"/>
    <col min="5388" max="5388" width="7.42578125" style="26" bestFit="1" customWidth="1"/>
    <col min="5389" max="5389" width="26.85546875" style="26" bestFit="1" customWidth="1"/>
    <col min="5390" max="5390" width="19.85546875" style="26" bestFit="1" customWidth="1"/>
    <col min="5391" max="5625" width="11.42578125" style="26"/>
    <col min="5626" max="5626" width="2.42578125" style="26" customWidth="1"/>
    <col min="5627" max="5627" width="49" style="26" customWidth="1"/>
    <col min="5628" max="5628" width="16.85546875" style="26" customWidth="1"/>
    <col min="5629" max="5629" width="1.140625" style="26" customWidth="1"/>
    <col min="5630" max="5630" width="20.5703125" style="26" customWidth="1"/>
    <col min="5631" max="5631" width="17.5703125" style="26" customWidth="1"/>
    <col min="5632" max="5632" width="18.140625" style="26" customWidth="1"/>
    <col min="5633" max="5633" width="17.140625" style="26" customWidth="1"/>
    <col min="5634" max="5634" width="22.42578125" style="26" bestFit="1" customWidth="1"/>
    <col min="5635" max="5635" width="22.140625" style="26" customWidth="1"/>
    <col min="5636" max="5636" width="17.85546875" style="26" customWidth="1"/>
    <col min="5637" max="5637" width="22.42578125" style="26" customWidth="1"/>
    <col min="5638" max="5638" width="10.140625" style="26" bestFit="1" customWidth="1"/>
    <col min="5639" max="5639" width="13.42578125" style="26" customWidth="1"/>
    <col min="5640" max="5640" width="7.42578125" style="26" bestFit="1" customWidth="1"/>
    <col min="5641" max="5641" width="15.42578125" style="26" bestFit="1" customWidth="1"/>
    <col min="5642" max="5642" width="7.42578125" style="26" bestFit="1" customWidth="1"/>
    <col min="5643" max="5643" width="19.5703125" style="26" bestFit="1" customWidth="1"/>
    <col min="5644" max="5644" width="7.42578125" style="26" bestFit="1" customWidth="1"/>
    <col min="5645" max="5645" width="26.85546875" style="26" bestFit="1" customWidth="1"/>
    <col min="5646" max="5646" width="19.85546875" style="26" bestFit="1" customWidth="1"/>
    <col min="5647" max="5881" width="11.42578125" style="26"/>
    <col min="5882" max="5882" width="2.42578125" style="26" customWidth="1"/>
    <col min="5883" max="5883" width="49" style="26" customWidth="1"/>
    <col min="5884" max="5884" width="16.85546875" style="26" customWidth="1"/>
    <col min="5885" max="5885" width="1.140625" style="26" customWidth="1"/>
    <col min="5886" max="5886" width="20.5703125" style="26" customWidth="1"/>
    <col min="5887" max="5887" width="17.5703125" style="26" customWidth="1"/>
    <col min="5888" max="5888" width="18.140625" style="26" customWidth="1"/>
    <col min="5889" max="5889" width="17.140625" style="26" customWidth="1"/>
    <col min="5890" max="5890" width="22.42578125" style="26" bestFit="1" customWidth="1"/>
    <col min="5891" max="5891" width="22.140625" style="26" customWidth="1"/>
    <col min="5892" max="5892" width="17.85546875" style="26" customWidth="1"/>
    <col min="5893" max="5893" width="22.42578125" style="26" customWidth="1"/>
    <col min="5894" max="5894" width="10.140625" style="26" bestFit="1" customWidth="1"/>
    <col min="5895" max="5895" width="13.42578125" style="26" customWidth="1"/>
    <col min="5896" max="5896" width="7.42578125" style="26" bestFit="1" customWidth="1"/>
    <col min="5897" max="5897" width="15.42578125" style="26" bestFit="1" customWidth="1"/>
    <col min="5898" max="5898" width="7.42578125" style="26" bestFit="1" customWidth="1"/>
    <col min="5899" max="5899" width="19.5703125" style="26" bestFit="1" customWidth="1"/>
    <col min="5900" max="5900" width="7.42578125" style="26" bestFit="1" customWidth="1"/>
    <col min="5901" max="5901" width="26.85546875" style="26" bestFit="1" customWidth="1"/>
    <col min="5902" max="5902" width="19.85546875" style="26" bestFit="1" customWidth="1"/>
    <col min="5903" max="6137" width="11.42578125" style="26"/>
    <col min="6138" max="6138" width="2.42578125" style="26" customWidth="1"/>
    <col min="6139" max="6139" width="49" style="26" customWidth="1"/>
    <col min="6140" max="6140" width="16.85546875" style="26" customWidth="1"/>
    <col min="6141" max="6141" width="1.140625" style="26" customWidth="1"/>
    <col min="6142" max="6142" width="20.5703125" style="26" customWidth="1"/>
    <col min="6143" max="6143" width="17.5703125" style="26" customWidth="1"/>
    <col min="6144" max="6144" width="18.140625" style="26" customWidth="1"/>
    <col min="6145" max="6145" width="17.140625" style="26" customWidth="1"/>
    <col min="6146" max="6146" width="22.42578125" style="26" bestFit="1" customWidth="1"/>
    <col min="6147" max="6147" width="22.140625" style="26" customWidth="1"/>
    <col min="6148" max="6148" width="17.85546875" style="26" customWidth="1"/>
    <col min="6149" max="6149" width="22.42578125" style="26" customWidth="1"/>
    <col min="6150" max="6150" width="10.140625" style="26" bestFit="1" customWidth="1"/>
    <col min="6151" max="6151" width="13.42578125" style="26" customWidth="1"/>
    <col min="6152" max="6152" width="7.42578125" style="26" bestFit="1" customWidth="1"/>
    <col min="6153" max="6153" width="15.42578125" style="26" bestFit="1" customWidth="1"/>
    <col min="6154" max="6154" width="7.42578125" style="26" bestFit="1" customWidth="1"/>
    <col min="6155" max="6155" width="19.5703125" style="26" bestFit="1" customWidth="1"/>
    <col min="6156" max="6156" width="7.42578125" style="26" bestFit="1" customWidth="1"/>
    <col min="6157" max="6157" width="26.85546875" style="26" bestFit="1" customWidth="1"/>
    <col min="6158" max="6158" width="19.85546875" style="26" bestFit="1" customWidth="1"/>
    <col min="6159" max="6393" width="11.42578125" style="26"/>
    <col min="6394" max="6394" width="2.42578125" style="26" customWidth="1"/>
    <col min="6395" max="6395" width="49" style="26" customWidth="1"/>
    <col min="6396" max="6396" width="16.85546875" style="26" customWidth="1"/>
    <col min="6397" max="6397" width="1.140625" style="26" customWidth="1"/>
    <col min="6398" max="6398" width="20.5703125" style="26" customWidth="1"/>
    <col min="6399" max="6399" width="17.5703125" style="26" customWidth="1"/>
    <col min="6400" max="6400" width="18.140625" style="26" customWidth="1"/>
    <col min="6401" max="6401" width="17.140625" style="26" customWidth="1"/>
    <col min="6402" max="6402" width="22.42578125" style="26" bestFit="1" customWidth="1"/>
    <col min="6403" max="6403" width="22.140625" style="26" customWidth="1"/>
    <col min="6404" max="6404" width="17.85546875" style="26" customWidth="1"/>
    <col min="6405" max="6405" width="22.42578125" style="26" customWidth="1"/>
    <col min="6406" max="6406" width="10.140625" style="26" bestFit="1" customWidth="1"/>
    <col min="6407" max="6407" width="13.42578125" style="26" customWidth="1"/>
    <col min="6408" max="6408" width="7.42578125" style="26" bestFit="1" customWidth="1"/>
    <col min="6409" max="6409" width="15.42578125" style="26" bestFit="1" customWidth="1"/>
    <col min="6410" max="6410" width="7.42578125" style="26" bestFit="1" customWidth="1"/>
    <col min="6411" max="6411" width="19.5703125" style="26" bestFit="1" customWidth="1"/>
    <col min="6412" max="6412" width="7.42578125" style="26" bestFit="1" customWidth="1"/>
    <col min="6413" max="6413" width="26.85546875" style="26" bestFit="1" customWidth="1"/>
    <col min="6414" max="6414" width="19.85546875" style="26" bestFit="1" customWidth="1"/>
    <col min="6415" max="6649" width="11.42578125" style="26"/>
    <col min="6650" max="6650" width="2.42578125" style="26" customWidth="1"/>
    <col min="6651" max="6651" width="49" style="26" customWidth="1"/>
    <col min="6652" max="6652" width="16.85546875" style="26" customWidth="1"/>
    <col min="6653" max="6653" width="1.140625" style="26" customWidth="1"/>
    <col min="6654" max="6654" width="20.5703125" style="26" customWidth="1"/>
    <col min="6655" max="6655" width="17.5703125" style="26" customWidth="1"/>
    <col min="6656" max="6656" width="18.140625" style="26" customWidth="1"/>
    <col min="6657" max="6657" width="17.140625" style="26" customWidth="1"/>
    <col min="6658" max="6658" width="22.42578125" style="26" bestFit="1" customWidth="1"/>
    <col min="6659" max="6659" width="22.140625" style="26" customWidth="1"/>
    <col min="6660" max="6660" width="17.85546875" style="26" customWidth="1"/>
    <col min="6661" max="6661" width="22.42578125" style="26" customWidth="1"/>
    <col min="6662" max="6662" width="10.140625" style="26" bestFit="1" customWidth="1"/>
    <col min="6663" max="6663" width="13.42578125" style="26" customWidth="1"/>
    <col min="6664" max="6664" width="7.42578125" style="26" bestFit="1" customWidth="1"/>
    <col min="6665" max="6665" width="15.42578125" style="26" bestFit="1" customWidth="1"/>
    <col min="6666" max="6666" width="7.42578125" style="26" bestFit="1" customWidth="1"/>
    <col min="6667" max="6667" width="19.5703125" style="26" bestFit="1" customWidth="1"/>
    <col min="6668" max="6668" width="7.42578125" style="26" bestFit="1" customWidth="1"/>
    <col min="6669" max="6669" width="26.85546875" style="26" bestFit="1" customWidth="1"/>
    <col min="6670" max="6670" width="19.85546875" style="26" bestFit="1" customWidth="1"/>
    <col min="6671" max="6905" width="11.42578125" style="26"/>
    <col min="6906" max="6906" width="2.42578125" style="26" customWidth="1"/>
    <col min="6907" max="6907" width="49" style="26" customWidth="1"/>
    <col min="6908" max="6908" width="16.85546875" style="26" customWidth="1"/>
    <col min="6909" max="6909" width="1.140625" style="26" customWidth="1"/>
    <col min="6910" max="6910" width="20.5703125" style="26" customWidth="1"/>
    <col min="6911" max="6911" width="17.5703125" style="26" customWidth="1"/>
    <col min="6912" max="6912" width="18.140625" style="26" customWidth="1"/>
    <col min="6913" max="6913" width="17.140625" style="26" customWidth="1"/>
    <col min="6914" max="6914" width="22.42578125" style="26" bestFit="1" customWidth="1"/>
    <col min="6915" max="6915" width="22.140625" style="26" customWidth="1"/>
    <col min="6916" max="6916" width="17.85546875" style="26" customWidth="1"/>
    <col min="6917" max="6917" width="22.42578125" style="26" customWidth="1"/>
    <col min="6918" max="6918" width="10.140625" style="26" bestFit="1" customWidth="1"/>
    <col min="6919" max="6919" width="13.42578125" style="26" customWidth="1"/>
    <col min="6920" max="6920" width="7.42578125" style="26" bestFit="1" customWidth="1"/>
    <col min="6921" max="6921" width="15.42578125" style="26" bestFit="1" customWidth="1"/>
    <col min="6922" max="6922" width="7.42578125" style="26" bestFit="1" customWidth="1"/>
    <col min="6923" max="6923" width="19.5703125" style="26" bestFit="1" customWidth="1"/>
    <col min="6924" max="6924" width="7.42578125" style="26" bestFit="1" customWidth="1"/>
    <col min="6925" max="6925" width="26.85546875" style="26" bestFit="1" customWidth="1"/>
    <col min="6926" max="6926" width="19.85546875" style="26" bestFit="1" customWidth="1"/>
    <col min="6927" max="7161" width="11.42578125" style="26"/>
    <col min="7162" max="7162" width="2.42578125" style="26" customWidth="1"/>
    <col min="7163" max="7163" width="49" style="26" customWidth="1"/>
    <col min="7164" max="7164" width="16.85546875" style="26" customWidth="1"/>
    <col min="7165" max="7165" width="1.140625" style="26" customWidth="1"/>
    <col min="7166" max="7166" width="20.5703125" style="26" customWidth="1"/>
    <col min="7167" max="7167" width="17.5703125" style="26" customWidth="1"/>
    <col min="7168" max="7168" width="18.140625" style="26" customWidth="1"/>
    <col min="7169" max="7169" width="17.140625" style="26" customWidth="1"/>
    <col min="7170" max="7170" width="22.42578125" style="26" bestFit="1" customWidth="1"/>
    <col min="7171" max="7171" width="22.140625" style="26" customWidth="1"/>
    <col min="7172" max="7172" width="17.85546875" style="26" customWidth="1"/>
    <col min="7173" max="7173" width="22.42578125" style="26" customWidth="1"/>
    <col min="7174" max="7174" width="10.140625" style="26" bestFit="1" customWidth="1"/>
    <col min="7175" max="7175" width="13.42578125" style="26" customWidth="1"/>
    <col min="7176" max="7176" width="7.42578125" style="26" bestFit="1" customWidth="1"/>
    <col min="7177" max="7177" width="15.42578125" style="26" bestFit="1" customWidth="1"/>
    <col min="7178" max="7178" width="7.42578125" style="26" bestFit="1" customWidth="1"/>
    <col min="7179" max="7179" width="19.5703125" style="26" bestFit="1" customWidth="1"/>
    <col min="7180" max="7180" width="7.42578125" style="26" bestFit="1" customWidth="1"/>
    <col min="7181" max="7181" width="26.85546875" style="26" bestFit="1" customWidth="1"/>
    <col min="7182" max="7182" width="19.85546875" style="26" bestFit="1" customWidth="1"/>
    <col min="7183" max="7417" width="11.42578125" style="26"/>
    <col min="7418" max="7418" width="2.42578125" style="26" customWidth="1"/>
    <col min="7419" max="7419" width="49" style="26" customWidth="1"/>
    <col min="7420" max="7420" width="16.85546875" style="26" customWidth="1"/>
    <col min="7421" max="7421" width="1.140625" style="26" customWidth="1"/>
    <col min="7422" max="7422" width="20.5703125" style="26" customWidth="1"/>
    <col min="7423" max="7423" width="17.5703125" style="26" customWidth="1"/>
    <col min="7424" max="7424" width="18.140625" style="26" customWidth="1"/>
    <col min="7425" max="7425" width="17.140625" style="26" customWidth="1"/>
    <col min="7426" max="7426" width="22.42578125" style="26" bestFit="1" customWidth="1"/>
    <col min="7427" max="7427" width="22.140625" style="26" customWidth="1"/>
    <col min="7428" max="7428" width="17.85546875" style="26" customWidth="1"/>
    <col min="7429" max="7429" width="22.42578125" style="26" customWidth="1"/>
    <col min="7430" max="7430" width="10.140625" style="26" bestFit="1" customWidth="1"/>
    <col min="7431" max="7431" width="13.42578125" style="26" customWidth="1"/>
    <col min="7432" max="7432" width="7.42578125" style="26" bestFit="1" customWidth="1"/>
    <col min="7433" max="7433" width="15.42578125" style="26" bestFit="1" customWidth="1"/>
    <col min="7434" max="7434" width="7.42578125" style="26" bestFit="1" customWidth="1"/>
    <col min="7435" max="7435" width="19.5703125" style="26" bestFit="1" customWidth="1"/>
    <col min="7436" max="7436" width="7.42578125" style="26" bestFit="1" customWidth="1"/>
    <col min="7437" max="7437" width="26.85546875" style="26" bestFit="1" customWidth="1"/>
    <col min="7438" max="7438" width="19.85546875" style="26" bestFit="1" customWidth="1"/>
    <col min="7439" max="7673" width="11.42578125" style="26"/>
    <col min="7674" max="7674" width="2.42578125" style="26" customWidth="1"/>
    <col min="7675" max="7675" width="49" style="26" customWidth="1"/>
    <col min="7676" max="7676" width="16.85546875" style="26" customWidth="1"/>
    <col min="7677" max="7677" width="1.140625" style="26" customWidth="1"/>
    <col min="7678" max="7678" width="20.5703125" style="26" customWidth="1"/>
    <col min="7679" max="7679" width="17.5703125" style="26" customWidth="1"/>
    <col min="7680" max="7680" width="18.140625" style="26" customWidth="1"/>
    <col min="7681" max="7681" width="17.140625" style="26" customWidth="1"/>
    <col min="7682" max="7682" width="22.42578125" style="26" bestFit="1" customWidth="1"/>
    <col min="7683" max="7683" width="22.140625" style="26" customWidth="1"/>
    <col min="7684" max="7684" width="17.85546875" style="26" customWidth="1"/>
    <col min="7685" max="7685" width="22.42578125" style="26" customWidth="1"/>
    <col min="7686" max="7686" width="10.140625" style="26" bestFit="1" customWidth="1"/>
    <col min="7687" max="7687" width="13.42578125" style="26" customWidth="1"/>
    <col min="7688" max="7688" width="7.42578125" style="26" bestFit="1" customWidth="1"/>
    <col min="7689" max="7689" width="15.42578125" style="26" bestFit="1" customWidth="1"/>
    <col min="7690" max="7690" width="7.42578125" style="26" bestFit="1" customWidth="1"/>
    <col min="7691" max="7691" width="19.5703125" style="26" bestFit="1" customWidth="1"/>
    <col min="7692" max="7692" width="7.42578125" style="26" bestFit="1" customWidth="1"/>
    <col min="7693" max="7693" width="26.85546875" style="26" bestFit="1" customWidth="1"/>
    <col min="7694" max="7694" width="19.85546875" style="26" bestFit="1" customWidth="1"/>
    <col min="7695" max="7929" width="11.42578125" style="26"/>
    <col min="7930" max="7930" width="2.42578125" style="26" customWidth="1"/>
    <col min="7931" max="7931" width="49" style="26" customWidth="1"/>
    <col min="7932" max="7932" width="16.85546875" style="26" customWidth="1"/>
    <col min="7933" max="7933" width="1.140625" style="26" customWidth="1"/>
    <col min="7934" max="7934" width="20.5703125" style="26" customWidth="1"/>
    <col min="7935" max="7935" width="17.5703125" style="26" customWidth="1"/>
    <col min="7936" max="7936" width="18.140625" style="26" customWidth="1"/>
    <col min="7937" max="7937" width="17.140625" style="26" customWidth="1"/>
    <col min="7938" max="7938" width="22.42578125" style="26" bestFit="1" customWidth="1"/>
    <col min="7939" max="7939" width="22.140625" style="26" customWidth="1"/>
    <col min="7940" max="7940" width="17.85546875" style="26" customWidth="1"/>
    <col min="7941" max="7941" width="22.42578125" style="26" customWidth="1"/>
    <col min="7942" max="7942" width="10.140625" style="26" bestFit="1" customWidth="1"/>
    <col min="7943" max="7943" width="13.42578125" style="26" customWidth="1"/>
    <col min="7944" max="7944" width="7.42578125" style="26" bestFit="1" customWidth="1"/>
    <col min="7945" max="7945" width="15.42578125" style="26" bestFit="1" customWidth="1"/>
    <col min="7946" max="7946" width="7.42578125" style="26" bestFit="1" customWidth="1"/>
    <col min="7947" max="7947" width="19.5703125" style="26" bestFit="1" customWidth="1"/>
    <col min="7948" max="7948" width="7.42578125" style="26" bestFit="1" customWidth="1"/>
    <col min="7949" max="7949" width="26.85546875" style="26" bestFit="1" customWidth="1"/>
    <col min="7950" max="7950" width="19.85546875" style="26" bestFit="1" customWidth="1"/>
    <col min="7951" max="8185" width="11.42578125" style="26"/>
    <col min="8186" max="8186" width="2.42578125" style="26" customWidth="1"/>
    <col min="8187" max="8187" width="49" style="26" customWidth="1"/>
    <col min="8188" max="8188" width="16.85546875" style="26" customWidth="1"/>
    <col min="8189" max="8189" width="1.140625" style="26" customWidth="1"/>
    <col min="8190" max="8190" width="20.5703125" style="26" customWidth="1"/>
    <col min="8191" max="8191" width="17.5703125" style="26" customWidth="1"/>
    <col min="8192" max="8192" width="18.140625" style="26" customWidth="1"/>
    <col min="8193" max="8193" width="17.140625" style="26" customWidth="1"/>
    <col min="8194" max="8194" width="22.42578125" style="26" bestFit="1" customWidth="1"/>
    <col min="8195" max="8195" width="22.140625" style="26" customWidth="1"/>
    <col min="8196" max="8196" width="17.85546875" style="26" customWidth="1"/>
    <col min="8197" max="8197" width="22.42578125" style="26" customWidth="1"/>
    <col min="8198" max="8198" width="10.140625" style="26" bestFit="1" customWidth="1"/>
    <col min="8199" max="8199" width="13.42578125" style="26" customWidth="1"/>
    <col min="8200" max="8200" width="7.42578125" style="26" bestFit="1" customWidth="1"/>
    <col min="8201" max="8201" width="15.42578125" style="26" bestFit="1" customWidth="1"/>
    <col min="8202" max="8202" width="7.42578125" style="26" bestFit="1" customWidth="1"/>
    <col min="8203" max="8203" width="19.5703125" style="26" bestFit="1" customWidth="1"/>
    <col min="8204" max="8204" width="7.42578125" style="26" bestFit="1" customWidth="1"/>
    <col min="8205" max="8205" width="26.85546875" style="26" bestFit="1" customWidth="1"/>
    <col min="8206" max="8206" width="19.85546875" style="26" bestFit="1" customWidth="1"/>
    <col min="8207" max="8441" width="11.42578125" style="26"/>
    <col min="8442" max="8442" width="2.42578125" style="26" customWidth="1"/>
    <col min="8443" max="8443" width="49" style="26" customWidth="1"/>
    <col min="8444" max="8444" width="16.85546875" style="26" customWidth="1"/>
    <col min="8445" max="8445" width="1.140625" style="26" customWidth="1"/>
    <col min="8446" max="8446" width="20.5703125" style="26" customWidth="1"/>
    <col min="8447" max="8447" width="17.5703125" style="26" customWidth="1"/>
    <col min="8448" max="8448" width="18.140625" style="26" customWidth="1"/>
    <col min="8449" max="8449" width="17.140625" style="26" customWidth="1"/>
    <col min="8450" max="8450" width="22.42578125" style="26" bestFit="1" customWidth="1"/>
    <col min="8451" max="8451" width="22.140625" style="26" customWidth="1"/>
    <col min="8452" max="8452" width="17.85546875" style="26" customWidth="1"/>
    <col min="8453" max="8453" width="22.42578125" style="26" customWidth="1"/>
    <col min="8454" max="8454" width="10.140625" style="26" bestFit="1" customWidth="1"/>
    <col min="8455" max="8455" width="13.42578125" style="26" customWidth="1"/>
    <col min="8456" max="8456" width="7.42578125" style="26" bestFit="1" customWidth="1"/>
    <col min="8457" max="8457" width="15.42578125" style="26" bestFit="1" customWidth="1"/>
    <col min="8458" max="8458" width="7.42578125" style="26" bestFit="1" customWidth="1"/>
    <col min="8459" max="8459" width="19.5703125" style="26" bestFit="1" customWidth="1"/>
    <col min="8460" max="8460" width="7.42578125" style="26" bestFit="1" customWidth="1"/>
    <col min="8461" max="8461" width="26.85546875" style="26" bestFit="1" customWidth="1"/>
    <col min="8462" max="8462" width="19.85546875" style="26" bestFit="1" customWidth="1"/>
    <col min="8463" max="8697" width="11.42578125" style="26"/>
    <col min="8698" max="8698" width="2.42578125" style="26" customWidth="1"/>
    <col min="8699" max="8699" width="49" style="26" customWidth="1"/>
    <col min="8700" max="8700" width="16.85546875" style="26" customWidth="1"/>
    <col min="8701" max="8701" width="1.140625" style="26" customWidth="1"/>
    <col min="8702" max="8702" width="20.5703125" style="26" customWidth="1"/>
    <col min="8703" max="8703" width="17.5703125" style="26" customWidth="1"/>
    <col min="8704" max="8704" width="18.140625" style="26" customWidth="1"/>
    <col min="8705" max="8705" width="17.140625" style="26" customWidth="1"/>
    <col min="8706" max="8706" width="22.42578125" style="26" bestFit="1" customWidth="1"/>
    <col min="8707" max="8707" width="22.140625" style="26" customWidth="1"/>
    <col min="8708" max="8708" width="17.85546875" style="26" customWidth="1"/>
    <col min="8709" max="8709" width="22.42578125" style="26" customWidth="1"/>
    <col min="8710" max="8710" width="10.140625" style="26" bestFit="1" customWidth="1"/>
    <col min="8711" max="8711" width="13.42578125" style="26" customWidth="1"/>
    <col min="8712" max="8712" width="7.42578125" style="26" bestFit="1" customWidth="1"/>
    <col min="8713" max="8713" width="15.42578125" style="26" bestFit="1" customWidth="1"/>
    <col min="8714" max="8714" width="7.42578125" style="26" bestFit="1" customWidth="1"/>
    <col min="8715" max="8715" width="19.5703125" style="26" bestFit="1" customWidth="1"/>
    <col min="8716" max="8716" width="7.42578125" style="26" bestFit="1" customWidth="1"/>
    <col min="8717" max="8717" width="26.85546875" style="26" bestFit="1" customWidth="1"/>
    <col min="8718" max="8718" width="19.85546875" style="26" bestFit="1" customWidth="1"/>
    <col min="8719" max="8953" width="11.42578125" style="26"/>
    <col min="8954" max="8954" width="2.42578125" style="26" customWidth="1"/>
    <col min="8955" max="8955" width="49" style="26" customWidth="1"/>
    <col min="8956" max="8956" width="16.85546875" style="26" customWidth="1"/>
    <col min="8957" max="8957" width="1.140625" style="26" customWidth="1"/>
    <col min="8958" max="8958" width="20.5703125" style="26" customWidth="1"/>
    <col min="8959" max="8959" width="17.5703125" style="26" customWidth="1"/>
    <col min="8960" max="8960" width="18.140625" style="26" customWidth="1"/>
    <col min="8961" max="8961" width="17.140625" style="26" customWidth="1"/>
    <col min="8962" max="8962" width="22.42578125" style="26" bestFit="1" customWidth="1"/>
    <col min="8963" max="8963" width="22.140625" style="26" customWidth="1"/>
    <col min="8964" max="8964" width="17.85546875" style="26" customWidth="1"/>
    <col min="8965" max="8965" width="22.42578125" style="26" customWidth="1"/>
    <col min="8966" max="8966" width="10.140625" style="26" bestFit="1" customWidth="1"/>
    <col min="8967" max="8967" width="13.42578125" style="26" customWidth="1"/>
    <col min="8968" max="8968" width="7.42578125" style="26" bestFit="1" customWidth="1"/>
    <col min="8969" max="8969" width="15.42578125" style="26" bestFit="1" customWidth="1"/>
    <col min="8970" max="8970" width="7.42578125" style="26" bestFit="1" customWidth="1"/>
    <col min="8971" max="8971" width="19.5703125" style="26" bestFit="1" customWidth="1"/>
    <col min="8972" max="8972" width="7.42578125" style="26" bestFit="1" customWidth="1"/>
    <col min="8973" max="8973" width="26.85546875" style="26" bestFit="1" customWidth="1"/>
    <col min="8974" max="8974" width="19.85546875" style="26" bestFit="1" customWidth="1"/>
    <col min="8975" max="9209" width="11.42578125" style="26"/>
    <col min="9210" max="9210" width="2.42578125" style="26" customWidth="1"/>
    <col min="9211" max="9211" width="49" style="26" customWidth="1"/>
    <col min="9212" max="9212" width="16.85546875" style="26" customWidth="1"/>
    <col min="9213" max="9213" width="1.140625" style="26" customWidth="1"/>
    <col min="9214" max="9214" width="20.5703125" style="26" customWidth="1"/>
    <col min="9215" max="9215" width="17.5703125" style="26" customWidth="1"/>
    <col min="9216" max="9216" width="18.140625" style="26" customWidth="1"/>
    <col min="9217" max="9217" width="17.140625" style="26" customWidth="1"/>
    <col min="9218" max="9218" width="22.42578125" style="26" bestFit="1" customWidth="1"/>
    <col min="9219" max="9219" width="22.140625" style="26" customWidth="1"/>
    <col min="9220" max="9220" width="17.85546875" style="26" customWidth="1"/>
    <col min="9221" max="9221" width="22.42578125" style="26" customWidth="1"/>
    <col min="9222" max="9222" width="10.140625" style="26" bestFit="1" customWidth="1"/>
    <col min="9223" max="9223" width="13.42578125" style="26" customWidth="1"/>
    <col min="9224" max="9224" width="7.42578125" style="26" bestFit="1" customWidth="1"/>
    <col min="9225" max="9225" width="15.42578125" style="26" bestFit="1" customWidth="1"/>
    <col min="9226" max="9226" width="7.42578125" style="26" bestFit="1" customWidth="1"/>
    <col min="9227" max="9227" width="19.5703125" style="26" bestFit="1" customWidth="1"/>
    <col min="9228" max="9228" width="7.42578125" style="26" bestFit="1" customWidth="1"/>
    <col min="9229" max="9229" width="26.85546875" style="26" bestFit="1" customWidth="1"/>
    <col min="9230" max="9230" width="19.85546875" style="26" bestFit="1" customWidth="1"/>
    <col min="9231" max="9465" width="11.42578125" style="26"/>
    <col min="9466" max="9466" width="2.42578125" style="26" customWidth="1"/>
    <col min="9467" max="9467" width="49" style="26" customWidth="1"/>
    <col min="9468" max="9468" width="16.85546875" style="26" customWidth="1"/>
    <col min="9469" max="9469" width="1.140625" style="26" customWidth="1"/>
    <col min="9470" max="9470" width="20.5703125" style="26" customWidth="1"/>
    <col min="9471" max="9471" width="17.5703125" style="26" customWidth="1"/>
    <col min="9472" max="9472" width="18.140625" style="26" customWidth="1"/>
    <col min="9473" max="9473" width="17.140625" style="26" customWidth="1"/>
    <col min="9474" max="9474" width="22.42578125" style="26" bestFit="1" customWidth="1"/>
    <col min="9475" max="9475" width="22.140625" style="26" customWidth="1"/>
    <col min="9476" max="9476" width="17.85546875" style="26" customWidth="1"/>
    <col min="9477" max="9477" width="22.42578125" style="26" customWidth="1"/>
    <col min="9478" max="9478" width="10.140625" style="26" bestFit="1" customWidth="1"/>
    <col min="9479" max="9479" width="13.42578125" style="26" customWidth="1"/>
    <col min="9480" max="9480" width="7.42578125" style="26" bestFit="1" customWidth="1"/>
    <col min="9481" max="9481" width="15.42578125" style="26" bestFit="1" customWidth="1"/>
    <col min="9482" max="9482" width="7.42578125" style="26" bestFit="1" customWidth="1"/>
    <col min="9483" max="9483" width="19.5703125" style="26" bestFit="1" customWidth="1"/>
    <col min="9484" max="9484" width="7.42578125" style="26" bestFit="1" customWidth="1"/>
    <col min="9485" max="9485" width="26.85546875" style="26" bestFit="1" customWidth="1"/>
    <col min="9486" max="9486" width="19.85546875" style="26" bestFit="1" customWidth="1"/>
    <col min="9487" max="9721" width="11.42578125" style="26"/>
    <col min="9722" max="9722" width="2.42578125" style="26" customWidth="1"/>
    <col min="9723" max="9723" width="49" style="26" customWidth="1"/>
    <col min="9724" max="9724" width="16.85546875" style="26" customWidth="1"/>
    <col min="9725" max="9725" width="1.140625" style="26" customWidth="1"/>
    <col min="9726" max="9726" width="20.5703125" style="26" customWidth="1"/>
    <col min="9727" max="9727" width="17.5703125" style="26" customWidth="1"/>
    <col min="9728" max="9728" width="18.140625" style="26" customWidth="1"/>
    <col min="9729" max="9729" width="17.140625" style="26" customWidth="1"/>
    <col min="9730" max="9730" width="22.42578125" style="26" bestFit="1" customWidth="1"/>
    <col min="9731" max="9731" width="22.140625" style="26" customWidth="1"/>
    <col min="9732" max="9732" width="17.85546875" style="26" customWidth="1"/>
    <col min="9733" max="9733" width="22.42578125" style="26" customWidth="1"/>
    <col min="9734" max="9734" width="10.140625" style="26" bestFit="1" customWidth="1"/>
    <col min="9735" max="9735" width="13.42578125" style="26" customWidth="1"/>
    <col min="9736" max="9736" width="7.42578125" style="26" bestFit="1" customWidth="1"/>
    <col min="9737" max="9737" width="15.42578125" style="26" bestFit="1" customWidth="1"/>
    <col min="9738" max="9738" width="7.42578125" style="26" bestFit="1" customWidth="1"/>
    <col min="9739" max="9739" width="19.5703125" style="26" bestFit="1" customWidth="1"/>
    <col min="9740" max="9740" width="7.42578125" style="26" bestFit="1" customWidth="1"/>
    <col min="9741" max="9741" width="26.85546875" style="26" bestFit="1" customWidth="1"/>
    <col min="9742" max="9742" width="19.85546875" style="26" bestFit="1" customWidth="1"/>
    <col min="9743" max="9977" width="11.42578125" style="26"/>
    <col min="9978" max="9978" width="2.42578125" style="26" customWidth="1"/>
    <col min="9979" max="9979" width="49" style="26" customWidth="1"/>
    <col min="9980" max="9980" width="16.85546875" style="26" customWidth="1"/>
    <col min="9981" max="9981" width="1.140625" style="26" customWidth="1"/>
    <col min="9982" max="9982" width="20.5703125" style="26" customWidth="1"/>
    <col min="9983" max="9983" width="17.5703125" style="26" customWidth="1"/>
    <col min="9984" max="9984" width="18.140625" style="26" customWidth="1"/>
    <col min="9985" max="9985" width="17.140625" style="26" customWidth="1"/>
    <col min="9986" max="9986" width="22.42578125" style="26" bestFit="1" customWidth="1"/>
    <col min="9987" max="9987" width="22.140625" style="26" customWidth="1"/>
    <col min="9988" max="9988" width="17.85546875" style="26" customWidth="1"/>
    <col min="9989" max="9989" width="22.42578125" style="26" customWidth="1"/>
    <col min="9990" max="9990" width="10.140625" style="26" bestFit="1" customWidth="1"/>
    <col min="9991" max="9991" width="13.42578125" style="26" customWidth="1"/>
    <col min="9992" max="9992" width="7.42578125" style="26" bestFit="1" customWidth="1"/>
    <col min="9993" max="9993" width="15.42578125" style="26" bestFit="1" customWidth="1"/>
    <col min="9994" max="9994" width="7.42578125" style="26" bestFit="1" customWidth="1"/>
    <col min="9995" max="9995" width="19.5703125" style="26" bestFit="1" customWidth="1"/>
    <col min="9996" max="9996" width="7.42578125" style="26" bestFit="1" customWidth="1"/>
    <col min="9997" max="9997" width="26.85546875" style="26" bestFit="1" customWidth="1"/>
    <col min="9998" max="9998" width="19.85546875" style="26" bestFit="1" customWidth="1"/>
    <col min="9999" max="10233" width="11.42578125" style="26"/>
    <col min="10234" max="10234" width="2.42578125" style="26" customWidth="1"/>
    <col min="10235" max="10235" width="49" style="26" customWidth="1"/>
    <col min="10236" max="10236" width="16.85546875" style="26" customWidth="1"/>
    <col min="10237" max="10237" width="1.140625" style="26" customWidth="1"/>
    <col min="10238" max="10238" width="20.5703125" style="26" customWidth="1"/>
    <col min="10239" max="10239" width="17.5703125" style="26" customWidth="1"/>
    <col min="10240" max="10240" width="18.140625" style="26" customWidth="1"/>
    <col min="10241" max="10241" width="17.140625" style="26" customWidth="1"/>
    <col min="10242" max="10242" width="22.42578125" style="26" bestFit="1" customWidth="1"/>
    <col min="10243" max="10243" width="22.140625" style="26" customWidth="1"/>
    <col min="10244" max="10244" width="17.85546875" style="26" customWidth="1"/>
    <col min="10245" max="10245" width="22.42578125" style="26" customWidth="1"/>
    <col min="10246" max="10246" width="10.140625" style="26" bestFit="1" customWidth="1"/>
    <col min="10247" max="10247" width="13.42578125" style="26" customWidth="1"/>
    <col min="10248" max="10248" width="7.42578125" style="26" bestFit="1" customWidth="1"/>
    <col min="10249" max="10249" width="15.42578125" style="26" bestFit="1" customWidth="1"/>
    <col min="10250" max="10250" width="7.42578125" style="26" bestFit="1" customWidth="1"/>
    <col min="10251" max="10251" width="19.5703125" style="26" bestFit="1" customWidth="1"/>
    <col min="10252" max="10252" width="7.42578125" style="26" bestFit="1" customWidth="1"/>
    <col min="10253" max="10253" width="26.85546875" style="26" bestFit="1" customWidth="1"/>
    <col min="10254" max="10254" width="19.85546875" style="26" bestFit="1" customWidth="1"/>
    <col min="10255" max="10489" width="11.42578125" style="26"/>
    <col min="10490" max="10490" width="2.42578125" style="26" customWidth="1"/>
    <col min="10491" max="10491" width="49" style="26" customWidth="1"/>
    <col min="10492" max="10492" width="16.85546875" style="26" customWidth="1"/>
    <col min="10493" max="10493" width="1.140625" style="26" customWidth="1"/>
    <col min="10494" max="10494" width="20.5703125" style="26" customWidth="1"/>
    <col min="10495" max="10495" width="17.5703125" style="26" customWidth="1"/>
    <col min="10496" max="10496" width="18.140625" style="26" customWidth="1"/>
    <col min="10497" max="10497" width="17.140625" style="26" customWidth="1"/>
    <col min="10498" max="10498" width="22.42578125" style="26" bestFit="1" customWidth="1"/>
    <col min="10499" max="10499" width="22.140625" style="26" customWidth="1"/>
    <col min="10500" max="10500" width="17.85546875" style="26" customWidth="1"/>
    <col min="10501" max="10501" width="22.42578125" style="26" customWidth="1"/>
    <col min="10502" max="10502" width="10.140625" style="26" bestFit="1" customWidth="1"/>
    <col min="10503" max="10503" width="13.42578125" style="26" customWidth="1"/>
    <col min="10504" max="10504" width="7.42578125" style="26" bestFit="1" customWidth="1"/>
    <col min="10505" max="10505" width="15.42578125" style="26" bestFit="1" customWidth="1"/>
    <col min="10506" max="10506" width="7.42578125" style="26" bestFit="1" customWidth="1"/>
    <col min="10507" max="10507" width="19.5703125" style="26" bestFit="1" customWidth="1"/>
    <col min="10508" max="10508" width="7.42578125" style="26" bestFit="1" customWidth="1"/>
    <col min="10509" max="10509" width="26.85546875" style="26" bestFit="1" customWidth="1"/>
    <col min="10510" max="10510" width="19.85546875" style="26" bestFit="1" customWidth="1"/>
    <col min="10511" max="10745" width="11.42578125" style="26"/>
    <col min="10746" max="10746" width="2.42578125" style="26" customWidth="1"/>
    <col min="10747" max="10747" width="49" style="26" customWidth="1"/>
    <col min="10748" max="10748" width="16.85546875" style="26" customWidth="1"/>
    <col min="10749" max="10749" width="1.140625" style="26" customWidth="1"/>
    <col min="10750" max="10750" width="20.5703125" style="26" customWidth="1"/>
    <col min="10751" max="10751" width="17.5703125" style="26" customWidth="1"/>
    <col min="10752" max="10752" width="18.140625" style="26" customWidth="1"/>
    <col min="10753" max="10753" width="17.140625" style="26" customWidth="1"/>
    <col min="10754" max="10754" width="22.42578125" style="26" bestFit="1" customWidth="1"/>
    <col min="10755" max="10755" width="22.140625" style="26" customWidth="1"/>
    <col min="10756" max="10756" width="17.85546875" style="26" customWidth="1"/>
    <col min="10757" max="10757" width="22.42578125" style="26" customWidth="1"/>
    <col min="10758" max="10758" width="10.140625" style="26" bestFit="1" customWidth="1"/>
    <col min="10759" max="10759" width="13.42578125" style="26" customWidth="1"/>
    <col min="10760" max="10760" width="7.42578125" style="26" bestFit="1" customWidth="1"/>
    <col min="10761" max="10761" width="15.42578125" style="26" bestFit="1" customWidth="1"/>
    <col min="10762" max="10762" width="7.42578125" style="26" bestFit="1" customWidth="1"/>
    <col min="10763" max="10763" width="19.5703125" style="26" bestFit="1" customWidth="1"/>
    <col min="10764" max="10764" width="7.42578125" style="26" bestFit="1" customWidth="1"/>
    <col min="10765" max="10765" width="26.85546875" style="26" bestFit="1" customWidth="1"/>
    <col min="10766" max="10766" width="19.85546875" style="26" bestFit="1" customWidth="1"/>
    <col min="10767" max="11001" width="11.42578125" style="26"/>
    <col min="11002" max="11002" width="2.42578125" style="26" customWidth="1"/>
    <col min="11003" max="11003" width="49" style="26" customWidth="1"/>
    <col min="11004" max="11004" width="16.85546875" style="26" customWidth="1"/>
    <col min="11005" max="11005" width="1.140625" style="26" customWidth="1"/>
    <col min="11006" max="11006" width="20.5703125" style="26" customWidth="1"/>
    <col min="11007" max="11007" width="17.5703125" style="26" customWidth="1"/>
    <col min="11008" max="11008" width="18.140625" style="26" customWidth="1"/>
    <col min="11009" max="11009" width="17.140625" style="26" customWidth="1"/>
    <col min="11010" max="11010" width="22.42578125" style="26" bestFit="1" customWidth="1"/>
    <col min="11011" max="11011" width="22.140625" style="26" customWidth="1"/>
    <col min="11012" max="11012" width="17.85546875" style="26" customWidth="1"/>
    <col min="11013" max="11013" width="22.42578125" style="26" customWidth="1"/>
    <col min="11014" max="11014" width="10.140625" style="26" bestFit="1" customWidth="1"/>
    <col min="11015" max="11015" width="13.42578125" style="26" customWidth="1"/>
    <col min="11016" max="11016" width="7.42578125" style="26" bestFit="1" customWidth="1"/>
    <col min="11017" max="11017" width="15.42578125" style="26" bestFit="1" customWidth="1"/>
    <col min="11018" max="11018" width="7.42578125" style="26" bestFit="1" customWidth="1"/>
    <col min="11019" max="11019" width="19.5703125" style="26" bestFit="1" customWidth="1"/>
    <col min="11020" max="11020" width="7.42578125" style="26" bestFit="1" customWidth="1"/>
    <col min="11021" max="11021" width="26.85546875" style="26" bestFit="1" customWidth="1"/>
    <col min="11022" max="11022" width="19.85546875" style="26" bestFit="1" customWidth="1"/>
    <col min="11023" max="11257" width="11.42578125" style="26"/>
    <col min="11258" max="11258" width="2.42578125" style="26" customWidth="1"/>
    <col min="11259" max="11259" width="49" style="26" customWidth="1"/>
    <col min="11260" max="11260" width="16.85546875" style="26" customWidth="1"/>
    <col min="11261" max="11261" width="1.140625" style="26" customWidth="1"/>
    <col min="11262" max="11262" width="20.5703125" style="26" customWidth="1"/>
    <col min="11263" max="11263" width="17.5703125" style="26" customWidth="1"/>
    <col min="11264" max="11264" width="18.140625" style="26" customWidth="1"/>
    <col min="11265" max="11265" width="17.140625" style="26" customWidth="1"/>
    <col min="11266" max="11266" width="22.42578125" style="26" bestFit="1" customWidth="1"/>
    <col min="11267" max="11267" width="22.140625" style="26" customWidth="1"/>
    <col min="11268" max="11268" width="17.85546875" style="26" customWidth="1"/>
    <col min="11269" max="11269" width="22.42578125" style="26" customWidth="1"/>
    <col min="11270" max="11270" width="10.140625" style="26" bestFit="1" customWidth="1"/>
    <col min="11271" max="11271" width="13.42578125" style="26" customWidth="1"/>
    <col min="11272" max="11272" width="7.42578125" style="26" bestFit="1" customWidth="1"/>
    <col min="11273" max="11273" width="15.42578125" style="26" bestFit="1" customWidth="1"/>
    <col min="11274" max="11274" width="7.42578125" style="26" bestFit="1" customWidth="1"/>
    <col min="11275" max="11275" width="19.5703125" style="26" bestFit="1" customWidth="1"/>
    <col min="11276" max="11276" width="7.42578125" style="26" bestFit="1" customWidth="1"/>
    <col min="11277" max="11277" width="26.85546875" style="26" bestFit="1" customWidth="1"/>
    <col min="11278" max="11278" width="19.85546875" style="26" bestFit="1" customWidth="1"/>
    <col min="11279" max="11513" width="11.42578125" style="26"/>
    <col min="11514" max="11514" width="2.42578125" style="26" customWidth="1"/>
    <col min="11515" max="11515" width="49" style="26" customWidth="1"/>
    <col min="11516" max="11516" width="16.85546875" style="26" customWidth="1"/>
    <col min="11517" max="11517" width="1.140625" style="26" customWidth="1"/>
    <col min="11518" max="11518" width="20.5703125" style="26" customWidth="1"/>
    <col min="11519" max="11519" width="17.5703125" style="26" customWidth="1"/>
    <col min="11520" max="11520" width="18.140625" style="26" customWidth="1"/>
    <col min="11521" max="11521" width="17.140625" style="26" customWidth="1"/>
    <col min="11522" max="11522" width="22.42578125" style="26" bestFit="1" customWidth="1"/>
    <col min="11523" max="11523" width="22.140625" style="26" customWidth="1"/>
    <col min="11524" max="11524" width="17.85546875" style="26" customWidth="1"/>
    <col min="11525" max="11525" width="22.42578125" style="26" customWidth="1"/>
    <col min="11526" max="11526" width="10.140625" style="26" bestFit="1" customWidth="1"/>
    <col min="11527" max="11527" width="13.42578125" style="26" customWidth="1"/>
    <col min="11528" max="11528" width="7.42578125" style="26" bestFit="1" customWidth="1"/>
    <col min="11529" max="11529" width="15.42578125" style="26" bestFit="1" customWidth="1"/>
    <col min="11530" max="11530" width="7.42578125" style="26" bestFit="1" customWidth="1"/>
    <col min="11531" max="11531" width="19.5703125" style="26" bestFit="1" customWidth="1"/>
    <col min="11532" max="11532" width="7.42578125" style="26" bestFit="1" customWidth="1"/>
    <col min="11533" max="11533" width="26.85546875" style="26" bestFit="1" customWidth="1"/>
    <col min="11534" max="11534" width="19.85546875" style="26" bestFit="1" customWidth="1"/>
    <col min="11535" max="11769" width="11.42578125" style="26"/>
    <col min="11770" max="11770" width="2.42578125" style="26" customWidth="1"/>
    <col min="11771" max="11771" width="49" style="26" customWidth="1"/>
    <col min="11772" max="11772" width="16.85546875" style="26" customWidth="1"/>
    <col min="11773" max="11773" width="1.140625" style="26" customWidth="1"/>
    <col min="11774" max="11774" width="20.5703125" style="26" customWidth="1"/>
    <col min="11775" max="11775" width="17.5703125" style="26" customWidth="1"/>
    <col min="11776" max="11776" width="18.140625" style="26" customWidth="1"/>
    <col min="11777" max="11777" width="17.140625" style="26" customWidth="1"/>
    <col min="11778" max="11778" width="22.42578125" style="26" bestFit="1" customWidth="1"/>
    <col min="11779" max="11779" width="22.140625" style="26" customWidth="1"/>
    <col min="11780" max="11780" width="17.85546875" style="26" customWidth="1"/>
    <col min="11781" max="11781" width="22.42578125" style="26" customWidth="1"/>
    <col min="11782" max="11782" width="10.140625" style="26" bestFit="1" customWidth="1"/>
    <col min="11783" max="11783" width="13.42578125" style="26" customWidth="1"/>
    <col min="11784" max="11784" width="7.42578125" style="26" bestFit="1" customWidth="1"/>
    <col min="11785" max="11785" width="15.42578125" style="26" bestFit="1" customWidth="1"/>
    <col min="11786" max="11786" width="7.42578125" style="26" bestFit="1" customWidth="1"/>
    <col min="11787" max="11787" width="19.5703125" style="26" bestFit="1" customWidth="1"/>
    <col min="11788" max="11788" width="7.42578125" style="26" bestFit="1" customWidth="1"/>
    <col min="11789" max="11789" width="26.85546875" style="26" bestFit="1" customWidth="1"/>
    <col min="11790" max="11790" width="19.85546875" style="26" bestFit="1" customWidth="1"/>
    <col min="11791" max="12025" width="11.42578125" style="26"/>
    <col min="12026" max="12026" width="2.42578125" style="26" customWidth="1"/>
    <col min="12027" max="12027" width="49" style="26" customWidth="1"/>
    <col min="12028" max="12028" width="16.85546875" style="26" customWidth="1"/>
    <col min="12029" max="12029" width="1.140625" style="26" customWidth="1"/>
    <col min="12030" max="12030" width="20.5703125" style="26" customWidth="1"/>
    <col min="12031" max="12031" width="17.5703125" style="26" customWidth="1"/>
    <col min="12032" max="12032" width="18.140625" style="26" customWidth="1"/>
    <col min="12033" max="12033" width="17.140625" style="26" customWidth="1"/>
    <col min="12034" max="12034" width="22.42578125" style="26" bestFit="1" customWidth="1"/>
    <col min="12035" max="12035" width="22.140625" style="26" customWidth="1"/>
    <col min="12036" max="12036" width="17.85546875" style="26" customWidth="1"/>
    <col min="12037" max="12037" width="22.42578125" style="26" customWidth="1"/>
    <col min="12038" max="12038" width="10.140625" style="26" bestFit="1" customWidth="1"/>
    <col min="12039" max="12039" width="13.42578125" style="26" customWidth="1"/>
    <col min="12040" max="12040" width="7.42578125" style="26" bestFit="1" customWidth="1"/>
    <col min="12041" max="12041" width="15.42578125" style="26" bestFit="1" customWidth="1"/>
    <col min="12042" max="12042" width="7.42578125" style="26" bestFit="1" customWidth="1"/>
    <col min="12043" max="12043" width="19.5703125" style="26" bestFit="1" customWidth="1"/>
    <col min="12044" max="12044" width="7.42578125" style="26" bestFit="1" customWidth="1"/>
    <col min="12045" max="12045" width="26.85546875" style="26" bestFit="1" customWidth="1"/>
    <col min="12046" max="12046" width="19.85546875" style="26" bestFit="1" customWidth="1"/>
    <col min="12047" max="12281" width="11.42578125" style="26"/>
    <col min="12282" max="12282" width="2.42578125" style="26" customWidth="1"/>
    <col min="12283" max="12283" width="49" style="26" customWidth="1"/>
    <col min="12284" max="12284" width="16.85546875" style="26" customWidth="1"/>
    <col min="12285" max="12285" width="1.140625" style="26" customWidth="1"/>
    <col min="12286" max="12286" width="20.5703125" style="26" customWidth="1"/>
    <col min="12287" max="12287" width="17.5703125" style="26" customWidth="1"/>
    <col min="12288" max="12288" width="18.140625" style="26" customWidth="1"/>
    <col min="12289" max="12289" width="17.140625" style="26" customWidth="1"/>
    <col min="12290" max="12290" width="22.42578125" style="26" bestFit="1" customWidth="1"/>
    <col min="12291" max="12291" width="22.140625" style="26" customWidth="1"/>
    <col min="12292" max="12292" width="17.85546875" style="26" customWidth="1"/>
    <col min="12293" max="12293" width="22.42578125" style="26" customWidth="1"/>
    <col min="12294" max="12294" width="10.140625" style="26" bestFit="1" customWidth="1"/>
    <col min="12295" max="12295" width="13.42578125" style="26" customWidth="1"/>
    <col min="12296" max="12296" width="7.42578125" style="26" bestFit="1" customWidth="1"/>
    <col min="12297" max="12297" width="15.42578125" style="26" bestFit="1" customWidth="1"/>
    <col min="12298" max="12298" width="7.42578125" style="26" bestFit="1" customWidth="1"/>
    <col min="12299" max="12299" width="19.5703125" style="26" bestFit="1" customWidth="1"/>
    <col min="12300" max="12300" width="7.42578125" style="26" bestFit="1" customWidth="1"/>
    <col min="12301" max="12301" width="26.85546875" style="26" bestFit="1" customWidth="1"/>
    <col min="12302" max="12302" width="19.85546875" style="26" bestFit="1" customWidth="1"/>
    <col min="12303" max="12537" width="11.42578125" style="26"/>
    <col min="12538" max="12538" width="2.42578125" style="26" customWidth="1"/>
    <col min="12539" max="12539" width="49" style="26" customWidth="1"/>
    <col min="12540" max="12540" width="16.85546875" style="26" customWidth="1"/>
    <col min="12541" max="12541" width="1.140625" style="26" customWidth="1"/>
    <col min="12542" max="12542" width="20.5703125" style="26" customWidth="1"/>
    <col min="12543" max="12543" width="17.5703125" style="26" customWidth="1"/>
    <col min="12544" max="12544" width="18.140625" style="26" customWidth="1"/>
    <col min="12545" max="12545" width="17.140625" style="26" customWidth="1"/>
    <col min="12546" max="12546" width="22.42578125" style="26" bestFit="1" customWidth="1"/>
    <col min="12547" max="12547" width="22.140625" style="26" customWidth="1"/>
    <col min="12548" max="12548" width="17.85546875" style="26" customWidth="1"/>
    <col min="12549" max="12549" width="22.42578125" style="26" customWidth="1"/>
    <col min="12550" max="12550" width="10.140625" style="26" bestFit="1" customWidth="1"/>
    <col min="12551" max="12551" width="13.42578125" style="26" customWidth="1"/>
    <col min="12552" max="12552" width="7.42578125" style="26" bestFit="1" customWidth="1"/>
    <col min="12553" max="12553" width="15.42578125" style="26" bestFit="1" customWidth="1"/>
    <col min="12554" max="12554" width="7.42578125" style="26" bestFit="1" customWidth="1"/>
    <col min="12555" max="12555" width="19.5703125" style="26" bestFit="1" customWidth="1"/>
    <col min="12556" max="12556" width="7.42578125" style="26" bestFit="1" customWidth="1"/>
    <col min="12557" max="12557" width="26.85546875" style="26" bestFit="1" customWidth="1"/>
    <col min="12558" max="12558" width="19.85546875" style="26" bestFit="1" customWidth="1"/>
    <col min="12559" max="12793" width="11.42578125" style="26"/>
    <col min="12794" max="12794" width="2.42578125" style="26" customWidth="1"/>
    <col min="12795" max="12795" width="49" style="26" customWidth="1"/>
    <col min="12796" max="12796" width="16.85546875" style="26" customWidth="1"/>
    <col min="12797" max="12797" width="1.140625" style="26" customWidth="1"/>
    <col min="12798" max="12798" width="20.5703125" style="26" customWidth="1"/>
    <col min="12799" max="12799" width="17.5703125" style="26" customWidth="1"/>
    <col min="12800" max="12800" width="18.140625" style="26" customWidth="1"/>
    <col min="12801" max="12801" width="17.140625" style="26" customWidth="1"/>
    <col min="12802" max="12802" width="22.42578125" style="26" bestFit="1" customWidth="1"/>
    <col min="12803" max="12803" width="22.140625" style="26" customWidth="1"/>
    <col min="12804" max="12804" width="17.85546875" style="26" customWidth="1"/>
    <col min="12805" max="12805" width="22.42578125" style="26" customWidth="1"/>
    <col min="12806" max="12806" width="10.140625" style="26" bestFit="1" customWidth="1"/>
    <col min="12807" max="12807" width="13.42578125" style="26" customWidth="1"/>
    <col min="12808" max="12808" width="7.42578125" style="26" bestFit="1" customWidth="1"/>
    <col min="12809" max="12809" width="15.42578125" style="26" bestFit="1" customWidth="1"/>
    <col min="12810" max="12810" width="7.42578125" style="26" bestFit="1" customWidth="1"/>
    <col min="12811" max="12811" width="19.5703125" style="26" bestFit="1" customWidth="1"/>
    <col min="12812" max="12812" width="7.42578125" style="26" bestFit="1" customWidth="1"/>
    <col min="12813" max="12813" width="26.85546875" style="26" bestFit="1" customWidth="1"/>
    <col min="12814" max="12814" width="19.85546875" style="26" bestFit="1" customWidth="1"/>
    <col min="12815" max="13049" width="11.42578125" style="26"/>
    <col min="13050" max="13050" width="2.42578125" style="26" customWidth="1"/>
    <col min="13051" max="13051" width="49" style="26" customWidth="1"/>
    <col min="13052" max="13052" width="16.85546875" style="26" customWidth="1"/>
    <col min="13053" max="13053" width="1.140625" style="26" customWidth="1"/>
    <col min="13054" max="13054" width="20.5703125" style="26" customWidth="1"/>
    <col min="13055" max="13055" width="17.5703125" style="26" customWidth="1"/>
    <col min="13056" max="13056" width="18.140625" style="26" customWidth="1"/>
    <col min="13057" max="13057" width="17.140625" style="26" customWidth="1"/>
    <col min="13058" max="13058" width="22.42578125" style="26" bestFit="1" customWidth="1"/>
    <col min="13059" max="13059" width="22.140625" style="26" customWidth="1"/>
    <col min="13060" max="13060" width="17.85546875" style="26" customWidth="1"/>
    <col min="13061" max="13061" width="22.42578125" style="26" customWidth="1"/>
    <col min="13062" max="13062" width="10.140625" style="26" bestFit="1" customWidth="1"/>
    <col min="13063" max="13063" width="13.42578125" style="26" customWidth="1"/>
    <col min="13064" max="13064" width="7.42578125" style="26" bestFit="1" customWidth="1"/>
    <col min="13065" max="13065" width="15.42578125" style="26" bestFit="1" customWidth="1"/>
    <col min="13066" max="13066" width="7.42578125" style="26" bestFit="1" customWidth="1"/>
    <col min="13067" max="13067" width="19.5703125" style="26" bestFit="1" customWidth="1"/>
    <col min="13068" max="13068" width="7.42578125" style="26" bestFit="1" customWidth="1"/>
    <col min="13069" max="13069" width="26.85546875" style="26" bestFit="1" customWidth="1"/>
    <col min="13070" max="13070" width="19.85546875" style="26" bestFit="1" customWidth="1"/>
    <col min="13071" max="13305" width="11.42578125" style="26"/>
    <col min="13306" max="13306" width="2.42578125" style="26" customWidth="1"/>
    <col min="13307" max="13307" width="49" style="26" customWidth="1"/>
    <col min="13308" max="13308" width="16.85546875" style="26" customWidth="1"/>
    <col min="13309" max="13309" width="1.140625" style="26" customWidth="1"/>
    <col min="13310" max="13310" width="20.5703125" style="26" customWidth="1"/>
    <col min="13311" max="13311" width="17.5703125" style="26" customWidth="1"/>
    <col min="13312" max="13312" width="18.140625" style="26" customWidth="1"/>
    <col min="13313" max="13313" width="17.140625" style="26" customWidth="1"/>
    <col min="13314" max="13314" width="22.42578125" style="26" bestFit="1" customWidth="1"/>
    <col min="13315" max="13315" width="22.140625" style="26" customWidth="1"/>
    <col min="13316" max="13316" width="17.85546875" style="26" customWidth="1"/>
    <col min="13317" max="13317" width="22.42578125" style="26" customWidth="1"/>
    <col min="13318" max="13318" width="10.140625" style="26" bestFit="1" customWidth="1"/>
    <col min="13319" max="13319" width="13.42578125" style="26" customWidth="1"/>
    <col min="13320" max="13320" width="7.42578125" style="26" bestFit="1" customWidth="1"/>
    <col min="13321" max="13321" width="15.42578125" style="26" bestFit="1" customWidth="1"/>
    <col min="13322" max="13322" width="7.42578125" style="26" bestFit="1" customWidth="1"/>
    <col min="13323" max="13323" width="19.5703125" style="26" bestFit="1" customWidth="1"/>
    <col min="13324" max="13324" width="7.42578125" style="26" bestFit="1" customWidth="1"/>
    <col min="13325" max="13325" width="26.85546875" style="26" bestFit="1" customWidth="1"/>
    <col min="13326" max="13326" width="19.85546875" style="26" bestFit="1" customWidth="1"/>
    <col min="13327" max="13561" width="11.42578125" style="26"/>
    <col min="13562" max="13562" width="2.42578125" style="26" customWidth="1"/>
    <col min="13563" max="13563" width="49" style="26" customWidth="1"/>
    <col min="13564" max="13564" width="16.85546875" style="26" customWidth="1"/>
    <col min="13565" max="13565" width="1.140625" style="26" customWidth="1"/>
    <col min="13566" max="13566" width="20.5703125" style="26" customWidth="1"/>
    <col min="13567" max="13567" width="17.5703125" style="26" customWidth="1"/>
    <col min="13568" max="13568" width="18.140625" style="26" customWidth="1"/>
    <col min="13569" max="13569" width="17.140625" style="26" customWidth="1"/>
    <col min="13570" max="13570" width="22.42578125" style="26" bestFit="1" customWidth="1"/>
    <col min="13571" max="13571" width="22.140625" style="26" customWidth="1"/>
    <col min="13572" max="13572" width="17.85546875" style="26" customWidth="1"/>
    <col min="13573" max="13573" width="22.42578125" style="26" customWidth="1"/>
    <col min="13574" max="13574" width="10.140625" style="26" bestFit="1" customWidth="1"/>
    <col min="13575" max="13575" width="13.42578125" style="26" customWidth="1"/>
    <col min="13576" max="13576" width="7.42578125" style="26" bestFit="1" customWidth="1"/>
    <col min="13577" max="13577" width="15.42578125" style="26" bestFit="1" customWidth="1"/>
    <col min="13578" max="13578" width="7.42578125" style="26" bestFit="1" customWidth="1"/>
    <col min="13579" max="13579" width="19.5703125" style="26" bestFit="1" customWidth="1"/>
    <col min="13580" max="13580" width="7.42578125" style="26" bestFit="1" customWidth="1"/>
    <col min="13581" max="13581" width="26.85546875" style="26" bestFit="1" customWidth="1"/>
    <col min="13582" max="13582" width="19.85546875" style="26" bestFit="1" customWidth="1"/>
    <col min="13583" max="13817" width="11.42578125" style="26"/>
    <col min="13818" max="13818" width="2.42578125" style="26" customWidth="1"/>
    <col min="13819" max="13819" width="49" style="26" customWidth="1"/>
    <col min="13820" max="13820" width="16.85546875" style="26" customWidth="1"/>
    <col min="13821" max="13821" width="1.140625" style="26" customWidth="1"/>
    <col min="13822" max="13822" width="20.5703125" style="26" customWidth="1"/>
    <col min="13823" max="13823" width="17.5703125" style="26" customWidth="1"/>
    <col min="13824" max="13824" width="18.140625" style="26" customWidth="1"/>
    <col min="13825" max="13825" width="17.140625" style="26" customWidth="1"/>
    <col min="13826" max="13826" width="22.42578125" style="26" bestFit="1" customWidth="1"/>
    <col min="13827" max="13827" width="22.140625" style="26" customWidth="1"/>
    <col min="13828" max="13828" width="17.85546875" style="26" customWidth="1"/>
    <col min="13829" max="13829" width="22.42578125" style="26" customWidth="1"/>
    <col min="13830" max="13830" width="10.140625" style="26" bestFit="1" customWidth="1"/>
    <col min="13831" max="13831" width="13.42578125" style="26" customWidth="1"/>
    <col min="13832" max="13832" width="7.42578125" style="26" bestFit="1" customWidth="1"/>
    <col min="13833" max="13833" width="15.42578125" style="26" bestFit="1" customWidth="1"/>
    <col min="13834" max="13834" width="7.42578125" style="26" bestFit="1" customWidth="1"/>
    <col min="13835" max="13835" width="19.5703125" style="26" bestFit="1" customWidth="1"/>
    <col min="13836" max="13836" width="7.42578125" style="26" bestFit="1" customWidth="1"/>
    <col min="13837" max="13837" width="26.85546875" style="26" bestFit="1" customWidth="1"/>
    <col min="13838" max="13838" width="19.85546875" style="26" bestFit="1" customWidth="1"/>
    <col min="13839" max="14073" width="11.42578125" style="26"/>
    <col min="14074" max="14074" width="2.42578125" style="26" customWidth="1"/>
    <col min="14075" max="14075" width="49" style="26" customWidth="1"/>
    <col min="14076" max="14076" width="16.85546875" style="26" customWidth="1"/>
    <col min="14077" max="14077" width="1.140625" style="26" customWidth="1"/>
    <col min="14078" max="14078" width="20.5703125" style="26" customWidth="1"/>
    <col min="14079" max="14079" width="17.5703125" style="26" customWidth="1"/>
    <col min="14080" max="14080" width="18.140625" style="26" customWidth="1"/>
    <col min="14081" max="14081" width="17.140625" style="26" customWidth="1"/>
    <col min="14082" max="14082" width="22.42578125" style="26" bestFit="1" customWidth="1"/>
    <col min="14083" max="14083" width="22.140625" style="26" customWidth="1"/>
    <col min="14084" max="14084" width="17.85546875" style="26" customWidth="1"/>
    <col min="14085" max="14085" width="22.42578125" style="26" customWidth="1"/>
    <col min="14086" max="14086" width="10.140625" style="26" bestFit="1" customWidth="1"/>
    <col min="14087" max="14087" width="13.42578125" style="26" customWidth="1"/>
    <col min="14088" max="14088" width="7.42578125" style="26" bestFit="1" customWidth="1"/>
    <col min="14089" max="14089" width="15.42578125" style="26" bestFit="1" customWidth="1"/>
    <col min="14090" max="14090" width="7.42578125" style="26" bestFit="1" customWidth="1"/>
    <col min="14091" max="14091" width="19.5703125" style="26" bestFit="1" customWidth="1"/>
    <col min="14092" max="14092" width="7.42578125" style="26" bestFit="1" customWidth="1"/>
    <col min="14093" max="14093" width="26.85546875" style="26" bestFit="1" customWidth="1"/>
    <col min="14094" max="14094" width="19.85546875" style="26" bestFit="1" customWidth="1"/>
    <col min="14095" max="14329" width="11.42578125" style="26"/>
    <col min="14330" max="14330" width="2.42578125" style="26" customWidth="1"/>
    <col min="14331" max="14331" width="49" style="26" customWidth="1"/>
    <col min="14332" max="14332" width="16.85546875" style="26" customWidth="1"/>
    <col min="14333" max="14333" width="1.140625" style="26" customWidth="1"/>
    <col min="14334" max="14334" width="20.5703125" style="26" customWidth="1"/>
    <col min="14335" max="14335" width="17.5703125" style="26" customWidth="1"/>
    <col min="14336" max="14336" width="18.140625" style="26" customWidth="1"/>
    <col min="14337" max="14337" width="17.140625" style="26" customWidth="1"/>
    <col min="14338" max="14338" width="22.42578125" style="26" bestFit="1" customWidth="1"/>
    <col min="14339" max="14339" width="22.140625" style="26" customWidth="1"/>
    <col min="14340" max="14340" width="17.85546875" style="26" customWidth="1"/>
    <col min="14341" max="14341" width="22.42578125" style="26" customWidth="1"/>
    <col min="14342" max="14342" width="10.140625" style="26" bestFit="1" customWidth="1"/>
    <col min="14343" max="14343" width="13.42578125" style="26" customWidth="1"/>
    <col min="14344" max="14344" width="7.42578125" style="26" bestFit="1" customWidth="1"/>
    <col min="14345" max="14345" width="15.42578125" style="26" bestFit="1" customWidth="1"/>
    <col min="14346" max="14346" width="7.42578125" style="26" bestFit="1" customWidth="1"/>
    <col min="14347" max="14347" width="19.5703125" style="26" bestFit="1" customWidth="1"/>
    <col min="14348" max="14348" width="7.42578125" style="26" bestFit="1" customWidth="1"/>
    <col min="14349" max="14349" width="26.85546875" style="26" bestFit="1" customWidth="1"/>
    <col min="14350" max="14350" width="19.85546875" style="26" bestFit="1" customWidth="1"/>
    <col min="14351" max="14585" width="11.42578125" style="26"/>
    <col min="14586" max="14586" width="2.42578125" style="26" customWidth="1"/>
    <col min="14587" max="14587" width="49" style="26" customWidth="1"/>
    <col min="14588" max="14588" width="16.85546875" style="26" customWidth="1"/>
    <col min="14589" max="14589" width="1.140625" style="26" customWidth="1"/>
    <col min="14590" max="14590" width="20.5703125" style="26" customWidth="1"/>
    <col min="14591" max="14591" width="17.5703125" style="26" customWidth="1"/>
    <col min="14592" max="14592" width="18.140625" style="26" customWidth="1"/>
    <col min="14593" max="14593" width="17.140625" style="26" customWidth="1"/>
    <col min="14594" max="14594" width="22.42578125" style="26" bestFit="1" customWidth="1"/>
    <col min="14595" max="14595" width="22.140625" style="26" customWidth="1"/>
    <col min="14596" max="14596" width="17.85546875" style="26" customWidth="1"/>
    <col min="14597" max="14597" width="22.42578125" style="26" customWidth="1"/>
    <col min="14598" max="14598" width="10.140625" style="26" bestFit="1" customWidth="1"/>
    <col min="14599" max="14599" width="13.42578125" style="26" customWidth="1"/>
    <col min="14600" max="14600" width="7.42578125" style="26" bestFit="1" customWidth="1"/>
    <col min="14601" max="14601" width="15.42578125" style="26" bestFit="1" customWidth="1"/>
    <col min="14602" max="14602" width="7.42578125" style="26" bestFit="1" customWidth="1"/>
    <col min="14603" max="14603" width="19.5703125" style="26" bestFit="1" customWidth="1"/>
    <col min="14604" max="14604" width="7.42578125" style="26" bestFit="1" customWidth="1"/>
    <col min="14605" max="14605" width="26.85546875" style="26" bestFit="1" customWidth="1"/>
    <col min="14606" max="14606" width="19.85546875" style="26" bestFit="1" customWidth="1"/>
    <col min="14607" max="14841" width="11.42578125" style="26"/>
    <col min="14842" max="14842" width="2.42578125" style="26" customWidth="1"/>
    <col min="14843" max="14843" width="49" style="26" customWidth="1"/>
    <col min="14844" max="14844" width="16.85546875" style="26" customWidth="1"/>
    <col min="14845" max="14845" width="1.140625" style="26" customWidth="1"/>
    <col min="14846" max="14846" width="20.5703125" style="26" customWidth="1"/>
    <col min="14847" max="14847" width="17.5703125" style="26" customWidth="1"/>
    <col min="14848" max="14848" width="18.140625" style="26" customWidth="1"/>
    <col min="14849" max="14849" width="17.140625" style="26" customWidth="1"/>
    <col min="14850" max="14850" width="22.42578125" style="26" bestFit="1" customWidth="1"/>
    <col min="14851" max="14851" width="22.140625" style="26" customWidth="1"/>
    <col min="14852" max="14852" width="17.85546875" style="26" customWidth="1"/>
    <col min="14853" max="14853" width="22.42578125" style="26" customWidth="1"/>
    <col min="14854" max="14854" width="10.140625" style="26" bestFit="1" customWidth="1"/>
    <col min="14855" max="14855" width="13.42578125" style="26" customWidth="1"/>
    <col min="14856" max="14856" width="7.42578125" style="26" bestFit="1" customWidth="1"/>
    <col min="14857" max="14857" width="15.42578125" style="26" bestFit="1" customWidth="1"/>
    <col min="14858" max="14858" width="7.42578125" style="26" bestFit="1" customWidth="1"/>
    <col min="14859" max="14859" width="19.5703125" style="26" bestFit="1" customWidth="1"/>
    <col min="14860" max="14860" width="7.42578125" style="26" bestFit="1" customWidth="1"/>
    <col min="14861" max="14861" width="26.85546875" style="26" bestFit="1" customWidth="1"/>
    <col min="14862" max="14862" width="19.85546875" style="26" bestFit="1" customWidth="1"/>
    <col min="14863" max="15097" width="11.42578125" style="26"/>
    <col min="15098" max="15098" width="2.42578125" style="26" customWidth="1"/>
    <col min="15099" max="15099" width="49" style="26" customWidth="1"/>
    <col min="15100" max="15100" width="16.85546875" style="26" customWidth="1"/>
    <col min="15101" max="15101" width="1.140625" style="26" customWidth="1"/>
    <col min="15102" max="15102" width="20.5703125" style="26" customWidth="1"/>
    <col min="15103" max="15103" width="17.5703125" style="26" customWidth="1"/>
    <col min="15104" max="15104" width="18.140625" style="26" customWidth="1"/>
    <col min="15105" max="15105" width="17.140625" style="26" customWidth="1"/>
    <col min="15106" max="15106" width="22.42578125" style="26" bestFit="1" customWidth="1"/>
    <col min="15107" max="15107" width="22.140625" style="26" customWidth="1"/>
    <col min="15108" max="15108" width="17.85546875" style="26" customWidth="1"/>
    <col min="15109" max="15109" width="22.42578125" style="26" customWidth="1"/>
    <col min="15110" max="15110" width="10.140625" style="26" bestFit="1" customWidth="1"/>
    <col min="15111" max="15111" width="13.42578125" style="26" customWidth="1"/>
    <col min="15112" max="15112" width="7.42578125" style="26" bestFit="1" customWidth="1"/>
    <col min="15113" max="15113" width="15.42578125" style="26" bestFit="1" customWidth="1"/>
    <col min="15114" max="15114" width="7.42578125" style="26" bestFit="1" customWidth="1"/>
    <col min="15115" max="15115" width="19.5703125" style="26" bestFit="1" customWidth="1"/>
    <col min="15116" max="15116" width="7.42578125" style="26" bestFit="1" customWidth="1"/>
    <col min="15117" max="15117" width="26.85546875" style="26" bestFit="1" customWidth="1"/>
    <col min="15118" max="15118" width="19.85546875" style="26" bestFit="1" customWidth="1"/>
    <col min="15119" max="15353" width="11.42578125" style="26"/>
    <col min="15354" max="15354" width="2.42578125" style="26" customWidth="1"/>
    <col min="15355" max="15355" width="49" style="26" customWidth="1"/>
    <col min="15356" max="15356" width="16.85546875" style="26" customWidth="1"/>
    <col min="15357" max="15357" width="1.140625" style="26" customWidth="1"/>
    <col min="15358" max="15358" width="20.5703125" style="26" customWidth="1"/>
    <col min="15359" max="15359" width="17.5703125" style="26" customWidth="1"/>
    <col min="15360" max="15360" width="18.140625" style="26" customWidth="1"/>
    <col min="15361" max="15361" width="17.140625" style="26" customWidth="1"/>
    <col min="15362" max="15362" width="22.42578125" style="26" bestFit="1" customWidth="1"/>
    <col min="15363" max="15363" width="22.140625" style="26" customWidth="1"/>
    <col min="15364" max="15364" width="17.85546875" style="26" customWidth="1"/>
    <col min="15365" max="15365" width="22.42578125" style="26" customWidth="1"/>
    <col min="15366" max="15366" width="10.140625" style="26" bestFit="1" customWidth="1"/>
    <col min="15367" max="15367" width="13.42578125" style="26" customWidth="1"/>
    <col min="15368" max="15368" width="7.42578125" style="26" bestFit="1" customWidth="1"/>
    <col min="15369" max="15369" width="15.42578125" style="26" bestFit="1" customWidth="1"/>
    <col min="15370" max="15370" width="7.42578125" style="26" bestFit="1" customWidth="1"/>
    <col min="15371" max="15371" width="19.5703125" style="26" bestFit="1" customWidth="1"/>
    <col min="15372" max="15372" width="7.42578125" style="26" bestFit="1" customWidth="1"/>
    <col min="15373" max="15373" width="26.85546875" style="26" bestFit="1" customWidth="1"/>
    <col min="15374" max="15374" width="19.85546875" style="26" bestFit="1" customWidth="1"/>
    <col min="15375" max="15609" width="11.42578125" style="26"/>
    <col min="15610" max="15610" width="2.42578125" style="26" customWidth="1"/>
    <col min="15611" max="15611" width="49" style="26" customWidth="1"/>
    <col min="15612" max="15612" width="16.85546875" style="26" customWidth="1"/>
    <col min="15613" max="15613" width="1.140625" style="26" customWidth="1"/>
    <col min="15614" max="15614" width="20.5703125" style="26" customWidth="1"/>
    <col min="15615" max="15615" width="17.5703125" style="26" customWidth="1"/>
    <col min="15616" max="15616" width="18.140625" style="26" customWidth="1"/>
    <col min="15617" max="15617" width="17.140625" style="26" customWidth="1"/>
    <col min="15618" max="15618" width="22.42578125" style="26" bestFit="1" customWidth="1"/>
    <col min="15619" max="15619" width="22.140625" style="26" customWidth="1"/>
    <col min="15620" max="15620" width="17.85546875" style="26" customWidth="1"/>
    <col min="15621" max="15621" width="22.42578125" style="26" customWidth="1"/>
    <col min="15622" max="15622" width="10.140625" style="26" bestFit="1" customWidth="1"/>
    <col min="15623" max="15623" width="13.42578125" style="26" customWidth="1"/>
    <col min="15624" max="15624" width="7.42578125" style="26" bestFit="1" customWidth="1"/>
    <col min="15625" max="15625" width="15.42578125" style="26" bestFit="1" customWidth="1"/>
    <col min="15626" max="15626" width="7.42578125" style="26" bestFit="1" customWidth="1"/>
    <col min="15627" max="15627" width="19.5703125" style="26" bestFit="1" customWidth="1"/>
    <col min="15628" max="15628" width="7.42578125" style="26" bestFit="1" customWidth="1"/>
    <col min="15629" max="15629" width="26.85546875" style="26" bestFit="1" customWidth="1"/>
    <col min="15630" max="15630" width="19.85546875" style="26" bestFit="1" customWidth="1"/>
    <col min="15631" max="15865" width="11.42578125" style="26"/>
    <col min="15866" max="15866" width="2.42578125" style="26" customWidth="1"/>
    <col min="15867" max="15867" width="49" style="26" customWidth="1"/>
    <col min="15868" max="15868" width="16.85546875" style="26" customWidth="1"/>
    <col min="15869" max="15869" width="1.140625" style="26" customWidth="1"/>
    <col min="15870" max="15870" width="20.5703125" style="26" customWidth="1"/>
    <col min="15871" max="15871" width="17.5703125" style="26" customWidth="1"/>
    <col min="15872" max="15872" width="18.140625" style="26" customWidth="1"/>
    <col min="15873" max="15873" width="17.140625" style="26" customWidth="1"/>
    <col min="15874" max="15874" width="22.42578125" style="26" bestFit="1" customWidth="1"/>
    <col min="15875" max="15875" width="22.140625" style="26" customWidth="1"/>
    <col min="15876" max="15876" width="17.85546875" style="26" customWidth="1"/>
    <col min="15877" max="15877" width="22.42578125" style="26" customWidth="1"/>
    <col min="15878" max="15878" width="10.140625" style="26" bestFit="1" customWidth="1"/>
    <col min="15879" max="15879" width="13.42578125" style="26" customWidth="1"/>
    <col min="15880" max="15880" width="7.42578125" style="26" bestFit="1" customWidth="1"/>
    <col min="15881" max="15881" width="15.42578125" style="26" bestFit="1" customWidth="1"/>
    <col min="15882" max="15882" width="7.42578125" style="26" bestFit="1" customWidth="1"/>
    <col min="15883" max="15883" width="19.5703125" style="26" bestFit="1" customWidth="1"/>
    <col min="15884" max="15884" width="7.42578125" style="26" bestFit="1" customWidth="1"/>
    <col min="15885" max="15885" width="26.85546875" style="26" bestFit="1" customWidth="1"/>
    <col min="15886" max="15886" width="19.85546875" style="26" bestFit="1" customWidth="1"/>
    <col min="15887" max="16121" width="11.42578125" style="26"/>
    <col min="16122" max="16122" width="2.42578125" style="26" customWidth="1"/>
    <col min="16123" max="16123" width="49" style="26" customWidth="1"/>
    <col min="16124" max="16124" width="16.85546875" style="26" customWidth="1"/>
    <col min="16125" max="16125" width="1.140625" style="26" customWidth="1"/>
    <col min="16126" max="16126" width="20.5703125" style="26" customWidth="1"/>
    <col min="16127" max="16127" width="17.5703125" style="26" customWidth="1"/>
    <col min="16128" max="16128" width="18.140625" style="26" customWidth="1"/>
    <col min="16129" max="16129" width="17.140625" style="26" customWidth="1"/>
    <col min="16130" max="16130" width="22.42578125" style="26" bestFit="1" customWidth="1"/>
    <col min="16131" max="16131" width="22.140625" style="26" customWidth="1"/>
    <col min="16132" max="16132" width="17.85546875" style="26" customWidth="1"/>
    <col min="16133" max="16133" width="22.42578125" style="26" customWidth="1"/>
    <col min="16134" max="16134" width="10.140625" style="26" bestFit="1" customWidth="1"/>
    <col min="16135" max="16135" width="13.42578125" style="26" customWidth="1"/>
    <col min="16136" max="16136" width="7.42578125" style="26" bestFit="1" customWidth="1"/>
    <col min="16137" max="16137" width="15.42578125" style="26" bestFit="1" customWidth="1"/>
    <col min="16138" max="16138" width="7.42578125" style="26" bestFit="1" customWidth="1"/>
    <col min="16139" max="16139" width="19.5703125" style="26" bestFit="1" customWidth="1"/>
    <col min="16140" max="16140" width="7.42578125" style="26" bestFit="1" customWidth="1"/>
    <col min="16141" max="16141" width="26.85546875" style="26" bestFit="1" customWidth="1"/>
    <col min="16142" max="16142" width="19.85546875" style="26" bestFit="1" customWidth="1"/>
    <col min="16143" max="16384" width="11.42578125" style="26"/>
  </cols>
  <sheetData>
    <row r="3" spans="3:14" s="27" customFormat="1" ht="13.5" customHeight="1">
      <c r="C3" s="148"/>
      <c r="D3" s="148"/>
      <c r="E3" s="148"/>
      <c r="F3" s="148"/>
      <c r="G3" s="148"/>
      <c r="H3" s="148"/>
      <c r="I3" s="148"/>
    </row>
    <row r="4" spans="3:14" s="27" customFormat="1" ht="15">
      <c r="F4" s="333"/>
      <c r="H4" s="144"/>
      <c r="I4" s="148"/>
    </row>
    <row r="5" spans="3:14" s="27" customFormat="1" ht="15">
      <c r="F5" s="333"/>
      <c r="H5" s="144"/>
      <c r="I5" s="148"/>
    </row>
    <row r="6" spans="3:14" s="27" customFormat="1" ht="15">
      <c r="F6" s="333"/>
      <c r="H6" s="144"/>
      <c r="I6" s="148"/>
    </row>
    <row r="7" spans="3:14" s="27" customFormat="1" ht="13.5" customHeight="1">
      <c r="I7" s="148"/>
    </row>
    <row r="8" spans="3:14" ht="15.75">
      <c r="C8" s="1132" t="s">
        <v>724</v>
      </c>
      <c r="D8" s="1133"/>
      <c r="E8" s="1133"/>
      <c r="F8" s="1133"/>
      <c r="G8" s="1133"/>
      <c r="H8" s="1134"/>
      <c r="I8" s="148"/>
      <c r="J8" s="31"/>
    </row>
    <row r="9" spans="3:14" ht="16.5">
      <c r="C9" s="28"/>
      <c r="D9" s="28"/>
      <c r="E9" s="28"/>
      <c r="F9" s="29"/>
      <c r="G9" s="29"/>
      <c r="H9" s="30"/>
      <c r="I9" s="148"/>
      <c r="J9" s="31"/>
    </row>
    <row r="10" spans="3:14" ht="9.75" customHeight="1">
      <c r="C10" s="28"/>
      <c r="D10" s="28"/>
      <c r="E10" s="28"/>
      <c r="F10" s="1131" t="s">
        <v>85</v>
      </c>
      <c r="H10" s="1131" t="s">
        <v>90</v>
      </c>
      <c r="J10" s="31"/>
      <c r="N10" s="32"/>
    </row>
    <row r="11" spans="3:14" ht="9.75" customHeight="1">
      <c r="C11" s="28"/>
      <c r="D11" s="28"/>
      <c r="E11" s="33"/>
      <c r="F11" s="1131"/>
      <c r="H11" s="1131"/>
      <c r="J11" s="34"/>
      <c r="N11" s="35"/>
    </row>
    <row r="12" spans="3:14" ht="16.5">
      <c r="C12" s="28"/>
      <c r="D12" s="28"/>
      <c r="E12" s="36"/>
      <c r="F12" s="37"/>
      <c r="H12" s="37" t="s">
        <v>1302</v>
      </c>
      <c r="N12" s="35"/>
    </row>
    <row r="13" spans="3:14" ht="9.75" customHeight="1">
      <c r="N13" s="35"/>
    </row>
    <row r="14" spans="3:14" s="38" customFormat="1">
      <c r="C14" s="628" t="s">
        <v>736</v>
      </c>
      <c r="F14" s="39"/>
      <c r="H14" s="39"/>
    </row>
    <row r="15" spans="3:14" s="38" customFormat="1">
      <c r="F15" s="39"/>
      <c r="H15" s="39"/>
    </row>
    <row r="16" spans="3:14">
      <c r="C16" s="40"/>
      <c r="D16" s="41"/>
      <c r="E16" s="41"/>
      <c r="F16" s="103"/>
      <c r="G16" s="176"/>
      <c r="H16" s="103"/>
      <c r="I16" s="42"/>
      <c r="J16" s="41"/>
    </row>
    <row r="17" spans="3:12">
      <c r="C17" s="44"/>
      <c r="D17" s="45"/>
      <c r="E17" s="46"/>
      <c r="F17" s="80"/>
      <c r="G17" s="176"/>
      <c r="H17" s="80"/>
      <c r="I17" s="48"/>
      <c r="J17" s="50"/>
    </row>
    <row r="18" spans="3:12" ht="15">
      <c r="C18" s="44"/>
      <c r="D18" s="45"/>
      <c r="E18" s="46"/>
      <c r="F18" s="83"/>
      <c r="G18" s="177"/>
      <c r="H18" s="83"/>
      <c r="I18" s="48"/>
      <c r="J18" s="50"/>
    </row>
    <row r="19" spans="3:12">
      <c r="F19" s="175"/>
      <c r="G19" s="175"/>
      <c r="H19" s="175"/>
      <c r="I19" s="51"/>
    </row>
    <row r="20" spans="3:12" s="52" customFormat="1">
      <c r="C20" s="627" t="s">
        <v>737</v>
      </c>
      <c r="F20" s="70"/>
      <c r="G20" s="70"/>
      <c r="H20" s="70"/>
      <c r="I20" s="53"/>
    </row>
    <row r="21" spans="3:12" s="56" customFormat="1" ht="7.5" customHeight="1">
      <c r="C21" s="55"/>
      <c r="F21" s="175"/>
      <c r="G21" s="175"/>
      <c r="H21" s="175"/>
      <c r="I21" s="57"/>
    </row>
    <row r="22" spans="3:12" s="62" customFormat="1">
      <c r="C22" s="40"/>
      <c r="D22" s="58"/>
      <c r="E22" s="59"/>
      <c r="F22" s="657"/>
      <c r="G22" s="60"/>
      <c r="H22" s="657"/>
      <c r="I22" s="61"/>
    </row>
    <row r="23" spans="3:12" s="62" customFormat="1">
      <c r="C23" s="161"/>
      <c r="D23" s="58"/>
      <c r="E23" s="59"/>
      <c r="F23" s="159"/>
      <c r="G23" s="60"/>
      <c r="H23" s="159"/>
      <c r="I23" s="61"/>
    </row>
    <row r="24" spans="3:12" s="62" customFormat="1">
      <c r="C24" s="162"/>
      <c r="D24" s="58"/>
      <c r="E24" s="59"/>
      <c r="F24" s="159"/>
      <c r="G24" s="60"/>
      <c r="H24" s="159"/>
      <c r="I24" s="61"/>
    </row>
    <row r="25" spans="3:12" s="62" customFormat="1">
      <c r="C25" s="163"/>
      <c r="D25" s="58"/>
      <c r="E25" s="59"/>
      <c r="F25" s="159"/>
      <c r="G25" s="60"/>
      <c r="H25" s="159"/>
      <c r="I25" s="61"/>
    </row>
    <row r="26" spans="3:12" s="62" customFormat="1">
      <c r="C26" s="163"/>
      <c r="D26" s="58"/>
      <c r="E26" s="59"/>
      <c r="F26" s="159"/>
      <c r="G26" s="60"/>
      <c r="H26" s="159"/>
      <c r="I26" s="61"/>
    </row>
    <row r="27" spans="3:12" s="62" customFormat="1">
      <c r="C27" s="164"/>
      <c r="D27" s="58"/>
      <c r="E27" s="59"/>
      <c r="F27" s="65"/>
      <c r="G27" s="60"/>
      <c r="H27" s="65"/>
      <c r="I27" s="61"/>
    </row>
    <row r="28" spans="3:12" s="56" customFormat="1" ht="15">
      <c r="D28" s="66"/>
      <c r="E28" s="66"/>
      <c r="F28" s="67"/>
      <c r="G28" s="68"/>
      <c r="H28" s="67"/>
      <c r="I28" s="69"/>
      <c r="L28" s="62"/>
    </row>
    <row r="29" spans="3:12" s="52" customFormat="1">
      <c r="C29" s="628" t="s">
        <v>738</v>
      </c>
      <c r="F29" s="70"/>
      <c r="G29" s="70"/>
      <c r="H29" s="70"/>
      <c r="I29" s="70"/>
      <c r="L29" s="62"/>
    </row>
    <row r="30" spans="3:12" s="56" customFormat="1" ht="15">
      <c r="C30" s="72"/>
      <c r="F30" s="68"/>
      <c r="G30" s="68"/>
      <c r="H30" s="68"/>
      <c r="I30" s="69"/>
      <c r="L30" s="62"/>
    </row>
    <row r="31" spans="3:12" s="56" customFormat="1">
      <c r="C31" s="102"/>
      <c r="F31" s="103"/>
      <c r="G31" s="176"/>
      <c r="H31" s="103"/>
      <c r="I31" s="61"/>
      <c r="L31" s="62"/>
    </row>
    <row r="32" spans="3:12" s="56" customFormat="1">
      <c r="C32" s="44"/>
      <c r="D32" s="45"/>
      <c r="E32" s="46"/>
      <c r="F32" s="80"/>
      <c r="G32" s="176"/>
      <c r="H32" s="80"/>
      <c r="I32" s="61"/>
      <c r="L32" s="62"/>
    </row>
    <row r="33" spans="3:15" s="56" customFormat="1" ht="15">
      <c r="C33" s="44"/>
      <c r="D33" s="45"/>
      <c r="E33" s="46"/>
      <c r="F33" s="83"/>
      <c r="G33" s="177"/>
      <c r="H33" s="83"/>
      <c r="I33" s="61"/>
      <c r="L33" s="62"/>
    </row>
    <row r="34" spans="3:15" s="56" customFormat="1" ht="15">
      <c r="C34" s="75"/>
      <c r="D34" s="66"/>
      <c r="E34" s="66"/>
      <c r="F34" s="73"/>
      <c r="G34" s="73"/>
      <c r="H34" s="73"/>
      <c r="I34" s="61"/>
      <c r="L34" s="62"/>
    </row>
    <row r="35" spans="3:15" s="52" customFormat="1">
      <c r="C35" s="628" t="s">
        <v>739</v>
      </c>
      <c r="F35" s="70"/>
      <c r="G35" s="76"/>
      <c r="H35" s="70"/>
      <c r="I35" s="70"/>
      <c r="J35" s="77"/>
      <c r="L35" s="62"/>
    </row>
    <row r="36" spans="3:15" s="56" customFormat="1" ht="15">
      <c r="F36" s="67"/>
      <c r="G36" s="67"/>
      <c r="H36" s="67"/>
      <c r="I36" s="67"/>
      <c r="J36" s="78"/>
      <c r="L36" s="62"/>
    </row>
    <row r="37" spans="3:15" s="56" customFormat="1">
      <c r="C37" s="102"/>
      <c r="F37" s="103"/>
      <c r="G37" s="176"/>
      <c r="H37" s="103"/>
      <c r="I37" s="81"/>
      <c r="J37" s="82"/>
      <c r="L37" s="62"/>
    </row>
    <row r="38" spans="3:15" s="56" customFormat="1">
      <c r="C38" s="63"/>
      <c r="D38" s="79"/>
      <c r="F38" s="80"/>
      <c r="G38" s="176"/>
      <c r="H38" s="80"/>
      <c r="I38" s="81"/>
      <c r="J38" s="79"/>
      <c r="L38" s="62"/>
    </row>
    <row r="39" spans="3:15" s="56" customFormat="1" ht="15">
      <c r="C39" s="64"/>
      <c r="F39" s="83"/>
      <c r="G39" s="177"/>
      <c r="H39" s="83"/>
      <c r="I39" s="26"/>
    </row>
    <row r="40" spans="3:15" s="56" customFormat="1">
      <c r="C40" s="75"/>
      <c r="F40" s="177"/>
      <c r="G40" s="177"/>
      <c r="H40" s="177"/>
      <c r="K40" s="32"/>
      <c r="L40" s="85"/>
      <c r="M40" s="86"/>
    </row>
    <row r="41" spans="3:15" s="56" customFormat="1">
      <c r="F41" s="177"/>
      <c r="G41" s="177"/>
      <c r="H41" s="177"/>
      <c r="K41" s="87"/>
      <c r="L41" s="88"/>
      <c r="M41" s="89"/>
      <c r="N41" s="90"/>
    </row>
    <row r="42" spans="3:15" s="56" customFormat="1">
      <c r="C42" s="628" t="s">
        <v>740</v>
      </c>
      <c r="D42" s="52"/>
      <c r="E42" s="52"/>
      <c r="F42" s="70"/>
      <c r="G42" s="76"/>
      <c r="H42" s="70"/>
      <c r="K42" s="91"/>
      <c r="L42" s="92"/>
      <c r="M42" s="93"/>
      <c r="N42" s="94"/>
      <c r="O42" s="95"/>
    </row>
    <row r="43" spans="3:15" s="56" customFormat="1" ht="15">
      <c r="F43" s="67"/>
      <c r="G43" s="67"/>
      <c r="H43" s="67"/>
      <c r="K43" s="91"/>
      <c r="L43" s="91"/>
      <c r="M43" s="94"/>
      <c r="N43" s="94"/>
      <c r="O43" s="95"/>
    </row>
    <row r="44" spans="3:15" s="56" customFormat="1">
      <c r="C44" s="102"/>
      <c r="F44" s="103"/>
      <c r="G44" s="176"/>
      <c r="H44" s="103"/>
      <c r="K44" s="91"/>
      <c r="L44" s="96"/>
      <c r="M44" s="96"/>
      <c r="N44" s="93"/>
      <c r="O44" s="95"/>
    </row>
    <row r="45" spans="3:15" s="56" customFormat="1">
      <c r="C45" s="63"/>
      <c r="D45" s="79"/>
      <c r="F45" s="80"/>
      <c r="G45" s="176"/>
      <c r="H45" s="80"/>
      <c r="K45" s="91"/>
      <c r="L45" s="96"/>
      <c r="M45" s="96"/>
      <c r="N45" s="93"/>
      <c r="O45" s="95"/>
    </row>
    <row r="46" spans="3:15" s="56" customFormat="1" ht="15">
      <c r="C46" s="64"/>
      <c r="F46" s="83"/>
      <c r="G46" s="177"/>
      <c r="H46" s="83"/>
      <c r="K46" s="91"/>
      <c r="L46" s="96"/>
      <c r="M46" s="96"/>
      <c r="N46" s="93"/>
      <c r="O46" s="95"/>
    </row>
    <row r="47" spans="3:15" s="56" customFormat="1">
      <c r="H47" s="26"/>
      <c r="I47" s="26"/>
      <c r="K47" s="91"/>
      <c r="L47" s="96"/>
      <c r="M47" s="96"/>
      <c r="N47" s="93"/>
      <c r="O47" s="95"/>
    </row>
    <row r="48" spans="3:15" s="56" customFormat="1">
      <c r="H48" s="98"/>
      <c r="I48" s="98"/>
      <c r="J48" s="26"/>
      <c r="K48" s="91"/>
      <c r="L48" s="96"/>
      <c r="M48" s="96"/>
      <c r="N48" s="93"/>
      <c r="O48" s="95"/>
    </row>
    <row r="49" spans="8:15">
      <c r="H49" s="99"/>
      <c r="I49" s="98"/>
      <c r="K49" s="91"/>
      <c r="L49" s="96"/>
      <c r="M49" s="96"/>
      <c r="N49" s="93"/>
      <c r="O49" s="100"/>
    </row>
    <row r="50" spans="8:15">
      <c r="H50" s="99"/>
      <c r="I50" s="98"/>
      <c r="K50" s="91"/>
      <c r="L50" s="96"/>
      <c r="M50" s="96"/>
      <c r="N50" s="93"/>
      <c r="O50" s="100"/>
    </row>
    <row r="51" spans="8:15">
      <c r="H51" s="99"/>
      <c r="K51" s="91"/>
      <c r="L51" s="96"/>
      <c r="M51" s="96"/>
      <c r="N51" s="93"/>
      <c r="O51" s="100"/>
    </row>
    <row r="52" spans="8:15">
      <c r="H52" s="99"/>
      <c r="K52" s="91"/>
      <c r="L52" s="96"/>
      <c r="M52" s="96"/>
      <c r="N52" s="93"/>
      <c r="O52" s="100"/>
    </row>
    <row r="53" spans="8:15">
      <c r="H53" s="99"/>
      <c r="K53" s="91"/>
      <c r="L53" s="96"/>
      <c r="M53" s="96"/>
      <c r="N53" s="93"/>
      <c r="O53" s="100"/>
    </row>
    <row r="54" spans="8:15">
      <c r="H54" s="99"/>
      <c r="K54" s="91"/>
      <c r="L54" s="96"/>
      <c r="M54" s="96"/>
      <c r="N54" s="93"/>
      <c r="O54" s="100"/>
    </row>
    <row r="55" spans="8:15">
      <c r="H55" s="99"/>
      <c r="K55" s="91"/>
      <c r="L55" s="96"/>
      <c r="M55" s="96"/>
      <c r="N55" s="93"/>
      <c r="O55" s="100"/>
    </row>
    <row r="56" spans="8:15">
      <c r="K56" s="91"/>
      <c r="L56" s="96"/>
      <c r="M56" s="96"/>
      <c r="N56" s="93"/>
      <c r="O56" s="100"/>
    </row>
    <row r="57" spans="8:15">
      <c r="K57" s="91"/>
      <c r="L57" s="96"/>
      <c r="M57" s="96"/>
      <c r="N57" s="93"/>
      <c r="O57" s="100"/>
    </row>
    <row r="58" spans="8:15">
      <c r="K58" s="91"/>
      <c r="L58" s="96"/>
      <c r="M58" s="96"/>
      <c r="N58" s="93"/>
      <c r="O58" s="100"/>
    </row>
    <row r="59" spans="8:15">
      <c r="K59" s="91"/>
      <c r="L59" s="96"/>
      <c r="M59" s="96"/>
      <c r="N59" s="93"/>
      <c r="O59" s="100"/>
    </row>
    <row r="60" spans="8:15">
      <c r="K60" s="91"/>
      <c r="L60" s="96"/>
      <c r="M60" s="96"/>
      <c r="N60" s="93"/>
      <c r="O60" s="100"/>
    </row>
    <row r="61" spans="8:15">
      <c r="K61" s="91"/>
      <c r="L61" s="96"/>
      <c r="M61" s="96"/>
      <c r="N61" s="93"/>
      <c r="O61" s="100"/>
    </row>
    <row r="62" spans="8:15">
      <c r="K62" s="91"/>
      <c r="L62" s="96"/>
      <c r="M62" s="96"/>
      <c r="N62" s="93"/>
      <c r="O62" s="100"/>
    </row>
    <row r="63" spans="8:15">
      <c r="K63" s="91"/>
      <c r="L63" s="96"/>
      <c r="M63" s="96"/>
      <c r="N63" s="93"/>
      <c r="O63" s="100"/>
    </row>
    <row r="64" spans="8:15">
      <c r="K64" s="91"/>
      <c r="L64" s="96"/>
      <c r="M64" s="96"/>
      <c r="N64" s="93"/>
      <c r="O64" s="100"/>
    </row>
    <row r="65" spans="11:15">
      <c r="K65" s="91"/>
      <c r="L65" s="96"/>
      <c r="M65" s="96"/>
      <c r="N65" s="93"/>
      <c r="O65" s="100"/>
    </row>
    <row r="66" spans="11:15">
      <c r="K66" s="91"/>
      <c r="L66" s="96"/>
      <c r="M66" s="96"/>
      <c r="N66" s="93"/>
      <c r="O66" s="100"/>
    </row>
    <row r="67" spans="11:15">
      <c r="K67" s="91"/>
      <c r="L67" s="96"/>
      <c r="M67" s="96"/>
      <c r="N67" s="93"/>
      <c r="O67" s="100"/>
    </row>
    <row r="68" spans="11:15">
      <c r="K68" s="91"/>
      <c r="L68" s="96"/>
      <c r="M68" s="96"/>
      <c r="N68" s="93"/>
      <c r="O68" s="100"/>
    </row>
    <row r="69" spans="11:15">
      <c r="K69" s="91"/>
      <c r="L69" s="96"/>
      <c r="M69" s="96"/>
      <c r="N69" s="93"/>
      <c r="O69" s="100"/>
    </row>
    <row r="70" spans="11:15">
      <c r="K70" s="91"/>
      <c r="L70" s="96"/>
      <c r="M70" s="96"/>
      <c r="N70" s="93"/>
      <c r="O70" s="100"/>
    </row>
    <row r="71" spans="11:15">
      <c r="K71" s="91"/>
      <c r="L71" s="96"/>
      <c r="M71" s="96"/>
      <c r="N71" s="93"/>
      <c r="O71" s="100"/>
    </row>
    <row r="72" spans="11:15">
      <c r="K72" s="91"/>
      <c r="L72" s="96"/>
      <c r="M72" s="96"/>
      <c r="N72" s="93"/>
      <c r="O72" s="100"/>
    </row>
    <row r="73" spans="11:15">
      <c r="K73" s="91"/>
      <c r="L73" s="96"/>
      <c r="M73" s="96"/>
      <c r="N73" s="93"/>
      <c r="O73" s="100"/>
    </row>
    <row r="74" spans="11:15">
      <c r="K74" s="91"/>
      <c r="L74" s="96"/>
      <c r="M74" s="96"/>
      <c r="N74" s="93"/>
      <c r="O74" s="100"/>
    </row>
    <row r="75" spans="11:15">
      <c r="K75" s="91"/>
      <c r="L75" s="96"/>
      <c r="M75" s="96"/>
      <c r="N75" s="93"/>
      <c r="O75" s="100"/>
    </row>
    <row r="76" spans="11:15">
      <c r="K76" s="91"/>
      <c r="L76" s="96"/>
      <c r="M76" s="96"/>
      <c r="N76" s="93"/>
      <c r="O76" s="100"/>
    </row>
    <row r="77" spans="11:15">
      <c r="K77" s="91"/>
      <c r="L77" s="96"/>
      <c r="M77" s="96"/>
      <c r="N77" s="93"/>
      <c r="O77" s="100"/>
    </row>
  </sheetData>
  <mergeCells count="3">
    <mergeCell ref="F10:F11"/>
    <mergeCell ref="H10:H11"/>
    <mergeCell ref="C8:H8"/>
  </mergeCells>
  <phoneticPr fontId="133"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ColWidth="9.140625" defaultRowHeight="12.75"/>
  <cols>
    <col min="4" max="4" width="38.7109375" bestFit="1" customWidth="1"/>
    <col min="6" max="6" width="12.42578125" bestFit="1" customWidth="1"/>
    <col min="8" max="8" width="13.5703125" bestFit="1" customWidth="1"/>
    <col min="13" max="13" width="12.42578125" bestFit="1" customWidth="1"/>
    <col min="14" max="14" width="11.42578125" bestFit="1" customWidth="1"/>
  </cols>
  <sheetData>
    <row r="3" spans="4:15">
      <c r="D3" t="s">
        <v>228</v>
      </c>
      <c r="F3" t="s">
        <v>26</v>
      </c>
      <c r="H3" t="s">
        <v>27</v>
      </c>
      <c r="M3" s="1052">
        <v>56503.19</v>
      </c>
      <c r="N3" t="s">
        <v>683</v>
      </c>
      <c r="O3" t="s">
        <v>2369</v>
      </c>
    </row>
    <row r="4" spans="4:15">
      <c r="D4" t="s">
        <v>2402</v>
      </c>
      <c r="F4" s="5"/>
      <c r="G4" s="5"/>
      <c r="H4" s="5">
        <v>25512201.77</v>
      </c>
      <c r="M4" s="1052">
        <v>19439354.309999999</v>
      </c>
      <c r="N4" t="s">
        <v>683</v>
      </c>
      <c r="O4" t="s">
        <v>2373</v>
      </c>
    </row>
    <row r="5" spans="4:15">
      <c r="D5" t="str">
        <f>+Instructions!G2</f>
        <v>Transfert General to Principal</v>
      </c>
      <c r="F5" s="1052">
        <f>+H24</f>
        <v>0</v>
      </c>
      <c r="G5" s="5"/>
      <c r="H5" s="5"/>
      <c r="M5" s="5">
        <v>11543854.836200003</v>
      </c>
      <c r="N5" t="s">
        <v>683</v>
      </c>
      <c r="O5" t="s">
        <v>2375</v>
      </c>
    </row>
    <row r="6" spans="4:15">
      <c r="D6" t="e">
        <f>+D14</f>
        <v>#REF!</v>
      </c>
      <c r="G6" s="5"/>
      <c r="H6" s="5" t="e">
        <f>+F14</f>
        <v>#REF!</v>
      </c>
      <c r="M6" s="5">
        <v>401692.95</v>
      </c>
      <c r="N6" t="s">
        <v>683</v>
      </c>
      <c r="O6" t="s">
        <v>2377</v>
      </c>
    </row>
    <row r="7" spans="4:15">
      <c r="D7" t="str">
        <f>+D15</f>
        <v>Transfert Financial Reserve to General</v>
      </c>
      <c r="F7" s="5"/>
      <c r="G7" s="5"/>
      <c r="H7" s="5">
        <f>+F15</f>
        <v>9826558.7100000009</v>
      </c>
      <c r="M7" s="5">
        <v>16452.05</v>
      </c>
      <c r="N7" t="s">
        <v>683</v>
      </c>
      <c r="O7" t="s">
        <v>2383</v>
      </c>
    </row>
    <row r="8" spans="4:15">
      <c r="F8" s="5">
        <f>+Instructions!E4</f>
        <v>11726176.690000001</v>
      </c>
      <c r="G8" s="5"/>
      <c r="H8" s="5"/>
      <c r="M8" s="5">
        <v>12874.45</v>
      </c>
      <c r="N8" t="s">
        <v>683</v>
      </c>
      <c r="O8" t="s">
        <v>2385</v>
      </c>
    </row>
    <row r="9" spans="4:15">
      <c r="D9" t="s">
        <v>2403</v>
      </c>
      <c r="F9" s="5"/>
      <c r="G9" s="5"/>
      <c r="H9" s="5"/>
      <c r="M9" s="5">
        <v>616.39344262295083</v>
      </c>
      <c r="N9" t="s">
        <v>683</v>
      </c>
      <c r="O9" t="s">
        <v>2388</v>
      </c>
    </row>
    <row r="10" spans="4:15">
      <c r="F10" s="5"/>
      <c r="G10" s="5"/>
      <c r="H10" s="5"/>
      <c r="M10" s="5">
        <v>1902.295081967213</v>
      </c>
      <c r="N10" t="s">
        <v>683</v>
      </c>
      <c r="O10" t="s">
        <v>2389</v>
      </c>
    </row>
    <row r="11" spans="4:15">
      <c r="F11" s="5"/>
      <c r="G11" s="5"/>
      <c r="H11" s="5"/>
      <c r="M11" s="5">
        <v>308.19672131147541</v>
      </c>
      <c r="N11" t="s">
        <v>683</v>
      </c>
      <c r="O11" t="s">
        <v>2390</v>
      </c>
    </row>
    <row r="12" spans="4:15">
      <c r="D12" t="s">
        <v>2399</v>
      </c>
      <c r="F12" s="5"/>
      <c r="G12" s="5"/>
      <c r="H12" s="5"/>
      <c r="M12" s="1052">
        <v>19439354.309999999</v>
      </c>
      <c r="N12" t="s">
        <v>683</v>
      </c>
      <c r="O12" t="s">
        <v>2391</v>
      </c>
    </row>
    <row r="13" spans="4:15">
      <c r="D13" t="s">
        <v>2402</v>
      </c>
      <c r="F13" s="5"/>
      <c r="G13" s="5"/>
      <c r="H13" s="5">
        <v>10061808.369999999</v>
      </c>
      <c r="M13" s="5">
        <v>1601415.6247540992</v>
      </c>
      <c r="N13" t="s">
        <v>683</v>
      </c>
      <c r="O13" t="s">
        <v>2392</v>
      </c>
    </row>
    <row r="14" spans="4:15">
      <c r="D14" t="e">
        <f>+Instructions!#REF!</f>
        <v>#REF!</v>
      </c>
      <c r="F14" s="1052" t="e">
        <f>+Instructions!#REF!</f>
        <v>#REF!</v>
      </c>
      <c r="G14" s="5"/>
      <c r="H14" s="5"/>
      <c r="M14" s="5">
        <v>1836.16</v>
      </c>
      <c r="N14" t="s">
        <v>683</v>
      </c>
      <c r="O14" t="s">
        <v>2396</v>
      </c>
    </row>
    <row r="15" spans="4:15">
      <c r="D15" t="str">
        <f>+Instructions!G15</f>
        <v>Transfert Financial Reserve to General</v>
      </c>
      <c r="F15" s="1052">
        <f>+Instructions!E15</f>
        <v>9826558.7100000009</v>
      </c>
      <c r="G15" s="5"/>
      <c r="H15" s="5"/>
      <c r="M15" s="1052">
        <v>9507056.7161999997</v>
      </c>
      <c r="N15" t="s">
        <v>683</v>
      </c>
      <c r="O15" t="s">
        <v>2397</v>
      </c>
    </row>
    <row r="16" spans="4:15">
      <c r="F16" s="5"/>
      <c r="G16" s="5"/>
      <c r="H16" s="5">
        <f>+Instructions!E16</f>
        <v>9802500</v>
      </c>
      <c r="M16" s="1052">
        <v>9231741.9856500011</v>
      </c>
      <c r="N16" t="s">
        <v>683</v>
      </c>
      <c r="O16" t="s">
        <v>2398</v>
      </c>
    </row>
    <row r="17" spans="4:14">
      <c r="F17" s="5"/>
      <c r="G17" s="5"/>
      <c r="H17" s="5"/>
    </row>
    <row r="18" spans="4:14">
      <c r="D18" t="s">
        <v>2403</v>
      </c>
      <c r="F18" s="5"/>
      <c r="G18" s="5"/>
      <c r="H18" s="5"/>
    </row>
    <row r="19" spans="4:14">
      <c r="F19" s="5"/>
      <c r="G19" s="5"/>
      <c r="H19" s="5"/>
    </row>
    <row r="20" spans="4:14">
      <c r="F20" s="5"/>
      <c r="G20" s="5"/>
      <c r="H20" s="5"/>
    </row>
    <row r="21" spans="4:14">
      <c r="D21" t="s">
        <v>2400</v>
      </c>
      <c r="F21" s="5"/>
      <c r="G21" s="5"/>
      <c r="H21" s="5"/>
    </row>
    <row r="22" spans="4:14">
      <c r="D22" t="s">
        <v>2402</v>
      </c>
      <c r="F22" s="5"/>
      <c r="G22" s="5"/>
      <c r="H22" s="5">
        <v>0</v>
      </c>
    </row>
    <row r="23" spans="4:14">
      <c r="D23" t="str">
        <f>+Instructions!G12</f>
        <v>Redemption Class A</v>
      </c>
      <c r="F23" s="1052">
        <f>++Instructions!E12</f>
        <v>0</v>
      </c>
      <c r="G23" s="5"/>
      <c r="H23" s="5"/>
    </row>
    <row r="24" spans="4:14">
      <c r="D24" t="str">
        <f>+Instructions!G2</f>
        <v>Transfert General to Principal</v>
      </c>
      <c r="F24" s="5"/>
      <c r="G24" s="5"/>
      <c r="H24" s="1052">
        <f>+Instructions!E2</f>
        <v>0</v>
      </c>
    </row>
    <row r="25" spans="4:14">
      <c r="F25" s="5"/>
      <c r="G25" s="5"/>
      <c r="H25" s="5"/>
    </row>
    <row r="26" spans="4:14">
      <c r="F26" s="5"/>
      <c r="G26" s="5"/>
      <c r="H26" s="5"/>
    </row>
    <row r="27" spans="4:14">
      <c r="F27" s="5"/>
      <c r="G27" s="5"/>
      <c r="H27" s="5"/>
    </row>
    <row r="28" spans="4:14">
      <c r="F28" s="5"/>
      <c r="G28" s="5"/>
      <c r="H28" s="5"/>
    </row>
    <row r="29" spans="4:14">
      <c r="F29" s="5"/>
      <c r="G29" s="5"/>
      <c r="H29" s="5"/>
    </row>
    <row r="30" spans="4:14">
      <c r="F30" s="5"/>
      <c r="G30" s="5"/>
      <c r="H30" s="5"/>
    </row>
    <row r="31" spans="4:14">
      <c r="D31" t="s">
        <v>2401</v>
      </c>
      <c r="F31" s="5"/>
      <c r="G31" s="5"/>
      <c r="H31" s="5"/>
      <c r="N31" s="1052">
        <v>1836.16</v>
      </c>
    </row>
    <row r="32" spans="4:14">
      <c r="D32" t="s">
        <v>2402</v>
      </c>
      <c r="F32" s="5"/>
      <c r="G32" s="5"/>
      <c r="H32" s="5">
        <v>59.47</v>
      </c>
      <c r="N32" s="5">
        <v>0</v>
      </c>
    </row>
    <row r="33" spans="4:14">
      <c r="D33" t="str">
        <f>+Instructions!G16</f>
        <v>Transfert requiered reserved amount</v>
      </c>
      <c r="F33" s="1052">
        <f>+M16</f>
        <v>9231741.9856500011</v>
      </c>
      <c r="G33" s="5"/>
      <c r="H33" s="5"/>
      <c r="N33" s="1052">
        <v>32153.385245901638</v>
      </c>
    </row>
    <row r="34" spans="4:14">
      <c r="D34" t="str">
        <f>+Instructions!G13</f>
        <v>Interest to the Residual Unitholders</v>
      </c>
      <c r="F34" s="1052">
        <f>+M13</f>
        <v>1601415.6247540992</v>
      </c>
      <c r="G34" s="5"/>
      <c r="H34" s="5"/>
      <c r="N34" s="1052">
        <v>401692.95</v>
      </c>
    </row>
    <row r="35" spans="4:14">
      <c r="D35" t="str">
        <f>+O14</f>
        <v>Fees - Servicer</v>
      </c>
      <c r="F35" s="1052">
        <f>+M14</f>
        <v>1836.16</v>
      </c>
      <c r="G35" s="5"/>
      <c r="H35" s="5"/>
      <c r="N35" s="5">
        <v>0</v>
      </c>
    </row>
    <row r="36" spans="4:14">
      <c r="D36" t="str">
        <f>+O11</f>
        <v>Fees - Data Protection Agent</v>
      </c>
      <c r="F36" s="1052">
        <f>+M11</f>
        <v>308.19672131147541</v>
      </c>
      <c r="G36" s="5"/>
      <c r="H36" s="5"/>
      <c r="N36" s="1052">
        <v>9231741.9856500011</v>
      </c>
    </row>
    <row r="37" spans="4:14">
      <c r="D37" t="str">
        <f>+O6</f>
        <v xml:space="preserve">Class A Notes Interest </v>
      </c>
      <c r="F37" s="1052">
        <f>+M6</f>
        <v>401692.95</v>
      </c>
      <c r="G37" s="5"/>
      <c r="H37" s="5"/>
      <c r="N37" s="5">
        <v>0</v>
      </c>
    </row>
    <row r="38" spans="4:14">
      <c r="D38" t="str">
        <f>+O7</f>
        <v xml:space="preserve">Fees - Management Company </v>
      </c>
      <c r="F38" s="1052">
        <f>+M7</f>
        <v>16452.05</v>
      </c>
      <c r="G38" s="5"/>
      <c r="H38" s="5"/>
      <c r="N38" s="5">
        <v>522190.58999999997</v>
      </c>
    </row>
    <row r="39" spans="4:14">
      <c r="D39" t="str">
        <f>+O8</f>
        <v>Fees - Custodian</v>
      </c>
      <c r="F39" s="1052">
        <f>+M8</f>
        <v>12874.45</v>
      </c>
      <c r="N39" s="5">
        <v>275314.73054999858</v>
      </c>
    </row>
    <row r="40" spans="4:14">
      <c r="D40" t="str">
        <f>+O9</f>
        <v xml:space="preserve">Fees - FCT Account Bank </v>
      </c>
      <c r="F40" s="1052">
        <f>+M9</f>
        <v>616.39344262295083</v>
      </c>
      <c r="N40" s="5">
        <v>0</v>
      </c>
    </row>
    <row r="41" spans="4:14">
      <c r="D41" t="str">
        <f>+O10</f>
        <v>Fees - FCT Paying Agent Fees</v>
      </c>
      <c r="F41" s="1052">
        <f>+M10</f>
        <v>1902.295081967213</v>
      </c>
      <c r="N41" s="1052">
        <v>1601415.6247540992</v>
      </c>
    </row>
    <row r="42" spans="4:14">
      <c r="D42" t="str">
        <f>+Instructions!G4</f>
        <v>Transfert General to Compte interest</v>
      </c>
      <c r="F42" s="5"/>
      <c r="H42" s="5">
        <f>+F8</f>
        <v>11726176.690000001</v>
      </c>
    </row>
    <row r="43" spans="4:14">
      <c r="D43" t="str">
        <f>+Instructions!G17</f>
        <v xml:space="preserve"> exceeds Reserve Fund repaid</v>
      </c>
      <c r="F43" s="5">
        <f>+Instructions!E17</f>
        <v>0</v>
      </c>
      <c r="H43" s="5"/>
    </row>
    <row r="45" spans="4:14">
      <c r="D45" s="2" t="s">
        <v>2403</v>
      </c>
      <c r="H45" s="352">
        <f>+H32+H42-SUM(F33:F41)-F43</f>
        <v>457396.05434999987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2578125" defaultRowHeight="12.75"/>
  <cols>
    <col min="1" max="1" width="3.5703125" style="26" customWidth="1"/>
    <col min="2" max="2" width="2.42578125" style="26" customWidth="1"/>
    <col min="3" max="6" width="20.42578125" style="26" customWidth="1"/>
    <col min="7" max="7" width="42.5703125" style="26" customWidth="1"/>
    <col min="8" max="9" width="20.42578125" style="26" customWidth="1"/>
    <col min="10" max="10" width="2.42578125" style="26" customWidth="1"/>
    <col min="11" max="11" width="20.85546875" style="26" customWidth="1"/>
    <col min="12" max="12" width="18.140625" style="26" bestFit="1" customWidth="1"/>
    <col min="13" max="13" width="19.85546875" style="26"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3" spans="3:15" s="27" customFormat="1" ht="13.5" customHeight="1">
      <c r="C3" s="148"/>
      <c r="D3" s="148"/>
      <c r="E3" s="148"/>
      <c r="F3" s="148"/>
      <c r="G3" s="148"/>
      <c r="H3" s="148"/>
      <c r="I3" s="101" t="s">
        <v>4</v>
      </c>
      <c r="K3" s="101" t="e">
        <f>#REF!</f>
        <v>#REF!</v>
      </c>
      <c r="O3" s="180"/>
    </row>
    <row r="4" spans="3:15" s="27" customFormat="1">
      <c r="I4" s="101" t="s">
        <v>21</v>
      </c>
      <c r="K4" s="101" t="e">
        <f>EOMONTH(K3,-1)</f>
        <v>#REF!</v>
      </c>
      <c r="O4" s="180"/>
    </row>
    <row r="5" spans="3:15" s="27" customFormat="1">
      <c r="I5" s="101" t="s">
        <v>0</v>
      </c>
      <c r="K5" s="216" t="e">
        <f>'00 - Cover'!#REF!</f>
        <v>#REF!</v>
      </c>
      <c r="L5" s="217"/>
    </row>
    <row r="6" spans="3:15" s="27" customFormat="1"/>
    <row r="7" spans="3:15" s="27" customFormat="1" ht="13.5" customHeight="1"/>
    <row r="8" spans="3:15" ht="15.75">
      <c r="C8" s="1359" t="s">
        <v>22</v>
      </c>
      <c r="D8" s="1360"/>
      <c r="E8" s="1360"/>
      <c r="F8" s="1360"/>
      <c r="G8" s="1360"/>
      <c r="H8" s="1360"/>
      <c r="I8" s="1360"/>
      <c r="J8" s="1360"/>
      <c r="K8" s="1360"/>
    </row>
    <row r="9" spans="3:15" ht="9.75" customHeight="1">
      <c r="M9" s="35"/>
    </row>
    <row r="10" spans="3:15" s="38" customFormat="1">
      <c r="C10" s="26"/>
      <c r="D10" s="26"/>
      <c r="E10" s="26"/>
      <c r="F10" s="26"/>
      <c r="G10" s="26"/>
      <c r="H10" s="26"/>
      <c r="I10" s="26"/>
      <c r="J10" s="26"/>
      <c r="K10" s="26"/>
    </row>
    <row r="11" spans="3:15" s="38" customFormat="1" ht="15.6" customHeight="1">
      <c r="C11" s="218" t="s">
        <v>23</v>
      </c>
      <c r="D11" s="218" t="s">
        <v>24</v>
      </c>
      <c r="E11" s="219" t="s">
        <v>25</v>
      </c>
      <c r="F11" s="255" t="s">
        <v>83</v>
      </c>
      <c r="G11" s="218" t="s">
        <v>3</v>
      </c>
      <c r="H11" s="218" t="s">
        <v>26</v>
      </c>
      <c r="I11" s="218" t="s">
        <v>27</v>
      </c>
      <c r="J11" s="220"/>
      <c r="K11" s="220" t="s">
        <v>28</v>
      </c>
    </row>
    <row r="12" spans="3:15" ht="15.6" customHeight="1">
      <c r="C12" s="222" t="e">
        <f>IF(D12="BQ",$K$5,$K$3)</f>
        <v>#REF!</v>
      </c>
      <c r="D12" s="223" t="s">
        <v>29</v>
      </c>
      <c r="E12" s="224" t="s">
        <v>30</v>
      </c>
      <c r="F12" s="224"/>
      <c r="G12" s="225" t="s">
        <v>31</v>
      </c>
      <c r="H12" s="226" t="e">
        <f>VLOOKUP($K$3,#REF!,#REF!,FALSE)</f>
        <v>#REF!</v>
      </c>
      <c r="I12" s="226"/>
      <c r="K12" s="165" t="e">
        <f>IF(H58=I58,"OK",H58-I58)</f>
        <v>#REF!</v>
      </c>
      <c r="M12" s="38"/>
    </row>
    <row r="13" spans="3:15" ht="15.6" customHeight="1">
      <c r="C13" s="222" t="e">
        <f>IF(D13="BQ",$K$5,$K$3)</f>
        <v>#REF!</v>
      </c>
      <c r="D13" s="223" t="s">
        <v>29</v>
      </c>
      <c r="E13" s="224" t="s">
        <v>34</v>
      </c>
      <c r="F13" s="224"/>
      <c r="G13" s="225" t="s">
        <v>31</v>
      </c>
      <c r="H13" s="226"/>
      <c r="I13" s="226" t="e">
        <f>VLOOKUP($K$3,#REF!,#REF!,FALSE)</f>
        <v>#REF!</v>
      </c>
      <c r="K13" s="46"/>
      <c r="M13" s="38"/>
    </row>
    <row r="14" spans="3:15" ht="15.6" customHeight="1">
      <c r="C14" s="232"/>
      <c r="D14" s="233"/>
      <c r="E14" s="234"/>
      <c r="F14" s="234"/>
      <c r="G14" s="235"/>
      <c r="H14" s="236"/>
      <c r="I14" s="236"/>
      <c r="K14" s="46"/>
      <c r="M14" s="38"/>
    </row>
    <row r="15" spans="3:15" ht="15.6" customHeight="1">
      <c r="C15" s="222" t="e">
        <f>IF(D15="BQ",$K$5,$K$3)</f>
        <v>#REF!</v>
      </c>
      <c r="D15" s="223" t="s">
        <v>29</v>
      </c>
      <c r="E15" s="224" t="s">
        <v>32</v>
      </c>
      <c r="F15" s="224"/>
      <c r="G15" s="225" t="s">
        <v>33</v>
      </c>
      <c r="H15" s="226" t="e">
        <f>VLOOKUP($K$3,#REF!,#REF!,FALSE)</f>
        <v>#REF!</v>
      </c>
      <c r="I15" s="226"/>
      <c r="M15" s="38"/>
    </row>
    <row r="16" spans="3:15" ht="15.6" customHeight="1">
      <c r="C16" s="222" t="e">
        <f>IF(D16="BQ",$K$5,$K$3)</f>
        <v>#REF!</v>
      </c>
      <c r="D16" s="223" t="s">
        <v>29</v>
      </c>
      <c r="E16" s="224" t="s">
        <v>36</v>
      </c>
      <c r="F16" s="224"/>
      <c r="G16" s="225" t="s">
        <v>33</v>
      </c>
      <c r="H16" s="226"/>
      <c r="I16" s="226" t="e">
        <f>VLOOKUP($K$3,#REF!,#REF!,FALSE)+VLOOKUP($K$3,#REF!,#REF!,FALSE)</f>
        <v>#REF!</v>
      </c>
      <c r="M16" s="38"/>
    </row>
    <row r="17" spans="3:13" ht="15.6" customHeight="1">
      <c r="C17" s="232"/>
      <c r="D17" s="233"/>
      <c r="E17" s="234"/>
      <c r="F17" s="234"/>
      <c r="G17" s="235"/>
      <c r="H17" s="236"/>
      <c r="I17" s="236"/>
      <c r="M17" s="38"/>
    </row>
    <row r="18" spans="3:13" ht="15.6" customHeight="1">
      <c r="C18" s="222" t="e">
        <f>IF(D18="BQ",$K$5,$K$3)</f>
        <v>#REF!</v>
      </c>
      <c r="D18" s="223" t="s">
        <v>29</v>
      </c>
      <c r="E18" s="224" t="s">
        <v>37</v>
      </c>
      <c r="F18" s="224"/>
      <c r="G18" s="225" t="s">
        <v>38</v>
      </c>
      <c r="H18" s="226"/>
      <c r="I18" s="226" t="e">
        <f>VLOOKUP($K$3,#REF!,#REF!,FALSE)</f>
        <v>#REF!</v>
      </c>
    </row>
    <row r="19" spans="3:13" ht="15.6" customHeight="1">
      <c r="C19" s="222" t="e">
        <f>IF(D19="BQ",$K$5,$K$3)</f>
        <v>#REF!</v>
      </c>
      <c r="D19" s="223" t="s">
        <v>29</v>
      </c>
      <c r="E19" s="224" t="s">
        <v>70</v>
      </c>
      <c r="F19" s="224"/>
      <c r="G19" s="225" t="s">
        <v>71</v>
      </c>
      <c r="H19" s="226" t="e">
        <f>VLOOKUP($K$3,#REF!,#REF!,FALSE)</f>
        <v>#REF!</v>
      </c>
      <c r="I19" s="226"/>
    </row>
    <row r="20" spans="3:13" ht="15.6" customHeight="1">
      <c r="C20" s="232"/>
      <c r="D20" s="233"/>
      <c r="E20" s="234"/>
      <c r="F20" s="234"/>
      <c r="G20" s="235"/>
      <c r="H20" s="236"/>
      <c r="I20" s="236"/>
    </row>
    <row r="21" spans="3:13" ht="15.6" customHeight="1">
      <c r="C21" s="222" t="e">
        <f>IF(D21="BQ",$K$5,$K$3)</f>
        <v>#REF!</v>
      </c>
      <c r="D21" s="223" t="s">
        <v>29</v>
      </c>
      <c r="E21" s="224" t="s">
        <v>39</v>
      </c>
      <c r="F21" s="224"/>
      <c r="G21" s="225" t="s">
        <v>40</v>
      </c>
      <c r="H21" s="226"/>
      <c r="I21" s="226" t="e">
        <f>VLOOKUP($K$3,#REF!,#REF!,FALSE)</f>
        <v>#REF!</v>
      </c>
    </row>
    <row r="22" spans="3:13" ht="15.6" customHeight="1">
      <c r="C22" s="222" t="e">
        <f>IF(D22="BQ",$K$5,$K$3)</f>
        <v>#REF!</v>
      </c>
      <c r="D22" s="223" t="s">
        <v>29</v>
      </c>
      <c r="E22" s="224" t="s">
        <v>74</v>
      </c>
      <c r="F22" s="224"/>
      <c r="G22" s="225" t="s">
        <v>75</v>
      </c>
      <c r="H22" s="226" t="e">
        <f>VLOOKUP($K$3,#REF!,#REF!,FALSE)</f>
        <v>#REF!</v>
      </c>
      <c r="I22" s="226"/>
    </row>
    <row r="23" spans="3:13" ht="15.6" customHeight="1">
      <c r="C23" s="232"/>
      <c r="D23" s="233"/>
      <c r="E23" s="234"/>
      <c r="F23" s="234"/>
      <c r="G23" s="235"/>
      <c r="H23" s="236"/>
      <c r="I23" s="236"/>
    </row>
    <row r="24" spans="3:13" ht="15.6" customHeight="1">
      <c r="C24" s="227" t="e">
        <f t="shared" ref="C24:C29" si="0">IF(D24="BQ",$K$5,$K$3)</f>
        <v>#REF!</v>
      </c>
      <c r="D24" s="228" t="s">
        <v>29</v>
      </c>
      <c r="E24" s="229" t="s">
        <v>51</v>
      </c>
      <c r="F24" s="229"/>
      <c r="G24" s="230" t="s">
        <v>52</v>
      </c>
      <c r="H24" s="231"/>
      <c r="I24" s="231" t="e">
        <f>VLOOKUP($K$3,#REF!,#REF!,FALSE)+VLOOKUP($K$3,#REF!,#REF!,FALSE)+VLOOKUP($K$3,#REF!,#REF!,FALSE)+VLOOKUP($K$3,#REF!,#REF!,FALSE)</f>
        <v>#REF!</v>
      </c>
    </row>
    <row r="25" spans="3:13" ht="15.6" customHeight="1">
      <c r="C25" s="227" t="e">
        <f t="shared" si="0"/>
        <v>#REF!</v>
      </c>
      <c r="D25" s="228" t="s">
        <v>29</v>
      </c>
      <c r="E25" s="229" t="s">
        <v>59</v>
      </c>
      <c r="F25" s="229"/>
      <c r="G25" s="230" t="s">
        <v>60</v>
      </c>
      <c r="H25" s="231" t="e">
        <f>VLOOKUP($K$3,#REF!,#REF!,FALSE)</f>
        <v>#REF!</v>
      </c>
      <c r="I25" s="231"/>
    </row>
    <row r="26" spans="3:13" ht="15.6" customHeight="1">
      <c r="C26" s="227" t="e">
        <f t="shared" si="0"/>
        <v>#REF!</v>
      </c>
      <c r="D26" s="228" t="s">
        <v>29</v>
      </c>
      <c r="E26" s="229" t="s">
        <v>61</v>
      </c>
      <c r="F26" s="229"/>
      <c r="G26" s="230" t="s">
        <v>62</v>
      </c>
      <c r="H26" s="231" t="e">
        <f>VLOOKUP($K$3,#REF!,#REF!,FALSE)</f>
        <v>#REF!</v>
      </c>
      <c r="I26" s="231"/>
    </row>
    <row r="27" spans="3:13" ht="15.6" customHeight="1">
      <c r="C27" s="227" t="e">
        <f t="shared" si="0"/>
        <v>#REF!</v>
      </c>
      <c r="D27" s="228" t="s">
        <v>29</v>
      </c>
      <c r="E27" s="229" t="s">
        <v>63</v>
      </c>
      <c r="F27" s="229"/>
      <c r="G27" s="230" t="s">
        <v>64</v>
      </c>
      <c r="H27" s="231" t="e">
        <f>VLOOKUP($K$3,#REF!,#REF!,FALSE)</f>
        <v>#REF!</v>
      </c>
      <c r="I27" s="231"/>
    </row>
    <row r="28" spans="3:13" ht="15.6" customHeight="1">
      <c r="C28" s="227" t="e">
        <f t="shared" si="0"/>
        <v>#REF!</v>
      </c>
      <c r="D28" s="228" t="s">
        <v>29</v>
      </c>
      <c r="E28" s="229" t="s">
        <v>68</v>
      </c>
      <c r="F28" s="229"/>
      <c r="G28" s="230" t="s">
        <v>69</v>
      </c>
      <c r="H28" s="231" t="e">
        <f>VLOOKUP($K$3,#REF!,#REF!,FALSE)</f>
        <v>#REF!</v>
      </c>
      <c r="I28" s="231"/>
    </row>
    <row r="29" spans="3:13" ht="15.6" customHeight="1">
      <c r="C29" s="240" t="e">
        <f t="shared" si="0"/>
        <v>#REF!</v>
      </c>
      <c r="D29" s="241" t="s">
        <v>29</v>
      </c>
      <c r="E29" s="242" t="s">
        <v>65</v>
      </c>
      <c r="F29" s="242"/>
      <c r="G29" s="243" t="s">
        <v>66</v>
      </c>
      <c r="H29" s="244" t="e">
        <f>VLOOKUP($K$3,#REF!,#REF!,FALSE)</f>
        <v>#REF!</v>
      </c>
      <c r="I29" s="244"/>
      <c r="J29" s="245"/>
      <c r="K29" s="245" t="e">
        <f>SUM(H24:H29)</f>
        <v>#REF!</v>
      </c>
      <c r="L29" s="245" t="e">
        <f>SUM(I24:I29)</f>
        <v>#REF!</v>
      </c>
      <c r="M29" s="246" t="e">
        <f>L29=K29</f>
        <v>#REF!</v>
      </c>
    </row>
    <row r="30" spans="3:13" ht="15.6" customHeight="1">
      <c r="C30" s="232"/>
      <c r="D30" s="233"/>
      <c r="E30" s="234"/>
      <c r="F30" s="234"/>
      <c r="G30" s="235"/>
      <c r="H30" s="236"/>
      <c r="I30" s="236"/>
      <c r="M30" s="239"/>
    </row>
    <row r="31" spans="3:13" ht="15.6" customHeight="1">
      <c r="C31" s="222" t="e">
        <f>IF(D31="BQ",$K$5,$K$3)</f>
        <v>#REF!</v>
      </c>
      <c r="D31" s="223" t="s">
        <v>29</v>
      </c>
      <c r="E31" s="224" t="s">
        <v>49</v>
      </c>
      <c r="F31" s="224"/>
      <c r="G31" s="225" t="s">
        <v>50</v>
      </c>
      <c r="H31" s="226"/>
      <c r="I31" s="226" t="e">
        <f>VLOOKUP($K$3,#REF!,#REF!,FALSE)</f>
        <v>#REF!</v>
      </c>
    </row>
    <row r="32" spans="3:13" ht="15.6" customHeight="1">
      <c r="C32" s="222" t="e">
        <f>IF(D32="BQ",$K$5,$K$3)</f>
        <v>#REF!</v>
      </c>
      <c r="D32" s="223" t="s">
        <v>29</v>
      </c>
      <c r="E32" s="224" t="s">
        <v>67</v>
      </c>
      <c r="F32" s="224"/>
      <c r="G32" s="225" t="s">
        <v>50</v>
      </c>
      <c r="H32" s="226" t="e">
        <f>VLOOKUP($K$3,#REF!,#REF!,FALSE)</f>
        <v>#REF!</v>
      </c>
      <c r="I32" s="226"/>
    </row>
    <row r="33" spans="3:14" ht="15.6" customHeight="1">
      <c r="C33" s="232"/>
      <c r="D33" s="233"/>
      <c r="E33" s="234"/>
      <c r="F33" s="234"/>
      <c r="G33" s="235"/>
      <c r="H33" s="236"/>
      <c r="I33" s="236"/>
    </row>
    <row r="34" spans="3:14" ht="15.6" customHeight="1">
      <c r="C34" s="222" t="e">
        <f>IF(D34="BQ",$K$5,$K$3)</f>
        <v>#REF!</v>
      </c>
      <c r="D34" s="223" t="s">
        <v>29</v>
      </c>
      <c r="E34" s="224" t="s">
        <v>76</v>
      </c>
      <c r="F34" s="224"/>
      <c r="G34" s="225" t="s">
        <v>48</v>
      </c>
      <c r="H34" s="226"/>
      <c r="I34" s="226" t="e">
        <f>VLOOKUP($K$3,#REF!,#REF!,FALSE)</f>
        <v>#REF!</v>
      </c>
    </row>
    <row r="35" spans="3:14" ht="15.6" customHeight="1">
      <c r="C35" s="222" t="e">
        <f>IF(D35="BQ",$K$5,$K$3)</f>
        <v>#REF!</v>
      </c>
      <c r="D35" s="223" t="s">
        <v>29</v>
      </c>
      <c r="E35" s="224" t="s">
        <v>47</v>
      </c>
      <c r="F35" s="224"/>
      <c r="G35" s="225" t="s">
        <v>48</v>
      </c>
      <c r="H35" s="226" t="e">
        <f>VLOOKUP($K$3,#REF!,#REF!,FALSE)</f>
        <v>#REF!</v>
      </c>
      <c r="I35" s="226"/>
    </row>
    <row r="36" spans="3:14" ht="15.6" customHeight="1">
      <c r="C36" s="232"/>
      <c r="D36" s="233"/>
      <c r="E36" s="234"/>
      <c r="F36" s="234"/>
      <c r="G36" s="235"/>
      <c r="H36" s="236"/>
      <c r="I36" s="236"/>
    </row>
    <row r="37" spans="3:14" ht="15.6" customHeight="1">
      <c r="C37" s="227" t="e">
        <f t="shared" ref="C37:C44" si="1">IF(D37="BQ",$K$5,$K$3)</f>
        <v>#REF!</v>
      </c>
      <c r="D37" s="228" t="s">
        <v>29</v>
      </c>
      <c r="E37" s="229" t="s">
        <v>41</v>
      </c>
      <c r="F37" s="229"/>
      <c r="G37" s="230" t="s">
        <v>42</v>
      </c>
      <c r="H37" s="231"/>
      <c r="I37" s="237" t="e">
        <f>IF(K3&gt;=DATE(2021,4,30),VLOOKUP($K$3,#REF!,#REF!,FALSE)-VLOOKUP($K$3,#REF!,#REF!,FALSE),VLOOKUP($K$3,#REF!,#REF!,FALSE)+VLOOKUP($K$3,#REF!,#REF!,FALSE))</f>
        <v>#REF!</v>
      </c>
    </row>
    <row r="38" spans="3:14" ht="15.6" customHeight="1">
      <c r="C38" s="227" t="e">
        <f t="shared" si="1"/>
        <v>#REF!</v>
      </c>
      <c r="D38" s="228" t="s">
        <v>29</v>
      </c>
      <c r="E38" s="229" t="s">
        <v>43</v>
      </c>
      <c r="F38" s="229"/>
      <c r="G38" s="230" t="s">
        <v>44</v>
      </c>
      <c r="H38" s="231"/>
      <c r="I38" s="237" t="e">
        <f>VLOOKUP($K$3,#REF!,#REF!,FALSE)</f>
        <v>#REF!</v>
      </c>
    </row>
    <row r="39" spans="3:14" ht="15.6" customHeight="1">
      <c r="C39" s="227" t="e">
        <f t="shared" si="1"/>
        <v>#REF!</v>
      </c>
      <c r="D39" s="228" t="s">
        <v>29</v>
      </c>
      <c r="E39" s="229" t="s">
        <v>45</v>
      </c>
      <c r="F39" s="229"/>
      <c r="G39" s="230" t="s">
        <v>46</v>
      </c>
      <c r="H39" s="237"/>
      <c r="I39" s="237" t="e">
        <f>VLOOKUP($K$3,#REF!,#REF!,FALSE)+VLOOKUP($K$3,#REF!,#REF!,FALSE)+VLOOKUP($K$3,#REF!,#REF!,FALSE)</f>
        <v>#REF!</v>
      </c>
    </row>
    <row r="40" spans="3:14" ht="15.6" customHeight="1">
      <c r="C40" s="227" t="e">
        <f t="shared" si="1"/>
        <v>#REF!</v>
      </c>
      <c r="D40" s="228" t="s">
        <v>29</v>
      </c>
      <c r="E40" s="229" t="s">
        <v>79</v>
      </c>
      <c r="F40" s="229"/>
      <c r="G40" s="230" t="s">
        <v>80</v>
      </c>
      <c r="H40" s="231"/>
      <c r="I40" s="237" t="e">
        <f>VLOOKUP($K$3,#REF!,#REF!,FALSE)</f>
        <v>#REF!</v>
      </c>
    </row>
    <row r="41" spans="3:14" ht="15.6" customHeight="1">
      <c r="C41" s="227" t="e">
        <f t="shared" si="1"/>
        <v>#REF!</v>
      </c>
      <c r="D41" s="228" t="s">
        <v>29</v>
      </c>
      <c r="E41" s="229" t="s">
        <v>81</v>
      </c>
      <c r="F41" s="229"/>
      <c r="G41" s="230" t="s">
        <v>82</v>
      </c>
      <c r="H41" s="231"/>
      <c r="I41" s="231" t="e">
        <f>VLOOKUP($K$3,#REF!,#REF!,FALSE)</f>
        <v>#REF!</v>
      </c>
    </row>
    <row r="42" spans="3:14" ht="15.6" customHeight="1">
      <c r="C42" s="227" t="e">
        <f t="shared" si="1"/>
        <v>#REF!</v>
      </c>
      <c r="D42" s="228" t="s">
        <v>29</v>
      </c>
      <c r="E42" s="229" t="s">
        <v>45</v>
      </c>
      <c r="F42" s="229"/>
      <c r="G42" s="230" t="s">
        <v>46</v>
      </c>
      <c r="H42" s="237" t="e">
        <f>VLOOKUP($K$3,#REF!,#REF!,FALSE)</f>
        <v>#REF!</v>
      </c>
      <c r="I42" s="237"/>
    </row>
    <row r="43" spans="3:14" ht="15.6" customHeight="1">
      <c r="C43" s="227" t="e">
        <f t="shared" si="1"/>
        <v>#REF!</v>
      </c>
      <c r="D43" s="228" t="s">
        <v>29</v>
      </c>
      <c r="E43" s="229" t="s">
        <v>53</v>
      </c>
      <c r="F43" s="229"/>
      <c r="G43" s="230" t="s">
        <v>54</v>
      </c>
      <c r="H43" s="237" t="e">
        <f>VLOOKUP($K$3,#REF!,#REF!,FALSE)</f>
        <v>#REF!</v>
      </c>
      <c r="I43" s="237"/>
    </row>
    <row r="44" spans="3:14" ht="15.6" customHeight="1">
      <c r="C44" s="240" t="e">
        <f t="shared" si="1"/>
        <v>#REF!</v>
      </c>
      <c r="D44" s="241" t="s">
        <v>29</v>
      </c>
      <c r="E44" s="242" t="s">
        <v>72</v>
      </c>
      <c r="F44" s="242"/>
      <c r="G44" s="243" t="s">
        <v>73</v>
      </c>
      <c r="H44" s="247" t="e">
        <f>VLOOKUP($K$3,#REF!,#REF!,FALSE)</f>
        <v>#REF!</v>
      </c>
      <c r="I44" s="247"/>
      <c r="J44" s="245"/>
      <c r="K44" s="245" t="e">
        <f>SUM(H37:H44)</f>
        <v>#REF!</v>
      </c>
      <c r="L44" s="245" t="e">
        <f>SUM(I37:I44)</f>
        <v>#REF!</v>
      </c>
      <c r="M44" s="246" t="e">
        <f>IF(ABS(L44-K44)&lt;0.01,"TRUE","NOT TRUE")</f>
        <v>#REF!</v>
      </c>
    </row>
    <row r="45" spans="3:14" ht="15.6" customHeight="1">
      <c r="C45" s="232"/>
      <c r="D45" s="233"/>
      <c r="E45" s="234"/>
      <c r="F45" s="234"/>
      <c r="G45" s="235"/>
      <c r="H45" s="236"/>
      <c r="I45" s="236"/>
      <c r="M45" s="239"/>
    </row>
    <row r="46" spans="3:14" ht="15.6" customHeight="1">
      <c r="C46" s="222" t="e">
        <f>IF(D46="BQ",$K$5,$K$3)</f>
        <v>#REF!</v>
      </c>
      <c r="D46" s="223" t="s">
        <v>29</v>
      </c>
      <c r="E46" s="224" t="s">
        <v>55</v>
      </c>
      <c r="F46" s="224"/>
      <c r="G46" s="225" t="s">
        <v>56</v>
      </c>
      <c r="H46" s="226" t="e">
        <f>VLOOKUP($K$3,#REF!,#REF!,FALSE)</f>
        <v>#REF!</v>
      </c>
      <c r="I46" s="238"/>
    </row>
    <row r="47" spans="3:14" ht="15.6" customHeight="1">
      <c r="C47" s="222" t="e">
        <f>IF(D47="BQ",$K$5,$K$3)</f>
        <v>#REF!</v>
      </c>
      <c r="D47" s="223" t="s">
        <v>29</v>
      </c>
      <c r="E47" s="224" t="s">
        <v>77</v>
      </c>
      <c r="F47" s="224"/>
      <c r="G47" s="225" t="s">
        <v>78</v>
      </c>
      <c r="H47" s="226"/>
      <c r="I47" s="226" t="e">
        <f>VLOOKUP($K$3,#REF!,#REF!,FALSE)</f>
        <v>#REF!</v>
      </c>
      <c r="L47" s="96"/>
      <c r="M47" s="93"/>
      <c r="N47" s="100"/>
    </row>
    <row r="48" spans="3:14" ht="15.6" customHeight="1">
      <c r="C48" s="232"/>
      <c r="D48" s="233"/>
      <c r="E48" s="234"/>
      <c r="F48" s="234"/>
      <c r="G48" s="235"/>
      <c r="H48" s="236"/>
      <c r="I48" s="236"/>
      <c r="L48" s="96"/>
      <c r="M48" s="93"/>
      <c r="N48" s="100"/>
    </row>
    <row r="49" spans="3:14" ht="15.6" customHeight="1">
      <c r="C49" s="222" t="e">
        <f>IF(D49="BQ",$K$5,$K$3)</f>
        <v>#REF!</v>
      </c>
      <c r="D49" s="223" t="s">
        <v>35</v>
      </c>
      <c r="E49" s="224" t="s">
        <v>57</v>
      </c>
      <c r="F49" s="224"/>
      <c r="G49" s="225" t="s">
        <v>58</v>
      </c>
      <c r="H49" s="226" t="e">
        <f>VLOOKUP($K$4,#REF!,#REF!,FALSE)</f>
        <v>#REF!</v>
      </c>
      <c r="I49" s="238"/>
      <c r="L49" s="96"/>
      <c r="M49" s="93"/>
      <c r="N49" s="100"/>
    </row>
    <row r="50" spans="3:14" ht="15.6" customHeight="1">
      <c r="C50" s="222" t="e">
        <f>IF(D50="BQ",$K$5,$K$3)</f>
        <v>#REF!</v>
      </c>
      <c r="D50" s="223" t="s">
        <v>35</v>
      </c>
      <c r="E50" s="224" t="s">
        <v>53</v>
      </c>
      <c r="F50" s="224"/>
      <c r="G50" s="225" t="s">
        <v>54</v>
      </c>
      <c r="H50" s="226"/>
      <c r="I50" s="226" t="e">
        <f>VLOOKUP($K$4,#REF!,#REF!,FALSE)</f>
        <v>#REF!</v>
      </c>
      <c r="L50" s="96"/>
      <c r="M50" s="93"/>
      <c r="N50" s="100"/>
    </row>
    <row r="51" spans="3:14" ht="15.6" customHeight="1">
      <c r="C51" s="232"/>
      <c r="D51" s="233"/>
      <c r="E51" s="234"/>
      <c r="F51" s="234"/>
      <c r="G51" s="235"/>
      <c r="H51" s="236"/>
      <c r="I51" s="236"/>
      <c r="L51" s="96"/>
      <c r="M51" s="93"/>
      <c r="N51" s="100"/>
    </row>
    <row r="52" spans="3:14" ht="15.6" customHeight="1">
      <c r="C52" s="227" t="e">
        <f t="shared" ref="C52:C57" si="2">IF(D52="BQ",$K$5,$K$3)</f>
        <v>#REF!</v>
      </c>
      <c r="D52" s="228" t="s">
        <v>35</v>
      </c>
      <c r="E52" s="229" t="s">
        <v>34</v>
      </c>
      <c r="F52" s="229"/>
      <c r="G52" s="230" t="s">
        <v>31</v>
      </c>
      <c r="H52" s="231" t="e">
        <f>VLOOKUP($K$4,#REF!,#REF!,FALSE)</f>
        <v>#REF!</v>
      </c>
      <c r="I52" s="237"/>
      <c r="L52" s="96"/>
      <c r="M52" s="93"/>
      <c r="N52" s="100"/>
    </row>
    <row r="53" spans="3:14" ht="15.6" customHeight="1">
      <c r="C53" s="227" t="e">
        <f t="shared" si="2"/>
        <v>#REF!</v>
      </c>
      <c r="D53" s="228" t="s">
        <v>35</v>
      </c>
      <c r="E53" s="229" t="s">
        <v>36</v>
      </c>
      <c r="F53" s="229"/>
      <c r="G53" s="230" t="s">
        <v>33</v>
      </c>
      <c r="H53" s="231" t="e">
        <f>VLOOKUP($K$4,#REF!,#REF!,FALSE)+VLOOKUP($K$4,#REF!,#REF!,FALSE)</f>
        <v>#REF!</v>
      </c>
      <c r="I53" s="237"/>
      <c r="L53" s="96"/>
      <c r="M53" s="93"/>
      <c r="N53" s="100"/>
    </row>
    <row r="54" spans="3:14" ht="15.6" customHeight="1">
      <c r="C54" s="227" t="e">
        <f t="shared" si="2"/>
        <v>#REF!</v>
      </c>
      <c r="D54" s="228" t="s">
        <v>35</v>
      </c>
      <c r="E54" s="229" t="s">
        <v>37</v>
      </c>
      <c r="F54" s="229"/>
      <c r="G54" s="230" t="s">
        <v>38</v>
      </c>
      <c r="H54" s="237" t="e">
        <f>VLOOKUP($K$4,#REF!,#REF!,FALSE)</f>
        <v>#REF!</v>
      </c>
      <c r="I54" s="237"/>
      <c r="L54" s="96"/>
      <c r="M54" s="93"/>
      <c r="N54" s="100"/>
    </row>
    <row r="55" spans="3:14" ht="15.6" customHeight="1">
      <c r="C55" s="227" t="e">
        <f t="shared" si="2"/>
        <v>#REF!</v>
      </c>
      <c r="D55" s="228" t="s">
        <v>35</v>
      </c>
      <c r="E55" s="229" t="s">
        <v>39</v>
      </c>
      <c r="F55" s="229"/>
      <c r="G55" s="230" t="s">
        <v>40</v>
      </c>
      <c r="H55" s="237" t="e">
        <f>VLOOKUP($K$4,#REF!,#REF!,FALSE)</f>
        <v>#REF!</v>
      </c>
      <c r="I55" s="231"/>
      <c r="L55" s="96"/>
      <c r="M55" s="93"/>
      <c r="N55" s="100"/>
    </row>
    <row r="56" spans="3:14" ht="15.6" customHeight="1">
      <c r="C56" s="227" t="e">
        <f t="shared" si="2"/>
        <v>#REF!</v>
      </c>
      <c r="D56" s="228" t="s">
        <v>35</v>
      </c>
      <c r="E56" s="229" t="s">
        <v>51</v>
      </c>
      <c r="F56" s="229"/>
      <c r="G56" s="230" t="s">
        <v>52</v>
      </c>
      <c r="H56" s="237" t="e">
        <f>VLOOKUP($K$4,#REF!,#REF!,FALSE)+VLOOKUP($K$4,#REF!,#REF!,FALSE)+VLOOKUP($K$4,#REF!,#REF!,FALSE)+VLOOKUP($K$4,#REF!,#REF!,FALSE)+VLOOKUP($K$4,#REF!,#REF!,FALSE)</f>
        <v>#REF!</v>
      </c>
      <c r="I56" s="237"/>
      <c r="L56" s="96"/>
      <c r="M56" s="93"/>
      <c r="N56" s="100"/>
    </row>
    <row r="57" spans="3:14" ht="15.6" customHeight="1">
      <c r="C57" s="240" t="e">
        <f t="shared" si="2"/>
        <v>#REF!</v>
      </c>
      <c r="D57" s="241" t="s">
        <v>35</v>
      </c>
      <c r="E57" s="242" t="s">
        <v>57</v>
      </c>
      <c r="F57" s="242"/>
      <c r="G57" s="243" t="s">
        <v>58</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 customHeight="1">
      <c r="C58"/>
      <c r="D58"/>
      <c r="E58" s="221"/>
      <c r="F58" s="221"/>
      <c r="G58"/>
      <c r="H58" s="248" t="e">
        <f>SUM(H12:H57)</f>
        <v>#REF!</v>
      </c>
      <c r="I58" s="248" t="e">
        <f>SUM(I12:I57)</f>
        <v>#REF!</v>
      </c>
      <c r="M58" s="93"/>
      <c r="N58" s="100"/>
    </row>
    <row r="59" spans="3:14" ht="15.6" customHeight="1">
      <c r="L59" s="96"/>
      <c r="M59" s="93"/>
      <c r="N59" s="100"/>
    </row>
    <row r="60" spans="3:14" ht="15.6" customHeight="1">
      <c r="L60" s="96"/>
      <c r="M60" s="93"/>
      <c r="N60" s="100"/>
    </row>
    <row r="61" spans="3:14">
      <c r="L61" s="96"/>
      <c r="M61" s="93"/>
      <c r="N61" s="100"/>
    </row>
    <row r="62" spans="3:14">
      <c r="L62" s="96"/>
      <c r="M62" s="93"/>
      <c r="N62" s="100"/>
    </row>
    <row r="63" spans="3:14">
      <c r="L63" s="96"/>
      <c r="M63" s="93"/>
      <c r="N63" s="100"/>
    </row>
    <row r="64" spans="3:14">
      <c r="L64" s="96"/>
      <c r="M64" s="93"/>
      <c r="N64" s="100"/>
    </row>
    <row r="65" spans="3:14">
      <c r="L65" s="96"/>
      <c r="M65" s="93"/>
      <c r="N65" s="100"/>
    </row>
    <row r="66" spans="3:14">
      <c r="L66" s="96"/>
    </row>
    <row r="67" spans="3:14">
      <c r="L67" s="96"/>
    </row>
    <row r="68" spans="3:14">
      <c r="L68" s="96"/>
    </row>
    <row r="69" spans="3:14">
      <c r="L69" s="96"/>
    </row>
    <row r="70" spans="3:14">
      <c r="L70" s="96"/>
    </row>
    <row r="71" spans="3:14">
      <c r="L71" s="96"/>
    </row>
    <row r="72" spans="3:14">
      <c r="L72" s="96"/>
    </row>
    <row r="73" spans="3:14">
      <c r="L73" s="96"/>
    </row>
    <row r="74" spans="3:14">
      <c r="L74" s="96"/>
    </row>
    <row r="75" spans="3:14">
      <c r="L75" s="96"/>
    </row>
    <row r="76" spans="3:14">
      <c r="L76" s="96"/>
    </row>
    <row r="77" spans="3:14">
      <c r="C77" s="249"/>
      <c r="D77" s="215"/>
      <c r="E77" s="250"/>
      <c r="F77" s="250"/>
      <c r="G77" s="251"/>
      <c r="H77" s="252"/>
      <c r="I77" s="252"/>
    </row>
    <row r="78" spans="3:14">
      <c r="C78" s="249"/>
      <c r="D78" s="215"/>
      <c r="E78" s="250"/>
      <c r="F78" s="250"/>
      <c r="G78" s="251"/>
      <c r="H78" s="252"/>
      <c r="I78" s="252"/>
    </row>
    <row r="79" spans="3:14">
      <c r="C79" s="249"/>
      <c r="D79" s="215"/>
      <c r="E79" s="250"/>
      <c r="F79" s="250"/>
      <c r="G79" s="251"/>
      <c r="H79" s="252"/>
      <c r="I79" s="252"/>
    </row>
    <row r="80" spans="3:14">
      <c r="C80" s="249"/>
      <c r="D80" s="215"/>
      <c r="E80" s="250"/>
      <c r="F80" s="250"/>
      <c r="G80" s="251"/>
      <c r="H80" s="252"/>
      <c r="I80" s="252"/>
    </row>
    <row r="81" spans="3:12">
      <c r="C81" s="249"/>
      <c r="D81" s="215"/>
      <c r="E81" s="250"/>
      <c r="F81" s="250"/>
      <c r="G81" s="251"/>
      <c r="H81" s="252"/>
      <c r="I81" s="252"/>
    </row>
    <row r="82" spans="3:12">
      <c r="C82" s="249"/>
      <c r="D82" s="215"/>
      <c r="E82" s="250"/>
      <c r="F82" s="250"/>
      <c r="G82" s="251"/>
      <c r="H82" s="252"/>
      <c r="I82" s="252"/>
    </row>
    <row r="83" spans="3:12">
      <c r="C83" s="249"/>
      <c r="D83" s="215"/>
      <c r="E83" s="250"/>
      <c r="F83" s="250"/>
      <c r="G83" s="251"/>
      <c r="H83" s="252"/>
      <c r="I83" s="252"/>
    </row>
    <row r="84" spans="3:12">
      <c r="C84" s="249"/>
      <c r="D84" s="215"/>
      <c r="E84" s="250"/>
      <c r="F84" s="250"/>
      <c r="G84" s="251"/>
      <c r="H84" s="252"/>
    </row>
    <row r="85" spans="3:12">
      <c r="C85" s="249"/>
      <c r="D85" s="215"/>
      <c r="E85" s="250"/>
      <c r="F85" s="250"/>
      <c r="G85" s="251"/>
      <c r="H85" s="252"/>
      <c r="L85" s="253"/>
    </row>
    <row r="86" spans="3:12">
      <c r="C86" s="249"/>
      <c r="D86" s="215"/>
      <c r="E86" s="250"/>
      <c r="F86" s="250"/>
      <c r="G86" s="251"/>
      <c r="L86" s="253"/>
    </row>
    <row r="87" spans="3:12">
      <c r="C87" s="249"/>
      <c r="D87" s="215"/>
      <c r="E87" s="250"/>
      <c r="F87" s="250"/>
      <c r="G87" s="251"/>
      <c r="I87" s="252"/>
      <c r="L87" s="253"/>
    </row>
    <row r="88" spans="3:12">
      <c r="C88" s="249"/>
      <c r="D88" s="215"/>
      <c r="E88" s="250"/>
      <c r="F88" s="250"/>
      <c r="G88" s="251"/>
      <c r="H88" s="252"/>
      <c r="L88" s="253"/>
    </row>
    <row r="89" spans="3:12">
      <c r="C89" s="249"/>
      <c r="D89" s="215"/>
      <c r="E89" s="250"/>
      <c r="F89" s="250"/>
      <c r="G89" s="251"/>
      <c r="H89" s="252"/>
      <c r="I89" s="252"/>
      <c r="L89" s="254"/>
    </row>
    <row r="90" spans="3:12">
      <c r="C90" s="249"/>
      <c r="D90" s="215"/>
      <c r="E90" s="250"/>
      <c r="F90" s="250"/>
      <c r="G90" s="251"/>
      <c r="I90" s="252"/>
    </row>
    <row r="91" spans="3:12">
      <c r="C91" s="249"/>
      <c r="D91" s="215"/>
      <c r="E91" s="250"/>
      <c r="F91" s="250"/>
      <c r="G91" s="251"/>
      <c r="L91" s="253"/>
    </row>
    <row r="92" spans="3:12">
      <c r="C92" s="249"/>
      <c r="D92" s="215"/>
      <c r="E92" s="250"/>
      <c r="F92" s="250"/>
      <c r="G92" s="251"/>
      <c r="H92" s="252"/>
      <c r="L92" s="253"/>
    </row>
    <row r="93" spans="3:12">
      <c r="C93" s="249"/>
      <c r="D93" s="215"/>
      <c r="E93" s="250"/>
      <c r="F93" s="250"/>
      <c r="G93" s="251"/>
      <c r="I93" s="252"/>
      <c r="L93" s="253"/>
    </row>
    <row r="94" spans="3:12">
      <c r="C94" s="249"/>
      <c r="D94" s="215"/>
      <c r="E94" s="250"/>
      <c r="F94" s="250"/>
      <c r="G94" s="251"/>
      <c r="L94" s="254"/>
    </row>
    <row r="95" spans="3:12">
      <c r="C95" s="249"/>
      <c r="D95" s="215"/>
      <c r="E95" s="250"/>
      <c r="F95" s="250"/>
      <c r="G95" s="251"/>
      <c r="H95" s="252"/>
      <c r="I95" s="252"/>
      <c r="L95" s="253"/>
    </row>
    <row r="96" spans="3:12">
      <c r="C96" s="249"/>
      <c r="D96" s="215"/>
      <c r="E96" s="250"/>
      <c r="F96" s="250"/>
      <c r="G96" s="251"/>
      <c r="H96" s="252"/>
      <c r="I96" s="252"/>
      <c r="L96" s="253"/>
    </row>
    <row r="97" spans="3:12">
      <c r="C97" s="249"/>
      <c r="D97" s="215"/>
      <c r="E97" s="250"/>
      <c r="F97" s="250"/>
      <c r="G97" s="251"/>
      <c r="H97" s="252"/>
      <c r="I97" s="252"/>
      <c r="L97" s="253"/>
    </row>
    <row r="98" spans="3:12">
      <c r="C98" s="249"/>
      <c r="D98" s="215"/>
      <c r="E98" s="250"/>
      <c r="F98" s="250"/>
      <c r="G98" s="251"/>
      <c r="I98" s="252"/>
      <c r="L98" s="253"/>
    </row>
    <row r="99" spans="3:12">
      <c r="C99" s="249"/>
      <c r="D99" s="215"/>
      <c r="E99" s="250"/>
      <c r="F99" s="250"/>
      <c r="G99" s="251"/>
      <c r="I99" s="252"/>
      <c r="L99" s="253"/>
    </row>
    <row r="100" spans="3:12">
      <c r="C100" s="249"/>
      <c r="D100" s="215"/>
      <c r="E100" s="250"/>
      <c r="F100" s="250"/>
      <c r="G100" s="251"/>
      <c r="H100" s="252"/>
      <c r="I100" s="252"/>
      <c r="L100" s="253"/>
    </row>
    <row r="101" spans="3:12">
      <c r="C101" s="249"/>
      <c r="D101" s="215"/>
      <c r="E101" s="250"/>
      <c r="F101" s="250"/>
      <c r="G101" s="251"/>
      <c r="I101" s="252"/>
      <c r="L101" s="253"/>
    </row>
    <row r="102" spans="3:12">
      <c r="C102" s="249"/>
      <c r="D102" s="215"/>
      <c r="E102" s="250"/>
      <c r="F102" s="250"/>
      <c r="G102" s="251"/>
      <c r="I102" s="252"/>
      <c r="L102" s="253"/>
    </row>
    <row r="103" spans="3:12">
      <c r="C103" s="249"/>
      <c r="D103" s="215"/>
      <c r="E103" s="250"/>
      <c r="F103" s="250"/>
      <c r="G103" s="251"/>
      <c r="I103" s="252"/>
      <c r="L103" s="253"/>
    </row>
    <row r="104" spans="3:12">
      <c r="C104" s="249"/>
      <c r="D104" s="215"/>
      <c r="E104" s="250"/>
      <c r="F104" s="250"/>
      <c r="G104" s="251"/>
      <c r="H104" s="252"/>
      <c r="L104" s="253"/>
    </row>
    <row r="105" spans="3:12">
      <c r="C105" s="249"/>
      <c r="D105" s="215"/>
      <c r="E105" s="250"/>
      <c r="F105" s="250"/>
      <c r="G105" s="251"/>
      <c r="H105" s="252"/>
      <c r="I105" s="252"/>
      <c r="L105" s="253"/>
    </row>
    <row r="106" spans="3:12">
      <c r="C106" s="249"/>
      <c r="D106" s="215"/>
      <c r="E106" s="250"/>
      <c r="F106" s="250"/>
      <c r="G106" s="251"/>
      <c r="I106" s="252"/>
      <c r="L106" s="253"/>
    </row>
    <row r="107" spans="3:12">
      <c r="C107" s="249"/>
      <c r="D107" s="215"/>
      <c r="E107" s="250"/>
      <c r="F107" s="250"/>
      <c r="G107" s="251"/>
      <c r="I107" s="252"/>
      <c r="L107" s="253"/>
    </row>
    <row r="108" spans="3:12">
      <c r="C108"/>
      <c r="D108"/>
      <c r="E108" s="250"/>
      <c r="F108" s="250"/>
      <c r="G108" s="251"/>
      <c r="H108" s="252"/>
      <c r="I108" s="252"/>
      <c r="L108" s="253"/>
    </row>
    <row r="109" spans="3:12">
      <c r="E109" s="250"/>
      <c r="F109" s="250"/>
      <c r="G109" s="251"/>
      <c r="I109" s="252"/>
      <c r="L109" s="253"/>
    </row>
    <row r="110" spans="3:12">
      <c r="E110" s="250"/>
      <c r="F110" s="250"/>
      <c r="G110" s="251"/>
      <c r="I110" s="252"/>
    </row>
  </sheetData>
  <autoFilter ref="C11:I60" xr:uid="{28E58B19-721C-4A96-B85A-CC1384CE08CD}"/>
  <mergeCells count="1">
    <mergeCell ref="C8:K8"/>
  </mergeCells>
  <phoneticPr fontId="117" type="noConversion"/>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40625" defaultRowHeight="15"/>
  <cols>
    <col min="1" max="1" width="14.85546875" style="380" customWidth="1"/>
    <col min="2" max="2" width="23.140625" style="440" bestFit="1" customWidth="1"/>
    <col min="3" max="3" width="16.42578125" style="402" customWidth="1"/>
    <col min="4" max="4" width="14.5703125" style="402" customWidth="1"/>
    <col min="5" max="5" width="11.5703125" style="402" customWidth="1"/>
    <col min="6" max="6" width="13.85546875" style="402" customWidth="1"/>
    <col min="7" max="7" width="17.5703125" style="380" bestFit="1" customWidth="1"/>
    <col min="8" max="8" width="14.85546875" style="380" bestFit="1" customWidth="1"/>
    <col min="9" max="9" width="15.42578125" style="380" customWidth="1"/>
    <col min="10" max="10" width="16.42578125" style="380" customWidth="1"/>
    <col min="11" max="11" width="15.5703125" style="380" customWidth="1"/>
    <col min="12" max="16384" width="9.140625" style="380"/>
  </cols>
  <sheetData>
    <row r="1" spans="1:12">
      <c r="A1" s="104"/>
      <c r="B1" s="104"/>
      <c r="C1" s="104"/>
      <c r="D1" s="104"/>
      <c r="E1" s="104"/>
      <c r="F1" s="104"/>
      <c r="G1" s="104"/>
      <c r="H1" s="104"/>
      <c r="I1" s="104"/>
      <c r="J1" s="104"/>
      <c r="K1" s="104"/>
      <c r="L1" s="104"/>
    </row>
    <row r="2" spans="1:12">
      <c r="A2" s="104"/>
      <c r="B2" s="106"/>
      <c r="C2" s="106"/>
      <c r="D2" s="106"/>
      <c r="E2" s="106"/>
      <c r="F2" s="106"/>
      <c r="G2" s="106"/>
      <c r="H2" s="106"/>
      <c r="I2" s="106"/>
      <c r="J2" s="106"/>
      <c r="K2" s="106"/>
      <c r="L2" s="106"/>
    </row>
    <row r="3" spans="1:12" ht="14.45" customHeight="1">
      <c r="A3" s="104"/>
      <c r="B3" s="106"/>
      <c r="C3" s="106"/>
      <c r="D3" s="106"/>
      <c r="E3" s="1138"/>
      <c r="F3" s="1138"/>
      <c r="G3" s="1138"/>
      <c r="H3" s="106"/>
      <c r="I3" s="333"/>
      <c r="J3" s="101" t="s">
        <v>651</v>
      </c>
      <c r="K3" s="101">
        <f>'00 - Cover'!F14</f>
        <v>46219</v>
      </c>
      <c r="L3" s="105"/>
    </row>
    <row r="4" spans="1:12" ht="14.45" customHeight="1">
      <c r="A4" s="104"/>
      <c r="B4" s="106"/>
      <c r="C4" s="106"/>
      <c r="D4" s="106"/>
      <c r="E4" s="1138"/>
      <c r="F4" s="1138"/>
      <c r="G4" s="1138"/>
      <c r="H4" s="106"/>
      <c r="I4" s="333"/>
      <c r="J4" s="101" t="s">
        <v>92</v>
      </c>
      <c r="K4" s="101">
        <f>'00 - Cover'!F15</f>
        <v>46224</v>
      </c>
      <c r="L4" s="105"/>
    </row>
    <row r="5" spans="1:12" ht="14.45" customHeight="1">
      <c r="A5" s="104"/>
      <c r="B5" s="106"/>
      <c r="C5" s="106"/>
      <c r="D5" s="106"/>
      <c r="E5" s="1138"/>
      <c r="F5" s="1138"/>
      <c r="G5" s="1138"/>
      <c r="H5" s="106"/>
      <c r="I5" s="333"/>
      <c r="J5" s="101" t="s">
        <v>85</v>
      </c>
      <c r="K5" s="101">
        <f>'00 - Cover'!F16</f>
        <v>46230</v>
      </c>
      <c r="L5" s="105"/>
    </row>
    <row r="6" spans="1:12" ht="14.45" customHeight="1">
      <c r="A6" s="104"/>
      <c r="B6" s="106"/>
      <c r="C6" s="106"/>
      <c r="D6" s="106"/>
      <c r="E6" s="1138"/>
      <c r="F6" s="1138"/>
      <c r="G6" s="1138"/>
      <c r="H6" s="106"/>
      <c r="I6" s="106"/>
      <c r="J6" s="106"/>
      <c r="K6" s="106"/>
      <c r="L6" s="106"/>
    </row>
    <row r="7" spans="1:12">
      <c r="A7" s="104"/>
      <c r="B7" s="106"/>
      <c r="C7" s="106"/>
      <c r="D7" s="106"/>
      <c r="E7" s="106"/>
      <c r="F7" s="106"/>
      <c r="G7" s="106"/>
      <c r="H7" s="106"/>
      <c r="I7" s="107"/>
      <c r="J7" s="107"/>
      <c r="K7" s="108"/>
      <c r="L7" s="106"/>
    </row>
    <row r="8" spans="1:12">
      <c r="B8" s="380"/>
    </row>
    <row r="9" spans="1:12" ht="17.25" customHeight="1">
      <c r="A9" s="561" t="s">
        <v>567</v>
      </c>
      <c r="B9" s="562"/>
      <c r="C9" s="563"/>
      <c r="D9" s="563"/>
      <c r="E9" s="563"/>
      <c r="F9" s="563"/>
      <c r="G9" s="563"/>
      <c r="H9" s="563"/>
      <c r="I9" s="563"/>
      <c r="J9" s="563"/>
      <c r="K9" s="563"/>
      <c r="L9" s="563"/>
    </row>
    <row r="10" spans="1:12" ht="11.1" customHeight="1">
      <c r="B10" s="380"/>
    </row>
    <row r="11" spans="1:12" ht="4.5" customHeight="1">
      <c r="B11" s="380"/>
      <c r="C11" s="380"/>
      <c r="D11" s="380"/>
      <c r="E11" s="380"/>
      <c r="F11" s="380"/>
    </row>
    <row r="12" spans="1:12" ht="3.75" customHeight="1" thickBot="1">
      <c r="B12" s="403"/>
      <c r="C12" s="404"/>
      <c r="D12" s="404"/>
      <c r="E12" s="404"/>
      <c r="F12" s="404"/>
      <c r="G12" s="404"/>
    </row>
    <row r="13" spans="1:12" ht="39" customHeight="1" thickBot="1">
      <c r="B13" s="403"/>
      <c r="C13" s="404"/>
      <c r="D13" s="404"/>
      <c r="E13" s="404"/>
      <c r="F13" s="404"/>
      <c r="G13" s="404"/>
      <c r="H13" s="405" t="s">
        <v>568</v>
      </c>
      <c r="I13" s="406" t="s">
        <v>569</v>
      </c>
      <c r="K13" s="402"/>
    </row>
    <row r="14" spans="1:12" ht="21.95" customHeight="1" thickBot="1">
      <c r="B14" s="1160" t="s">
        <v>605</v>
      </c>
      <c r="C14" s="1161"/>
      <c r="D14" s="1161"/>
      <c r="E14" s="1161"/>
      <c r="F14" s="1161"/>
      <c r="G14" s="1162"/>
      <c r="H14" s="409">
        <v>751085014.36999917</v>
      </c>
      <c r="I14" s="410">
        <v>3847</v>
      </c>
      <c r="K14" s="402"/>
    </row>
    <row r="15" spans="1:12" ht="21.95" customHeight="1" thickBot="1">
      <c r="B15" s="461" t="s">
        <v>606</v>
      </c>
      <c r="C15" s="462"/>
      <c r="D15" s="462"/>
      <c r="E15" s="462"/>
      <c r="F15" s="462"/>
      <c r="G15" s="463"/>
      <c r="H15" s="411">
        <f>SUM(J20:J23,J26:J30,J32:J36,J39:J40,)</f>
        <v>0</v>
      </c>
      <c r="I15" s="412">
        <f>SUM(K20:K23,K26:K30,K32:K36,K39:K40)</f>
        <v>0</v>
      </c>
      <c r="K15" s="402"/>
    </row>
    <row r="16" spans="1:12" ht="21.95" customHeight="1" thickBot="1">
      <c r="B16" s="461" t="s">
        <v>607</v>
      </c>
      <c r="C16" s="462"/>
      <c r="D16" s="462"/>
      <c r="E16" s="462"/>
      <c r="F16" s="462"/>
      <c r="G16" s="463"/>
      <c r="H16" s="411">
        <f>H14-H15</f>
        <v>751085014.36999917</v>
      </c>
      <c r="I16" s="412">
        <f>I14-I15</f>
        <v>3847</v>
      </c>
      <c r="J16" s="413"/>
      <c r="K16" s="402"/>
    </row>
    <row r="17" spans="1:11" ht="21.95" customHeight="1" thickBot="1">
      <c r="B17" s="414" t="s">
        <v>557</v>
      </c>
      <c r="C17" s="407"/>
      <c r="D17" s="407"/>
      <c r="E17" s="407"/>
      <c r="F17" s="407"/>
      <c r="G17" s="408"/>
      <c r="H17" s="415" t="str">
        <f>IF(H14-H15=H16,"OK","KO")</f>
        <v>OK</v>
      </c>
      <c r="I17" s="416" t="str">
        <f>IF(I14-I15=I16,"OK","KO")</f>
        <v>OK</v>
      </c>
      <c r="K17" s="402"/>
    </row>
    <row r="18" spans="1:11" ht="63" customHeight="1" thickBot="1">
      <c r="B18" s="1151" t="s">
        <v>570</v>
      </c>
      <c r="C18" s="1152"/>
      <c r="D18" s="1152"/>
      <c r="E18" s="1152"/>
      <c r="F18" s="1152"/>
      <c r="G18" s="1153"/>
      <c r="H18" s="417" t="s">
        <v>601</v>
      </c>
      <c r="I18" s="418" t="s">
        <v>602</v>
      </c>
      <c r="J18" s="417" t="s">
        <v>603</v>
      </c>
      <c r="K18" s="418" t="s">
        <v>604</v>
      </c>
    </row>
    <row r="19" spans="1:11" ht="58.5" customHeight="1">
      <c r="A19" s="419"/>
      <c r="B19" s="420" t="s">
        <v>559</v>
      </c>
      <c r="C19" s="1139" t="s">
        <v>571</v>
      </c>
      <c r="D19" s="1140"/>
      <c r="E19" s="1140"/>
      <c r="F19" s="1140"/>
      <c r="G19" s="1141"/>
      <c r="H19" s="421"/>
      <c r="I19" s="422"/>
      <c r="J19" s="421"/>
      <c r="K19" s="422"/>
    </row>
    <row r="20" spans="1:11" ht="48" customHeight="1">
      <c r="A20" s="419"/>
      <c r="B20" s="423" t="s">
        <v>560</v>
      </c>
      <c r="C20" s="1142" t="s">
        <v>572</v>
      </c>
      <c r="D20" s="1143"/>
      <c r="E20" s="1143"/>
      <c r="F20" s="1143"/>
      <c r="G20" s="1144"/>
      <c r="H20" s="425">
        <f>H14-J20</f>
        <v>751085014.36999917</v>
      </c>
      <c r="I20" s="424">
        <f>I14-K20</f>
        <v>3847</v>
      </c>
      <c r="J20" s="425">
        <v>0</v>
      </c>
      <c r="K20" s="426">
        <v>0</v>
      </c>
    </row>
    <row r="21" spans="1:11" ht="48" customHeight="1">
      <c r="A21" s="419"/>
      <c r="B21" s="423" t="s">
        <v>561</v>
      </c>
      <c r="C21" s="1145" t="s">
        <v>573</v>
      </c>
      <c r="D21" s="1146"/>
      <c r="E21" s="1146"/>
      <c r="F21" s="1146"/>
      <c r="G21" s="1147"/>
      <c r="H21" s="425">
        <f t="shared" ref="H21:I23" si="0">H20-J21</f>
        <v>751085014.36999917</v>
      </c>
      <c r="I21" s="426">
        <f t="shared" si="0"/>
        <v>3847</v>
      </c>
      <c r="J21" s="425">
        <v>0</v>
      </c>
      <c r="K21" s="426">
        <v>0</v>
      </c>
    </row>
    <row r="22" spans="1:11" ht="48" customHeight="1">
      <c r="A22" s="419"/>
      <c r="B22" s="423" t="s">
        <v>562</v>
      </c>
      <c r="C22" s="1145" t="s">
        <v>574</v>
      </c>
      <c r="D22" s="1146"/>
      <c r="E22" s="1146"/>
      <c r="F22" s="1146"/>
      <c r="G22" s="1147"/>
      <c r="H22" s="425">
        <f t="shared" si="0"/>
        <v>751085014.36999917</v>
      </c>
      <c r="I22" s="426">
        <f t="shared" si="0"/>
        <v>3847</v>
      </c>
      <c r="J22" s="425">
        <v>0</v>
      </c>
      <c r="K22" s="426">
        <v>0</v>
      </c>
    </row>
    <row r="23" spans="1:11" ht="48" customHeight="1">
      <c r="A23" s="419"/>
      <c r="B23" s="423" t="s">
        <v>563</v>
      </c>
      <c r="C23" s="1145" t="s">
        <v>575</v>
      </c>
      <c r="D23" s="1146"/>
      <c r="E23" s="1146"/>
      <c r="F23" s="1146"/>
      <c r="G23" s="1147"/>
      <c r="H23" s="425">
        <f t="shared" si="0"/>
        <v>751085014.36999917</v>
      </c>
      <c r="I23" s="426">
        <f t="shared" si="0"/>
        <v>3847</v>
      </c>
      <c r="J23" s="425">
        <v>0</v>
      </c>
      <c r="K23" s="426">
        <v>0</v>
      </c>
    </row>
    <row r="24" spans="1:11" ht="48" customHeight="1">
      <c r="A24" s="419"/>
      <c r="B24" s="423" t="s">
        <v>564</v>
      </c>
      <c r="C24" s="1145" t="s">
        <v>576</v>
      </c>
      <c r="D24" s="1146"/>
      <c r="E24" s="1146"/>
      <c r="F24" s="1146"/>
      <c r="G24" s="1147"/>
      <c r="H24" s="427"/>
      <c r="I24" s="428"/>
      <c r="J24" s="427"/>
      <c r="K24" s="428"/>
    </row>
    <row r="25" spans="1:11" ht="48" customHeight="1">
      <c r="A25" s="419"/>
      <c r="B25" s="423" t="s">
        <v>577</v>
      </c>
      <c r="C25" s="1145" t="s">
        <v>578</v>
      </c>
      <c r="D25" s="1146"/>
      <c r="E25" s="1146"/>
      <c r="F25" s="1146"/>
      <c r="G25" s="1147"/>
      <c r="H25" s="427"/>
      <c r="I25" s="428"/>
      <c r="J25" s="427"/>
      <c r="K25" s="428"/>
    </row>
    <row r="26" spans="1:11" ht="48" customHeight="1">
      <c r="A26" s="419"/>
      <c r="B26" s="423" t="s">
        <v>579</v>
      </c>
      <c r="C26" s="1145" t="s">
        <v>580</v>
      </c>
      <c r="D26" s="1146"/>
      <c r="E26" s="1146"/>
      <c r="F26" s="1146"/>
      <c r="G26" s="1147"/>
      <c r="H26" s="425">
        <f>H23-J26</f>
        <v>751085014.36999917</v>
      </c>
      <c r="I26" s="426">
        <f>I23-K26</f>
        <v>3847</v>
      </c>
      <c r="J26" s="425">
        <v>0</v>
      </c>
      <c r="K26" s="426">
        <v>0</v>
      </c>
    </row>
    <row r="27" spans="1:11" ht="48" customHeight="1">
      <c r="A27" s="419"/>
      <c r="B27" s="423" t="s">
        <v>558</v>
      </c>
      <c r="C27" s="1145" t="s">
        <v>581</v>
      </c>
      <c r="D27" s="1146"/>
      <c r="E27" s="1146"/>
      <c r="F27" s="1146"/>
      <c r="G27" s="1147"/>
      <c r="H27" s="425">
        <f t="shared" ref="H27:I30" si="1">H26-J27</f>
        <v>751085014.36999917</v>
      </c>
      <c r="I27" s="426">
        <f t="shared" si="1"/>
        <v>3847</v>
      </c>
      <c r="J27" s="425">
        <v>0</v>
      </c>
      <c r="K27" s="426">
        <v>0</v>
      </c>
    </row>
    <row r="28" spans="1:11" ht="48" customHeight="1">
      <c r="A28" s="419"/>
      <c r="B28" s="423" t="s">
        <v>582</v>
      </c>
      <c r="C28" s="1145" t="s">
        <v>827</v>
      </c>
      <c r="D28" s="1146"/>
      <c r="E28" s="1146"/>
      <c r="F28" s="1146"/>
      <c r="G28" s="1147"/>
      <c r="H28" s="425">
        <f t="shared" si="1"/>
        <v>751085014.36999917</v>
      </c>
      <c r="I28" s="426">
        <f t="shared" si="1"/>
        <v>3847</v>
      </c>
      <c r="J28" s="425">
        <v>0</v>
      </c>
      <c r="K28" s="426">
        <v>0</v>
      </c>
    </row>
    <row r="29" spans="1:11" ht="48" customHeight="1">
      <c r="A29" s="419"/>
      <c r="B29" s="423" t="s">
        <v>583</v>
      </c>
      <c r="C29" s="1145" t="s">
        <v>584</v>
      </c>
      <c r="D29" s="1146"/>
      <c r="E29" s="1146"/>
      <c r="F29" s="1146"/>
      <c r="G29" s="1147"/>
      <c r="H29" s="425">
        <f t="shared" si="1"/>
        <v>751085014.36999917</v>
      </c>
      <c r="I29" s="426">
        <f t="shared" si="1"/>
        <v>3847</v>
      </c>
      <c r="J29" s="425">
        <v>0</v>
      </c>
      <c r="K29" s="426">
        <v>0</v>
      </c>
    </row>
    <row r="30" spans="1:11" ht="48" customHeight="1">
      <c r="A30" s="419"/>
      <c r="B30" s="423" t="s">
        <v>585</v>
      </c>
      <c r="C30" s="1145" t="s">
        <v>586</v>
      </c>
      <c r="D30" s="1146"/>
      <c r="E30" s="1146"/>
      <c r="F30" s="1146"/>
      <c r="G30" s="1147"/>
      <c r="H30" s="425">
        <f t="shared" si="1"/>
        <v>751085014.36999917</v>
      </c>
      <c r="I30" s="426">
        <f t="shared" si="1"/>
        <v>3847</v>
      </c>
      <c r="J30" s="425">
        <v>0</v>
      </c>
      <c r="K30" s="426">
        <v>0</v>
      </c>
    </row>
    <row r="31" spans="1:11" ht="48" customHeight="1">
      <c r="A31" s="419"/>
      <c r="B31" s="423" t="s">
        <v>587</v>
      </c>
      <c r="C31" s="1145" t="s">
        <v>588</v>
      </c>
      <c r="D31" s="1146"/>
      <c r="E31" s="1146"/>
      <c r="F31" s="1146"/>
      <c r="G31" s="1147"/>
      <c r="H31" s="427"/>
      <c r="I31" s="428"/>
      <c r="J31" s="427"/>
      <c r="K31" s="428"/>
    </row>
    <row r="32" spans="1:11" ht="48" customHeight="1">
      <c r="A32" s="419"/>
      <c r="B32" s="423" t="s">
        <v>589</v>
      </c>
      <c r="C32" s="1145" t="s">
        <v>590</v>
      </c>
      <c r="D32" s="1146"/>
      <c r="E32" s="1146"/>
      <c r="F32" s="1146"/>
      <c r="G32" s="1147"/>
      <c r="H32" s="425">
        <f>H30-J32</f>
        <v>751085014.36999917</v>
      </c>
      <c r="I32" s="426">
        <f>I30-K32</f>
        <v>3847</v>
      </c>
      <c r="J32" s="425">
        <v>0</v>
      </c>
      <c r="K32" s="426">
        <v>0</v>
      </c>
    </row>
    <row r="33" spans="1:11" ht="48" customHeight="1">
      <c r="A33" s="419"/>
      <c r="B33" s="423" t="s">
        <v>591</v>
      </c>
      <c r="C33" s="1145" t="s">
        <v>592</v>
      </c>
      <c r="D33" s="1146"/>
      <c r="E33" s="1146"/>
      <c r="F33" s="1146"/>
      <c r="G33" s="1147"/>
      <c r="H33" s="425">
        <f t="shared" ref="H33:I36" si="2">H32-J33</f>
        <v>751085014.36999917</v>
      </c>
      <c r="I33" s="426">
        <f t="shared" si="2"/>
        <v>3847</v>
      </c>
      <c r="J33" s="425">
        <v>0</v>
      </c>
      <c r="K33" s="426">
        <v>0</v>
      </c>
    </row>
    <row r="34" spans="1:11" ht="48" customHeight="1">
      <c r="A34" s="419"/>
      <c r="B34" s="423" t="s">
        <v>593</v>
      </c>
      <c r="C34" s="1145" t="s">
        <v>594</v>
      </c>
      <c r="D34" s="1146"/>
      <c r="E34" s="1146"/>
      <c r="F34" s="1146"/>
      <c r="G34" s="1147"/>
      <c r="H34" s="425">
        <f t="shared" si="2"/>
        <v>751085014.36999917</v>
      </c>
      <c r="I34" s="426">
        <f t="shared" si="2"/>
        <v>3847</v>
      </c>
      <c r="J34" s="425">
        <v>0</v>
      </c>
      <c r="K34" s="426">
        <v>0</v>
      </c>
    </row>
    <row r="35" spans="1:11" ht="48" customHeight="1">
      <c r="A35" s="419"/>
      <c r="B35" s="423" t="s">
        <v>595</v>
      </c>
      <c r="C35" s="1145" t="s">
        <v>596</v>
      </c>
      <c r="D35" s="1146"/>
      <c r="E35" s="1146"/>
      <c r="F35" s="1146"/>
      <c r="G35" s="1147"/>
      <c r="H35" s="425">
        <f t="shared" si="2"/>
        <v>751085014.36999917</v>
      </c>
      <c r="I35" s="426">
        <f t="shared" si="2"/>
        <v>3847</v>
      </c>
      <c r="J35" s="425">
        <v>0</v>
      </c>
      <c r="K35" s="426">
        <v>0</v>
      </c>
    </row>
    <row r="36" spans="1:11" ht="48" customHeight="1">
      <c r="A36" s="419"/>
      <c r="B36" s="423" t="s">
        <v>597</v>
      </c>
      <c r="C36" s="1157" t="s">
        <v>598</v>
      </c>
      <c r="D36" s="1158"/>
      <c r="E36" s="1158"/>
      <c r="F36" s="1158"/>
      <c r="G36" s="1159"/>
      <c r="H36" s="425">
        <f t="shared" si="2"/>
        <v>751085014.36999917</v>
      </c>
      <c r="I36" s="426">
        <f t="shared" si="2"/>
        <v>3847</v>
      </c>
      <c r="J36" s="425">
        <v>0</v>
      </c>
      <c r="K36" s="426">
        <v>0</v>
      </c>
    </row>
    <row r="37" spans="1:11" ht="48" customHeight="1" thickBot="1">
      <c r="A37" s="419"/>
      <c r="B37" s="423" t="s">
        <v>599</v>
      </c>
      <c r="C37" s="1148" t="s">
        <v>600</v>
      </c>
      <c r="D37" s="1149"/>
      <c r="E37" s="1149"/>
      <c r="F37" s="1149"/>
      <c r="G37" s="1150"/>
      <c r="H37" s="430"/>
      <c r="I37" s="431"/>
      <c r="J37" s="430"/>
      <c r="K37" s="432"/>
    </row>
    <row r="38" spans="1:11" ht="32.1" customHeight="1" thickBot="1">
      <c r="B38" s="1151" t="s">
        <v>608</v>
      </c>
      <c r="C38" s="1152"/>
      <c r="D38" s="1152"/>
      <c r="E38" s="1152"/>
      <c r="F38" s="1152"/>
      <c r="G38" s="1153"/>
      <c r="H38" s="433"/>
      <c r="I38" s="413"/>
    </row>
    <row r="39" spans="1:11" ht="37.5" customHeight="1">
      <c r="B39" s="434" t="s">
        <v>559</v>
      </c>
      <c r="C39" s="1154" t="s">
        <v>609</v>
      </c>
      <c r="D39" s="1155"/>
      <c r="E39" s="1155"/>
      <c r="F39" s="1155"/>
      <c r="G39" s="1156"/>
      <c r="H39" s="409">
        <f>H36-J39</f>
        <v>751085014.36999917</v>
      </c>
      <c r="I39" s="410">
        <f>I36-K39</f>
        <v>3847</v>
      </c>
      <c r="J39" s="435">
        <v>0</v>
      </c>
      <c r="K39" s="436">
        <v>0</v>
      </c>
    </row>
    <row r="40" spans="1:11" ht="37.5" customHeight="1">
      <c r="B40" s="438" t="s">
        <v>560</v>
      </c>
      <c r="C40" s="1135" t="s">
        <v>610</v>
      </c>
      <c r="D40" s="1136"/>
      <c r="E40" s="1136"/>
      <c r="F40" s="1136"/>
      <c r="G40" s="1137"/>
      <c r="H40" s="425">
        <f>H39-J40</f>
        <v>751085014.36999917</v>
      </c>
      <c r="I40" s="426">
        <f>I39-K40</f>
        <v>3847</v>
      </c>
      <c r="J40" s="441">
        <v>0</v>
      </c>
      <c r="K40" s="442">
        <v>0</v>
      </c>
    </row>
    <row r="41" spans="1:11" ht="37.5" customHeight="1">
      <c r="B41" s="438" t="s">
        <v>561</v>
      </c>
      <c r="C41" s="1135" t="s">
        <v>611</v>
      </c>
      <c r="D41" s="1136"/>
      <c r="E41" s="1136"/>
      <c r="F41" s="1136"/>
      <c r="G41" s="1137"/>
      <c r="H41" s="427"/>
      <c r="I41" s="428"/>
      <c r="J41" s="427"/>
      <c r="K41" s="428"/>
    </row>
    <row r="42" spans="1:11" ht="37.5" customHeight="1">
      <c r="B42" s="438" t="s">
        <v>562</v>
      </c>
      <c r="C42" s="1135" t="s">
        <v>612</v>
      </c>
      <c r="D42" s="1136"/>
      <c r="E42" s="1136"/>
      <c r="F42" s="1136"/>
      <c r="G42" s="1137"/>
      <c r="H42" s="427"/>
      <c r="I42" s="428"/>
      <c r="J42" s="427"/>
      <c r="K42" s="428"/>
    </row>
    <row r="43" spans="1:11" ht="37.5" customHeight="1">
      <c r="B43" s="438" t="s">
        <v>563</v>
      </c>
      <c r="C43" s="1135" t="s">
        <v>613</v>
      </c>
      <c r="D43" s="1136"/>
      <c r="E43" s="1136"/>
      <c r="F43" s="1136"/>
      <c r="G43" s="1137"/>
      <c r="H43" s="427"/>
      <c r="I43" s="428"/>
      <c r="J43" s="427"/>
      <c r="K43" s="428"/>
    </row>
    <row r="44" spans="1:11" ht="37.5" customHeight="1">
      <c r="B44" s="438" t="s">
        <v>564</v>
      </c>
      <c r="C44" s="1135" t="s">
        <v>614</v>
      </c>
      <c r="D44" s="1136"/>
      <c r="E44" s="1136"/>
      <c r="F44" s="1136"/>
      <c r="G44" s="1137"/>
      <c r="H44" s="427"/>
      <c r="I44" s="428"/>
      <c r="J44" s="427"/>
      <c r="K44" s="428"/>
    </row>
    <row r="45" spans="1:11" ht="37.5" customHeight="1">
      <c r="B45" s="438" t="s">
        <v>577</v>
      </c>
      <c r="C45" s="1135" t="s">
        <v>615</v>
      </c>
      <c r="D45" s="1136"/>
      <c r="E45" s="1136"/>
      <c r="F45" s="1136"/>
      <c r="G45" s="1137"/>
      <c r="H45" s="427"/>
      <c r="I45" s="428"/>
      <c r="J45" s="427"/>
      <c r="K45" s="428"/>
    </row>
    <row r="46" spans="1:11" ht="37.5" customHeight="1">
      <c r="B46" s="438" t="s">
        <v>579</v>
      </c>
      <c r="C46" s="1135" t="s">
        <v>616</v>
      </c>
      <c r="D46" s="1136"/>
      <c r="E46" s="1136"/>
      <c r="F46" s="1136"/>
      <c r="G46" s="1137"/>
      <c r="H46" s="427"/>
      <c r="I46" s="428"/>
      <c r="J46" s="427"/>
      <c r="K46" s="428"/>
    </row>
    <row r="47" spans="1:11" ht="37.5" customHeight="1">
      <c r="B47" s="438" t="s">
        <v>558</v>
      </c>
      <c r="C47" s="1135" t="s">
        <v>617</v>
      </c>
      <c r="D47" s="1136"/>
      <c r="E47" s="1136"/>
      <c r="F47" s="1136"/>
      <c r="G47" s="1137"/>
      <c r="H47" s="427"/>
      <c r="I47" s="428"/>
      <c r="J47" s="427"/>
      <c r="K47" s="428"/>
    </row>
    <row r="48" spans="1:11" ht="37.5" customHeight="1">
      <c r="B48" s="438" t="s">
        <v>582</v>
      </c>
      <c r="C48" s="1135" t="s">
        <v>618</v>
      </c>
      <c r="D48" s="1136"/>
      <c r="E48" s="1136"/>
      <c r="F48" s="1136"/>
      <c r="G48" s="1137"/>
      <c r="H48" s="427"/>
      <c r="I48" s="428"/>
      <c r="J48" s="427"/>
      <c r="K48" s="428"/>
    </row>
    <row r="49" spans="2:11" ht="37.5" customHeight="1">
      <c r="B49" s="438" t="s">
        <v>583</v>
      </c>
      <c r="C49" s="1135" t="s">
        <v>619</v>
      </c>
      <c r="D49" s="1136"/>
      <c r="E49" s="1136"/>
      <c r="F49" s="1136"/>
      <c r="G49" s="1137"/>
      <c r="H49" s="427"/>
      <c r="I49" s="428"/>
      <c r="J49" s="427"/>
      <c r="K49" s="428"/>
    </row>
    <row r="50" spans="2:11" ht="37.5" customHeight="1">
      <c r="B50" s="438" t="s">
        <v>585</v>
      </c>
      <c r="C50" s="1135" t="s">
        <v>620</v>
      </c>
      <c r="D50" s="1136"/>
      <c r="E50" s="1136"/>
      <c r="F50" s="1136"/>
      <c r="G50" s="1137"/>
      <c r="H50" s="427"/>
      <c r="I50" s="428"/>
      <c r="J50" s="427"/>
      <c r="K50" s="428"/>
    </row>
    <row r="51" spans="2:11" ht="37.5" customHeight="1">
      <c r="B51" s="438" t="s">
        <v>587</v>
      </c>
      <c r="C51" s="1135" t="s">
        <v>621</v>
      </c>
      <c r="D51" s="1136"/>
      <c r="E51" s="1136"/>
      <c r="F51" s="1136"/>
      <c r="G51" s="1137"/>
      <c r="H51" s="427"/>
      <c r="I51" s="428"/>
      <c r="J51" s="427"/>
      <c r="K51" s="428"/>
    </row>
    <row r="52" spans="2:11" ht="37.5" customHeight="1">
      <c r="B52" s="438" t="s">
        <v>589</v>
      </c>
      <c r="C52" s="1135" t="s">
        <v>622</v>
      </c>
      <c r="D52" s="1136"/>
      <c r="E52" s="1136"/>
      <c r="F52" s="1136"/>
      <c r="G52" s="1137"/>
      <c r="H52" s="427"/>
      <c r="I52" s="428"/>
      <c r="J52" s="427"/>
      <c r="K52" s="428"/>
    </row>
    <row r="53" spans="2:11" ht="37.5" customHeight="1">
      <c r="B53" s="438" t="s">
        <v>591</v>
      </c>
      <c r="C53" s="1135" t="s">
        <v>623</v>
      </c>
      <c r="D53" s="1136"/>
      <c r="E53" s="1136"/>
      <c r="F53" s="1136"/>
      <c r="G53" s="1137"/>
      <c r="H53" s="427"/>
      <c r="I53" s="428"/>
      <c r="J53" s="427"/>
      <c r="K53" s="428"/>
    </row>
    <row r="54" spans="2:11" ht="37.5" customHeight="1">
      <c r="B54" s="438" t="s">
        <v>593</v>
      </c>
      <c r="C54" s="1135" t="s">
        <v>624</v>
      </c>
      <c r="D54" s="1136"/>
      <c r="E54" s="1136"/>
      <c r="F54" s="1136"/>
      <c r="G54" s="1137"/>
      <c r="H54" s="427"/>
      <c r="I54" s="428"/>
      <c r="J54" s="427"/>
      <c r="K54" s="428"/>
    </row>
    <row r="55" spans="2:11" ht="37.5" customHeight="1">
      <c r="B55" s="438" t="s">
        <v>625</v>
      </c>
      <c r="C55" s="1135" t="s">
        <v>626</v>
      </c>
      <c r="D55" s="1136"/>
      <c r="E55" s="1136"/>
      <c r="F55" s="1136"/>
      <c r="G55" s="1137"/>
      <c r="H55" s="427"/>
      <c r="I55" s="428"/>
      <c r="J55" s="427"/>
      <c r="K55" s="428"/>
    </row>
    <row r="56" spans="2:11" ht="37.5" customHeight="1">
      <c r="B56" s="438" t="s">
        <v>597</v>
      </c>
      <c r="C56" s="1135" t="s">
        <v>627</v>
      </c>
      <c r="D56" s="1136"/>
      <c r="E56" s="1136"/>
      <c r="F56" s="1136"/>
      <c r="G56" s="1137"/>
      <c r="H56" s="427"/>
      <c r="I56" s="428"/>
      <c r="J56" s="427"/>
      <c r="K56" s="428"/>
    </row>
    <row r="57" spans="2:11" ht="37.5" customHeight="1">
      <c r="B57" s="438" t="s">
        <v>599</v>
      </c>
      <c r="C57" s="1135" t="s">
        <v>628</v>
      </c>
      <c r="D57" s="1136"/>
      <c r="E57" s="1136"/>
      <c r="F57" s="1136"/>
      <c r="G57" s="1137"/>
      <c r="H57" s="427"/>
      <c r="I57" s="428"/>
      <c r="J57" s="427"/>
      <c r="K57" s="428"/>
    </row>
    <row r="58" spans="2:11" ht="37.5" customHeight="1">
      <c r="B58" s="438" t="s">
        <v>629</v>
      </c>
      <c r="C58" s="1135" t="s">
        <v>630</v>
      </c>
      <c r="D58" s="1136"/>
      <c r="E58" s="1136"/>
      <c r="F58" s="1136"/>
      <c r="G58" s="1137"/>
      <c r="H58" s="427"/>
      <c r="I58" s="428"/>
      <c r="J58" s="427"/>
      <c r="K58" s="428"/>
    </row>
    <row r="59" spans="2:11" ht="37.5" customHeight="1">
      <c r="B59" s="438" t="s">
        <v>631</v>
      </c>
      <c r="C59" s="1135" t="s">
        <v>632</v>
      </c>
      <c r="D59" s="1136"/>
      <c r="E59" s="1136"/>
      <c r="F59" s="1136"/>
      <c r="G59" s="1137"/>
      <c r="H59" s="427"/>
      <c r="I59" s="428"/>
      <c r="J59" s="427"/>
      <c r="K59" s="428"/>
    </row>
    <row r="60" spans="2:11" ht="37.5" customHeight="1">
      <c r="B60" s="438" t="s">
        <v>633</v>
      </c>
      <c r="C60" s="1135" t="s">
        <v>634</v>
      </c>
      <c r="D60" s="1136"/>
      <c r="E60" s="1136"/>
      <c r="F60" s="1136"/>
      <c r="G60" s="1137"/>
      <c r="H60" s="427"/>
      <c r="I60" s="428"/>
      <c r="J60" s="427"/>
      <c r="K60" s="428"/>
    </row>
    <row r="61" spans="2:11" ht="37.5" customHeight="1">
      <c r="B61" s="438" t="s">
        <v>635</v>
      </c>
      <c r="C61" s="1135" t="s">
        <v>636</v>
      </c>
      <c r="D61" s="1136"/>
      <c r="E61" s="1136"/>
      <c r="F61" s="1136"/>
      <c r="G61" s="1137"/>
      <c r="H61" s="427"/>
      <c r="I61" s="428"/>
      <c r="J61" s="427"/>
      <c r="K61" s="428"/>
    </row>
    <row r="62" spans="2:11" ht="37.5" customHeight="1">
      <c r="B62" s="437" t="s">
        <v>637</v>
      </c>
      <c r="C62" s="1135" t="s">
        <v>638</v>
      </c>
      <c r="D62" s="1136"/>
      <c r="E62" s="1136"/>
      <c r="F62" s="1136"/>
      <c r="G62" s="1137"/>
      <c r="H62" s="427"/>
      <c r="I62" s="428"/>
      <c r="J62" s="427"/>
      <c r="K62" s="428"/>
    </row>
    <row r="63" spans="2:11" ht="37.5" customHeight="1">
      <c r="B63" s="437" t="s">
        <v>639</v>
      </c>
      <c r="C63" s="1135" t="s">
        <v>640</v>
      </c>
      <c r="D63" s="1136"/>
      <c r="E63" s="1136"/>
      <c r="F63" s="1136"/>
      <c r="G63" s="1137"/>
      <c r="H63" s="427"/>
      <c r="I63" s="428"/>
      <c r="J63" s="427"/>
      <c r="K63" s="428"/>
    </row>
    <row r="64" spans="2:11" ht="37.5" customHeight="1">
      <c r="B64" s="437" t="s">
        <v>641</v>
      </c>
      <c r="C64" s="1135" t="s">
        <v>642</v>
      </c>
      <c r="D64" s="1136"/>
      <c r="E64" s="1136"/>
      <c r="F64" s="1136"/>
      <c r="G64" s="1137"/>
      <c r="H64" s="427"/>
      <c r="I64" s="429"/>
      <c r="J64" s="427"/>
      <c r="K64" s="428"/>
    </row>
    <row r="65" spans="2:39" ht="37.5" customHeight="1">
      <c r="B65" s="437" t="s">
        <v>643</v>
      </c>
      <c r="C65" s="1135" t="s">
        <v>644</v>
      </c>
      <c r="D65" s="1136"/>
      <c r="E65" s="1136"/>
      <c r="F65" s="1136"/>
      <c r="G65" s="1137"/>
      <c r="H65" s="427"/>
      <c r="I65" s="429"/>
      <c r="J65" s="427"/>
      <c r="K65" s="428"/>
    </row>
    <row r="66" spans="2:39" ht="37.5" customHeight="1" thickBot="1">
      <c r="B66" s="443" t="s">
        <v>645</v>
      </c>
      <c r="C66" s="1148" t="s">
        <v>646</v>
      </c>
      <c r="D66" s="1149"/>
      <c r="E66" s="1149"/>
      <c r="F66" s="1149"/>
      <c r="G66" s="1150"/>
      <c r="H66" s="430"/>
      <c r="I66" s="431"/>
      <c r="J66" s="430"/>
      <c r="K66" s="432"/>
    </row>
    <row r="67" spans="2:39">
      <c r="B67" s="380"/>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c r="AL67" s="402"/>
      <c r="AM67" s="402"/>
    </row>
    <row r="68" spans="2:39">
      <c r="B68" s="380"/>
      <c r="G68" s="402"/>
      <c r="J68" s="439" t="s">
        <v>565</v>
      </c>
      <c r="K68" s="439"/>
      <c r="L68" s="439" t="s">
        <v>566</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5" priority="1" operator="equal">
      <formula>"KO"</formula>
    </cfRule>
    <cfRule type="cellIs" dxfId="54"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B88"/>
  <sheetViews>
    <sheetView showGridLines="0" zoomScale="80" zoomScaleNormal="80" workbookViewId="0">
      <selection activeCell="BK17" sqref="BK17"/>
    </sheetView>
  </sheetViews>
  <sheetFormatPr defaultColWidth="9.140625" defaultRowHeight="12.75"/>
  <cols>
    <col min="1" max="1" width="1.140625" style="172" customWidth="1"/>
    <col min="2" max="2" width="31.5703125" bestFit="1" customWidth="1"/>
    <col min="3" max="3" width="17.85546875" bestFit="1" customWidth="1"/>
    <col min="4" max="4" width="14.85546875" bestFit="1" customWidth="1"/>
    <col min="5" max="5" width="14.85546875" customWidth="1"/>
    <col min="6" max="13" width="14.5703125" customWidth="1"/>
    <col min="14" max="14" width="14.85546875" customWidth="1"/>
    <col min="15" max="15" width="15.5703125" bestFit="1" customWidth="1"/>
    <col min="16" max="17" width="18.5703125" bestFit="1" customWidth="1"/>
    <col min="18" max="18" width="15.5703125" customWidth="1"/>
    <col min="19" max="34" width="14.5703125" customWidth="1"/>
    <col min="35" max="35" width="15.5703125" customWidth="1"/>
    <col min="36" max="36" width="15.5703125" bestFit="1" customWidth="1"/>
    <col min="37" max="45" width="15.5703125" customWidth="1"/>
    <col min="46" max="46" width="20.140625" style="5" bestFit="1" customWidth="1"/>
    <col min="47" max="48" width="14.5703125" style="5" customWidth="1"/>
    <col min="49" max="49" width="20.140625" style="5" bestFit="1" customWidth="1"/>
    <col min="50" max="51" width="14.5703125" style="5" customWidth="1"/>
    <col min="52" max="52" width="20.140625" style="5" bestFit="1" customWidth="1"/>
    <col min="53" max="54" width="14.5703125" style="5" customWidth="1"/>
    <col min="55" max="55" width="2.5703125" customWidth="1"/>
    <col min="56" max="87" width="17.5703125" customWidth="1"/>
    <col min="88" max="96" width="16.42578125" customWidth="1"/>
    <col min="97" max="97" width="17.5703125" customWidth="1"/>
    <col min="98" max="98" width="10.42578125" bestFit="1" customWidth="1"/>
    <col min="99" max="100" width="17.5703125" customWidth="1"/>
    <col min="101" max="101" width="10.42578125" bestFit="1" customWidth="1"/>
    <col min="102" max="103" width="17.5703125" customWidth="1"/>
    <col min="104" max="104" width="10.42578125" bestFit="1" customWidth="1"/>
    <col min="105" max="105" width="17.5703125" customWidth="1"/>
    <col min="106" max="106" width="2.5703125" customWidth="1"/>
  </cols>
  <sheetData>
    <row r="2" spans="2:106">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341"/>
      <c r="AU2" s="341"/>
      <c r="AV2" s="341"/>
      <c r="AW2" s="341"/>
      <c r="AX2" s="341"/>
      <c r="AY2" s="341"/>
      <c r="AZ2" s="341"/>
      <c r="BA2" s="341"/>
      <c r="BB2" s="341"/>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row>
    <row r="3" spans="2:106">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148"/>
      <c r="AF3" s="148"/>
      <c r="AG3" s="148"/>
      <c r="AH3" s="148"/>
      <c r="AI3" s="27"/>
      <c r="AJ3" s="27"/>
      <c r="AK3" s="27"/>
      <c r="AL3" s="27"/>
      <c r="AM3" s="27"/>
      <c r="AN3" s="27"/>
      <c r="AO3" s="27"/>
      <c r="AP3" s="27"/>
      <c r="AQ3" s="27"/>
      <c r="AR3" s="27"/>
      <c r="AS3" s="27"/>
      <c r="AT3" s="214"/>
      <c r="AU3" s="214"/>
      <c r="AV3" s="214"/>
      <c r="AW3" s="214"/>
      <c r="AX3" s="214"/>
      <c r="AY3" s="214"/>
      <c r="AZ3" s="214"/>
      <c r="BA3" s="214"/>
      <c r="BB3" s="214"/>
      <c r="BC3" s="27"/>
      <c r="CJ3" s="144"/>
      <c r="CK3" s="144"/>
      <c r="CL3" s="144"/>
      <c r="CM3" s="144"/>
      <c r="CN3" s="144"/>
      <c r="CO3" s="144"/>
      <c r="CP3" s="144"/>
      <c r="CQ3" s="144"/>
      <c r="CR3" s="144"/>
      <c r="CU3" s="144"/>
      <c r="CX3" s="144"/>
      <c r="DA3" s="144"/>
      <c r="DB3" s="27"/>
    </row>
    <row r="4" spans="2:106">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148"/>
      <c r="AF4" s="148"/>
      <c r="AG4" s="148"/>
      <c r="AH4" s="148"/>
      <c r="AI4" s="27"/>
      <c r="AJ4" s="27"/>
      <c r="AK4" s="27"/>
      <c r="AL4" s="27"/>
      <c r="AM4" s="27"/>
      <c r="AN4" s="27"/>
      <c r="AO4" s="27"/>
      <c r="AP4" s="27"/>
      <c r="AQ4" s="27"/>
      <c r="AR4" s="27"/>
      <c r="AS4" s="27"/>
      <c r="AT4" s="214"/>
      <c r="AU4" s="214"/>
      <c r="AV4" s="214"/>
      <c r="AW4" s="214"/>
      <c r="AX4" s="214"/>
      <c r="AY4" s="214"/>
      <c r="AZ4" s="214"/>
      <c r="BA4" s="214"/>
      <c r="BB4" s="214"/>
      <c r="BC4" s="27"/>
      <c r="CJ4" s="144"/>
      <c r="CK4" s="144"/>
      <c r="CL4" s="144"/>
      <c r="CM4" s="144"/>
      <c r="CN4" s="144"/>
      <c r="CO4" s="144"/>
      <c r="CP4" s="144"/>
      <c r="CQ4" s="144"/>
      <c r="CR4" s="144"/>
      <c r="CU4" s="144"/>
      <c r="CX4" s="144"/>
      <c r="DA4" s="144"/>
      <c r="DB4" s="27"/>
    </row>
    <row r="5" spans="2:106">
      <c r="B5" s="27"/>
      <c r="C5" s="27"/>
      <c r="D5" s="214"/>
      <c r="E5" s="214"/>
      <c r="F5" s="27"/>
      <c r="G5" s="214"/>
      <c r="H5" s="27"/>
      <c r="I5" s="27"/>
      <c r="J5" s="27"/>
      <c r="K5" s="27"/>
      <c r="L5" s="27"/>
      <c r="M5" s="27"/>
      <c r="N5" s="27"/>
      <c r="O5" s="27"/>
      <c r="P5" s="27"/>
      <c r="Q5" s="27"/>
      <c r="R5" s="27"/>
      <c r="S5" s="27"/>
      <c r="T5" s="27"/>
      <c r="U5" s="27"/>
      <c r="V5" s="27"/>
      <c r="W5" s="27"/>
      <c r="X5" s="27"/>
      <c r="Y5" s="214"/>
      <c r="Z5" s="27"/>
      <c r="AA5" s="27"/>
      <c r="AB5" s="27"/>
      <c r="AC5" s="27"/>
      <c r="AD5" s="27"/>
      <c r="AE5" s="148"/>
      <c r="AF5" s="148"/>
      <c r="AG5" s="148"/>
      <c r="AH5" s="148"/>
      <c r="AI5" s="27"/>
      <c r="AJ5" s="27"/>
      <c r="AK5" s="27"/>
      <c r="AL5" s="27"/>
      <c r="AM5" s="27"/>
      <c r="AN5" s="27"/>
      <c r="AO5" s="27"/>
      <c r="AP5" s="27"/>
      <c r="AQ5" s="27"/>
      <c r="AR5" s="27"/>
      <c r="AS5" s="27"/>
      <c r="AT5" s="214"/>
      <c r="AU5" s="214"/>
      <c r="AV5" s="214"/>
      <c r="AW5" s="214"/>
      <c r="AX5" s="214"/>
      <c r="AY5" s="214"/>
      <c r="AZ5" s="214"/>
      <c r="BA5" s="214"/>
      <c r="BB5" s="214"/>
      <c r="BC5" s="27"/>
      <c r="CJ5" s="144"/>
      <c r="CK5" s="144"/>
      <c r="CL5" s="144"/>
      <c r="CM5" s="144"/>
      <c r="CN5" s="144"/>
      <c r="CO5" s="144"/>
      <c r="CP5" s="144"/>
      <c r="CQ5" s="144"/>
      <c r="CR5" s="144"/>
      <c r="CU5" s="144"/>
      <c r="CX5" s="144"/>
      <c r="DA5" s="144"/>
      <c r="DB5" s="27"/>
    </row>
    <row r="6" spans="2:106">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148"/>
      <c r="AF6" s="148"/>
      <c r="AG6" s="148"/>
      <c r="AH6" s="148"/>
      <c r="AI6" s="27"/>
      <c r="AJ6" s="214"/>
      <c r="AK6" s="214"/>
      <c r="AL6" s="214"/>
      <c r="AM6" s="214"/>
      <c r="AN6" s="214"/>
      <c r="AO6" s="214"/>
      <c r="AP6" s="214"/>
      <c r="AQ6" s="214"/>
      <c r="AR6" s="214"/>
      <c r="AS6" s="214"/>
      <c r="AT6" s="214"/>
      <c r="AU6" s="214"/>
      <c r="AV6" s="214"/>
      <c r="AW6" s="214"/>
      <c r="AX6" s="214"/>
      <c r="AY6" s="214"/>
      <c r="AZ6" s="214"/>
      <c r="BA6" s="214"/>
      <c r="BB6" s="214"/>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row>
    <row r="7" spans="2:106">
      <c r="AJ7" s="5"/>
      <c r="AK7" s="5"/>
      <c r="AL7" s="5"/>
      <c r="AM7" s="5"/>
      <c r="AN7" s="5"/>
      <c r="AO7" s="5"/>
      <c r="AP7" s="5"/>
      <c r="AQ7" s="5"/>
      <c r="AR7" s="5"/>
      <c r="AS7" s="5"/>
    </row>
    <row r="8" spans="2:106" ht="15.75">
      <c r="B8" s="561" t="s">
        <v>725</v>
      </c>
      <c r="C8" s="562"/>
      <c r="D8" s="565"/>
      <c r="E8" s="1072"/>
      <c r="F8" s="565"/>
      <c r="G8" s="565"/>
      <c r="H8" s="565"/>
      <c r="I8" s="565"/>
      <c r="J8" s="565"/>
      <c r="K8" s="565"/>
      <c r="L8" s="565"/>
      <c r="M8" s="565"/>
      <c r="N8" s="565"/>
      <c r="O8" s="565"/>
      <c r="P8" s="565"/>
      <c r="Q8" s="565"/>
      <c r="R8" s="565"/>
      <c r="S8" s="565"/>
      <c r="T8" s="565"/>
      <c r="U8" s="565"/>
      <c r="V8" s="565"/>
      <c r="W8" s="565"/>
      <c r="X8" s="565"/>
      <c r="Y8" s="565"/>
      <c r="Z8" s="565"/>
      <c r="AA8" s="565"/>
      <c r="AB8" s="565"/>
      <c r="AC8" s="565"/>
      <c r="AD8" s="565"/>
      <c r="AE8" s="565"/>
      <c r="AF8" s="565"/>
      <c r="AG8" s="565"/>
      <c r="AH8" s="584"/>
      <c r="AI8" s="584"/>
      <c r="AJ8" s="584"/>
      <c r="AK8" s="565"/>
      <c r="AL8" s="565"/>
      <c r="AM8" s="565"/>
      <c r="AN8" s="565"/>
      <c r="AO8" s="565"/>
      <c r="AP8" s="565"/>
      <c r="AQ8" s="565"/>
      <c r="AR8" s="565"/>
      <c r="AS8" s="565"/>
      <c r="AT8" s="585"/>
      <c r="AU8" s="585"/>
      <c r="AV8" s="586"/>
      <c r="AW8" s="585"/>
      <c r="AX8" s="585"/>
      <c r="AY8" s="586"/>
      <c r="AZ8" s="585"/>
      <c r="BA8" s="585"/>
      <c r="BB8" s="586"/>
      <c r="BC8" s="587"/>
      <c r="BD8" s="587"/>
      <c r="BE8" s="588"/>
      <c r="BF8" s="588"/>
      <c r="BG8" s="588"/>
      <c r="BH8" s="588"/>
      <c r="BI8" s="588"/>
      <c r="BJ8" s="588"/>
      <c r="BK8" s="588"/>
      <c r="BL8" s="588"/>
      <c r="BM8" s="588"/>
      <c r="BN8" s="588"/>
      <c r="BO8" s="588"/>
      <c r="BP8" s="588"/>
      <c r="BQ8" s="588"/>
      <c r="BR8" s="588"/>
      <c r="BS8" s="588"/>
      <c r="BT8" s="588"/>
      <c r="BU8" s="588"/>
      <c r="BV8" s="588"/>
      <c r="BW8" s="588"/>
      <c r="BX8" s="588"/>
      <c r="BY8" s="588"/>
      <c r="BZ8" s="588"/>
      <c r="CA8" s="588"/>
      <c r="CB8" s="588"/>
      <c r="CC8" s="588"/>
      <c r="CD8" s="588"/>
      <c r="CE8" s="588"/>
      <c r="CF8" s="588"/>
      <c r="CG8" s="588"/>
      <c r="CH8" s="588"/>
      <c r="CI8" s="588"/>
      <c r="CJ8" s="587"/>
      <c r="CK8" s="588"/>
      <c r="CL8" s="588"/>
      <c r="CM8" s="588"/>
      <c r="CN8" s="588"/>
      <c r="CO8" s="588"/>
      <c r="CP8" s="587"/>
      <c r="CQ8" s="588"/>
      <c r="CR8" s="588"/>
      <c r="CS8" s="587"/>
      <c r="CT8" s="587"/>
      <c r="CU8" s="587"/>
      <c r="CV8" s="587"/>
      <c r="CW8" s="587"/>
      <c r="CX8" s="587"/>
      <c r="CY8" s="587"/>
      <c r="CZ8" s="587"/>
      <c r="DA8" s="587"/>
      <c r="DB8" s="587"/>
    </row>
    <row r="9" spans="2:106" ht="5.0999999999999996" customHeight="1">
      <c r="BK9" s="4"/>
    </row>
    <row r="10" spans="2:106" ht="13.5" thickBot="1">
      <c r="O10" s="3"/>
      <c r="R10" s="1121">
        <f>Q17+AT17+CV17</f>
        <v>766856592.71000051</v>
      </c>
      <c r="U10" s="5"/>
      <c r="AT10" s="342"/>
    </row>
    <row r="11" spans="2:106" ht="13.5" hidden="1" thickBot="1">
      <c r="B11" s="2"/>
      <c r="P11" s="5"/>
      <c r="Q11" s="3"/>
      <c r="R11" s="3"/>
      <c r="S11" s="3"/>
    </row>
    <row r="12" spans="2:106" ht="17.25" customHeight="1" thickBot="1">
      <c r="B12" s="2"/>
      <c r="C12" s="589" t="s">
        <v>210</v>
      </c>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90"/>
      <c r="AU12" s="590"/>
      <c r="AV12" s="590"/>
      <c r="AW12" s="590"/>
      <c r="AX12" s="590"/>
      <c r="AY12" s="590"/>
      <c r="AZ12" s="590"/>
      <c r="BA12" s="590"/>
      <c r="BB12" s="590"/>
      <c r="BD12" s="316" t="s">
        <v>211</v>
      </c>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8"/>
      <c r="CV12" s="317"/>
      <c r="CW12" s="317"/>
      <c r="CX12" s="318"/>
      <c r="CY12" s="317"/>
      <c r="CZ12" s="317"/>
      <c r="DA12" s="318"/>
    </row>
    <row r="13" spans="2:106" ht="17.25" customHeight="1" thickBot="1">
      <c r="B13" s="2"/>
      <c r="C13" s="591" t="s">
        <v>197</v>
      </c>
      <c r="D13" s="592"/>
      <c r="E13" s="1073"/>
      <c r="F13" s="592"/>
      <c r="G13" s="592"/>
      <c r="H13" s="592"/>
      <c r="I13" s="592"/>
      <c r="J13" s="592"/>
      <c r="K13" s="592"/>
      <c r="L13" s="592"/>
      <c r="M13" s="592"/>
      <c r="N13" s="592"/>
      <c r="O13" s="592"/>
      <c r="P13" s="593"/>
      <c r="Q13" s="592"/>
      <c r="R13" s="592"/>
      <c r="S13" s="591" t="s">
        <v>198</v>
      </c>
      <c r="T13" s="592"/>
      <c r="U13" s="592"/>
      <c r="V13" s="592"/>
      <c r="W13" s="592"/>
      <c r="X13" s="592"/>
      <c r="Y13" s="592"/>
      <c r="Z13" s="592"/>
      <c r="AA13" s="592"/>
      <c r="AB13" s="592"/>
      <c r="AC13" s="592"/>
      <c r="AD13" s="592"/>
      <c r="AE13" s="592"/>
      <c r="AF13" s="592"/>
      <c r="AG13" s="592"/>
      <c r="AH13" s="592"/>
      <c r="AI13" s="592"/>
      <c r="AJ13" s="592"/>
      <c r="AK13" s="592"/>
      <c r="AL13" s="592"/>
      <c r="AM13" s="592"/>
      <c r="AN13" s="592"/>
      <c r="AO13" s="592"/>
      <c r="AP13" s="592"/>
      <c r="AQ13" s="592"/>
      <c r="AR13" s="592"/>
      <c r="AS13" s="592"/>
      <c r="AT13" s="594"/>
      <c r="AU13" s="594"/>
      <c r="AV13" s="594"/>
      <c r="AW13" s="594"/>
      <c r="AX13" s="594"/>
      <c r="AY13" s="594"/>
      <c r="AZ13" s="594"/>
      <c r="BA13" s="594"/>
      <c r="BB13" s="594"/>
      <c r="BD13" s="316" t="s">
        <v>197</v>
      </c>
      <c r="BE13" s="317"/>
      <c r="BF13" s="317"/>
      <c r="BG13" s="317"/>
      <c r="BH13" s="317"/>
      <c r="BI13" s="317"/>
      <c r="BJ13" s="317"/>
      <c r="BK13" s="317"/>
      <c r="BL13" s="317"/>
      <c r="BM13" s="317"/>
      <c r="BN13" s="317"/>
      <c r="BO13" s="318"/>
      <c r="BP13" s="318"/>
      <c r="BQ13" s="318"/>
      <c r="BR13" s="316" t="s">
        <v>198</v>
      </c>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8"/>
    </row>
    <row r="14" spans="2:106" ht="52.5" customHeight="1" thickBot="1">
      <c r="B14" s="1179" t="s">
        <v>662</v>
      </c>
      <c r="C14" s="1181" t="s">
        <v>165</v>
      </c>
      <c r="D14" s="1163" t="s">
        <v>870</v>
      </c>
      <c r="E14" s="1163" t="s">
        <v>2427</v>
      </c>
      <c r="F14" s="1163" t="s">
        <v>134</v>
      </c>
      <c r="G14" s="1163" t="s">
        <v>135</v>
      </c>
      <c r="H14" s="1167" t="s">
        <v>836</v>
      </c>
      <c r="I14" s="1168"/>
      <c r="J14" s="1169"/>
      <c r="K14" s="1163" t="s">
        <v>136</v>
      </c>
      <c r="L14" s="1163" t="s">
        <v>217</v>
      </c>
      <c r="M14" s="1163" t="s">
        <v>218</v>
      </c>
      <c r="N14" s="1163" t="s">
        <v>871</v>
      </c>
      <c r="O14" s="1163" t="s">
        <v>872</v>
      </c>
      <c r="P14" s="1183" t="s">
        <v>230</v>
      </c>
      <c r="Q14" s="1172" t="s">
        <v>231</v>
      </c>
      <c r="R14" s="1172" t="s">
        <v>206</v>
      </c>
      <c r="S14" s="329" t="s">
        <v>199</v>
      </c>
      <c r="T14" s="329"/>
      <c r="U14" s="329"/>
      <c r="V14" s="329" t="s">
        <v>200</v>
      </c>
      <c r="W14" s="329"/>
      <c r="X14" s="329"/>
      <c r="Y14" s="329" t="s">
        <v>201</v>
      </c>
      <c r="Z14" s="329"/>
      <c r="AA14" s="329"/>
      <c r="AB14" s="329" t="s">
        <v>842</v>
      </c>
      <c r="AC14" s="329"/>
      <c r="AD14" s="329"/>
      <c r="AE14" s="329" t="s">
        <v>202</v>
      </c>
      <c r="AF14" s="329"/>
      <c r="AG14" s="329"/>
      <c r="AH14" s="329" t="s">
        <v>238</v>
      </c>
      <c r="AI14" s="329"/>
      <c r="AJ14" s="329"/>
      <c r="AK14" s="329" t="s">
        <v>239</v>
      </c>
      <c r="AL14" s="329"/>
      <c r="AM14" s="329"/>
      <c r="AN14" s="329" t="s">
        <v>844</v>
      </c>
      <c r="AO14" s="329"/>
      <c r="AP14" s="329"/>
      <c r="AQ14" s="329" t="s">
        <v>845</v>
      </c>
      <c r="AR14" s="329"/>
      <c r="AS14" s="329"/>
      <c r="AT14" s="343" t="s">
        <v>232</v>
      </c>
      <c r="AU14" s="343"/>
      <c r="AV14" s="344"/>
      <c r="AW14" s="343" t="s">
        <v>233</v>
      </c>
      <c r="AX14" s="343"/>
      <c r="AY14" s="344"/>
      <c r="AZ14" s="343" t="s">
        <v>206</v>
      </c>
      <c r="BA14" s="343"/>
      <c r="BB14" s="344"/>
      <c r="BD14" s="1170" t="s">
        <v>165</v>
      </c>
      <c r="BE14" s="1165" t="s">
        <v>134</v>
      </c>
      <c r="BF14" s="1165" t="s">
        <v>135</v>
      </c>
      <c r="BG14" s="1174" t="s">
        <v>836</v>
      </c>
      <c r="BH14" s="1175"/>
      <c r="BI14" s="1176"/>
      <c r="BJ14" s="1165" t="s">
        <v>136</v>
      </c>
      <c r="BK14" s="1165" t="s">
        <v>217</v>
      </c>
      <c r="BL14" s="1165" t="s">
        <v>218</v>
      </c>
      <c r="BM14" s="1165" t="s">
        <v>871</v>
      </c>
      <c r="BN14" s="1165" t="s">
        <v>873</v>
      </c>
      <c r="BO14" s="1185" t="s">
        <v>230</v>
      </c>
      <c r="BP14" s="1185" t="s">
        <v>231</v>
      </c>
      <c r="BQ14" s="1177" t="s">
        <v>206</v>
      </c>
      <c r="BR14" s="366" t="s">
        <v>199</v>
      </c>
      <c r="BS14" s="366"/>
      <c r="BT14" s="366"/>
      <c r="BU14" s="366" t="s">
        <v>200</v>
      </c>
      <c r="BV14" s="366"/>
      <c r="BW14" s="366"/>
      <c r="BX14" s="366" t="s">
        <v>201</v>
      </c>
      <c r="BY14" s="366"/>
      <c r="BZ14" s="366"/>
      <c r="CA14" s="366" t="s">
        <v>842</v>
      </c>
      <c r="CB14" s="366"/>
      <c r="CC14" s="366"/>
      <c r="CD14" s="366" t="s">
        <v>202</v>
      </c>
      <c r="CE14" s="366"/>
      <c r="CF14" s="366"/>
      <c r="CG14" s="366" t="s">
        <v>240</v>
      </c>
      <c r="CH14" s="366"/>
      <c r="CI14" s="366"/>
      <c r="CJ14" s="366" t="s">
        <v>239</v>
      </c>
      <c r="CK14" s="366"/>
      <c r="CL14" s="366"/>
      <c r="CM14" s="366" t="s">
        <v>844</v>
      </c>
      <c r="CN14" s="366"/>
      <c r="CO14" s="366"/>
      <c r="CP14" s="366" t="s">
        <v>845</v>
      </c>
      <c r="CQ14" s="366"/>
      <c r="CR14" s="366"/>
      <c r="CS14" s="366" t="s">
        <v>232</v>
      </c>
      <c r="CT14" s="366"/>
      <c r="CU14" s="367"/>
      <c r="CV14" s="368" t="s">
        <v>233</v>
      </c>
      <c r="CW14" s="366"/>
      <c r="CX14" s="367"/>
      <c r="CY14" s="368" t="s">
        <v>206</v>
      </c>
      <c r="CZ14" s="366"/>
      <c r="DA14" s="369"/>
    </row>
    <row r="15" spans="2:106" ht="51.75" customHeight="1" thickBot="1">
      <c r="B15" s="1180"/>
      <c r="C15" s="1182"/>
      <c r="D15" s="1164"/>
      <c r="E15" s="1164"/>
      <c r="F15" s="1164"/>
      <c r="G15" s="1164"/>
      <c r="H15" s="699" t="s">
        <v>860</v>
      </c>
      <c r="I15" s="701" t="s">
        <v>861</v>
      </c>
      <c r="J15" s="700" t="s">
        <v>862</v>
      </c>
      <c r="K15" s="1164"/>
      <c r="L15" s="1164"/>
      <c r="M15" s="1164"/>
      <c r="N15" s="1164"/>
      <c r="O15" s="1164"/>
      <c r="P15" s="1184"/>
      <c r="Q15" s="1173"/>
      <c r="R15" s="1173"/>
      <c r="S15" s="330" t="s">
        <v>203</v>
      </c>
      <c r="T15" s="330" t="s">
        <v>204</v>
      </c>
      <c r="U15" s="330" t="s">
        <v>205</v>
      </c>
      <c r="V15" s="330" t="s">
        <v>203</v>
      </c>
      <c r="W15" s="330" t="s">
        <v>204</v>
      </c>
      <c r="X15" s="330" t="s">
        <v>205</v>
      </c>
      <c r="Y15" s="330" t="s">
        <v>203</v>
      </c>
      <c r="Z15" s="330" t="s">
        <v>204</v>
      </c>
      <c r="AA15" s="330" t="s">
        <v>205</v>
      </c>
      <c r="AB15" s="330" t="s">
        <v>203</v>
      </c>
      <c r="AC15" s="330" t="s">
        <v>204</v>
      </c>
      <c r="AD15" s="330" t="s">
        <v>205</v>
      </c>
      <c r="AE15" s="330" t="s">
        <v>203</v>
      </c>
      <c r="AF15" s="330" t="s">
        <v>204</v>
      </c>
      <c r="AG15" s="330" t="s">
        <v>205</v>
      </c>
      <c r="AH15" s="330" t="s">
        <v>203</v>
      </c>
      <c r="AI15" s="330" t="s">
        <v>204</v>
      </c>
      <c r="AJ15" s="330" t="s">
        <v>205</v>
      </c>
      <c r="AK15" s="330" t="s">
        <v>203</v>
      </c>
      <c r="AL15" s="330" t="s">
        <v>204</v>
      </c>
      <c r="AM15" s="330" t="s">
        <v>205</v>
      </c>
      <c r="AN15" s="330" t="s">
        <v>203</v>
      </c>
      <c r="AO15" s="330" t="s">
        <v>204</v>
      </c>
      <c r="AP15" s="330" t="s">
        <v>205</v>
      </c>
      <c r="AQ15" s="330" t="s">
        <v>203</v>
      </c>
      <c r="AR15" s="330" t="s">
        <v>204</v>
      </c>
      <c r="AS15" s="330" t="s">
        <v>205</v>
      </c>
      <c r="AT15" s="345" t="s">
        <v>203</v>
      </c>
      <c r="AU15" s="345" t="s">
        <v>204</v>
      </c>
      <c r="AV15" s="346" t="s">
        <v>205</v>
      </c>
      <c r="AW15" s="345" t="s">
        <v>203</v>
      </c>
      <c r="AX15" s="345" t="s">
        <v>204</v>
      </c>
      <c r="AY15" s="346" t="s">
        <v>205</v>
      </c>
      <c r="AZ15" s="345" t="s">
        <v>203</v>
      </c>
      <c r="BA15" s="345" t="s">
        <v>204</v>
      </c>
      <c r="BB15" s="346" t="s">
        <v>205</v>
      </c>
      <c r="BD15" s="1171"/>
      <c r="BE15" s="1166"/>
      <c r="BF15" s="1166"/>
      <c r="BG15" s="371" t="s">
        <v>860</v>
      </c>
      <c r="BH15" s="371" t="s">
        <v>861</v>
      </c>
      <c r="BI15" s="371" t="s">
        <v>862</v>
      </c>
      <c r="BJ15" s="1166"/>
      <c r="BK15" s="1166"/>
      <c r="BL15" s="1166"/>
      <c r="BM15" s="1166"/>
      <c r="BN15" s="1166"/>
      <c r="BO15" s="1186"/>
      <c r="BP15" s="1186"/>
      <c r="BQ15" s="1178"/>
      <c r="BR15" s="370" t="s">
        <v>203</v>
      </c>
      <c r="BS15" s="370" t="s">
        <v>204</v>
      </c>
      <c r="BT15" s="370" t="s">
        <v>205</v>
      </c>
      <c r="BU15" s="370" t="s">
        <v>203</v>
      </c>
      <c r="BV15" s="370" t="s">
        <v>204</v>
      </c>
      <c r="BW15" s="370" t="s">
        <v>205</v>
      </c>
      <c r="BX15" s="370" t="s">
        <v>203</v>
      </c>
      <c r="BY15" s="370" t="s">
        <v>204</v>
      </c>
      <c r="BZ15" s="370" t="s">
        <v>205</v>
      </c>
      <c r="CA15" s="370" t="s">
        <v>203</v>
      </c>
      <c r="CB15" s="370" t="s">
        <v>204</v>
      </c>
      <c r="CC15" s="370" t="s">
        <v>205</v>
      </c>
      <c r="CD15" s="370" t="s">
        <v>203</v>
      </c>
      <c r="CE15" s="370" t="s">
        <v>204</v>
      </c>
      <c r="CF15" s="370" t="s">
        <v>205</v>
      </c>
      <c r="CG15" s="370" t="s">
        <v>203</v>
      </c>
      <c r="CH15" s="370" t="s">
        <v>204</v>
      </c>
      <c r="CI15" s="370" t="s">
        <v>205</v>
      </c>
      <c r="CJ15" s="370" t="s">
        <v>203</v>
      </c>
      <c r="CK15" s="370" t="s">
        <v>204</v>
      </c>
      <c r="CL15" s="370" t="s">
        <v>205</v>
      </c>
      <c r="CM15" s="370" t="s">
        <v>203</v>
      </c>
      <c r="CN15" s="370" t="s">
        <v>204</v>
      </c>
      <c r="CO15" s="370" t="s">
        <v>205</v>
      </c>
      <c r="CP15" s="370" t="s">
        <v>203</v>
      </c>
      <c r="CQ15" s="370" t="s">
        <v>204</v>
      </c>
      <c r="CR15" s="370" t="s">
        <v>205</v>
      </c>
      <c r="CS15" s="370" t="s">
        <v>203</v>
      </c>
      <c r="CT15" s="370" t="s">
        <v>204</v>
      </c>
      <c r="CU15" s="371" t="s">
        <v>205</v>
      </c>
      <c r="CV15" s="372" t="s">
        <v>203</v>
      </c>
      <c r="CW15" s="370" t="s">
        <v>204</v>
      </c>
      <c r="CX15" s="371" t="s">
        <v>205</v>
      </c>
      <c r="CY15" s="372" t="s">
        <v>203</v>
      </c>
      <c r="CZ15" s="370" t="s">
        <v>204</v>
      </c>
      <c r="DA15" s="373" t="s">
        <v>205</v>
      </c>
    </row>
    <row r="16" spans="2:106" ht="3.6" customHeight="1">
      <c r="B16" s="6"/>
      <c r="C16" s="151"/>
      <c r="D16" s="152"/>
      <c r="E16" s="152"/>
      <c r="F16" s="152"/>
      <c r="G16" s="152"/>
      <c r="H16" s="152"/>
      <c r="I16" s="152"/>
      <c r="J16" s="152"/>
      <c r="K16" s="152"/>
      <c r="L16" s="152"/>
      <c r="M16" s="152"/>
      <c r="N16" s="152"/>
      <c r="O16" s="152"/>
      <c r="P16" s="152"/>
      <c r="Q16" s="152"/>
      <c r="R16" s="152"/>
      <c r="S16" s="151"/>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347"/>
      <c r="AU16" s="347"/>
      <c r="AV16" s="347"/>
      <c r="AW16" s="347"/>
      <c r="AX16" s="347"/>
      <c r="AY16" s="347"/>
      <c r="AZ16" s="347"/>
      <c r="BA16" s="347"/>
      <c r="BB16" s="348"/>
      <c r="BD16" s="7"/>
      <c r="BE16" s="358"/>
      <c r="BF16" s="358"/>
      <c r="BG16" s="358"/>
      <c r="BH16" s="358"/>
      <c r="BI16" s="358"/>
      <c r="BJ16" s="358"/>
      <c r="BK16" s="358"/>
      <c r="BL16" s="358"/>
      <c r="BM16" s="358"/>
      <c r="BN16" s="358"/>
      <c r="BO16" s="1"/>
      <c r="BP16" s="1"/>
      <c r="BQ16" s="350"/>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45"/>
    </row>
    <row r="17" spans="2:106" s="2" customFormat="1">
      <c r="B17" s="980">
        <f>'00 - Cover'!F13</f>
        <v>46203</v>
      </c>
      <c r="C17" s="981">
        <f>IF($B17=0,"",SUMIFS(INPUT_DATA!D:D,INPUT_DATA!$A:$A,$B17,INPUT_DATA!$C:$C,"S"))</f>
        <v>745774921.03000057</v>
      </c>
      <c r="D17" s="982">
        <f>IF($B17=0,"",SUMIFS(INPUT_DATA!E:E,INPUT_DATA!$A:$A,$B17,INPUT_DATA!$C:$C,"S"))</f>
        <v>28170056.849999994</v>
      </c>
      <c r="E17" s="982">
        <f>IF($B17=0,"",SUMIFS(INPUT_DATA!F:F,INPUT_DATA!$A:$A,$B17,INPUT_DATA!$C:$C,"S"))</f>
        <v>403712.27</v>
      </c>
      <c r="F17" s="723">
        <f>IF($B17=0,"",SUMIFS(INPUT_DATA!G:G,INPUT_DATA!$A:$A,$B17,INPUT_DATA!$C:$C,"S"))</f>
        <v>4856642.7099999906</v>
      </c>
      <c r="G17" s="723">
        <f>IF($B17=0,"",SUMIFS(INPUT_DATA!H:H,INPUT_DATA!$A:$A,$B17,INPUT_DATA!$C:$C,"S"))</f>
        <v>1686366.88</v>
      </c>
      <c r="H17" s="723">
        <f>IF($B17=0,"",SUMIFS(INPUT_DATA!I:I,INPUT_DATA!$A:$A,$B17,INPUT_DATA!$C:$C,"S"))</f>
        <v>0</v>
      </c>
      <c r="I17" s="723">
        <f>IF($B17=0,"",SUMIFS(INPUT_DATA!J:J,INPUT_DATA!$A:$A,$B17,INPUT_DATA!$C:$C,"S"))</f>
        <v>3925.5499999999997</v>
      </c>
      <c r="J17" s="723">
        <f>IF($B17=0,"",SUMIFS(INPUT_DATA!K:K,INPUT_DATA!$A:$A,$B17,INPUT_DATA!$C:$C,"S"))</f>
        <v>0</v>
      </c>
      <c r="K17" s="723">
        <f>IF($B17=0,"",SUMIFS(INPUT_DATA!L:L,INPUT_DATA!$A:$A,$B17,INPUT_DATA!$C:$C,"S"))</f>
        <v>0</v>
      </c>
      <c r="L17" s="723">
        <f>IF($B17=0,"",SUMIFS(INPUT_DATA!M:M,INPUT_DATA!$A:$A,$B17,INPUT_DATA!$C:$C,"S"))</f>
        <v>1131333.1200000001</v>
      </c>
      <c r="M17" s="723">
        <f>IF($B17=0,"",SUMIFS(INPUT_DATA!N:N,INPUT_DATA!$A:$A,$B17,INPUT_DATA!$C:$C,"S"))</f>
        <v>0</v>
      </c>
      <c r="N17" s="723">
        <f>IF($B17=0,"",SUMIFS(INPUT_DATA!O:O,INPUT_DATA!$A:$A,$B17,INPUT_DATA!$C:$C,"S"))</f>
        <v>0</v>
      </c>
      <c r="O17" s="723">
        <f>IF($B17=0,"",SUMIFS(INPUT_DATA!P:P,INPUT_DATA!$A:$A,$B17,INPUT_DATA!$C:$C,"S"))</f>
        <v>0</v>
      </c>
      <c r="P17" s="983">
        <f>IF($B17=0,"",C17+D17+E17-F17-G17+H17+I17+J17-K17-L17+M17-N17-O17)</f>
        <v>766678272.99000049</v>
      </c>
      <c r="Q17" s="984">
        <f>IF($B17=0,"",SUMIFS(INPUT_DATA!Q:Q,INPUT_DATA!$A:$A,$B17,INPUT_DATA!$C:$C,"S"))</f>
        <v>766678272.99000049</v>
      </c>
      <c r="R17" s="984">
        <f t="shared" ref="R17:R22" si="0">IF($B17=0,"",P17-Q17)</f>
        <v>0</v>
      </c>
      <c r="S17" s="985">
        <f>IF($B17=0,"",SUMIFS(INPUT_DATA!R:R,INPUT_DATA!$A:$A,$B17,INPUT_DATA!$C:$C,"S"))</f>
        <v>136784.17999999996</v>
      </c>
      <c r="T17" s="985">
        <f>IF($B17=0,"",SUMIFS(INPUT_DATA!S:S,INPUT_DATA!$A:$A,$B17,INPUT_DATA!$C:$C,"S"))</f>
        <v>32005.260000000002</v>
      </c>
      <c r="U17" s="985">
        <f>IF($B17=0,"",SUMIFS(INPUT_DATA!T:T,INPUT_DATA!$A:$A,$B17,INPUT_DATA!$C:$C,"S"))</f>
        <v>0</v>
      </c>
      <c r="V17" s="985">
        <f>IF($B17=0,"",SUMIFS(INPUT_DATA!U:U,INPUT_DATA!$A:$A,$B17,INPUT_DATA!$C:$C,"S"))</f>
        <v>112937.93999999996</v>
      </c>
      <c r="W17" s="985">
        <f>IF($B17=0,"",SUMIFS(INPUT_DATA!V:V,INPUT_DATA!$A:$A,$B17,INPUT_DATA!$C:$C,"S"))</f>
        <v>27309.979999999992</v>
      </c>
      <c r="X17" s="985">
        <f>IF($B17=0,"",SUMIFS(INPUT_DATA!W:W,INPUT_DATA!$A:$A,$B17,INPUT_DATA!$C:$C,"S"))</f>
        <v>0</v>
      </c>
      <c r="Y17" s="985">
        <f>IF($B17=0,"",SUMIFS(INPUT_DATA!X:X,INPUT_DATA!$A:$A,$B17,INPUT_DATA!$C:$C,"S"))</f>
        <v>116402.30999999998</v>
      </c>
      <c r="Z17" s="985">
        <f>IF($B17=0,"",SUMIFS(INPUT_DATA!Y:Y,INPUT_DATA!$A:$A,$B17,INPUT_DATA!$C:$C,"S"))</f>
        <v>20550.150000000001</v>
      </c>
      <c r="AA17" s="985">
        <f>IF($B17=0,"",SUMIFS(INPUT_DATA!Z:Z,INPUT_DATA!$A:$A,$B17,INPUT_DATA!$C:$C,"S"))</f>
        <v>0</v>
      </c>
      <c r="AB17" s="985">
        <f>IF($B17=0,"",SUMIFS(INPUT_DATA!AA:AA,INPUT_DATA!$A:$A,$B17,INPUT_DATA!$C:$C,"S"))</f>
        <v>0</v>
      </c>
      <c r="AC17" s="985">
        <f>IF($B17=0,"",SUMIFS(INPUT_DATA!AB:AB,INPUT_DATA!$A:$A,$B17,INPUT_DATA!$C:$C,"S"))</f>
        <v>0</v>
      </c>
      <c r="AD17" s="985">
        <f>IF($B17=0,"",SUMIFS(INPUT_DATA!AC:AC,INPUT_DATA!$A:$A,$B17,INPUT_DATA!$C:$C,"S"))</f>
        <v>0</v>
      </c>
      <c r="AE17" s="985">
        <f>IF($B17=0,"",SUMIFS(INPUT_DATA!AD:AD,INPUT_DATA!$A:$A,$B17,INPUT_DATA!$C:$C,"S"))</f>
        <v>0</v>
      </c>
      <c r="AF17" s="985">
        <f>IF($B17=0,"",SUMIFS(INPUT_DATA!AE:AE,INPUT_DATA!$A:$A,$B17,INPUT_DATA!$C:$C,"S"))</f>
        <v>0</v>
      </c>
      <c r="AG17" s="985">
        <f>IF($B17=0,"",SUMIFS(INPUT_DATA!AF:AF,INPUT_DATA!$A:$A,$B17,INPUT_DATA!$C:$C,"S"))</f>
        <v>0</v>
      </c>
      <c r="AH17" s="985">
        <f>IF($B17=0,"",SUMIFS(INPUT_DATA!AG:AG,INPUT_DATA!$A:$A,$B17,INPUT_DATA!$C:$C,"S"))</f>
        <v>14419.24</v>
      </c>
      <c r="AI17" s="985">
        <f>IF($B17=0,"",SUMIFS(INPUT_DATA!AH:AH,INPUT_DATA!$A:$A,$B17,INPUT_DATA!$C:$C,"S"))</f>
        <v>13377.72</v>
      </c>
      <c r="AJ17" s="985">
        <f>IF($B17=0,"",SUMIFS(INPUT_DATA!AI:AI,INPUT_DATA!$A:$A,$B17,INPUT_DATA!$C:$C,"S"))</f>
        <v>0</v>
      </c>
      <c r="AK17" s="985">
        <f>IF($B17=0,"",SUMIFS(INPUT_DATA!AJ:AJ,INPUT_DATA!$A:$A,$B17,INPUT_DATA!$C:$C,"S"))</f>
        <v>0</v>
      </c>
      <c r="AL17" s="985">
        <f>IF($B17=0,"",SUMIFS(INPUT_DATA!AK:AK,INPUT_DATA!$A:$A,$B17,INPUT_DATA!$C:$C,"S"))</f>
        <v>0</v>
      </c>
      <c r="AM17" s="985">
        <f>IF($B17=0,"",SUMIFS(INPUT_DATA!AL:AL,INPUT_DATA!$A:$A,$B17,INPUT_DATA!$C:$C,"S"))</f>
        <v>0</v>
      </c>
      <c r="AN17" s="985">
        <f>IF($B17=0,"",SUMIFS(INPUT_DATA!AM:AM,INPUT_DATA!$A:$A,$B17,INPUT_DATA!$C:$C,"S"))</f>
        <v>0</v>
      </c>
      <c r="AO17" s="985">
        <f>IF($B17=0,"",SUMIFS(INPUT_DATA!AN:AN,INPUT_DATA!$A:$A,$B17,INPUT_DATA!$C:$C,"S"))</f>
        <v>0</v>
      </c>
      <c r="AP17" s="985">
        <f>IF($B17=0,"",SUMIFS(INPUT_DATA!AO:AO,INPUT_DATA!$A:$A,$B17,INPUT_DATA!$C:$C,"S"))</f>
        <v>0</v>
      </c>
      <c r="AQ17" s="985">
        <f>IF($B17=0,"",SUMIFS(INPUT_DATA!AP:AP,INPUT_DATA!$A:$A,$B17,INPUT_DATA!$C:$C,"S"))</f>
        <v>0</v>
      </c>
      <c r="AR17" s="985">
        <f>IF($B17=0,"",SUMIFS(INPUT_DATA!AQ:AQ,INPUT_DATA!$A:$A,$B17,INPUT_DATA!$C:$C,"S"))</f>
        <v>0</v>
      </c>
      <c r="AS17" s="985">
        <f>IF($B17=0,"",SUMIFS(INPUT_DATA!AR:AR,INPUT_DATA!$A:$A,$B17,INPUT_DATA!$C:$C,"S"))</f>
        <v>0</v>
      </c>
      <c r="AT17" s="986">
        <f t="shared" ref="AT17:AV22" si="1">IF($B17=0,"",S17+V17-Y17-AB17-AE17-AH17+AK17-AN17-AQ17)</f>
        <v>118900.56999999993</v>
      </c>
      <c r="AU17" s="987">
        <f t="shared" si="1"/>
        <v>25387.369999999988</v>
      </c>
      <c r="AV17" s="988">
        <f t="shared" si="1"/>
        <v>0</v>
      </c>
      <c r="AW17" s="986">
        <f>IF($B17=0,"",SUMIFS(INPUT_DATA!AS:AS,INPUT_DATA!$A:$A,$B17,INPUT_DATA!$C:$C,"S"))</f>
        <v>118900.56999999999</v>
      </c>
      <c r="AX17" s="987">
        <f>IF($B17=0,"",SUMIFS(INPUT_DATA!AT:AT,INPUT_DATA!$A:$A,$B17,INPUT_DATA!$C:$C,"S"))</f>
        <v>25387.369999999992</v>
      </c>
      <c r="AY17" s="988">
        <f>IF($B17=0,"",SUMIFS(INPUT_DATA!AU:AU,INPUT_DATA!$A:$A,$B17,INPUT_DATA!$C:$C,"S"))</f>
        <v>0</v>
      </c>
      <c r="AZ17" s="986">
        <f t="shared" ref="AZ17:BB18" si="2">IF($B17=0,"",AT17-AW17)</f>
        <v>-5.8207660913467407E-11</v>
      </c>
      <c r="BA17" s="987">
        <f t="shared" si="2"/>
        <v>-3.637978807091713E-12</v>
      </c>
      <c r="BB17" s="988">
        <f t="shared" si="2"/>
        <v>0</v>
      </c>
      <c r="BC17" s="989"/>
      <c r="BD17" s="981">
        <f>IF($B17=0,"",SUMIFS(INPUT_DATA!D:D,INPUT_DATA!$A:$A,$B17,INPUT_DATA!$C:$C,"D"))</f>
        <v>1934906.7000000002</v>
      </c>
      <c r="BE17" s="716">
        <f>IF($B17=0,"",SUMIFS(INPUT_DATA!G:G,INPUT_DATA!$A:$A,$B17,INPUT_DATA!$C:$C,"D"))</f>
        <v>17683.120000000003</v>
      </c>
      <c r="BF17" s="716">
        <f>IF($B17=0,"",SUMIFS(INPUT_DATA!H:H,INPUT_DATA!$A:$A,$B17,INPUT_DATA!$C:$C,"D"))</f>
        <v>0</v>
      </c>
      <c r="BG17" s="716">
        <f>IF($B17=0,"",SUMIFS(INPUT_DATA!I:I,INPUT_DATA!$A:$A,$B17,INPUT_DATA!$C:$C,"D"))</f>
        <v>0</v>
      </c>
      <c r="BH17" s="716">
        <f>IF($B17=0,"",SUMIFS(INPUT_DATA!J:J,INPUT_DATA!$A:$A,$B17,INPUT_DATA!$C:$C,"D"))</f>
        <v>467.33</v>
      </c>
      <c r="BI17" s="716">
        <f>IF($B17=0,"",SUMIFS(INPUT_DATA!K:K,INPUT_DATA!$A:$A,$B17,INPUT_DATA!$C:$C,"D"))</f>
        <v>0</v>
      </c>
      <c r="BJ17" s="716">
        <f>IF($B17=0,"",SUMIFS(INPUT_DATA!L:L,INPUT_DATA!$A:$A,$B17,INPUT_DATA!$C:$C,"D"))</f>
        <v>0</v>
      </c>
      <c r="BK17" s="716">
        <f>IF($B17=0,"",SUMIFS(INPUT_DATA!M:M,INPUT_DATA!$A:$A,$B17,INPUT_DATA!$C:$C,"D"))</f>
        <v>1131333.1200000001</v>
      </c>
      <c r="BL17" s="716">
        <f>IF($B17=0,"",SUMIFS(INPUT_DATA!N:N,INPUT_DATA!$A:$A,$B17,INPUT_DATA!$C:$C,"D"))</f>
        <v>0</v>
      </c>
      <c r="BM17" s="716">
        <f>IF($B17=0,"",SUMIFS(INPUT_DATA!O:O,INPUT_DATA!$A:$A,$B17,INPUT_DATA!$C:$C,"D"))</f>
        <v>0</v>
      </c>
      <c r="BN17" s="716">
        <f>IF($B17=0,"",SUMIFS(INPUT_DATA!P:P,INPUT_DATA!$A:$A,$B17,INPUT_DATA!$C:$C,"D"))</f>
        <v>0</v>
      </c>
      <c r="BO17" s="990">
        <f>IF($B17=0,"",BD17-BE17-BF17+BG17+BH17+BI17-BJ17+BK17-BL17-BM17-BN17)</f>
        <v>3049024.0300000003</v>
      </c>
      <c r="BP17" s="990">
        <f>IF($B17=0,"",SUMIFS(INPUT_DATA!Q:Q,INPUT_DATA!$A:$A,$B17,INPUT_DATA!$C:$C,"D"))</f>
        <v>3049024.0300000003</v>
      </c>
      <c r="BQ17" s="990">
        <f>IF($B17=0,"",BO17-BP17)</f>
        <v>0</v>
      </c>
      <c r="BR17" s="981">
        <f>IF($B17=0,"",SUMIFS(INPUT_DATA!R:R,INPUT_DATA!$A:$A,$B17,INPUT_DATA!$C:$C,"D"))</f>
        <v>52089.88</v>
      </c>
      <c r="BS17" s="991">
        <f>IF($B17=0,"",SUMIFS(INPUT_DATA!S:S,INPUT_DATA!$A:$A,$B17,INPUT_DATA!$C:$C,"D"))</f>
        <v>7601.54</v>
      </c>
      <c r="BT17" s="991">
        <f>IF($B17=0,"",SUMIFS(INPUT_DATA!T:T,INPUT_DATA!$A:$A,$B17,INPUT_DATA!$C:$C,"D"))</f>
        <v>0</v>
      </c>
      <c r="BU17" s="716">
        <f>IF($B17=0,"",SUMIFS(INPUT_DATA!U:U,INPUT_DATA!$A:$A,$B17,INPUT_DATA!$C:$C,"D"))</f>
        <v>8113.130000000001</v>
      </c>
      <c r="BV17" s="716">
        <f>IF($B17=0,"",SUMIFS(INPUT_DATA!V:V,INPUT_DATA!$A:$A,$B17,INPUT_DATA!$C:$C,"D"))</f>
        <v>1788.8200000000002</v>
      </c>
      <c r="BW17" s="716">
        <f>IF($B17=0,"",SUMIFS(INPUT_DATA!W:W,INPUT_DATA!$A:$A,$B17,INPUT_DATA!$C:$C,"D"))</f>
        <v>0</v>
      </c>
      <c r="BX17" s="716">
        <f>IF($B17=0,"",SUMIFS(INPUT_DATA!X:X,INPUT_DATA!$A:$A,$B17,INPUT_DATA!$C:$C,"D"))</f>
        <v>15203.1</v>
      </c>
      <c r="BY17" s="716">
        <f>IF($B17=0,"",SUMIFS(INPUT_DATA!Y:Y,INPUT_DATA!$A:$A,$B17,INPUT_DATA!$C:$C,"D"))</f>
        <v>1397.0600000000002</v>
      </c>
      <c r="BZ17" s="716">
        <f>IF($B17=0,"",SUMIFS(INPUT_DATA!Z:Z,INPUT_DATA!$A:$A,$B17,INPUT_DATA!$C:$C,"D"))</f>
        <v>0</v>
      </c>
      <c r="CA17" s="717">
        <f>IF($B17=0,"",SUMIFS(INPUT_DATA!AA:AA,INPUT_DATA!$A:$A,$B17,INPUT_DATA!$C:$C,"D"))</f>
        <v>0</v>
      </c>
      <c r="CB17" s="717">
        <f>IF($B17=0,"",SUMIFS(INPUT_DATA!AB:AB,INPUT_DATA!$A:$A,$B17,INPUT_DATA!$C:$C,"D"))</f>
        <v>0</v>
      </c>
      <c r="CC17" s="717">
        <f>IF($B17=0,"",SUMIFS(INPUT_DATA!AC:AC,INPUT_DATA!$A:$A,$B17,INPUT_DATA!$C:$C,"D"))</f>
        <v>0</v>
      </c>
      <c r="CD17" s="716">
        <f>IF($B17=0,"",SUMIFS(INPUT_DATA!AD:AD,INPUT_DATA!$A:$A,$B17,INPUT_DATA!$C:$C,"D"))</f>
        <v>0</v>
      </c>
      <c r="CE17" s="716">
        <f>IF($B17=0,"",SUMIFS(INPUT_DATA!AE:AE,INPUT_DATA!$A:$A,$B17,INPUT_DATA!$C:$C,"D"))</f>
        <v>0</v>
      </c>
      <c r="CF17" s="716">
        <f>IF($B17=0,"",SUMIFS(INPUT_DATA!AF:AF,INPUT_DATA!$A:$A,$B17,INPUT_DATA!$C:$C,"D"))</f>
        <v>0</v>
      </c>
      <c r="CG17" s="717">
        <f>IF($B17=0,"",SUMIFS(INPUT_DATA!AG:AG,INPUT_DATA!$A:$A,$B17,INPUT_DATA!$C:$C,"D"))</f>
        <v>14419.24</v>
      </c>
      <c r="CH17" s="717">
        <f>IF($B17=0,"",SUMIFS(INPUT_DATA!AH:AH,INPUT_DATA!$A:$A,$B17,INPUT_DATA!$C:$C,"D"))</f>
        <v>13377.72</v>
      </c>
      <c r="CI17" s="717">
        <f>IF($B17=0,"",SUMIFS(INPUT_DATA!AI:AI,INPUT_DATA!$A:$A,$B17,INPUT_DATA!$C:$C,"D"))</f>
        <v>0</v>
      </c>
      <c r="CJ17" s="723">
        <f>IF($B17=0,"",SUMIFS(INPUT_DATA!AJ:AJ,INPUT_DATA!$A:$A,$B17,INPUT_DATA!$C:$C,"D"))</f>
        <v>0</v>
      </c>
      <c r="CK17" s="723">
        <f>IF($B17=0,"",SUMIFS(INPUT_DATA!AK:AK,INPUT_DATA!$A:$A,$B17,INPUT_DATA!$C:$C,"D"))</f>
        <v>0</v>
      </c>
      <c r="CL17" s="723">
        <f>IF($B17=0,"",SUMIFS(INPUT_DATA!AL:AL,INPUT_DATA!$A:$A,$B17,INPUT_DATA!$C:$C,"D"))</f>
        <v>0</v>
      </c>
      <c r="CM17" s="723">
        <f>IF($B17=0,"",SUMIFS(INPUT_DATA!AM:AM,INPUT_DATA!$A:$A,$B17,INPUT_DATA!$C:$C,"D"))</f>
        <v>0</v>
      </c>
      <c r="CN17" s="723">
        <f>IF($B17=0,"",SUMIFS(INPUT_DATA!AN:AN,INPUT_DATA!$A:$A,$B17,INPUT_DATA!$C:$C,"D"))</f>
        <v>0</v>
      </c>
      <c r="CO17" s="723">
        <f>IF($B17=0,"",SUMIFS(INPUT_DATA!AO:AO,INPUT_DATA!$A:$A,$B17,INPUT_DATA!$C:$C,"D"))</f>
        <v>0</v>
      </c>
      <c r="CP17" s="723">
        <f>IF($B17=0,"",SUMIFS(INPUT_DATA!AP:AP,INPUT_DATA!$A:$A,$B17,INPUT_DATA!$C:$C,"D"))</f>
        <v>0</v>
      </c>
      <c r="CQ17" s="723">
        <f>IF($B17=0,"",SUMIFS(INPUT_DATA!AQ:AQ,INPUT_DATA!$A:$A,$B17,INPUT_DATA!$C:$C,"D"))</f>
        <v>0</v>
      </c>
      <c r="CR17" s="723">
        <f>IF($B17=0,"",SUMIFS(INPUT_DATA!AR:AR,INPUT_DATA!$A:$A,$B17,INPUT_DATA!$C:$C,"D"))</f>
        <v>0</v>
      </c>
      <c r="CS17" s="987">
        <f t="shared" ref="CS17:CU22" si="3">IF($B17=0,"",BR17+BU17-BX17-CA17-CD17+CG17-CJ17-CM17-CP17)</f>
        <v>59419.149999999994</v>
      </c>
      <c r="CT17" s="987">
        <f t="shared" si="3"/>
        <v>21371.02</v>
      </c>
      <c r="CU17" s="987">
        <f t="shared" si="3"/>
        <v>0</v>
      </c>
      <c r="CV17" s="982">
        <f>IF($B17=0,"",SUMIFS(INPUT_DATA!AS:AS,INPUT_DATA!$A:$A,$B17,INPUT_DATA!$C:$C,"D"))</f>
        <v>59419.15</v>
      </c>
      <c r="CW17" s="982">
        <f>IF($B17=0,"",SUMIFS(INPUT_DATA!AT:AT,INPUT_DATA!$A:$A,$B17,INPUT_DATA!$C:$C,"D"))</f>
        <v>21371.02</v>
      </c>
      <c r="CX17" s="982">
        <f>IF($B17=0,"",SUMIFS(INPUT_DATA!AU:AU,INPUT_DATA!$A:$A,$B17,INPUT_DATA!$C:$C,"D"))</f>
        <v>0</v>
      </c>
      <c r="CY17" s="982">
        <f t="shared" ref="CY17:DA22" si="4">IF($B17=0,"",CS17-CV17)</f>
        <v>-7.2759576141834259E-12</v>
      </c>
      <c r="CZ17" s="987">
        <f t="shared" si="4"/>
        <v>0</v>
      </c>
      <c r="DA17" s="992">
        <f t="shared" si="4"/>
        <v>0</v>
      </c>
      <c r="DB17" s="357"/>
    </row>
    <row r="18" spans="2:106">
      <c r="B18" s="697">
        <f>INPUT_DATA!BR5</f>
        <v>46173</v>
      </c>
      <c r="C18" s="993">
        <f>IF($B18=0,"",SUMIFS(INPUT_DATA!D:D,INPUT_DATA!$A:$A,$B18,INPUT_DATA!$C:$C,"S"))</f>
        <v>753605014.08000004</v>
      </c>
      <c r="D18" s="349">
        <f>IF($B18=0,"",SUMIFS(INPUT_DATA!E:E,INPUT_DATA!$A:$A,$B18,INPUT_DATA!$C:$C,"S"))</f>
        <v>0</v>
      </c>
      <c r="E18" s="349">
        <f>IF($B18=0,"",SUMIFS(INPUT_DATA!F:F,INPUT_DATA!$A:$A,$B18,INPUT_DATA!$C:$C,"S"))</f>
        <v>237708.15</v>
      </c>
      <c r="F18" s="153">
        <f>IF($B18=0,"",SUMIFS(INPUT_DATA!G:G,INPUT_DATA!$A:$A,$B18,INPUT_DATA!$C:$C,"S"))</f>
        <v>4800450.08</v>
      </c>
      <c r="G18" s="153">
        <f>IF($B18=0,"",SUMIFS(INPUT_DATA!H:H,INPUT_DATA!$A:$A,$B18,INPUT_DATA!$C:$C,"S"))</f>
        <v>2896329.51</v>
      </c>
      <c r="H18" s="153">
        <f>IF($B18=0,"",SUMIFS(INPUT_DATA!I:I,INPUT_DATA!$A:$A,$B18,INPUT_DATA!$C:$C,"S"))</f>
        <v>0</v>
      </c>
      <c r="I18" s="153">
        <f>IF($B18=0,"",SUMIFS(INPUT_DATA!J:J,INPUT_DATA!$A:$A,$B18,INPUT_DATA!$C:$C,"S"))</f>
        <v>3744.91</v>
      </c>
      <c r="J18" s="153">
        <f>IF($B18=0,"",SUMIFS(INPUT_DATA!K:K,INPUT_DATA!$A:$A,$B18,INPUT_DATA!$C:$C,"S"))</f>
        <v>0</v>
      </c>
      <c r="K18" s="153">
        <f>IF($B18=0,"",SUMIFS(INPUT_DATA!L:L,INPUT_DATA!$A:$A,$B18,INPUT_DATA!$C:$C,"S"))</f>
        <v>0</v>
      </c>
      <c r="L18" s="153">
        <f>IF($B18=0,"",SUMIFS(INPUT_DATA!M:M,INPUT_DATA!$A:$A,$B18,INPUT_DATA!$C:$C,"S"))</f>
        <v>374766.52</v>
      </c>
      <c r="M18" s="153">
        <f>IF($B18=0,"",SUMIFS(INPUT_DATA!N:N,INPUT_DATA!$A:$A,$B18,INPUT_DATA!$C:$C,"S"))</f>
        <v>0</v>
      </c>
      <c r="N18" s="153">
        <f>IF($B18=0,"",SUMIFS(INPUT_DATA!O:O,INPUT_DATA!$A:$A,$B18,INPUT_DATA!$C:$C,"S"))</f>
        <v>0</v>
      </c>
      <c r="O18" s="153">
        <f>IF($B18=0,"",SUMIFS(INPUT_DATA!P:P,INPUT_DATA!$A:$A,$B18,INPUT_DATA!$C:$C,"S"))</f>
        <v>0</v>
      </c>
      <c r="P18" s="994">
        <f t="shared" ref="P18:P81" si="5">IF($B18=0,"",C18+D18+E18-F18-G18+H18+I18+J18-K18-L18+M18-N18-O18)</f>
        <v>745774921.02999997</v>
      </c>
      <c r="Q18" s="995">
        <f>IF($B18=0,"",SUMIFS(INPUT_DATA!Q:Q,INPUT_DATA!$A:$A,$B18,INPUT_DATA!$C:$C,"S"))</f>
        <v>745774921.02999997</v>
      </c>
      <c r="R18" s="995">
        <f t="shared" si="0"/>
        <v>0</v>
      </c>
      <c r="S18" s="297">
        <f>IF($B18=0,"",SUMIFS(INPUT_DATA!R:R,INPUT_DATA!$A:$A,$B18,INPUT_DATA!$C:$C,"S"))</f>
        <v>109601.63</v>
      </c>
      <c r="T18" s="297">
        <f>IF($B18=0,"",SUMIFS(INPUT_DATA!S:S,INPUT_DATA!$A:$A,$B18,INPUT_DATA!$C:$C,"S"))</f>
        <v>26190.400000000001</v>
      </c>
      <c r="U18" s="297">
        <f>IF($B18=0,"",SUMIFS(INPUT_DATA!T:T,INPUT_DATA!$A:$A,$B18,INPUT_DATA!$C:$C,"S"))</f>
        <v>0</v>
      </c>
      <c r="V18" s="297">
        <f>IF($B18=0,"",SUMIFS(INPUT_DATA!U:U,INPUT_DATA!$A:$A,$B18,INPUT_DATA!$C:$C,"S"))</f>
        <v>119764.93</v>
      </c>
      <c r="W18" s="297">
        <f>IF($B18=0,"",SUMIFS(INPUT_DATA!V:V,INPUT_DATA!$A:$A,$B18,INPUT_DATA!$C:$C,"S"))</f>
        <v>25914.57</v>
      </c>
      <c r="X18" s="297">
        <f>IF($B18=0,"",SUMIFS(INPUT_DATA!W:W,INPUT_DATA!$A:$A,$B18,INPUT_DATA!$C:$C,"S"))</f>
        <v>0</v>
      </c>
      <c r="Y18" s="297">
        <f>IF($B18=0,"",SUMIFS(INPUT_DATA!X:X,INPUT_DATA!$A:$A,$B18,INPUT_DATA!$C:$C,"S"))</f>
        <v>86712.37</v>
      </c>
      <c r="Z18" s="297">
        <f>IF($B18=0,"",SUMIFS(INPUT_DATA!Y:Y,INPUT_DATA!$A:$A,$B18,INPUT_DATA!$C:$C,"S"))</f>
        <v>15435.95</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5870.01</v>
      </c>
      <c r="AI18" s="297">
        <f>IF($B18=0,"",SUMIFS(INPUT_DATA!AH:AH,INPUT_DATA!$A:$A,$B18,INPUT_DATA!$C:$C,"S"))</f>
        <v>4663.76</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297">
        <f>IF($B18=0,"",SUMIFS(INPUT_DATA!AR:AR,INPUT_DATA!$A:$A,$B18,INPUT_DATA!$C:$C,"S"))</f>
        <v>0</v>
      </c>
      <c r="AT18" s="996">
        <f t="shared" si="1"/>
        <v>136784.18</v>
      </c>
      <c r="AU18" s="997">
        <f t="shared" si="1"/>
        <v>32005.260000000002</v>
      </c>
      <c r="AV18" s="998">
        <f t="shared" si="1"/>
        <v>0</v>
      </c>
      <c r="AW18" s="996">
        <f>IF($B18=0,"",SUMIFS(INPUT_DATA!AS:AS,INPUT_DATA!$A:$A,$B18,INPUT_DATA!$C:$C,"S"))</f>
        <v>136784.18</v>
      </c>
      <c r="AX18" s="997">
        <f>IF($B18=0,"",SUMIFS(INPUT_DATA!AT:AT,INPUT_DATA!$A:$A,$B18,INPUT_DATA!$C:$C,"S"))</f>
        <v>32005.26</v>
      </c>
      <c r="AY18" s="998">
        <f>IF($B18=0,"",SUMIFS(INPUT_DATA!AU:AU,INPUT_DATA!$A:$A,$B18,INPUT_DATA!$C:$C,"S"))</f>
        <v>0</v>
      </c>
      <c r="AZ18" s="996">
        <f t="shared" si="2"/>
        <v>0</v>
      </c>
      <c r="BA18" s="997">
        <f t="shared" si="2"/>
        <v>3.637978807091713E-12</v>
      </c>
      <c r="BB18" s="998">
        <f t="shared" si="2"/>
        <v>0</v>
      </c>
      <c r="BC18" s="150"/>
      <c r="BD18" s="993">
        <f>IF($B18=0,"",SUMIFS(INPUT_DATA!D:D,INPUT_DATA!$A:$A,$B18,INPUT_DATA!$C:$C,"D"))</f>
        <v>1572621.58</v>
      </c>
      <c r="BE18" s="296">
        <f>IF($B18=0,"",SUMIFS(INPUT_DATA!G:G,INPUT_DATA!$A:$A,$B18,INPUT_DATA!$C:$C,"D"))</f>
        <v>12948.28</v>
      </c>
      <c r="BF18" s="296">
        <f>IF($B18=0,"",SUMIFS(INPUT_DATA!H:H,INPUT_DATA!$A:$A,$B18,INPUT_DATA!$C:$C,"D"))</f>
        <v>0</v>
      </c>
      <c r="BG18" s="296">
        <f>IF($B18=0,"",SUMIFS(INPUT_DATA!I:I,INPUT_DATA!$A:$A,$B18,INPUT_DATA!$C:$C,"D"))</f>
        <v>0</v>
      </c>
      <c r="BH18" s="296">
        <f>IF($B18=0,"",SUMIFS(INPUT_DATA!J:J,INPUT_DATA!$A:$A,$B18,INPUT_DATA!$C:$C,"D"))</f>
        <v>466.88</v>
      </c>
      <c r="BI18" s="296">
        <f>IF($B18=0,"",SUMIFS(INPUT_DATA!K:K,INPUT_DATA!$A:$A,$B18,INPUT_DATA!$C:$C,"D"))</f>
        <v>0</v>
      </c>
      <c r="BJ18" s="296">
        <f>IF($B18=0,"",SUMIFS(INPUT_DATA!L:L,INPUT_DATA!$A:$A,$B18,INPUT_DATA!$C:$C,"D"))</f>
        <v>0</v>
      </c>
      <c r="BK18" s="296">
        <f>IF($B18=0,"",SUMIFS(INPUT_DATA!M:M,INPUT_DATA!$A:$A,$B18,INPUT_DATA!$C:$C,"D"))</f>
        <v>374766.52</v>
      </c>
      <c r="BL18" s="296">
        <f>IF($B18=0,"",SUMIFS(INPUT_DATA!N:N,INPUT_DATA!$A:$A,$B18,INPUT_DATA!$C:$C,"D"))</f>
        <v>0</v>
      </c>
      <c r="BM18" s="296">
        <f>IF($B18=0,"",SUMIFS(INPUT_DATA!O:O,INPUT_DATA!$A:$A,$B18,INPUT_DATA!$C:$C,"D"))</f>
        <v>0</v>
      </c>
      <c r="BN18" s="296">
        <f>IF($B18=0,"",SUMIFS(INPUT_DATA!P:P,INPUT_DATA!$A:$A,$B18,INPUT_DATA!$C:$C,"D"))</f>
        <v>0</v>
      </c>
      <c r="BO18" s="999">
        <f>IF($B18=0,"",BD18-BE18-BF18+BG18+BH18+BI18-BJ18+BK18-BL18-BM18-BN18)</f>
        <v>1934906.7</v>
      </c>
      <c r="BP18" s="999">
        <f>IF($B18=0,"",SUMIFS(INPUT_DATA!Q:Q,INPUT_DATA!$A:$A,$B18,INPUT_DATA!$C:$C,"D"))</f>
        <v>1934906.7</v>
      </c>
      <c r="BQ18" s="999">
        <f>IF($B18=0,"",BO18-BP18)</f>
        <v>0</v>
      </c>
      <c r="BR18" s="993">
        <f>IF($B18=0,"",SUMIFS(INPUT_DATA!R:R,INPUT_DATA!$A:$A,$B18,INPUT_DATA!$C:$C,"D"))</f>
        <v>49664.22</v>
      </c>
      <c r="BS18" s="1000">
        <f>IF($B18=0,"",SUMIFS(INPUT_DATA!S:S,INPUT_DATA!$A:$A,$B18,INPUT_DATA!$C:$C,"D"))</f>
        <v>4641.1899999999996</v>
      </c>
      <c r="BT18" s="1000">
        <f>IF($B18=0,"",SUMIFS(INPUT_DATA!T:T,INPUT_DATA!$A:$A,$B18,INPUT_DATA!$C:$C,"D"))</f>
        <v>0</v>
      </c>
      <c r="BU18" s="296">
        <f>IF($B18=0,"",SUMIFS(INPUT_DATA!U:U,INPUT_DATA!$A:$A,$B18,INPUT_DATA!$C:$C,"D"))</f>
        <v>6558.13</v>
      </c>
      <c r="BV18" s="296">
        <f>IF($B18=0,"",SUMIFS(INPUT_DATA!V:V,INPUT_DATA!$A:$A,$B18,INPUT_DATA!$C:$C,"D"))</f>
        <v>713.99</v>
      </c>
      <c r="BW18" s="296">
        <f>IF($B18=0,"",SUMIFS(INPUT_DATA!W:W,INPUT_DATA!$A:$A,$B18,INPUT_DATA!$C:$C,"D"))</f>
        <v>0</v>
      </c>
      <c r="BX18" s="296">
        <f>IF($B18=0,"",SUMIFS(INPUT_DATA!X:X,INPUT_DATA!$A:$A,$B18,INPUT_DATA!$C:$C,"D"))</f>
        <v>10002.48</v>
      </c>
      <c r="BY18" s="296">
        <f>IF($B18=0,"",SUMIFS(INPUT_DATA!Y:Y,INPUT_DATA!$A:$A,$B18,INPUT_DATA!$C:$C,"D"))</f>
        <v>2417.4</v>
      </c>
      <c r="BZ18" s="296">
        <f>IF($B18=0,"",SUMIFS(INPUT_DATA!Z:Z,INPUT_DATA!$A:$A,$B18,INPUT_DATA!$C:$C,"D"))</f>
        <v>0</v>
      </c>
      <c r="CA18" s="336">
        <f>IF($B18=0,"",SUMIFS(INPUT_DATA!AA:AA,INPUT_DATA!$A:$A,$B18,INPUT_DATA!$C:$C,"D"))</f>
        <v>0</v>
      </c>
      <c r="CB18" s="336">
        <f>IF($B18=0,"",SUMIFS(INPUT_DATA!AB:AB,INPUT_DATA!$A:$A,$B18,INPUT_DATA!$C:$C,"D"))</f>
        <v>0</v>
      </c>
      <c r="CC18" s="336">
        <f>IF($B18=0,"",SUMIFS(INPUT_DATA!AC:AC,INPUT_DATA!$A:$A,$B18,INPUT_DATA!$C:$C,"D"))</f>
        <v>0</v>
      </c>
      <c r="CD18" s="296">
        <f>IF($B18=0,"",SUMIFS(INPUT_DATA!AD:AD,INPUT_DATA!$A:$A,$B18,INPUT_DATA!$C:$C,"D"))</f>
        <v>0</v>
      </c>
      <c r="CE18" s="296">
        <f>IF($B18=0,"",SUMIFS(INPUT_DATA!AE:AE,INPUT_DATA!$A:$A,$B18,INPUT_DATA!$C:$C,"D"))</f>
        <v>0</v>
      </c>
      <c r="CF18" s="296">
        <f>IF($B18=0,"",SUMIFS(INPUT_DATA!AF:AF,INPUT_DATA!$A:$A,$B18,INPUT_DATA!$C:$C,"D"))</f>
        <v>0</v>
      </c>
      <c r="CG18" s="336">
        <f>IF($B18=0,"",SUMIFS(INPUT_DATA!AG:AG,INPUT_DATA!$A:$A,$B18,INPUT_DATA!$C:$C,"D"))</f>
        <v>5870.01</v>
      </c>
      <c r="CH18" s="336">
        <f>IF($B18=0,"",SUMIFS(INPUT_DATA!AH:AH,INPUT_DATA!$A:$A,$B18,INPUT_DATA!$C:$C,"D"))</f>
        <v>4663.76</v>
      </c>
      <c r="CI18" s="336">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53">
        <f>IF($B18=0,"",SUMIFS(INPUT_DATA!AR:AR,INPUT_DATA!$A:$A,$B18,INPUT_DATA!$C:$C,"D"))</f>
        <v>0</v>
      </c>
      <c r="CS18" s="997">
        <f t="shared" si="3"/>
        <v>52089.88</v>
      </c>
      <c r="CT18" s="997">
        <f t="shared" si="3"/>
        <v>7601.5399999999991</v>
      </c>
      <c r="CU18" s="997">
        <f t="shared" si="3"/>
        <v>0</v>
      </c>
      <c r="CV18" s="349">
        <f>IF($B18=0,"",SUMIFS(INPUT_DATA!AS:AS,INPUT_DATA!$A:$A,$B18,INPUT_DATA!$C:$C,"D"))</f>
        <v>52089.88</v>
      </c>
      <c r="CW18" s="349">
        <f>IF($B18=0,"",SUMIFS(INPUT_DATA!AT:AT,INPUT_DATA!$A:$A,$B18,INPUT_DATA!$C:$C,"D"))</f>
        <v>7601.54</v>
      </c>
      <c r="CX18" s="349">
        <f>IF($B18=0,"",SUMIFS(INPUT_DATA!AU:AU,INPUT_DATA!$A:$A,$B18,INPUT_DATA!$C:$C,"D"))</f>
        <v>0</v>
      </c>
      <c r="CY18" s="349">
        <f t="shared" si="4"/>
        <v>0</v>
      </c>
      <c r="CZ18" s="997">
        <f t="shared" si="4"/>
        <v>-9.0949470177292824E-13</v>
      </c>
      <c r="DA18" s="1001">
        <f t="shared" si="4"/>
        <v>0</v>
      </c>
      <c r="DB18" s="150"/>
    </row>
    <row r="19" spans="2:106">
      <c r="B19" s="697">
        <f>INPUT_DATA!BR6</f>
        <v>46142</v>
      </c>
      <c r="C19" s="993">
        <f>IF($B19=0,"",SUMIFS(INPUT_DATA!D:D,INPUT_DATA!$A:$A,$B19,INPUT_DATA!$C:$C,"S"))</f>
        <v>758870860.54000068</v>
      </c>
      <c r="D19" s="349">
        <f>IF($B19=0,"",SUMIFS(INPUT_DATA!E:E,INPUT_DATA!$A:$A,$B19,INPUT_DATA!$C:$C,"S"))</f>
        <v>0</v>
      </c>
      <c r="E19" s="349">
        <f>IF($B19=0,"",SUMIFS(INPUT_DATA!F:F,INPUT_DATA!$A:$A,$B19,INPUT_DATA!$C:$C,"S"))</f>
        <v>421662.17000000004</v>
      </c>
      <c r="F19" s="153">
        <f>IF($B19=0,"",SUMIFS(INPUT_DATA!G:G,INPUT_DATA!$A:$A,$B19,INPUT_DATA!$C:$C,"S"))</f>
        <v>4851271.6099999957</v>
      </c>
      <c r="G19" s="153">
        <f>IF($B19=0,"",SUMIFS(INPUT_DATA!H:H,INPUT_DATA!$A:$A,$B19,INPUT_DATA!$C:$C,"S"))</f>
        <v>843973.88000000012</v>
      </c>
      <c r="H19" s="153">
        <f>IF($B19=0,"",SUMIFS(INPUT_DATA!I:I,INPUT_DATA!$A:$A,$B19,INPUT_DATA!$C:$C,"S"))</f>
        <v>0</v>
      </c>
      <c r="I19" s="153">
        <f>IF($B19=0,"",SUMIFS(INPUT_DATA!J:J,INPUT_DATA!$A:$A,$B19,INPUT_DATA!$C:$C,"S"))</f>
        <v>7736.86</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53">
        <f>IF($B19=0,"",SUMIFS(INPUT_DATA!P:P,INPUT_DATA!$A:$A,$B19,INPUT_DATA!$C:$C,"S"))</f>
        <v>0</v>
      </c>
      <c r="P19" s="994">
        <f t="shared" si="5"/>
        <v>753605014.08000064</v>
      </c>
      <c r="Q19" s="995">
        <f>IF($B19=0,"",SUMIFS(INPUT_DATA!Q:Q,INPUT_DATA!$A:$A,$B19,INPUT_DATA!$C:$C,"S"))</f>
        <v>753605014.07999849</v>
      </c>
      <c r="R19" s="995">
        <f t="shared" si="0"/>
        <v>2.1457672119140625E-6</v>
      </c>
      <c r="S19" s="297">
        <f>IF($B19=0,"",SUMIFS(INPUT_DATA!R:R,INPUT_DATA!$A:$A,$B19,INPUT_DATA!$C:$C,"S"))</f>
        <v>117986.12999999999</v>
      </c>
      <c r="T19" s="297">
        <f>IF($B19=0,"",SUMIFS(INPUT_DATA!S:S,INPUT_DATA!$A:$A,$B19,INPUT_DATA!$C:$C,"S"))</f>
        <v>27853.930000000008</v>
      </c>
      <c r="U19" s="297">
        <f>IF($B19=0,"",SUMIFS(INPUT_DATA!T:T,INPUT_DATA!$A:$A,$B19,INPUT_DATA!$C:$C,"S"))</f>
        <v>0</v>
      </c>
      <c r="V19" s="297">
        <f>IF($B19=0,"",SUMIFS(INPUT_DATA!U:U,INPUT_DATA!$A:$A,$B19,INPUT_DATA!$C:$C,"S"))</f>
        <v>85707.210000000021</v>
      </c>
      <c r="W19" s="297">
        <f>IF($B19=0,"",SUMIFS(INPUT_DATA!V:V,INPUT_DATA!$A:$A,$B19,INPUT_DATA!$C:$C,"S"))</f>
        <v>18861.179999999997</v>
      </c>
      <c r="X19" s="297">
        <f>IF($B19=0,"",SUMIFS(INPUT_DATA!W:W,INPUT_DATA!$A:$A,$B19,INPUT_DATA!$C:$C,"S"))</f>
        <v>0</v>
      </c>
      <c r="Y19" s="297">
        <f>IF($B19=0,"",SUMIFS(INPUT_DATA!X:X,INPUT_DATA!$A:$A,$B19,INPUT_DATA!$C:$C,"S"))</f>
        <v>94091.71</v>
      </c>
      <c r="Z19" s="297">
        <f>IF($B19=0,"",SUMIFS(INPUT_DATA!Y:Y,INPUT_DATA!$A:$A,$B19,INPUT_DATA!$C:$C,"S"))</f>
        <v>20524.710000000006</v>
      </c>
      <c r="AA19" s="297">
        <f>IF($B19=0,"",SUMIFS(INPUT_DATA!Z:Z,INPUT_DATA!$A:$A,$B19,INPUT_DATA!$C:$C,"S"))</f>
        <v>0</v>
      </c>
      <c r="AB19" s="297">
        <f>IF($B19=0,"",SUMIFS(INPUT_DATA!AA:AA,INPUT_DATA!$A:$A,$B19,INPUT_DATA!$C:$C,"S"))</f>
        <v>0</v>
      </c>
      <c r="AC19" s="297">
        <f>IF($B19=0,"",SUMIFS(INPUT_DATA!AB:AB,INPUT_DATA!$A:$A,$B19,INPUT_DATA!$C:$C,"S"))</f>
        <v>0</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0</v>
      </c>
      <c r="AI19" s="297">
        <f>IF($B19=0,"",SUMIFS(INPUT_DATA!AH:AH,INPUT_DATA!$A:$A,$B19,INPUT_DATA!$C:$C,"S"))</f>
        <v>0</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297">
        <f>IF($B19=0,"",SUMIFS(INPUT_DATA!AR:AR,INPUT_DATA!$A:$A,$B19,INPUT_DATA!$C:$C,"S"))</f>
        <v>0</v>
      </c>
      <c r="AT19" s="996">
        <f t="shared" si="1"/>
        <v>109601.63000000002</v>
      </c>
      <c r="AU19" s="997">
        <f t="shared" si="1"/>
        <v>26190.399999999994</v>
      </c>
      <c r="AV19" s="998">
        <f t="shared" si="1"/>
        <v>0</v>
      </c>
      <c r="AW19" s="996">
        <f>IF($B19=0,"",SUMIFS(INPUT_DATA!AS:AS,INPUT_DATA!$A:$A,$B19,INPUT_DATA!$C:$C,"S"))</f>
        <v>109601.63000000003</v>
      </c>
      <c r="AX19" s="997">
        <f>IF($B19=0,"",SUMIFS(INPUT_DATA!AT:AT,INPUT_DATA!$A:$A,$B19,INPUT_DATA!$C:$C,"S"))</f>
        <v>26190.400000000001</v>
      </c>
      <c r="AY19" s="998">
        <f>IF($B19=0,"",SUMIFS(INPUT_DATA!AU:AU,INPUT_DATA!$A:$A,$B19,INPUT_DATA!$C:$C,"S"))</f>
        <v>0</v>
      </c>
      <c r="AZ19" s="996">
        <f t="shared" ref="AZ19:AZ82" si="6">IF($B19=0,"",AT19-AW19)</f>
        <v>-1.4551915228366852E-11</v>
      </c>
      <c r="BA19" s="997">
        <f t="shared" ref="BA19:BA82" si="7">IF($B19=0,"",AU19-AX19)</f>
        <v>-7.2759576141834259E-12</v>
      </c>
      <c r="BB19" s="998">
        <f t="shared" ref="BB19:BB82" si="8">IF($B19=0,"",AV19-AY19)</f>
        <v>0</v>
      </c>
      <c r="BC19" s="150"/>
      <c r="BD19" s="993">
        <f>IF($B19=0,"",SUMIFS(INPUT_DATA!D:D,INPUT_DATA!$A:$A,$B19,INPUT_DATA!$C:$C,"D"))</f>
        <v>1641933.1400000001</v>
      </c>
      <c r="BE19" s="296">
        <f>IF($B19=0,"",SUMIFS(INPUT_DATA!G:G,INPUT_DATA!$A:$A,$B19,INPUT_DATA!$C:$C,"D"))</f>
        <v>14466.899999999998</v>
      </c>
      <c r="BF19" s="296">
        <f>IF($B19=0,"",SUMIFS(INPUT_DATA!H:H,INPUT_DATA!$A:$A,$B19,INPUT_DATA!$C:$C,"D"))</f>
        <v>55311.09</v>
      </c>
      <c r="BG19" s="296">
        <f>IF($B19=0,"",SUMIFS(INPUT_DATA!I:I,INPUT_DATA!$A:$A,$B19,INPUT_DATA!$C:$C,"D"))</f>
        <v>0</v>
      </c>
      <c r="BH19" s="296">
        <f>IF($B19=0,"",SUMIFS(INPUT_DATA!J:J,INPUT_DATA!$A:$A,$B19,INPUT_DATA!$C:$C,"D"))</f>
        <v>466.43</v>
      </c>
      <c r="BI19" s="296">
        <f>IF($B19=0,"",SUMIFS(INPUT_DATA!K:K,INPUT_DATA!$A:$A,$B19,INPUT_DATA!$C:$C,"D"))</f>
        <v>0</v>
      </c>
      <c r="BJ19" s="296">
        <f>IF($B19=0,"",SUMIFS(INPUT_DATA!L:L,INPUT_DATA!$A:$A,$B19,INPUT_DATA!$C:$C,"D"))</f>
        <v>0</v>
      </c>
      <c r="BK19" s="296">
        <f>IF($B19=0,"",SUMIFS(INPUT_DATA!M:M,INPUT_DATA!$A:$A,$B19,INPUT_DATA!$C:$C,"D"))</f>
        <v>0</v>
      </c>
      <c r="BL19" s="296">
        <f>IF($B19=0,"",SUMIFS(INPUT_DATA!N:N,INPUT_DATA!$A:$A,$B19,INPUT_DATA!$C:$C,"D"))</f>
        <v>0</v>
      </c>
      <c r="BM19" s="296">
        <f>IF($B19=0,"",SUMIFS(INPUT_DATA!O:O,INPUT_DATA!$A:$A,$B19,INPUT_DATA!$C:$C,"D"))</f>
        <v>0</v>
      </c>
      <c r="BN19" s="296">
        <f>IF($B19=0,"",SUMIFS(INPUT_DATA!P:P,INPUT_DATA!$A:$A,$B19,INPUT_DATA!$C:$C,"D"))</f>
        <v>0</v>
      </c>
      <c r="BO19" s="999">
        <f t="shared" ref="BO19:BO82" si="9">IF($B19=0,"",BD19-BE19-BF19+BG19+BH19+BI19-BJ19+BK19-BL19-BM19-BN19)</f>
        <v>1572621.58</v>
      </c>
      <c r="BP19" s="999">
        <f>IF($B19=0,"",SUMIFS(INPUT_DATA!Q:Q,INPUT_DATA!$A:$A,$B19,INPUT_DATA!$C:$C,"D"))</f>
        <v>1572621.5800000003</v>
      </c>
      <c r="BQ19" s="999">
        <f t="shared" ref="BQ19:BQ82" si="10">IF($B19=0,"",BO19-BP19)</f>
        <v>-2.3283064365386963E-10</v>
      </c>
      <c r="BR19" s="993">
        <f>IF($B19=0,"",SUMIFS(INPUT_DATA!R:R,INPUT_DATA!$A:$A,$B19,INPUT_DATA!$C:$C,"D"))</f>
        <v>48701.29</v>
      </c>
      <c r="BS19" s="1000">
        <f>IF($B19=0,"",SUMIFS(INPUT_DATA!S:S,INPUT_DATA!$A:$A,$B19,INPUT_DATA!$C:$C,"D"))</f>
        <v>4437.59</v>
      </c>
      <c r="BT19" s="1000">
        <f>IF($B19=0,"",SUMIFS(INPUT_DATA!T:T,INPUT_DATA!$A:$A,$B19,INPUT_DATA!$C:$C,"D"))</f>
        <v>0</v>
      </c>
      <c r="BU19" s="296">
        <f>IF($B19=0,"",SUMIFS(INPUT_DATA!U:U,INPUT_DATA!$A:$A,$B19,INPUT_DATA!$C:$C,"D"))</f>
        <v>8083.66</v>
      </c>
      <c r="BV19" s="296">
        <f>IF($B19=0,"",SUMIFS(INPUT_DATA!V:V,INPUT_DATA!$A:$A,$B19,INPUT_DATA!$C:$C,"D"))</f>
        <v>955.35</v>
      </c>
      <c r="BW19" s="296">
        <f>IF($B19=0,"",SUMIFS(INPUT_DATA!W:W,INPUT_DATA!$A:$A,$B19,INPUT_DATA!$C:$C,"D"))</f>
        <v>0</v>
      </c>
      <c r="BX19" s="296">
        <f>IF($B19=0,"",SUMIFS(INPUT_DATA!X:X,INPUT_DATA!$A:$A,$B19,INPUT_DATA!$C:$C,"D"))</f>
        <v>7120.7300000000005</v>
      </c>
      <c r="BY19" s="296">
        <f>IF($B19=0,"",SUMIFS(INPUT_DATA!Y:Y,INPUT_DATA!$A:$A,$B19,INPUT_DATA!$C:$C,"D"))</f>
        <v>751.75</v>
      </c>
      <c r="BZ19" s="296">
        <f>IF($B19=0,"",SUMIFS(INPUT_DATA!Z:Z,INPUT_DATA!$A:$A,$B19,INPUT_DATA!$C:$C,"D"))</f>
        <v>0</v>
      </c>
      <c r="CA19" s="336">
        <f>IF($B19=0,"",SUMIFS(INPUT_DATA!AA:AA,INPUT_DATA!$A:$A,$B19,INPUT_DATA!$C:$C,"D"))</f>
        <v>0</v>
      </c>
      <c r="CB19" s="336">
        <f>IF($B19=0,"",SUMIFS(INPUT_DATA!AB:AB,INPUT_DATA!$A:$A,$B19,INPUT_DATA!$C:$C,"D"))</f>
        <v>0</v>
      </c>
      <c r="CC19" s="336">
        <f>IF($B19=0,"",SUMIFS(INPUT_DATA!AC:AC,INPUT_DATA!$A:$A,$B19,INPUT_DATA!$C:$C,"D"))</f>
        <v>0</v>
      </c>
      <c r="CD19" s="296">
        <f>IF($B19=0,"",SUMIFS(INPUT_DATA!AD:AD,INPUT_DATA!$A:$A,$B19,INPUT_DATA!$C:$C,"D"))</f>
        <v>0</v>
      </c>
      <c r="CE19" s="296">
        <f>IF($B19=0,"",SUMIFS(INPUT_DATA!AE:AE,INPUT_DATA!$A:$A,$B19,INPUT_DATA!$C:$C,"D"))</f>
        <v>0</v>
      </c>
      <c r="CF19" s="296">
        <f>IF($B19=0,"",SUMIFS(INPUT_DATA!AF:AF,INPUT_DATA!$A:$A,$B19,INPUT_DATA!$C:$C,"D"))</f>
        <v>0</v>
      </c>
      <c r="CG19" s="336">
        <f>IF($B19=0,"",SUMIFS(INPUT_DATA!AG:AG,INPUT_DATA!$A:$A,$B19,INPUT_DATA!$C:$C,"D"))</f>
        <v>0</v>
      </c>
      <c r="CH19" s="336">
        <f>IF($B19=0,"",SUMIFS(INPUT_DATA!AH:AH,INPUT_DATA!$A:$A,$B19,INPUT_DATA!$C:$C,"D"))</f>
        <v>0</v>
      </c>
      <c r="CI19" s="336">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53">
        <f>IF($B19=0,"",SUMIFS(INPUT_DATA!AR:AR,INPUT_DATA!$A:$A,$B19,INPUT_DATA!$C:$C,"D"))</f>
        <v>0</v>
      </c>
      <c r="CS19" s="997">
        <f t="shared" si="3"/>
        <v>49664.219999999994</v>
      </c>
      <c r="CT19" s="997">
        <f t="shared" si="3"/>
        <v>4641.1900000000005</v>
      </c>
      <c r="CU19" s="997">
        <f t="shared" si="3"/>
        <v>0</v>
      </c>
      <c r="CV19" s="349">
        <f>IF($B19=0,"",SUMIFS(INPUT_DATA!AS:AS,INPUT_DATA!$A:$A,$B19,INPUT_DATA!$C:$C,"D"))</f>
        <v>49664.22</v>
      </c>
      <c r="CW19" s="349">
        <f>IF($B19=0,"",SUMIFS(INPUT_DATA!AT:AT,INPUT_DATA!$A:$A,$B19,INPUT_DATA!$C:$C,"D"))</f>
        <v>4641.1900000000005</v>
      </c>
      <c r="CX19" s="349">
        <f>IF($B19=0,"",SUMIFS(INPUT_DATA!AU:AU,INPUT_DATA!$A:$A,$B19,INPUT_DATA!$C:$C,"D"))</f>
        <v>0</v>
      </c>
      <c r="CY19" s="349">
        <f t="shared" si="4"/>
        <v>-7.2759576141834259E-12</v>
      </c>
      <c r="CZ19" s="997">
        <f t="shared" si="4"/>
        <v>0</v>
      </c>
      <c r="DA19" s="1001">
        <f t="shared" si="4"/>
        <v>0</v>
      </c>
      <c r="DB19" s="150"/>
    </row>
    <row r="20" spans="2:106">
      <c r="B20" s="697">
        <f>INPUT_DATA!BR7</f>
        <v>46112</v>
      </c>
      <c r="C20" s="993">
        <f>IF($B20=0,"",SUMIFS(INPUT_DATA!D:D,INPUT_DATA!$A:$A,$B20,INPUT_DATA!$C:$C,"S"))</f>
        <v>743644994.92999887</v>
      </c>
      <c r="D20" s="349">
        <f>IF($B20=0,"",SUMIFS(INPUT_DATA!E:E,INPUT_DATA!$A:$A,$B20,INPUT_DATA!$C:$C,"S"))</f>
        <v>22403305.440000005</v>
      </c>
      <c r="E20" s="349">
        <f>IF($B20=0,"",SUMIFS(INPUT_DATA!F:F,INPUT_DATA!$A:$A,$B20,INPUT_DATA!$C:$C,"S"))</f>
        <v>509179.69000000006</v>
      </c>
      <c r="F20" s="153">
        <f>IF($B20=0,"",SUMIFS(INPUT_DATA!G:G,INPUT_DATA!$A:$A,$B20,INPUT_DATA!$C:$C,"S"))</f>
        <v>5428514.9099999983</v>
      </c>
      <c r="G20" s="153">
        <f>IF($B20=0,"",SUMIFS(INPUT_DATA!H:H,INPUT_DATA!$A:$A,$B20,INPUT_DATA!$C:$C,"S"))</f>
        <v>1918641.2699999998</v>
      </c>
      <c r="H20" s="153">
        <f>IF($B20=0,"",SUMIFS(INPUT_DATA!I:I,INPUT_DATA!$A:$A,$B20,INPUT_DATA!$C:$C,"S"))</f>
        <v>0</v>
      </c>
      <c r="I20" s="153">
        <f>IF($B20=0,"",SUMIFS(INPUT_DATA!J:J,INPUT_DATA!$A:$A,$B20,INPUT_DATA!$C:$C,"S"))</f>
        <v>3983.41</v>
      </c>
      <c r="J20" s="153">
        <f>IF($B20=0,"",SUMIFS(INPUT_DATA!K:K,INPUT_DATA!$A:$A,$B20,INPUT_DATA!$C:$C,"S"))</f>
        <v>0</v>
      </c>
      <c r="K20" s="153">
        <f>IF($B20=0,"",SUMIFS(INPUT_DATA!L:L,INPUT_DATA!$A:$A,$B20,INPUT_DATA!$C:$C,"S"))</f>
        <v>0</v>
      </c>
      <c r="L20" s="153">
        <f>IF($B20=0,"",SUMIFS(INPUT_DATA!M:M,INPUT_DATA!$A:$A,$B20,INPUT_DATA!$C:$C,"S"))</f>
        <v>343446.75</v>
      </c>
      <c r="M20" s="153">
        <f>IF($B20=0,"",SUMIFS(INPUT_DATA!N:N,INPUT_DATA!$A:$A,$B20,INPUT_DATA!$C:$C,"S"))</f>
        <v>0</v>
      </c>
      <c r="N20" s="153">
        <f>IF($B20=0,"",SUMIFS(INPUT_DATA!O:O,INPUT_DATA!$A:$A,$B20,INPUT_DATA!$C:$C,"S"))</f>
        <v>0</v>
      </c>
      <c r="O20" s="153">
        <f>IF($B20=0,"",SUMIFS(INPUT_DATA!P:P,INPUT_DATA!$A:$A,$B20,INPUT_DATA!$C:$C,"S"))</f>
        <v>0</v>
      </c>
      <c r="P20" s="994">
        <f t="shared" si="5"/>
        <v>758870860.53999901</v>
      </c>
      <c r="Q20" s="995">
        <f>IF($B20=0,"",SUMIFS(INPUT_DATA!Q:Q,INPUT_DATA!$A:$A,$B20,INPUT_DATA!$C:$C,"S"))</f>
        <v>758870860.5400008</v>
      </c>
      <c r="R20" s="995">
        <f t="shared" si="0"/>
        <v>-1.7881393432617188E-6</v>
      </c>
      <c r="S20" s="297">
        <f>IF($B20=0,"",SUMIFS(INPUT_DATA!R:R,INPUT_DATA!$A:$A,$B20,INPUT_DATA!$C:$C,"S"))</f>
        <v>110686.64999999998</v>
      </c>
      <c r="T20" s="297">
        <f>IF($B20=0,"",SUMIFS(INPUT_DATA!S:S,INPUT_DATA!$A:$A,$B20,INPUT_DATA!$C:$C,"S"))</f>
        <v>26521.94</v>
      </c>
      <c r="U20" s="297">
        <f>IF($B20=0,"",SUMIFS(INPUT_DATA!T:T,INPUT_DATA!$A:$A,$B20,INPUT_DATA!$C:$C,"S"))</f>
        <v>0</v>
      </c>
      <c r="V20" s="297">
        <f>IF($B20=0,"",SUMIFS(INPUT_DATA!U:U,INPUT_DATA!$A:$A,$B20,INPUT_DATA!$C:$C,"S"))</f>
        <v>103374.04999999999</v>
      </c>
      <c r="W20" s="297">
        <f>IF($B20=0,"",SUMIFS(INPUT_DATA!V:V,INPUT_DATA!$A:$A,$B20,INPUT_DATA!$C:$C,"S"))</f>
        <v>23978.200000000004</v>
      </c>
      <c r="X20" s="297">
        <f>IF($B20=0,"",SUMIFS(INPUT_DATA!W:W,INPUT_DATA!$A:$A,$B20,INPUT_DATA!$C:$C,"S"))</f>
        <v>0</v>
      </c>
      <c r="Y20" s="297">
        <f>IF($B20=0,"",SUMIFS(INPUT_DATA!X:X,INPUT_DATA!$A:$A,$B20,INPUT_DATA!$C:$C,"S"))</f>
        <v>81065.73</v>
      </c>
      <c r="Z20" s="297">
        <f>IF($B20=0,"",SUMIFS(INPUT_DATA!Y:Y,INPUT_DATA!$A:$A,$B20,INPUT_DATA!$C:$C,"S"))</f>
        <v>20184.03</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15008.84</v>
      </c>
      <c r="AI20" s="297">
        <f>IF($B20=0,"",SUMIFS(INPUT_DATA!AH:AH,INPUT_DATA!$A:$A,$B20,INPUT_DATA!$C:$C,"S"))</f>
        <v>2462.1799999999998</v>
      </c>
      <c r="AJ20" s="297">
        <f>IF($B20=0,"",SUMIFS(INPUT_DATA!AI:AI,INPUT_DATA!$A:$A,$B20,INPUT_DATA!$C:$C,"S"))</f>
        <v>0</v>
      </c>
      <c r="AK20" s="297">
        <f>IF($B20=0,"",SUMIFS(INPUT_DATA!AJ:AJ,INPUT_DATA!$A:$A,$B20,INPUT_DATA!$C:$C,"S"))</f>
        <v>0</v>
      </c>
      <c r="AL20" s="297">
        <f>IF($B20=0,"",SUMIFS(INPUT_DATA!AK:AK,INPUT_DATA!$A:$A,$B20,INPUT_DATA!$C:$C,"S"))</f>
        <v>0</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297">
        <f>IF($B20=0,"",SUMIFS(INPUT_DATA!AR:AR,INPUT_DATA!$A:$A,$B20,INPUT_DATA!$C:$C,"S"))</f>
        <v>0</v>
      </c>
      <c r="AT20" s="996">
        <f t="shared" si="1"/>
        <v>117986.12999999998</v>
      </c>
      <c r="AU20" s="997">
        <f t="shared" si="1"/>
        <v>27853.93</v>
      </c>
      <c r="AV20" s="998">
        <f t="shared" si="1"/>
        <v>0</v>
      </c>
      <c r="AW20" s="996">
        <f>IF($B20=0,"",SUMIFS(INPUT_DATA!AS:AS,INPUT_DATA!$A:$A,$B20,INPUT_DATA!$C:$C,"S"))</f>
        <v>117986.12999999998</v>
      </c>
      <c r="AX20" s="997">
        <f>IF($B20=0,"",SUMIFS(INPUT_DATA!AT:AT,INPUT_DATA!$A:$A,$B20,INPUT_DATA!$C:$C,"S"))</f>
        <v>27853.930000000008</v>
      </c>
      <c r="AY20" s="998">
        <f>IF($B20=0,"",SUMIFS(INPUT_DATA!AU:AU,INPUT_DATA!$A:$A,$B20,INPUT_DATA!$C:$C,"S"))</f>
        <v>0</v>
      </c>
      <c r="AZ20" s="996">
        <f t="shared" si="6"/>
        <v>0</v>
      </c>
      <c r="BA20" s="997">
        <f t="shared" si="7"/>
        <v>-7.2759576141834259E-12</v>
      </c>
      <c r="BB20" s="998">
        <f t="shared" si="8"/>
        <v>0</v>
      </c>
      <c r="BC20" s="150"/>
      <c r="BD20" s="993">
        <f>IF($B20=0,"",SUMIFS(INPUT_DATA!D:D,INPUT_DATA!$A:$A,$B20,INPUT_DATA!$C:$C,"D"))</f>
        <v>1308928.75</v>
      </c>
      <c r="BE20" s="296">
        <f>IF($B20=0,"",SUMIFS(INPUT_DATA!G:G,INPUT_DATA!$A:$A,$B20,INPUT_DATA!$C:$C,"D"))</f>
        <v>10908.350000000002</v>
      </c>
      <c r="BF20" s="296">
        <f>IF($B20=0,"",SUMIFS(INPUT_DATA!H:H,INPUT_DATA!$A:$A,$B20,INPUT_DATA!$C:$C,"D"))</f>
        <v>0</v>
      </c>
      <c r="BG20" s="296">
        <f>IF($B20=0,"",SUMIFS(INPUT_DATA!I:I,INPUT_DATA!$A:$A,$B20,INPUT_DATA!$C:$C,"D"))</f>
        <v>0</v>
      </c>
      <c r="BH20" s="296">
        <f>IF($B20=0,"",SUMIFS(INPUT_DATA!J:J,INPUT_DATA!$A:$A,$B20,INPUT_DATA!$C:$C,"D"))</f>
        <v>465.99</v>
      </c>
      <c r="BI20" s="296">
        <f>IF($B20=0,"",SUMIFS(INPUT_DATA!K:K,INPUT_DATA!$A:$A,$B20,INPUT_DATA!$C:$C,"D"))</f>
        <v>0</v>
      </c>
      <c r="BJ20" s="296">
        <f>IF($B20=0,"",SUMIFS(INPUT_DATA!L:L,INPUT_DATA!$A:$A,$B20,INPUT_DATA!$C:$C,"D"))</f>
        <v>0</v>
      </c>
      <c r="BK20" s="296">
        <f>IF($B20=0,"",SUMIFS(INPUT_DATA!M:M,INPUT_DATA!$A:$A,$B20,INPUT_DATA!$C:$C,"D"))</f>
        <v>343446.75</v>
      </c>
      <c r="BL20" s="296">
        <f>IF($B20=0,"",SUMIFS(INPUT_DATA!N:N,INPUT_DATA!$A:$A,$B20,INPUT_DATA!$C:$C,"D"))</f>
        <v>0</v>
      </c>
      <c r="BM20" s="296">
        <f>IF($B20=0,"",SUMIFS(INPUT_DATA!O:O,INPUT_DATA!$A:$A,$B20,INPUT_DATA!$C:$C,"D"))</f>
        <v>0</v>
      </c>
      <c r="BN20" s="296">
        <f>IF($B20=0,"",SUMIFS(INPUT_DATA!P:P,INPUT_DATA!$A:$A,$B20,INPUT_DATA!$C:$C,"D"))</f>
        <v>0</v>
      </c>
      <c r="BO20" s="999">
        <f t="shared" si="9"/>
        <v>1641933.14</v>
      </c>
      <c r="BP20" s="999">
        <f>IF($B20=0,"",SUMIFS(INPUT_DATA!Q:Q,INPUT_DATA!$A:$A,$B20,INPUT_DATA!$C:$C,"D"))</f>
        <v>1641933.1400000001</v>
      </c>
      <c r="BQ20" s="999">
        <f t="shared" si="10"/>
        <v>-2.3283064365386963E-10</v>
      </c>
      <c r="BR20" s="993">
        <f>IF($B20=0,"",SUMIFS(INPUT_DATA!R:R,INPUT_DATA!$A:$A,$B20,INPUT_DATA!$C:$C,"D"))</f>
        <v>29654.37</v>
      </c>
      <c r="BS20" s="1000">
        <f>IF($B20=0,"",SUMIFS(INPUT_DATA!S:S,INPUT_DATA!$A:$A,$B20,INPUT_DATA!$C:$C,"D"))</f>
        <v>1643.49</v>
      </c>
      <c r="BT20" s="1000">
        <f>IF($B20=0,"",SUMIFS(INPUT_DATA!T:T,INPUT_DATA!$A:$A,$B20,INPUT_DATA!$C:$C,"D"))</f>
        <v>0</v>
      </c>
      <c r="BU20" s="296">
        <f>IF($B20=0,"",SUMIFS(INPUT_DATA!U:U,INPUT_DATA!$A:$A,$B20,INPUT_DATA!$C:$C,"D"))</f>
        <v>5009.2299999999996</v>
      </c>
      <c r="BV20" s="296">
        <f>IF($B20=0,"",SUMIFS(INPUT_DATA!V:V,INPUT_DATA!$A:$A,$B20,INPUT_DATA!$C:$C,"D"))</f>
        <v>429.04</v>
      </c>
      <c r="BW20" s="296">
        <f>IF($B20=0,"",SUMIFS(INPUT_DATA!W:W,INPUT_DATA!$A:$A,$B20,INPUT_DATA!$C:$C,"D"))</f>
        <v>0</v>
      </c>
      <c r="BX20" s="296">
        <f>IF($B20=0,"",SUMIFS(INPUT_DATA!X:X,INPUT_DATA!$A:$A,$B20,INPUT_DATA!$C:$C,"D"))</f>
        <v>971.15</v>
      </c>
      <c r="BY20" s="296">
        <f>IF($B20=0,"",SUMIFS(INPUT_DATA!Y:Y,INPUT_DATA!$A:$A,$B20,INPUT_DATA!$C:$C,"D"))</f>
        <v>97.12</v>
      </c>
      <c r="BZ20" s="296">
        <f>IF($B20=0,"",SUMIFS(INPUT_DATA!Z:Z,INPUT_DATA!$A:$A,$B20,INPUT_DATA!$C:$C,"D"))</f>
        <v>0</v>
      </c>
      <c r="CA20" s="336">
        <f>IF($B20=0,"",SUMIFS(INPUT_DATA!AA:AA,INPUT_DATA!$A:$A,$B20,INPUT_DATA!$C:$C,"D"))</f>
        <v>0</v>
      </c>
      <c r="CB20" s="336">
        <f>IF($B20=0,"",SUMIFS(INPUT_DATA!AB:AB,INPUT_DATA!$A:$A,$B20,INPUT_DATA!$C:$C,"D"))</f>
        <v>0</v>
      </c>
      <c r="CC20" s="336">
        <f>IF($B20=0,"",SUMIFS(INPUT_DATA!AC:AC,INPUT_DATA!$A:$A,$B20,INPUT_DATA!$C:$C,"D"))</f>
        <v>0</v>
      </c>
      <c r="CD20" s="296">
        <f>IF($B20=0,"",SUMIFS(INPUT_DATA!AD:AD,INPUT_DATA!$A:$A,$B20,INPUT_DATA!$C:$C,"D"))</f>
        <v>0</v>
      </c>
      <c r="CE20" s="296">
        <f>IF($B20=0,"",SUMIFS(INPUT_DATA!AE:AE,INPUT_DATA!$A:$A,$B20,INPUT_DATA!$C:$C,"D"))</f>
        <v>0</v>
      </c>
      <c r="CF20" s="296">
        <f>IF($B20=0,"",SUMIFS(INPUT_DATA!AF:AF,INPUT_DATA!$A:$A,$B20,INPUT_DATA!$C:$C,"D"))</f>
        <v>0</v>
      </c>
      <c r="CG20" s="336">
        <f>IF($B20=0,"",SUMIFS(INPUT_DATA!AG:AG,INPUT_DATA!$A:$A,$B20,INPUT_DATA!$C:$C,"D"))</f>
        <v>15008.84</v>
      </c>
      <c r="CH20" s="336">
        <f>IF($B20=0,"",SUMIFS(INPUT_DATA!AH:AH,INPUT_DATA!$A:$A,$B20,INPUT_DATA!$C:$C,"D"))</f>
        <v>2462.1799999999998</v>
      </c>
      <c r="CI20" s="336">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53">
        <f>IF($B20=0,"",SUMIFS(INPUT_DATA!AR:AR,INPUT_DATA!$A:$A,$B20,INPUT_DATA!$C:$C,"D"))</f>
        <v>0</v>
      </c>
      <c r="CS20" s="997">
        <f t="shared" si="3"/>
        <v>48701.289999999994</v>
      </c>
      <c r="CT20" s="997">
        <f t="shared" si="3"/>
        <v>4437.59</v>
      </c>
      <c r="CU20" s="997">
        <f t="shared" si="3"/>
        <v>0</v>
      </c>
      <c r="CV20" s="349">
        <f>IF($B20=0,"",SUMIFS(INPUT_DATA!AS:AS,INPUT_DATA!$A:$A,$B20,INPUT_DATA!$C:$C,"D"))</f>
        <v>48701.29</v>
      </c>
      <c r="CW20" s="349">
        <f>IF($B20=0,"",SUMIFS(INPUT_DATA!AT:AT,INPUT_DATA!$A:$A,$B20,INPUT_DATA!$C:$C,"D"))</f>
        <v>4437.59</v>
      </c>
      <c r="CX20" s="349">
        <f>IF($B20=0,"",SUMIFS(INPUT_DATA!AU:AU,INPUT_DATA!$A:$A,$B20,INPUT_DATA!$C:$C,"D"))</f>
        <v>0</v>
      </c>
      <c r="CY20" s="349">
        <f t="shared" si="4"/>
        <v>-7.2759576141834259E-12</v>
      </c>
      <c r="CZ20" s="997">
        <f t="shared" si="4"/>
        <v>0</v>
      </c>
      <c r="DA20" s="1001">
        <f t="shared" si="4"/>
        <v>0</v>
      </c>
      <c r="DB20" s="150"/>
    </row>
    <row r="21" spans="2:106">
      <c r="B21" s="697">
        <f>INPUT_DATA!BR8</f>
        <v>46081</v>
      </c>
      <c r="C21" s="993">
        <f>IF($B21=0,"",SUMIFS(INPUT_DATA!D:D,INPUT_DATA!$A:$A,$B21,INPUT_DATA!$C:$C,"S"))</f>
        <v>749342645.46000171</v>
      </c>
      <c r="D21" s="349">
        <f>IF($B21=0,"",SUMIFS(INPUT_DATA!E:E,INPUT_DATA!$A:$A,$B21,INPUT_DATA!$C:$C,"S"))</f>
        <v>0</v>
      </c>
      <c r="E21" s="349">
        <f>IF($B21=0,"",SUMIFS(INPUT_DATA!F:F,INPUT_DATA!$A:$A,$B21,INPUT_DATA!$C:$C,"S"))</f>
        <v>392081.2</v>
      </c>
      <c r="F21" s="153">
        <f>IF($B21=0,"",SUMIFS(INPUT_DATA!G:G,INPUT_DATA!$A:$A,$B21,INPUT_DATA!$C:$C,"S"))</f>
        <v>4933920.9400000153</v>
      </c>
      <c r="G21" s="153">
        <f>IF($B21=0,"",SUMIFS(INPUT_DATA!H:H,INPUT_DATA!$A:$A,$B21,INPUT_DATA!$C:$C,"S"))</f>
        <v>625313.35000000009</v>
      </c>
      <c r="H21" s="153">
        <f>IF($B21=0,"",SUMIFS(INPUT_DATA!I:I,INPUT_DATA!$A:$A,$B21,INPUT_DATA!$C:$C,"S"))</f>
        <v>0</v>
      </c>
      <c r="I21" s="153">
        <f>IF($B21=0,"",SUMIFS(INPUT_DATA!J:J,INPUT_DATA!$A:$A,$B21,INPUT_DATA!$C:$C,"S"))</f>
        <v>4438.7900000000009</v>
      </c>
      <c r="J21" s="153">
        <f>IF($B21=0,"",SUMIFS(INPUT_DATA!K:K,INPUT_DATA!$A:$A,$B21,INPUT_DATA!$C:$C,"S"))</f>
        <v>0</v>
      </c>
      <c r="K21" s="153">
        <f>IF($B21=0,"",SUMIFS(INPUT_DATA!L:L,INPUT_DATA!$A:$A,$B21,INPUT_DATA!$C:$C,"S"))</f>
        <v>0</v>
      </c>
      <c r="L21" s="153">
        <f>IF($B21=0,"",SUMIFS(INPUT_DATA!M:M,INPUT_DATA!$A:$A,$B21,INPUT_DATA!$C:$C,"S"))</f>
        <v>534936.23</v>
      </c>
      <c r="M21" s="153">
        <f>IF($B21=0,"",SUMIFS(INPUT_DATA!N:N,INPUT_DATA!$A:$A,$B21,INPUT_DATA!$C:$C,"S"))</f>
        <v>0</v>
      </c>
      <c r="N21" s="153">
        <f>IF($B21=0,"",SUMIFS(INPUT_DATA!O:O,INPUT_DATA!$A:$A,$B21,INPUT_DATA!$C:$C,"S"))</f>
        <v>0</v>
      </c>
      <c r="O21" s="153">
        <f>IF($B21=0,"",SUMIFS(INPUT_DATA!P:P,INPUT_DATA!$A:$A,$B21,INPUT_DATA!$C:$C,"S"))</f>
        <v>0</v>
      </c>
      <c r="P21" s="994">
        <f t="shared" si="5"/>
        <v>743644994.93000162</v>
      </c>
      <c r="Q21" s="995">
        <f>IF($B21=0,"",SUMIFS(INPUT_DATA!Q:Q,INPUT_DATA!$A:$A,$B21,INPUT_DATA!$C:$C,"S"))</f>
        <v>743644994.92999887</v>
      </c>
      <c r="R21" s="995">
        <f t="shared" si="0"/>
        <v>2.7418136596679688E-6</v>
      </c>
      <c r="S21" s="297">
        <f>IF($B21=0,"",SUMIFS(INPUT_DATA!R:R,INPUT_DATA!$A:$A,$B21,INPUT_DATA!$C:$C,"S"))</f>
        <v>97676.759999999966</v>
      </c>
      <c r="T21" s="297">
        <f>IF($B21=0,"",SUMIFS(INPUT_DATA!S:S,INPUT_DATA!$A:$A,$B21,INPUT_DATA!$C:$C,"S"))</f>
        <v>16084.639999999998</v>
      </c>
      <c r="U21" s="297">
        <f>IF($B21=0,"",SUMIFS(INPUT_DATA!T:T,INPUT_DATA!$A:$A,$B21,INPUT_DATA!$C:$C,"S"))</f>
        <v>0</v>
      </c>
      <c r="V21" s="297">
        <f>IF($B21=0,"",SUMIFS(INPUT_DATA!U:U,INPUT_DATA!$A:$A,$B21,INPUT_DATA!$C:$C,"S"))</f>
        <v>98941.299999999974</v>
      </c>
      <c r="W21" s="297">
        <f>IF($B21=0,"",SUMIFS(INPUT_DATA!V:V,INPUT_DATA!$A:$A,$B21,INPUT_DATA!$C:$C,"S"))</f>
        <v>23305.730000000003</v>
      </c>
      <c r="X21" s="297">
        <f>IF($B21=0,"",SUMIFS(INPUT_DATA!W:W,INPUT_DATA!$A:$A,$B21,INPUT_DATA!$C:$C,"S"))</f>
        <v>0</v>
      </c>
      <c r="Y21" s="297">
        <f>IF($B21=0,"",SUMIFS(INPUT_DATA!X:X,INPUT_DATA!$A:$A,$B21,INPUT_DATA!$C:$C,"S"))</f>
        <v>76248.110000000015</v>
      </c>
      <c r="Z21" s="297">
        <f>IF($B21=0,"",SUMIFS(INPUT_DATA!Y:Y,INPUT_DATA!$A:$A,$B21,INPUT_DATA!$C:$C,"S"))</f>
        <v>12498.42</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0</v>
      </c>
      <c r="AH21" s="297">
        <f>IF($B21=0,"",SUMIFS(INPUT_DATA!AG:AG,INPUT_DATA!$A:$A,$B21,INPUT_DATA!$C:$C,"S"))</f>
        <v>9683.2999999999993</v>
      </c>
      <c r="AI21" s="297">
        <f>IF($B21=0,"",SUMIFS(INPUT_DATA!AH:AH,INPUT_DATA!$A:$A,$B21,INPUT_DATA!$C:$C,"S"))</f>
        <v>370.01</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297">
        <f>IF($B21=0,"",SUMIFS(INPUT_DATA!AR:AR,INPUT_DATA!$A:$A,$B21,INPUT_DATA!$C:$C,"S"))</f>
        <v>0</v>
      </c>
      <c r="AT21" s="996">
        <f t="shared" si="1"/>
        <v>110686.64999999992</v>
      </c>
      <c r="AU21" s="997">
        <f t="shared" si="1"/>
        <v>26521.940000000006</v>
      </c>
      <c r="AV21" s="998">
        <f t="shared" si="1"/>
        <v>0</v>
      </c>
      <c r="AW21" s="996">
        <f>IF($B21=0,"",SUMIFS(INPUT_DATA!AS:AS,INPUT_DATA!$A:$A,$B21,INPUT_DATA!$C:$C,"S"))</f>
        <v>110686.64999999998</v>
      </c>
      <c r="AX21" s="997">
        <f>IF($B21=0,"",SUMIFS(INPUT_DATA!AT:AT,INPUT_DATA!$A:$A,$B21,INPUT_DATA!$C:$C,"S"))</f>
        <v>26521.94</v>
      </c>
      <c r="AY21" s="998">
        <f>IF($B21=0,"",SUMIFS(INPUT_DATA!AU:AU,INPUT_DATA!$A:$A,$B21,INPUT_DATA!$C:$C,"S"))</f>
        <v>0</v>
      </c>
      <c r="AZ21" s="996">
        <f t="shared" si="6"/>
        <v>-5.8207660913467407E-11</v>
      </c>
      <c r="BA21" s="997">
        <f t="shared" si="7"/>
        <v>7.2759576141834259E-12</v>
      </c>
      <c r="BB21" s="998">
        <f t="shared" si="8"/>
        <v>0</v>
      </c>
      <c r="BC21" s="150"/>
      <c r="BD21" s="993">
        <f>IF($B21=0,"",SUMIFS(INPUT_DATA!D:D,INPUT_DATA!$A:$A,$B21,INPUT_DATA!$C:$C,"D"))</f>
        <v>782055.52000000014</v>
      </c>
      <c r="BE21" s="296">
        <f>IF($B21=0,"",SUMIFS(INPUT_DATA!G:G,INPUT_DATA!$A:$A,$B21,INPUT_DATA!$C:$C,"D"))</f>
        <v>8063.0000000000009</v>
      </c>
      <c r="BF21" s="296">
        <f>IF($B21=0,"",SUMIFS(INPUT_DATA!H:H,INPUT_DATA!$A:$A,$B21,INPUT_DATA!$C:$C,"D"))</f>
        <v>0</v>
      </c>
      <c r="BG21" s="296">
        <f>IF($B21=0,"",SUMIFS(INPUT_DATA!I:I,INPUT_DATA!$A:$A,$B21,INPUT_DATA!$C:$C,"D"))</f>
        <v>0</v>
      </c>
      <c r="BH21" s="296">
        <f>IF($B21=0,"",SUMIFS(INPUT_DATA!J:J,INPUT_DATA!$A:$A,$B21,INPUT_DATA!$C:$C,"D"))</f>
        <v>0</v>
      </c>
      <c r="BI21" s="296">
        <f>IF($B21=0,"",SUMIFS(INPUT_DATA!K:K,INPUT_DATA!$A:$A,$B21,INPUT_DATA!$C:$C,"D"))</f>
        <v>0</v>
      </c>
      <c r="BJ21" s="296">
        <f>IF($B21=0,"",SUMIFS(INPUT_DATA!L:L,INPUT_DATA!$A:$A,$B21,INPUT_DATA!$C:$C,"D"))</f>
        <v>0</v>
      </c>
      <c r="BK21" s="296">
        <f>IF($B21=0,"",SUMIFS(INPUT_DATA!M:M,INPUT_DATA!$A:$A,$B21,INPUT_DATA!$C:$C,"D"))</f>
        <v>534936.23</v>
      </c>
      <c r="BL21" s="296">
        <f>IF($B21=0,"",SUMIFS(INPUT_DATA!N:N,INPUT_DATA!$A:$A,$B21,INPUT_DATA!$C:$C,"D"))</f>
        <v>0</v>
      </c>
      <c r="BM21" s="296">
        <f>IF($B21=0,"",SUMIFS(INPUT_DATA!O:O,INPUT_DATA!$A:$A,$B21,INPUT_DATA!$C:$C,"D"))</f>
        <v>0</v>
      </c>
      <c r="BN21" s="296">
        <f>IF($B21=0,"",SUMIFS(INPUT_DATA!P:P,INPUT_DATA!$A:$A,$B21,INPUT_DATA!$C:$C,"D"))</f>
        <v>0</v>
      </c>
      <c r="BO21" s="999">
        <f t="shared" si="9"/>
        <v>1308928.75</v>
      </c>
      <c r="BP21" s="999">
        <f>IF($B21=0,"",SUMIFS(INPUT_DATA!Q:Q,INPUT_DATA!$A:$A,$B21,INPUT_DATA!$C:$C,"D"))</f>
        <v>1308928.75</v>
      </c>
      <c r="BQ21" s="999">
        <f t="shared" si="10"/>
        <v>0</v>
      </c>
      <c r="BR21" s="993">
        <f>IF($B21=0,"",SUMIFS(INPUT_DATA!R:R,INPUT_DATA!$A:$A,$B21,INPUT_DATA!$C:$C,"D"))</f>
        <v>17612.830000000002</v>
      </c>
      <c r="BS21" s="1000">
        <f>IF($B21=0,"",SUMIFS(INPUT_DATA!S:S,INPUT_DATA!$A:$A,$B21,INPUT_DATA!$C:$C,"D"))</f>
        <v>949.97</v>
      </c>
      <c r="BT21" s="1000">
        <f>IF($B21=0,"",SUMIFS(INPUT_DATA!T:T,INPUT_DATA!$A:$A,$B21,INPUT_DATA!$C:$C,"D"))</f>
        <v>0</v>
      </c>
      <c r="BU21" s="296">
        <f>IF($B21=0,"",SUMIFS(INPUT_DATA!U:U,INPUT_DATA!$A:$A,$B21,INPUT_DATA!$C:$C,"D"))</f>
        <v>2358.2399999999998</v>
      </c>
      <c r="BV21" s="296">
        <f>IF($B21=0,"",SUMIFS(INPUT_DATA!V:V,INPUT_DATA!$A:$A,$B21,INPUT_DATA!$C:$C,"D"))</f>
        <v>323.51</v>
      </c>
      <c r="BW21" s="296">
        <f>IF($B21=0,"",SUMIFS(INPUT_DATA!W:W,INPUT_DATA!$A:$A,$B21,INPUT_DATA!$C:$C,"D"))</f>
        <v>0</v>
      </c>
      <c r="BX21" s="296">
        <f>IF($B21=0,"",SUMIFS(INPUT_DATA!X:X,INPUT_DATA!$A:$A,$B21,INPUT_DATA!$C:$C,"D"))</f>
        <v>0</v>
      </c>
      <c r="BY21" s="296">
        <f>IF($B21=0,"",SUMIFS(INPUT_DATA!Y:Y,INPUT_DATA!$A:$A,$B21,INPUT_DATA!$C:$C,"D"))</f>
        <v>0</v>
      </c>
      <c r="BZ21" s="296">
        <f>IF($B21=0,"",SUMIFS(INPUT_DATA!Z:Z,INPUT_DATA!$A:$A,$B21,INPUT_DATA!$C:$C,"D"))</f>
        <v>0</v>
      </c>
      <c r="CA21" s="336">
        <f>IF($B21=0,"",SUMIFS(INPUT_DATA!AA:AA,INPUT_DATA!$A:$A,$B21,INPUT_DATA!$C:$C,"D"))</f>
        <v>0</v>
      </c>
      <c r="CB21" s="336">
        <f>IF($B21=0,"",SUMIFS(INPUT_DATA!AB:AB,INPUT_DATA!$A:$A,$B21,INPUT_DATA!$C:$C,"D"))</f>
        <v>0</v>
      </c>
      <c r="CC21" s="336">
        <f>IF($B21=0,"",SUMIFS(INPUT_DATA!AC:AC,INPUT_DATA!$A:$A,$B21,INPUT_DATA!$C:$C,"D"))</f>
        <v>0</v>
      </c>
      <c r="CD21" s="296">
        <f>IF($B21=0,"",SUMIFS(INPUT_DATA!AD:AD,INPUT_DATA!$A:$A,$B21,INPUT_DATA!$C:$C,"D"))</f>
        <v>0</v>
      </c>
      <c r="CE21" s="296">
        <f>IF($B21=0,"",SUMIFS(INPUT_DATA!AE:AE,INPUT_DATA!$A:$A,$B21,INPUT_DATA!$C:$C,"D"))</f>
        <v>0</v>
      </c>
      <c r="CF21" s="296">
        <f>IF($B21=0,"",SUMIFS(INPUT_DATA!AF:AF,INPUT_DATA!$A:$A,$B21,INPUT_DATA!$C:$C,"D"))</f>
        <v>0</v>
      </c>
      <c r="CG21" s="336">
        <f>IF($B21=0,"",SUMIFS(INPUT_DATA!AG:AG,INPUT_DATA!$A:$A,$B21,INPUT_DATA!$C:$C,"D"))</f>
        <v>9683.2999999999993</v>
      </c>
      <c r="CH21" s="336">
        <f>IF($B21=0,"",SUMIFS(INPUT_DATA!AH:AH,INPUT_DATA!$A:$A,$B21,INPUT_DATA!$C:$C,"D"))</f>
        <v>370.01</v>
      </c>
      <c r="CI21" s="336">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53">
        <f>IF($B21=0,"",SUMIFS(INPUT_DATA!AR:AR,INPUT_DATA!$A:$A,$B21,INPUT_DATA!$C:$C,"D"))</f>
        <v>0</v>
      </c>
      <c r="CS21" s="997">
        <f t="shared" si="3"/>
        <v>29654.37</v>
      </c>
      <c r="CT21" s="997">
        <f t="shared" si="3"/>
        <v>1643.49</v>
      </c>
      <c r="CU21" s="997">
        <f t="shared" si="3"/>
        <v>0</v>
      </c>
      <c r="CV21" s="349">
        <f>IF($B21=0,"",SUMIFS(INPUT_DATA!AS:AS,INPUT_DATA!$A:$A,$B21,INPUT_DATA!$C:$C,"D"))</f>
        <v>29654.37</v>
      </c>
      <c r="CW21" s="349">
        <f>IF($B21=0,"",SUMIFS(INPUT_DATA!AT:AT,INPUT_DATA!$A:$A,$B21,INPUT_DATA!$C:$C,"D"))</f>
        <v>1643.49</v>
      </c>
      <c r="CX21" s="349">
        <f>IF($B21=0,"",SUMIFS(INPUT_DATA!AU:AU,INPUT_DATA!$A:$A,$B21,INPUT_DATA!$C:$C,"D"))</f>
        <v>0</v>
      </c>
      <c r="CY21" s="349">
        <f t="shared" si="4"/>
        <v>0</v>
      </c>
      <c r="CZ21" s="997">
        <f t="shared" si="4"/>
        <v>0</v>
      </c>
      <c r="DA21" s="1001">
        <f t="shared" si="4"/>
        <v>0</v>
      </c>
      <c r="DB21" s="150"/>
    </row>
    <row r="22" spans="2:106">
      <c r="B22" s="697">
        <f>INPUT_DATA!BR9</f>
        <v>46053</v>
      </c>
      <c r="C22" s="993">
        <f>IF($B22=0,"",SUMIFS(INPUT_DATA!D:D,INPUT_DATA!$A:$A,$B22,INPUT_DATA!$C:$C,"S"))</f>
        <v>755560116.90000081</v>
      </c>
      <c r="D22" s="349">
        <f>IF($B22=0,"",SUMIFS(INPUT_DATA!E:E,INPUT_DATA!$A:$A,$B22,INPUT_DATA!$C:$C,"S"))</f>
        <v>0</v>
      </c>
      <c r="E22" s="349">
        <f>IF($B22=0,"",SUMIFS(INPUT_DATA!F:F,INPUT_DATA!$A:$A,$B22,INPUT_DATA!$C:$C,"S"))</f>
        <v>282714.65000000002</v>
      </c>
      <c r="F22" s="153">
        <f>IF($B22=0,"",SUMIFS(INPUT_DATA!G:G,INPUT_DATA!$A:$A,$B22,INPUT_DATA!$C:$C,"S"))</f>
        <v>4966058.4600000028</v>
      </c>
      <c r="G22" s="153">
        <f>IF($B22=0,"",SUMIFS(INPUT_DATA!H:H,INPUT_DATA!$A:$A,$B22,INPUT_DATA!$C:$C,"S"))</f>
        <v>1524250.5</v>
      </c>
      <c r="H22" s="153">
        <f>IF($B22=0,"",SUMIFS(INPUT_DATA!I:I,INPUT_DATA!$A:$A,$B22,INPUT_DATA!$C:$C,"S"))</f>
        <v>0</v>
      </c>
      <c r="I22" s="153">
        <f>IF($B22=0,"",SUMIFS(INPUT_DATA!J:J,INPUT_DATA!$A:$A,$B22,INPUT_DATA!$C:$C,"S"))</f>
        <v>7427.6800000000012</v>
      </c>
      <c r="J22" s="153">
        <f>IF($B22=0,"",SUMIFS(INPUT_DATA!K:K,INPUT_DATA!$A:$A,$B22,INPUT_DATA!$C:$C,"S"))</f>
        <v>0</v>
      </c>
      <c r="K22" s="153">
        <f>IF($B22=0,"",SUMIFS(INPUT_DATA!L:L,INPUT_DATA!$A:$A,$B22,INPUT_DATA!$C:$C,"S"))</f>
        <v>0</v>
      </c>
      <c r="L22" s="153">
        <f>IF($B22=0,"",SUMIFS(INPUT_DATA!M:M,INPUT_DATA!$A:$A,$B22,INPUT_DATA!$C:$C,"S"))</f>
        <v>17304.810000000001</v>
      </c>
      <c r="M22" s="153">
        <f>IF($B22=0,"",SUMIFS(INPUT_DATA!N:N,INPUT_DATA!$A:$A,$B22,INPUT_DATA!$C:$C,"S"))</f>
        <v>0</v>
      </c>
      <c r="N22" s="153">
        <f>IF($B22=0,"",SUMIFS(INPUT_DATA!O:O,INPUT_DATA!$A:$A,$B22,INPUT_DATA!$C:$C,"S"))</f>
        <v>0</v>
      </c>
      <c r="O22" s="153">
        <f>IF($B22=0,"",SUMIFS(INPUT_DATA!P:P,INPUT_DATA!$A:$A,$B22,INPUT_DATA!$C:$C,"S"))</f>
        <v>0</v>
      </c>
      <c r="P22" s="994">
        <f t="shared" si="5"/>
        <v>749342645.46000075</v>
      </c>
      <c r="Q22" s="995">
        <f>IF($B22=0,"",SUMIFS(INPUT_DATA!Q:Q,INPUT_DATA!$A:$A,$B22,INPUT_DATA!$C:$C,"S"))</f>
        <v>749342645.46000171</v>
      </c>
      <c r="R22" s="995">
        <f t="shared" si="0"/>
        <v>-9.5367431640625E-7</v>
      </c>
      <c r="S22" s="297">
        <f>IF($B22=0,"",SUMIFS(INPUT_DATA!R:R,INPUT_DATA!$A:$A,$B22,INPUT_DATA!$C:$C,"S"))</f>
        <v>81698.560000000027</v>
      </c>
      <c r="T22" s="297">
        <f>IF($B22=0,"",SUMIFS(INPUT_DATA!S:S,INPUT_DATA!$A:$A,$B22,INPUT_DATA!$C:$C,"S"))</f>
        <v>13235.589999999998</v>
      </c>
      <c r="U22" s="297">
        <f>IF($B22=0,"",SUMIFS(INPUT_DATA!T:T,INPUT_DATA!$A:$A,$B22,INPUT_DATA!$C:$C,"S"))</f>
        <v>0</v>
      </c>
      <c r="V22" s="297">
        <f>IF($B22=0,"",SUMIFS(INPUT_DATA!U:U,INPUT_DATA!$A:$A,$B22,INPUT_DATA!$C:$C,"S"))</f>
        <v>84228.03</v>
      </c>
      <c r="W22" s="297">
        <f>IF($B22=0,"",SUMIFS(INPUT_DATA!V:V,INPUT_DATA!$A:$A,$B22,INPUT_DATA!$C:$C,"S"))</f>
        <v>14253.479999999998</v>
      </c>
      <c r="X22" s="297">
        <f>IF($B22=0,"",SUMIFS(INPUT_DATA!W:W,INPUT_DATA!$A:$A,$B22,INPUT_DATA!$C:$C,"S"))</f>
        <v>0</v>
      </c>
      <c r="Y22" s="297">
        <f>IF($B22=0,"",SUMIFS(INPUT_DATA!X:X,INPUT_DATA!$A:$A,$B22,INPUT_DATA!$C:$C,"S"))</f>
        <v>68249.829999999987</v>
      </c>
      <c r="Z22" s="297">
        <f>IF($B22=0,"",SUMIFS(INPUT_DATA!Y:Y,INPUT_DATA!$A:$A,$B22,INPUT_DATA!$C:$C,"S"))</f>
        <v>11404.43</v>
      </c>
      <c r="AA22" s="297">
        <f>IF($B22=0,"",SUMIFS(INPUT_DATA!Z:Z,INPUT_DATA!$A:$A,$B22,INPUT_DATA!$C:$C,"S"))</f>
        <v>0</v>
      </c>
      <c r="AB22" s="297">
        <f>IF($B22=0,"",SUMIFS(INPUT_DATA!AA:AA,INPUT_DATA!$A:$A,$B22,INPUT_DATA!$C:$C,"S"))</f>
        <v>0</v>
      </c>
      <c r="AC22" s="297">
        <f>IF($B22=0,"",SUMIFS(INPUT_DATA!AB:AB,INPUT_DATA!$A:$A,$B22,INPUT_DATA!$C:$C,"S"))</f>
        <v>0</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0</v>
      </c>
      <c r="AI22" s="297">
        <f>IF($B22=0,"",SUMIFS(INPUT_DATA!AH:AH,INPUT_DATA!$A:$A,$B22,INPUT_DATA!$C:$C,"S"))</f>
        <v>0</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297">
        <f>IF($B22=0,"",SUMIFS(INPUT_DATA!AR:AR,INPUT_DATA!$A:$A,$B22,INPUT_DATA!$C:$C,"S"))</f>
        <v>0</v>
      </c>
      <c r="AT22" s="996">
        <f t="shared" si="1"/>
        <v>97676.760000000038</v>
      </c>
      <c r="AU22" s="997">
        <f t="shared" si="1"/>
        <v>16084.639999999996</v>
      </c>
      <c r="AV22" s="998">
        <f t="shared" si="1"/>
        <v>0</v>
      </c>
      <c r="AW22" s="996">
        <f>IF($B22=0,"",SUMIFS(INPUT_DATA!AS:AS,INPUT_DATA!$A:$A,$B22,INPUT_DATA!$C:$C,"S"))</f>
        <v>97676.759999999966</v>
      </c>
      <c r="AX22" s="997">
        <f>IF($B22=0,"",SUMIFS(INPUT_DATA!AT:AT,INPUT_DATA!$A:$A,$B22,INPUT_DATA!$C:$C,"S"))</f>
        <v>16084.639999999998</v>
      </c>
      <c r="AY22" s="998">
        <f>IF($B22=0,"",SUMIFS(INPUT_DATA!AU:AU,INPUT_DATA!$A:$A,$B22,INPUT_DATA!$C:$C,"S"))</f>
        <v>0</v>
      </c>
      <c r="AZ22" s="996">
        <f t="shared" si="6"/>
        <v>7.2759576141834259E-11</v>
      </c>
      <c r="BA22" s="997">
        <f t="shared" si="7"/>
        <v>-1.8189894035458565E-12</v>
      </c>
      <c r="BB22" s="998">
        <f t="shared" si="8"/>
        <v>0</v>
      </c>
      <c r="BC22" s="150"/>
      <c r="BD22" s="993">
        <f>IF($B22=0,"",SUMIFS(INPUT_DATA!D:D,INPUT_DATA!$A:$A,$B22,INPUT_DATA!$C:$C,"D"))</f>
        <v>772522.21</v>
      </c>
      <c r="BE22" s="296">
        <f>IF($B22=0,"",SUMIFS(INPUT_DATA!G:G,INPUT_DATA!$A:$A,$B22,INPUT_DATA!$C:$C,"D"))</f>
        <v>7771.5</v>
      </c>
      <c r="BF22" s="296">
        <f>IF($B22=0,"",SUMIFS(INPUT_DATA!H:H,INPUT_DATA!$A:$A,$B22,INPUT_DATA!$C:$C,"D"))</f>
        <v>0</v>
      </c>
      <c r="BG22" s="296">
        <f>IF($B22=0,"",SUMIFS(INPUT_DATA!I:I,INPUT_DATA!$A:$A,$B22,INPUT_DATA!$C:$C,"D"))</f>
        <v>0</v>
      </c>
      <c r="BH22" s="296">
        <f>IF($B22=0,"",SUMIFS(INPUT_DATA!J:J,INPUT_DATA!$A:$A,$B22,INPUT_DATA!$C:$C,"D"))</f>
        <v>0</v>
      </c>
      <c r="BI22" s="296">
        <f>IF($B22=0,"",SUMIFS(INPUT_DATA!K:K,INPUT_DATA!$A:$A,$B22,INPUT_DATA!$C:$C,"D"))</f>
        <v>0</v>
      </c>
      <c r="BJ22" s="296">
        <f>IF($B22=0,"",SUMIFS(INPUT_DATA!L:L,INPUT_DATA!$A:$A,$B22,INPUT_DATA!$C:$C,"D"))</f>
        <v>0</v>
      </c>
      <c r="BK22" s="296">
        <f>IF($B22=0,"",SUMIFS(INPUT_DATA!M:M,INPUT_DATA!$A:$A,$B22,INPUT_DATA!$C:$C,"D"))</f>
        <v>17304.810000000001</v>
      </c>
      <c r="BL22" s="296">
        <f>IF($B22=0,"",SUMIFS(INPUT_DATA!N:N,INPUT_DATA!$A:$A,$B22,INPUT_DATA!$C:$C,"D"))</f>
        <v>0</v>
      </c>
      <c r="BM22" s="296">
        <f>IF($B22=0,"",SUMIFS(INPUT_DATA!O:O,INPUT_DATA!$A:$A,$B22,INPUT_DATA!$C:$C,"D"))</f>
        <v>0</v>
      </c>
      <c r="BN22" s="296">
        <f>IF($B22=0,"",SUMIFS(INPUT_DATA!P:P,INPUT_DATA!$A:$A,$B22,INPUT_DATA!$C:$C,"D"))</f>
        <v>0</v>
      </c>
      <c r="BO22" s="999">
        <f t="shared" si="9"/>
        <v>782055.52</v>
      </c>
      <c r="BP22" s="999">
        <f>IF($B22=0,"",SUMIFS(INPUT_DATA!Q:Q,INPUT_DATA!$A:$A,$B22,INPUT_DATA!$C:$C,"D"))</f>
        <v>782055.52000000014</v>
      </c>
      <c r="BQ22" s="999">
        <f t="shared" si="10"/>
        <v>-1.1641532182693481E-10</v>
      </c>
      <c r="BR22" s="993">
        <f>IF($B22=0,"",SUMIFS(INPUT_DATA!R:R,INPUT_DATA!$A:$A,$B22,INPUT_DATA!$C:$C,"D"))</f>
        <v>19028.680000000004</v>
      </c>
      <c r="BS22" s="1000">
        <f>IF($B22=0,"",SUMIFS(INPUT_DATA!S:S,INPUT_DATA!$A:$A,$B22,INPUT_DATA!$C:$C,"D"))</f>
        <v>1457.27</v>
      </c>
      <c r="BT22" s="1000">
        <f>IF($B22=0,"",SUMIFS(INPUT_DATA!T:T,INPUT_DATA!$A:$A,$B22,INPUT_DATA!$C:$C,"D"))</f>
        <v>0</v>
      </c>
      <c r="BU22" s="296">
        <f>IF($B22=0,"",SUMIFS(INPUT_DATA!U:U,INPUT_DATA!$A:$A,$B22,INPUT_DATA!$C:$C,"D"))</f>
        <v>2163.4</v>
      </c>
      <c r="BV22" s="296">
        <f>IF($B22=0,"",SUMIFS(INPUT_DATA!V:V,INPUT_DATA!$A:$A,$B22,INPUT_DATA!$C:$C,"D"))</f>
        <v>329.18</v>
      </c>
      <c r="BW22" s="296">
        <f>IF($B22=0,"",SUMIFS(INPUT_DATA!W:W,INPUT_DATA!$A:$A,$B22,INPUT_DATA!$C:$C,"D"))</f>
        <v>0</v>
      </c>
      <c r="BX22" s="296">
        <f>IF($B22=0,"",SUMIFS(INPUT_DATA!X:X,INPUT_DATA!$A:$A,$B22,INPUT_DATA!$C:$C,"D"))</f>
        <v>3579.25</v>
      </c>
      <c r="BY22" s="296">
        <f>IF($B22=0,"",SUMIFS(INPUT_DATA!Y:Y,INPUT_DATA!$A:$A,$B22,INPUT_DATA!$C:$C,"D"))</f>
        <v>836.48</v>
      </c>
      <c r="BZ22" s="296">
        <f>IF($B22=0,"",SUMIFS(INPUT_DATA!Z:Z,INPUT_DATA!$A:$A,$B22,INPUT_DATA!$C:$C,"D"))</f>
        <v>0</v>
      </c>
      <c r="CA22" s="336">
        <f>IF($B22=0,"",SUMIFS(INPUT_DATA!AA:AA,INPUT_DATA!$A:$A,$B22,INPUT_DATA!$C:$C,"D"))</f>
        <v>0</v>
      </c>
      <c r="CB22" s="336">
        <f>IF($B22=0,"",SUMIFS(INPUT_DATA!AB:AB,INPUT_DATA!$A:$A,$B22,INPUT_DATA!$C:$C,"D"))</f>
        <v>0</v>
      </c>
      <c r="CC22" s="336">
        <f>IF($B22=0,"",SUMIFS(INPUT_DATA!AC:AC,INPUT_DATA!$A:$A,$B22,INPUT_DATA!$C:$C,"D"))</f>
        <v>0</v>
      </c>
      <c r="CD22" s="296">
        <f>IF($B22=0,"",SUMIFS(INPUT_DATA!AD:AD,INPUT_DATA!$A:$A,$B22,INPUT_DATA!$C:$C,"D"))</f>
        <v>0</v>
      </c>
      <c r="CE22" s="296">
        <f>IF($B22=0,"",SUMIFS(INPUT_DATA!AE:AE,INPUT_DATA!$A:$A,$B22,INPUT_DATA!$C:$C,"D"))</f>
        <v>0</v>
      </c>
      <c r="CF22" s="296">
        <f>IF($B22=0,"",SUMIFS(INPUT_DATA!AF:AF,INPUT_DATA!$A:$A,$B22,INPUT_DATA!$C:$C,"D"))</f>
        <v>0</v>
      </c>
      <c r="CG22" s="336">
        <f>IF($B22=0,"",SUMIFS(INPUT_DATA!AG:AG,INPUT_DATA!$A:$A,$B22,INPUT_DATA!$C:$C,"D"))</f>
        <v>0</v>
      </c>
      <c r="CH22" s="336">
        <f>IF($B22=0,"",SUMIFS(INPUT_DATA!AH:AH,INPUT_DATA!$A:$A,$B22,INPUT_DATA!$C:$C,"D"))</f>
        <v>0</v>
      </c>
      <c r="CI22" s="336">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53">
        <f>IF($B22=0,"",SUMIFS(INPUT_DATA!AR:AR,INPUT_DATA!$A:$A,$B22,INPUT_DATA!$C:$C,"D"))</f>
        <v>0</v>
      </c>
      <c r="CS22" s="997">
        <f t="shared" si="3"/>
        <v>17612.830000000005</v>
      </c>
      <c r="CT22" s="997">
        <f t="shared" si="3"/>
        <v>949.97</v>
      </c>
      <c r="CU22" s="997">
        <f t="shared" si="3"/>
        <v>0</v>
      </c>
      <c r="CV22" s="349">
        <f>IF($B22=0,"",SUMIFS(INPUT_DATA!AS:AS,INPUT_DATA!$A:$A,$B22,INPUT_DATA!$C:$C,"D"))</f>
        <v>17612.830000000002</v>
      </c>
      <c r="CW22" s="349">
        <f>IF($B22=0,"",SUMIFS(INPUT_DATA!AT:AT,INPUT_DATA!$A:$A,$B22,INPUT_DATA!$C:$C,"D"))</f>
        <v>949.97</v>
      </c>
      <c r="CX22" s="349">
        <f>IF($B22=0,"",SUMIFS(INPUT_DATA!AU:AU,INPUT_DATA!$A:$A,$B22,INPUT_DATA!$C:$C,"D"))</f>
        <v>0</v>
      </c>
      <c r="CY22" s="349">
        <f t="shared" si="4"/>
        <v>3.637978807091713E-12</v>
      </c>
      <c r="CZ22" s="997">
        <f t="shared" si="4"/>
        <v>0</v>
      </c>
      <c r="DA22" s="1001">
        <f t="shared" si="4"/>
        <v>0</v>
      </c>
      <c r="DB22" s="150"/>
    </row>
    <row r="23" spans="2:106">
      <c r="B23" s="697">
        <f>INPUT_DATA!BR10</f>
        <v>46022</v>
      </c>
      <c r="C23" s="993">
        <f>IF($B23=0,"",SUMIFS(INPUT_DATA!D:D,INPUT_DATA!$A:$A,$B23,INPUT_DATA!$C:$C,"S"))</f>
        <v>744674959.07000017</v>
      </c>
      <c r="D23" s="349">
        <f>IF($B23=0,"",SUMIFS(INPUT_DATA!E:E,INPUT_DATA!$A:$A,$B23,INPUT_DATA!$C:$C,"S"))</f>
        <v>18201437.559999999</v>
      </c>
      <c r="E23" s="349">
        <f>IF($B23=0,"",SUMIFS(INPUT_DATA!F:F,INPUT_DATA!$A:$A,$B23,INPUT_DATA!$C:$C,"S"))</f>
        <v>730632.57000000007</v>
      </c>
      <c r="F23" s="153">
        <f>IF($B23=0,"",SUMIFS(INPUT_DATA!G:G,INPUT_DATA!$A:$A,$B23,INPUT_DATA!$C:$C,"S"))</f>
        <v>4903225.5700000068</v>
      </c>
      <c r="G23" s="153">
        <f>IF($B23=0,"",SUMIFS(INPUT_DATA!H:H,INPUT_DATA!$A:$A,$B23,INPUT_DATA!$C:$C,"S"))</f>
        <v>3056146.9900000007</v>
      </c>
      <c r="H23" s="153">
        <f>IF($B23=0,"",SUMIFS(INPUT_DATA!I:I,INPUT_DATA!$A:$A,$B23,INPUT_DATA!$C:$C,"S"))</f>
        <v>0</v>
      </c>
      <c r="I23" s="153">
        <f>IF($B23=0,"",SUMIFS(INPUT_DATA!J:J,INPUT_DATA!$A:$A,$B23,INPUT_DATA!$C:$C,"S"))</f>
        <v>7511.58</v>
      </c>
      <c r="J23" s="153">
        <f>IF($B23=0,"",SUMIFS(INPUT_DATA!K:K,INPUT_DATA!$A:$A,$B23,INPUT_DATA!$C:$C,"S"))</f>
        <v>0</v>
      </c>
      <c r="K23" s="153">
        <f>IF($B23=0,"",SUMIFS(INPUT_DATA!L:L,INPUT_DATA!$A:$A,$B23,INPUT_DATA!$C:$C,"S"))</f>
        <v>0</v>
      </c>
      <c r="L23" s="153">
        <f>IF($B23=0,"",SUMIFS(INPUT_DATA!M:M,INPUT_DATA!$A:$A,$B23,INPUT_DATA!$C:$C,"S"))</f>
        <v>95051.32</v>
      </c>
      <c r="M23" s="153">
        <f>IF($B23=0,"",SUMIFS(INPUT_DATA!N:N,INPUT_DATA!$A:$A,$B23,INPUT_DATA!$C:$C,"S"))</f>
        <v>0</v>
      </c>
      <c r="N23" s="153">
        <f>IF($B23=0,"",SUMIFS(INPUT_DATA!O:O,INPUT_DATA!$A:$A,$B23,INPUT_DATA!$C:$C,"S"))</f>
        <v>0</v>
      </c>
      <c r="O23" s="153">
        <f>IF($B23=0,"",SUMIFS(INPUT_DATA!P:P,INPUT_DATA!$A:$A,$B23,INPUT_DATA!$C:$C,"S"))</f>
        <v>0</v>
      </c>
      <c r="P23" s="994">
        <f t="shared" si="5"/>
        <v>755560116.9000001</v>
      </c>
      <c r="Q23" s="995">
        <f>IF($B23=0,"",SUMIFS(INPUT_DATA!Q:Q,INPUT_DATA!$A:$A,$B23,INPUT_DATA!$C:$C,"S"))</f>
        <v>755560116.90000117</v>
      </c>
      <c r="R23" s="995">
        <f>IF($B23=0,"",P23-Q23)</f>
        <v>-1.0728836059570313E-6</v>
      </c>
      <c r="S23" s="297">
        <f>IF($B23=0,"",SUMIFS(INPUT_DATA!R:R,INPUT_DATA!$A:$A,$B23,INPUT_DATA!$C:$C,"S"))</f>
        <v>96035.700000000026</v>
      </c>
      <c r="T23" s="297">
        <f>IF($B23=0,"",SUMIFS(INPUT_DATA!S:S,INPUT_DATA!$A:$A,$B23,INPUT_DATA!$C:$C,"S"))</f>
        <v>25643.17</v>
      </c>
      <c r="U23" s="297">
        <f>IF($B23=0,"",SUMIFS(INPUT_DATA!T:T,INPUT_DATA!$A:$A,$B23,INPUT_DATA!$C:$C,"S"))</f>
        <v>0</v>
      </c>
      <c r="V23" s="297">
        <f>IF($B23=0,"",SUMIFS(INPUT_DATA!U:U,INPUT_DATA!$A:$A,$B23,INPUT_DATA!$C:$C,"S"))</f>
        <v>64990.789999999986</v>
      </c>
      <c r="W23" s="297">
        <f>IF($B23=0,"",SUMIFS(INPUT_DATA!V:V,INPUT_DATA!$A:$A,$B23,INPUT_DATA!$C:$C,"S"))</f>
        <v>11680.08</v>
      </c>
      <c r="X23" s="297">
        <f>IF($B23=0,"",SUMIFS(INPUT_DATA!W:W,INPUT_DATA!$A:$A,$B23,INPUT_DATA!$C:$C,"S"))</f>
        <v>0</v>
      </c>
      <c r="Y23" s="297">
        <f>IF($B23=0,"",SUMIFS(INPUT_DATA!X:X,INPUT_DATA!$A:$A,$B23,INPUT_DATA!$C:$C,"S"))</f>
        <v>77592.439999999988</v>
      </c>
      <c r="Z23" s="297">
        <f>IF($B23=0,"",SUMIFS(INPUT_DATA!Y:Y,INPUT_DATA!$A:$A,$B23,INPUT_DATA!$C:$C,"S"))</f>
        <v>23548.110000000004</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0</v>
      </c>
      <c r="AH23" s="297">
        <f>IF($B23=0,"",SUMIFS(INPUT_DATA!AG:AG,INPUT_DATA!$A:$A,$B23,INPUT_DATA!$C:$C,"S"))</f>
        <v>1735.49</v>
      </c>
      <c r="AI23" s="297">
        <f>IF($B23=0,"",SUMIFS(INPUT_DATA!AH:AH,INPUT_DATA!$A:$A,$B23,INPUT_DATA!$C:$C,"S"))</f>
        <v>539.54999999999995</v>
      </c>
      <c r="AJ23" s="297">
        <f>IF($B23=0,"",SUMIFS(INPUT_DATA!AI:AI,INPUT_DATA!$A:$A,$B23,INPUT_DATA!$C:$C,"S"))</f>
        <v>0</v>
      </c>
      <c r="AK23" s="297">
        <f>IF($B23=0,"",SUMIFS(INPUT_DATA!AJ:AJ,INPUT_DATA!$A:$A,$B23,INPUT_DATA!$C:$C,"S"))</f>
        <v>0</v>
      </c>
      <c r="AL23" s="297">
        <f>IF($B23=0,"",SUMIFS(INPUT_DATA!AK:AK,INPUT_DATA!$A:$A,$B23,INPUT_DATA!$C:$C,"S"))</f>
        <v>0</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297">
        <f>IF($B23=0,"",SUMIFS(INPUT_DATA!AR:AR,INPUT_DATA!$A:$A,$B23,INPUT_DATA!$C:$C,"S"))</f>
        <v>0</v>
      </c>
      <c r="AT23" s="996">
        <f t="shared" ref="AT23:AT86" si="11">IF($B23=0,"",S23+V23-Y23-AB23-AE23-AH23+AK23-AN23-AQ23)</f>
        <v>81698.560000000027</v>
      </c>
      <c r="AU23" s="997">
        <f t="shared" ref="AU23:AU86" si="12">IF($B23=0,"",T23+W23-Z23-AC23-AF23-AI23+AL23-AO23-AR23)</f>
        <v>13235.589999999997</v>
      </c>
      <c r="AV23" s="998">
        <f t="shared" ref="AV23:AV86" si="13">IF($B23=0,"",U23+X23-AA23-AD23-AG23-AJ23+AM23-AP23-AS23)</f>
        <v>0</v>
      </c>
      <c r="AW23" s="996">
        <f>IF($B23=0,"",SUMIFS(INPUT_DATA!AS:AS,INPUT_DATA!$A:$A,$B23,INPUT_DATA!$C:$C,"S"))</f>
        <v>81698.560000000027</v>
      </c>
      <c r="AX23" s="997">
        <f>IF($B23=0,"",SUMIFS(INPUT_DATA!AT:AT,INPUT_DATA!$A:$A,$B23,INPUT_DATA!$C:$C,"S"))</f>
        <v>13235.589999999998</v>
      </c>
      <c r="AY23" s="998">
        <f>IF($B23=0,"",SUMIFS(INPUT_DATA!AU:AU,INPUT_DATA!$A:$A,$B23,INPUT_DATA!$C:$C,"S"))</f>
        <v>0</v>
      </c>
      <c r="AZ23" s="996">
        <f t="shared" si="6"/>
        <v>0</v>
      </c>
      <c r="BA23" s="997">
        <f t="shared" si="7"/>
        <v>-1.8189894035458565E-12</v>
      </c>
      <c r="BB23" s="998">
        <f t="shared" si="8"/>
        <v>0</v>
      </c>
      <c r="BC23" s="150"/>
      <c r="BD23" s="993">
        <f>IF($B23=0,"",SUMIFS(INPUT_DATA!D:D,INPUT_DATA!$A:$A,$B23,INPUT_DATA!$C:$C,"D"))</f>
        <v>685599.44999999984</v>
      </c>
      <c r="BE23" s="296">
        <f>IF($B23=0,"",SUMIFS(INPUT_DATA!G:G,INPUT_DATA!$A:$A,$B23,INPUT_DATA!$C:$C,"D"))</f>
        <v>8128.5599999999995</v>
      </c>
      <c r="BF23" s="296">
        <f>IF($B23=0,"",SUMIFS(INPUT_DATA!H:H,INPUT_DATA!$A:$A,$B23,INPUT_DATA!$C:$C,"D"))</f>
        <v>0</v>
      </c>
      <c r="BG23" s="296">
        <f>IF($B23=0,"",SUMIFS(INPUT_DATA!I:I,INPUT_DATA!$A:$A,$B23,INPUT_DATA!$C:$C,"D"))</f>
        <v>0</v>
      </c>
      <c r="BH23" s="296">
        <f>IF($B23=0,"",SUMIFS(INPUT_DATA!J:J,INPUT_DATA!$A:$A,$B23,INPUT_DATA!$C:$C,"D"))</f>
        <v>0</v>
      </c>
      <c r="BI23" s="296">
        <f>IF($B23=0,"",SUMIFS(INPUT_DATA!K:K,INPUT_DATA!$A:$A,$B23,INPUT_DATA!$C:$C,"D"))</f>
        <v>0</v>
      </c>
      <c r="BJ23" s="296">
        <f>IF($B23=0,"",SUMIFS(INPUT_DATA!L:L,INPUT_DATA!$A:$A,$B23,INPUT_DATA!$C:$C,"D"))</f>
        <v>0</v>
      </c>
      <c r="BK23" s="296">
        <f>IF($B23=0,"",SUMIFS(INPUT_DATA!M:M,INPUT_DATA!$A:$A,$B23,INPUT_DATA!$C:$C,"D"))</f>
        <v>95051.32</v>
      </c>
      <c r="BL23" s="296">
        <f>IF($B23=0,"",SUMIFS(INPUT_DATA!N:N,INPUT_DATA!$A:$A,$B23,INPUT_DATA!$C:$C,"D"))</f>
        <v>0</v>
      </c>
      <c r="BM23" s="296">
        <f>IF($B23=0,"",SUMIFS(INPUT_DATA!O:O,INPUT_DATA!$A:$A,$B23,INPUT_DATA!$C:$C,"D"))</f>
        <v>0</v>
      </c>
      <c r="BN23" s="296">
        <f>IF($B23=0,"",SUMIFS(INPUT_DATA!P:P,INPUT_DATA!$A:$A,$B23,INPUT_DATA!$C:$C,"D"))</f>
        <v>0</v>
      </c>
      <c r="BO23" s="999">
        <f t="shared" si="9"/>
        <v>772522.20999999973</v>
      </c>
      <c r="BP23" s="999">
        <f>IF($B23=0,"",SUMIFS(INPUT_DATA!Q:Q,INPUT_DATA!$A:$A,$B23,INPUT_DATA!$C:$C,"D"))</f>
        <v>772522.21</v>
      </c>
      <c r="BQ23" s="999">
        <f t="shared" si="10"/>
        <v>-2.3283064365386963E-10</v>
      </c>
      <c r="BR23" s="993">
        <f>IF($B23=0,"",SUMIFS(INPUT_DATA!R:R,INPUT_DATA!$A:$A,$B23,INPUT_DATA!$C:$C,"D"))</f>
        <v>12501.16</v>
      </c>
      <c r="BS23" s="1000">
        <f>IF($B23=0,"",SUMIFS(INPUT_DATA!S:S,INPUT_DATA!$A:$A,$B23,INPUT_DATA!$C:$C,"D"))</f>
        <v>784.8900000000001</v>
      </c>
      <c r="BT23" s="1000">
        <f>IF($B23=0,"",SUMIFS(INPUT_DATA!T:T,INPUT_DATA!$A:$A,$B23,INPUT_DATA!$C:$C,"D"))</f>
        <v>0</v>
      </c>
      <c r="BU23" s="296">
        <f>IF($B23=0,"",SUMIFS(INPUT_DATA!U:U,INPUT_DATA!$A:$A,$B23,INPUT_DATA!$C:$C,"D"))</f>
        <v>2960.75</v>
      </c>
      <c r="BV23" s="296">
        <f>IF($B23=0,"",SUMIFS(INPUT_DATA!V:V,INPUT_DATA!$A:$A,$B23,INPUT_DATA!$C:$C,"D"))</f>
        <v>365.51</v>
      </c>
      <c r="BW23" s="296">
        <f>IF($B23=0,"",SUMIFS(INPUT_DATA!W:W,INPUT_DATA!$A:$A,$B23,INPUT_DATA!$C:$C,"D"))</f>
        <v>0</v>
      </c>
      <c r="BX23" s="296">
        <f>IF($B23=0,"",SUMIFS(INPUT_DATA!X:X,INPUT_DATA!$A:$A,$B23,INPUT_DATA!$C:$C,"D"))</f>
        <v>-1831.28</v>
      </c>
      <c r="BY23" s="296">
        <f>IF($B23=0,"",SUMIFS(INPUT_DATA!Y:Y,INPUT_DATA!$A:$A,$B23,INPUT_DATA!$C:$C,"D"))</f>
        <v>232.68</v>
      </c>
      <c r="BZ23" s="296">
        <f>IF($B23=0,"",SUMIFS(INPUT_DATA!Z:Z,INPUT_DATA!$A:$A,$B23,INPUT_DATA!$C:$C,"D"))</f>
        <v>0</v>
      </c>
      <c r="CA23" s="336">
        <f>IF($B23=0,"",SUMIFS(INPUT_DATA!AA:AA,INPUT_DATA!$A:$A,$B23,INPUT_DATA!$C:$C,"D"))</f>
        <v>0</v>
      </c>
      <c r="CB23" s="336">
        <f>IF($B23=0,"",SUMIFS(INPUT_DATA!AB:AB,INPUT_DATA!$A:$A,$B23,INPUT_DATA!$C:$C,"D"))</f>
        <v>0</v>
      </c>
      <c r="CC23" s="336">
        <f>IF($B23=0,"",SUMIFS(INPUT_DATA!AC:AC,INPUT_DATA!$A:$A,$B23,INPUT_DATA!$C:$C,"D"))</f>
        <v>0</v>
      </c>
      <c r="CD23" s="296">
        <f>IF($B23=0,"",SUMIFS(INPUT_DATA!AD:AD,INPUT_DATA!$A:$A,$B23,INPUT_DATA!$C:$C,"D"))</f>
        <v>0</v>
      </c>
      <c r="CE23" s="296">
        <f>IF($B23=0,"",SUMIFS(INPUT_DATA!AE:AE,INPUT_DATA!$A:$A,$B23,INPUT_DATA!$C:$C,"D"))</f>
        <v>0</v>
      </c>
      <c r="CF23" s="296">
        <f>IF($B23=0,"",SUMIFS(INPUT_DATA!AF:AF,INPUT_DATA!$A:$A,$B23,INPUT_DATA!$C:$C,"D"))</f>
        <v>0</v>
      </c>
      <c r="CG23" s="336">
        <f>IF($B23=0,"",SUMIFS(INPUT_DATA!AG:AG,INPUT_DATA!$A:$A,$B23,INPUT_DATA!$C:$C,"D"))</f>
        <v>1735.49</v>
      </c>
      <c r="CH23" s="336">
        <f>IF($B23=0,"",SUMIFS(INPUT_DATA!AH:AH,INPUT_DATA!$A:$A,$B23,INPUT_DATA!$C:$C,"D"))</f>
        <v>539.54999999999995</v>
      </c>
      <c r="CI23" s="336">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53">
        <f>IF($B23=0,"",SUMIFS(INPUT_DATA!AR:AR,INPUT_DATA!$A:$A,$B23,INPUT_DATA!$C:$C,"D"))</f>
        <v>0</v>
      </c>
      <c r="CS23" s="997">
        <f t="shared" ref="CS23:CS86" si="14">IF($B23=0,"",BR23+BU23-BX23-CA23-CD23+CG23-CJ23-CM23-CP23)</f>
        <v>19028.68</v>
      </c>
      <c r="CT23" s="997">
        <f t="shared" ref="CT23:CT86" si="15">IF($B23=0,"",BS23+BV23-BY23-CB23-CE23+CH23-CK23-CN23-CQ23)</f>
        <v>1457.27</v>
      </c>
      <c r="CU23" s="997">
        <f t="shared" ref="CU23:CU86" si="16">IF($B23=0,"",BT23+BW23-BZ23-CC23-CF23+CI23-CL23-CO23-CR23)</f>
        <v>0</v>
      </c>
      <c r="CV23" s="349">
        <f>IF($B23=0,"",SUMIFS(INPUT_DATA!AS:AS,INPUT_DATA!$A:$A,$B23,INPUT_DATA!$C:$C,"D"))</f>
        <v>19028.680000000004</v>
      </c>
      <c r="CW23" s="349">
        <f>IF($B23=0,"",SUMIFS(INPUT_DATA!AT:AT,INPUT_DATA!$A:$A,$B23,INPUT_DATA!$C:$C,"D"))</f>
        <v>1457.27</v>
      </c>
      <c r="CX23" s="349">
        <f>IF($B23=0,"",SUMIFS(INPUT_DATA!AU:AU,INPUT_DATA!$A:$A,$B23,INPUT_DATA!$C:$C,"D"))</f>
        <v>0</v>
      </c>
      <c r="CY23" s="349">
        <f t="shared" ref="CY23:CY86" si="17">IF($B23=0,"",CS23-CV23)</f>
        <v>-3.637978807091713E-12</v>
      </c>
      <c r="CZ23" s="997">
        <f t="shared" ref="CZ23:CZ86" si="18">IF($B23=0,"",CT23-CW23)</f>
        <v>0</v>
      </c>
      <c r="DA23" s="1001">
        <f t="shared" ref="DA23:DA86" si="19">IF($B23=0,"",CU23-CX23)</f>
        <v>0</v>
      </c>
      <c r="DB23" s="150"/>
    </row>
    <row r="24" spans="2:106">
      <c r="B24" s="697">
        <f>INPUT_DATA!BR11</f>
        <v>45991</v>
      </c>
      <c r="C24" s="993">
        <f>IF($B24=0,"",SUMIFS(INPUT_DATA!D:D,INPUT_DATA!$A:$A,$B24,INPUT_DATA!$C:$C,"S"))</f>
        <v>750188839.71000004</v>
      </c>
      <c r="D24" s="349">
        <f>IF($B24=0,"",SUMIFS(INPUT_DATA!E:E,INPUT_DATA!$A:$A,$B24,INPUT_DATA!$C:$C,"S"))</f>
        <v>0</v>
      </c>
      <c r="E24" s="349">
        <f>IF($B24=0,"",SUMIFS(INPUT_DATA!F:F,INPUT_DATA!$A:$A,$B24,INPUT_DATA!$C:$C,"S"))</f>
        <v>451717.36</v>
      </c>
      <c r="F24" s="153">
        <f>IF($B24=0,"",SUMIFS(INPUT_DATA!G:G,INPUT_DATA!$A:$A,$B24,INPUT_DATA!$C:$C,"S"))</f>
        <v>4901116.8899999922</v>
      </c>
      <c r="G24" s="153">
        <f>IF($B24=0,"",SUMIFS(INPUT_DATA!H:H,INPUT_DATA!$A:$A,$B24,INPUT_DATA!$C:$C,"S"))</f>
        <v>1014185.5799999998</v>
      </c>
      <c r="H24" s="153">
        <f>IF($B24=0,"",SUMIFS(INPUT_DATA!I:I,INPUT_DATA!$A:$A,$B24,INPUT_DATA!$C:$C,"S"))</f>
        <v>0</v>
      </c>
      <c r="I24" s="153">
        <f>IF($B24=0,"",SUMIFS(INPUT_DATA!J:J,INPUT_DATA!$A:$A,$B24,INPUT_DATA!$C:$C,"S"))</f>
        <v>7576.84</v>
      </c>
      <c r="J24" s="153">
        <f>IF($B24=0,"",SUMIFS(INPUT_DATA!K:K,INPUT_DATA!$A:$A,$B24,INPUT_DATA!$C:$C,"S"))</f>
        <v>0</v>
      </c>
      <c r="K24" s="153">
        <f>IF($B24=0,"",SUMIFS(INPUT_DATA!L:L,INPUT_DATA!$A:$A,$B24,INPUT_DATA!$C:$C,"S"))</f>
        <v>0</v>
      </c>
      <c r="L24" s="153">
        <f>IF($B24=0,"",SUMIFS(INPUT_DATA!M:M,INPUT_DATA!$A:$A,$B24,INPUT_DATA!$C:$C,"S"))</f>
        <v>57872.37</v>
      </c>
      <c r="M24" s="153">
        <f>IF($B24=0,"",SUMIFS(INPUT_DATA!N:N,INPUT_DATA!$A:$A,$B24,INPUT_DATA!$C:$C,"S"))</f>
        <v>0</v>
      </c>
      <c r="N24" s="153">
        <f>IF($B24=0,"",SUMIFS(INPUT_DATA!O:O,INPUT_DATA!$A:$A,$B24,INPUT_DATA!$C:$C,"S"))</f>
        <v>0</v>
      </c>
      <c r="O24" s="153">
        <f>IF($B24=0,"",SUMIFS(INPUT_DATA!P:P,INPUT_DATA!$A:$A,$B24,INPUT_DATA!$C:$C,"S"))</f>
        <v>0</v>
      </c>
      <c r="P24" s="994">
        <f t="shared" si="5"/>
        <v>744674959.07000005</v>
      </c>
      <c r="Q24" s="995">
        <f>IF($B24=0,"",SUMIFS(INPUT_DATA!Q:Q,INPUT_DATA!$A:$A,$B24,INPUT_DATA!$C:$C,"S"))</f>
        <v>744674959.07000017</v>
      </c>
      <c r="R24" s="995">
        <f t="shared" ref="R24:R87" si="20">IF($B24=0,"",P24-Q24)</f>
        <v>-1.1920928955078125E-7</v>
      </c>
      <c r="S24" s="297">
        <f>IF($B24=0,"",SUMIFS(INPUT_DATA!R:R,INPUT_DATA!$A:$A,$B24,INPUT_DATA!$C:$C,"S"))</f>
        <v>81390.670000000027</v>
      </c>
      <c r="T24" s="297">
        <f>IF($B24=0,"",SUMIFS(INPUT_DATA!S:S,INPUT_DATA!$A:$A,$B24,INPUT_DATA!$C:$C,"S"))</f>
        <v>14047.939999999999</v>
      </c>
      <c r="U24" s="297">
        <f>IF($B24=0,"",SUMIFS(INPUT_DATA!T:T,INPUT_DATA!$A:$A,$B24,INPUT_DATA!$C:$C,"S"))</f>
        <v>0</v>
      </c>
      <c r="V24" s="297">
        <f>IF($B24=0,"",SUMIFS(INPUT_DATA!U:U,INPUT_DATA!$A:$A,$B24,INPUT_DATA!$C:$C,"S"))</f>
        <v>83588.539999999979</v>
      </c>
      <c r="W24" s="297">
        <f>IF($B24=0,"",SUMIFS(INPUT_DATA!V:V,INPUT_DATA!$A:$A,$B24,INPUT_DATA!$C:$C,"S"))</f>
        <v>23771.280000000002</v>
      </c>
      <c r="X24" s="297">
        <f>IF($B24=0,"",SUMIFS(INPUT_DATA!W:W,INPUT_DATA!$A:$A,$B24,INPUT_DATA!$C:$C,"S"))</f>
        <v>0</v>
      </c>
      <c r="Y24" s="297">
        <f>IF($B24=0,"",SUMIFS(INPUT_DATA!X:X,INPUT_DATA!$A:$A,$B24,INPUT_DATA!$C:$C,"S"))</f>
        <v>66397.549999999974</v>
      </c>
      <c r="Z24" s="297">
        <f>IF($B24=0,"",SUMIFS(INPUT_DATA!Y:Y,INPUT_DATA!$A:$A,$B24,INPUT_DATA!$C:$C,"S"))</f>
        <v>11819.249999999998</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2545.96</v>
      </c>
      <c r="AI24" s="297">
        <f>IF($B24=0,"",SUMIFS(INPUT_DATA!AH:AH,INPUT_DATA!$A:$A,$B24,INPUT_DATA!$C:$C,"S"))</f>
        <v>356.8</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297">
        <f>IF($B24=0,"",SUMIFS(INPUT_DATA!AR:AR,INPUT_DATA!$A:$A,$B24,INPUT_DATA!$C:$C,"S"))</f>
        <v>0</v>
      </c>
      <c r="AT24" s="996">
        <f t="shared" si="11"/>
        <v>96035.700000000041</v>
      </c>
      <c r="AU24" s="997">
        <f t="shared" si="12"/>
        <v>25643.170000000002</v>
      </c>
      <c r="AV24" s="998">
        <f t="shared" si="13"/>
        <v>0</v>
      </c>
      <c r="AW24" s="996">
        <f>IF($B24=0,"",SUMIFS(INPUT_DATA!AS:AS,INPUT_DATA!$A:$A,$B24,INPUT_DATA!$C:$C,"S"))</f>
        <v>96035.700000000026</v>
      </c>
      <c r="AX24" s="997">
        <f>IF($B24=0,"",SUMIFS(INPUT_DATA!AT:AT,INPUT_DATA!$A:$A,$B24,INPUT_DATA!$C:$C,"S"))</f>
        <v>25643.17</v>
      </c>
      <c r="AY24" s="998">
        <f>IF($B24=0,"",SUMIFS(INPUT_DATA!AU:AU,INPUT_DATA!$A:$A,$B24,INPUT_DATA!$C:$C,"S"))</f>
        <v>0</v>
      </c>
      <c r="AZ24" s="996">
        <f t="shared" si="6"/>
        <v>1.4551915228366852E-11</v>
      </c>
      <c r="BA24" s="997">
        <f t="shared" si="7"/>
        <v>3.637978807091713E-12</v>
      </c>
      <c r="BB24" s="998">
        <f t="shared" si="8"/>
        <v>0</v>
      </c>
      <c r="BC24" s="150"/>
      <c r="BD24" s="993">
        <f>IF($B24=0,"",SUMIFS(INPUT_DATA!D:D,INPUT_DATA!$A:$A,$B24,INPUT_DATA!$C:$C,"D"))</f>
        <v>638541.44000000006</v>
      </c>
      <c r="BE24" s="296">
        <f>IF($B24=0,"",SUMIFS(INPUT_DATA!G:G,INPUT_DATA!$A:$A,$B24,INPUT_DATA!$C:$C,"D"))</f>
        <v>10814.36</v>
      </c>
      <c r="BF24" s="296">
        <f>IF($B24=0,"",SUMIFS(INPUT_DATA!H:H,INPUT_DATA!$A:$A,$B24,INPUT_DATA!$C:$C,"D"))</f>
        <v>0</v>
      </c>
      <c r="BG24" s="296">
        <f>IF($B24=0,"",SUMIFS(INPUT_DATA!I:I,INPUT_DATA!$A:$A,$B24,INPUT_DATA!$C:$C,"D"))</f>
        <v>0</v>
      </c>
      <c r="BH24" s="296">
        <f>IF($B24=0,"",SUMIFS(INPUT_DATA!J:J,INPUT_DATA!$A:$A,$B24,INPUT_DATA!$C:$C,"D"))</f>
        <v>0</v>
      </c>
      <c r="BI24" s="296">
        <f>IF($B24=0,"",SUMIFS(INPUT_DATA!K:K,INPUT_DATA!$A:$A,$B24,INPUT_DATA!$C:$C,"D"))</f>
        <v>0</v>
      </c>
      <c r="BJ24" s="296">
        <f>IF($B24=0,"",SUMIFS(INPUT_DATA!L:L,INPUT_DATA!$A:$A,$B24,INPUT_DATA!$C:$C,"D"))</f>
        <v>0</v>
      </c>
      <c r="BK24" s="296">
        <f>IF($B24=0,"",SUMIFS(INPUT_DATA!M:M,INPUT_DATA!$A:$A,$B24,INPUT_DATA!$C:$C,"D"))</f>
        <v>57872.37</v>
      </c>
      <c r="BL24" s="296">
        <f>IF($B24=0,"",SUMIFS(INPUT_DATA!N:N,INPUT_DATA!$A:$A,$B24,INPUT_DATA!$C:$C,"D"))</f>
        <v>0</v>
      </c>
      <c r="BM24" s="296">
        <f>IF($B24=0,"",SUMIFS(INPUT_DATA!O:O,INPUT_DATA!$A:$A,$B24,INPUT_DATA!$C:$C,"D"))</f>
        <v>0</v>
      </c>
      <c r="BN24" s="296">
        <f>IF($B24=0,"",SUMIFS(INPUT_DATA!P:P,INPUT_DATA!$A:$A,$B24,INPUT_DATA!$C:$C,"D"))</f>
        <v>0</v>
      </c>
      <c r="BO24" s="999">
        <f t="shared" si="9"/>
        <v>685599.45000000007</v>
      </c>
      <c r="BP24" s="999">
        <f>IF($B24=0,"",SUMIFS(INPUT_DATA!Q:Q,INPUT_DATA!$A:$A,$B24,INPUT_DATA!$C:$C,"D"))</f>
        <v>685599.44999999984</v>
      </c>
      <c r="BQ24" s="999">
        <f t="shared" si="10"/>
        <v>2.3283064365386963E-10</v>
      </c>
      <c r="BR24" s="993">
        <f>IF($B24=0,"",SUMIFS(INPUT_DATA!R:R,INPUT_DATA!$A:$A,$B24,INPUT_DATA!$C:$C,"D"))</f>
        <v>10442.709999999999</v>
      </c>
      <c r="BS24" s="1000">
        <f>IF($B24=0,"",SUMIFS(INPUT_DATA!S:S,INPUT_DATA!$A:$A,$B24,INPUT_DATA!$C:$C,"D"))</f>
        <v>416.77</v>
      </c>
      <c r="BT24" s="1000">
        <f>IF($B24=0,"",SUMIFS(INPUT_DATA!T:T,INPUT_DATA!$A:$A,$B24,INPUT_DATA!$C:$C,"D"))</f>
        <v>0</v>
      </c>
      <c r="BU24" s="296">
        <f>IF($B24=0,"",SUMIFS(INPUT_DATA!U:U,INPUT_DATA!$A:$A,$B24,INPUT_DATA!$C:$C,"D"))</f>
        <v>2314.0300000000002</v>
      </c>
      <c r="BV24" s="296">
        <f>IF($B24=0,"",SUMIFS(INPUT_DATA!V:V,INPUT_DATA!$A:$A,$B24,INPUT_DATA!$C:$C,"D"))</f>
        <v>286.49</v>
      </c>
      <c r="BW24" s="296">
        <f>IF($B24=0,"",SUMIFS(INPUT_DATA!W:W,INPUT_DATA!$A:$A,$B24,INPUT_DATA!$C:$C,"D"))</f>
        <v>0</v>
      </c>
      <c r="BX24" s="296">
        <f>IF($B24=0,"",SUMIFS(INPUT_DATA!X:X,INPUT_DATA!$A:$A,$B24,INPUT_DATA!$C:$C,"D"))</f>
        <v>2801.54</v>
      </c>
      <c r="BY24" s="296">
        <f>IF($B24=0,"",SUMIFS(INPUT_DATA!Y:Y,INPUT_DATA!$A:$A,$B24,INPUT_DATA!$C:$C,"D"))</f>
        <v>275.17</v>
      </c>
      <c r="BZ24" s="296">
        <f>IF($B24=0,"",SUMIFS(INPUT_DATA!Z:Z,INPUT_DATA!$A:$A,$B24,INPUT_DATA!$C:$C,"D"))</f>
        <v>0</v>
      </c>
      <c r="CA24" s="336">
        <f>IF($B24=0,"",SUMIFS(INPUT_DATA!AA:AA,INPUT_DATA!$A:$A,$B24,INPUT_DATA!$C:$C,"D"))</f>
        <v>0</v>
      </c>
      <c r="CB24" s="336">
        <f>IF($B24=0,"",SUMIFS(INPUT_DATA!AB:AB,INPUT_DATA!$A:$A,$B24,INPUT_DATA!$C:$C,"D"))</f>
        <v>0</v>
      </c>
      <c r="CC24" s="336">
        <f>IF($B24=0,"",SUMIFS(INPUT_DATA!AC:AC,INPUT_DATA!$A:$A,$B24,INPUT_DATA!$C:$C,"D"))</f>
        <v>0</v>
      </c>
      <c r="CD24" s="296">
        <f>IF($B24=0,"",SUMIFS(INPUT_DATA!AD:AD,INPUT_DATA!$A:$A,$B24,INPUT_DATA!$C:$C,"D"))</f>
        <v>0</v>
      </c>
      <c r="CE24" s="296">
        <f>IF($B24=0,"",SUMIFS(INPUT_DATA!AE:AE,INPUT_DATA!$A:$A,$B24,INPUT_DATA!$C:$C,"D"))</f>
        <v>0</v>
      </c>
      <c r="CF24" s="296">
        <f>IF($B24=0,"",SUMIFS(INPUT_DATA!AF:AF,INPUT_DATA!$A:$A,$B24,INPUT_DATA!$C:$C,"D"))</f>
        <v>0</v>
      </c>
      <c r="CG24" s="336">
        <f>IF($B24=0,"",SUMIFS(INPUT_DATA!AG:AG,INPUT_DATA!$A:$A,$B24,INPUT_DATA!$C:$C,"D"))</f>
        <v>2545.96</v>
      </c>
      <c r="CH24" s="336">
        <f>IF($B24=0,"",SUMIFS(INPUT_DATA!AH:AH,INPUT_DATA!$A:$A,$B24,INPUT_DATA!$C:$C,"D"))</f>
        <v>356.8</v>
      </c>
      <c r="CI24" s="336">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53">
        <f>IF($B24=0,"",SUMIFS(INPUT_DATA!AR:AR,INPUT_DATA!$A:$A,$B24,INPUT_DATA!$C:$C,"D"))</f>
        <v>0</v>
      </c>
      <c r="CS24" s="997">
        <f t="shared" si="14"/>
        <v>12501.16</v>
      </c>
      <c r="CT24" s="997">
        <f t="shared" si="15"/>
        <v>784.89</v>
      </c>
      <c r="CU24" s="997">
        <f t="shared" si="16"/>
        <v>0</v>
      </c>
      <c r="CV24" s="349">
        <f>IF($B24=0,"",SUMIFS(INPUT_DATA!AS:AS,INPUT_DATA!$A:$A,$B24,INPUT_DATA!$C:$C,"D"))</f>
        <v>12501.16</v>
      </c>
      <c r="CW24" s="349">
        <f>IF($B24=0,"",SUMIFS(INPUT_DATA!AT:AT,INPUT_DATA!$A:$A,$B24,INPUT_DATA!$C:$C,"D"))</f>
        <v>784.8900000000001</v>
      </c>
      <c r="CX24" s="349">
        <f>IF($B24=0,"",SUMIFS(INPUT_DATA!AU:AU,INPUT_DATA!$A:$A,$B24,INPUT_DATA!$C:$C,"D"))</f>
        <v>0</v>
      </c>
      <c r="CY24" s="349">
        <f t="shared" si="17"/>
        <v>0</v>
      </c>
      <c r="CZ24" s="997">
        <f t="shared" si="18"/>
        <v>-1.1368683772161603E-13</v>
      </c>
      <c r="DA24" s="1001">
        <f t="shared" si="19"/>
        <v>0</v>
      </c>
      <c r="DB24" s="150"/>
    </row>
    <row r="25" spans="2:106">
      <c r="B25" s="697">
        <f>INPUT_DATA!BR12</f>
        <v>45961</v>
      </c>
      <c r="C25" s="993">
        <f>IF($B25=0,"",SUMIFS(INPUT_DATA!D:D,INPUT_DATA!$A:$A,$B25,INPUT_DATA!$C:$C,"S"))</f>
        <v>755556390.83000028</v>
      </c>
      <c r="D25" s="349">
        <f>IF($B25=0,"",SUMIFS(INPUT_DATA!E:E,INPUT_DATA!$A:$A,$B25,INPUT_DATA!$C:$C,"S"))</f>
        <v>0</v>
      </c>
      <c r="E25" s="349">
        <f>IF($B25=0,"",SUMIFS(INPUT_DATA!F:F,INPUT_DATA!$A:$A,$B25,INPUT_DATA!$C:$C,"S"))</f>
        <v>803214.92999999993</v>
      </c>
      <c r="F25" s="153">
        <f>IF($B25=0,"",SUMIFS(INPUT_DATA!G:G,INPUT_DATA!$A:$A,$B25,INPUT_DATA!$C:$C,"S"))</f>
        <v>4968207.9299999941</v>
      </c>
      <c r="G25" s="153">
        <f>IF($B25=0,"",SUMIFS(INPUT_DATA!H:H,INPUT_DATA!$A:$A,$B25,INPUT_DATA!$C:$C,"S"))</f>
        <v>1209634.6200000001</v>
      </c>
      <c r="H25" s="153">
        <f>IF($B25=0,"",SUMIFS(INPUT_DATA!I:I,INPUT_DATA!$A:$A,$B25,INPUT_DATA!$C:$C,"S"))</f>
        <v>-776.24</v>
      </c>
      <c r="I25" s="153">
        <f>IF($B25=0,"",SUMIFS(INPUT_DATA!J:J,INPUT_DATA!$A:$A,$B25,INPUT_DATA!$C:$C,"S"))</f>
        <v>7852.7400000000007</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53">
        <f>IF($B25=0,"",SUMIFS(INPUT_DATA!P:P,INPUT_DATA!$A:$A,$B25,INPUT_DATA!$C:$C,"S"))</f>
        <v>0</v>
      </c>
      <c r="P25" s="994">
        <f t="shared" si="5"/>
        <v>750188839.71000028</v>
      </c>
      <c r="Q25" s="995">
        <f>IF($B25=0,"",SUMIFS(INPUT_DATA!Q:Q,INPUT_DATA!$A:$A,$B25,INPUT_DATA!$C:$C,"S"))</f>
        <v>750188839.71000004</v>
      </c>
      <c r="R25" s="995">
        <f t="shared" si="20"/>
        <v>2.384185791015625E-7</v>
      </c>
      <c r="S25" s="297">
        <f>IF($B25=0,"",SUMIFS(INPUT_DATA!R:R,INPUT_DATA!$A:$A,$B25,INPUT_DATA!$C:$C,"S"))</f>
        <v>77312.26999999996</v>
      </c>
      <c r="T25" s="297">
        <f>IF($B25=0,"",SUMIFS(INPUT_DATA!S:S,INPUT_DATA!$A:$A,$B25,INPUT_DATA!$C:$C,"S"))</f>
        <v>12445.850000000002</v>
      </c>
      <c r="U25" s="297">
        <f>IF($B25=0,"",SUMIFS(INPUT_DATA!T:T,INPUT_DATA!$A:$A,$B25,INPUT_DATA!$C:$C,"S"))</f>
        <v>0</v>
      </c>
      <c r="V25" s="297">
        <f>IF($B25=0,"",SUMIFS(INPUT_DATA!U:U,INPUT_DATA!$A:$A,$B25,INPUT_DATA!$C:$C,"S"))</f>
        <v>68425.76999999999</v>
      </c>
      <c r="W25" s="297">
        <f>IF($B25=0,"",SUMIFS(INPUT_DATA!V:V,INPUT_DATA!$A:$A,$B25,INPUT_DATA!$C:$C,"S"))</f>
        <v>12278.399999999998</v>
      </c>
      <c r="X25" s="297">
        <f>IF($B25=0,"",SUMIFS(INPUT_DATA!W:W,INPUT_DATA!$A:$A,$B25,INPUT_DATA!$C:$C,"S"))</f>
        <v>0</v>
      </c>
      <c r="Y25" s="297">
        <f>IF($B25=0,"",SUMIFS(INPUT_DATA!X:X,INPUT_DATA!$A:$A,$B25,INPUT_DATA!$C:$C,"S"))</f>
        <v>64347.369999999988</v>
      </c>
      <c r="Z25" s="297">
        <f>IF($B25=0,"",SUMIFS(INPUT_DATA!Y:Y,INPUT_DATA!$A:$A,$B25,INPUT_DATA!$C:$C,"S"))</f>
        <v>10676.310000000001</v>
      </c>
      <c r="AA25" s="297">
        <f>IF($B25=0,"",SUMIFS(INPUT_DATA!Z:Z,INPUT_DATA!$A:$A,$B25,INPUT_DATA!$C:$C,"S"))</f>
        <v>0</v>
      </c>
      <c r="AB25" s="297">
        <f>IF($B25=0,"",SUMIFS(INPUT_DATA!AA:AA,INPUT_DATA!$A:$A,$B25,INPUT_DATA!$C:$C,"S"))</f>
        <v>0</v>
      </c>
      <c r="AC25" s="297">
        <f>IF($B25=0,"",SUMIFS(INPUT_DATA!AB:AB,INPUT_DATA!$A:$A,$B25,INPUT_DATA!$C:$C,"S"))</f>
        <v>0</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0</v>
      </c>
      <c r="AH25" s="297">
        <f>IF($B25=0,"",SUMIFS(INPUT_DATA!AG:AG,INPUT_DATA!$A:$A,$B25,INPUT_DATA!$C:$C,"S"))</f>
        <v>0</v>
      </c>
      <c r="AI25" s="297">
        <f>IF($B25=0,"",SUMIFS(INPUT_DATA!AH:AH,INPUT_DATA!$A:$A,$B25,INPUT_DATA!$C:$C,"S"))</f>
        <v>0</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297">
        <f>IF($B25=0,"",SUMIFS(INPUT_DATA!AR:AR,INPUT_DATA!$A:$A,$B25,INPUT_DATA!$C:$C,"S"))</f>
        <v>0</v>
      </c>
      <c r="AT25" s="996">
        <f t="shared" si="11"/>
        <v>81390.669999999955</v>
      </c>
      <c r="AU25" s="997">
        <f t="shared" si="12"/>
        <v>14047.939999999999</v>
      </c>
      <c r="AV25" s="998">
        <f t="shared" si="13"/>
        <v>0</v>
      </c>
      <c r="AW25" s="996">
        <f>IF($B25=0,"",SUMIFS(INPUT_DATA!AS:AS,INPUT_DATA!$A:$A,$B25,INPUT_DATA!$C:$C,"S"))</f>
        <v>81390.670000000027</v>
      </c>
      <c r="AX25" s="997">
        <f>IF($B25=0,"",SUMIFS(INPUT_DATA!AT:AT,INPUT_DATA!$A:$A,$B25,INPUT_DATA!$C:$C,"S"))</f>
        <v>14047.939999999999</v>
      </c>
      <c r="AY25" s="998">
        <f>IF($B25=0,"",SUMIFS(INPUT_DATA!AU:AU,INPUT_DATA!$A:$A,$B25,INPUT_DATA!$C:$C,"S"))</f>
        <v>0</v>
      </c>
      <c r="AZ25" s="996">
        <f t="shared" si="6"/>
        <v>-7.2759576141834259E-11</v>
      </c>
      <c r="BA25" s="997">
        <f t="shared" si="7"/>
        <v>0</v>
      </c>
      <c r="BB25" s="998">
        <f t="shared" si="8"/>
        <v>0</v>
      </c>
      <c r="BC25" s="150"/>
      <c r="BD25" s="993">
        <f>IF($B25=0,"",SUMIFS(INPUT_DATA!D:D,INPUT_DATA!$A:$A,$B25,INPUT_DATA!$C:$C,"D"))</f>
        <v>646006.77</v>
      </c>
      <c r="BE25" s="296">
        <f>IF($B25=0,"",SUMIFS(INPUT_DATA!G:G,INPUT_DATA!$A:$A,$B25,INPUT_DATA!$C:$C,"D"))</f>
        <v>7465.3300000000008</v>
      </c>
      <c r="BF25" s="296">
        <f>IF($B25=0,"",SUMIFS(INPUT_DATA!H:H,INPUT_DATA!$A:$A,$B25,INPUT_DATA!$C:$C,"D"))</f>
        <v>0</v>
      </c>
      <c r="BG25" s="296">
        <f>IF($B25=0,"",SUMIFS(INPUT_DATA!I:I,INPUT_DATA!$A:$A,$B25,INPUT_DATA!$C:$C,"D"))</f>
        <v>0</v>
      </c>
      <c r="BH25" s="296">
        <f>IF($B25=0,"",SUMIFS(INPUT_DATA!J:J,INPUT_DATA!$A:$A,$B25,INPUT_DATA!$C:$C,"D"))</f>
        <v>0</v>
      </c>
      <c r="BI25" s="296">
        <f>IF($B25=0,"",SUMIFS(INPUT_DATA!K:K,INPUT_DATA!$A:$A,$B25,INPUT_DATA!$C:$C,"D"))</f>
        <v>0</v>
      </c>
      <c r="BJ25" s="296">
        <f>IF($B25=0,"",SUMIFS(INPUT_DATA!L:L,INPUT_DATA!$A:$A,$B25,INPUT_DATA!$C:$C,"D"))</f>
        <v>0</v>
      </c>
      <c r="BK25" s="296">
        <f>IF($B25=0,"",SUMIFS(INPUT_DATA!M:M,INPUT_DATA!$A:$A,$B25,INPUT_DATA!$C:$C,"D"))</f>
        <v>0</v>
      </c>
      <c r="BL25" s="296">
        <f>IF($B25=0,"",SUMIFS(INPUT_DATA!N:N,INPUT_DATA!$A:$A,$B25,INPUT_DATA!$C:$C,"D"))</f>
        <v>0</v>
      </c>
      <c r="BM25" s="296">
        <f>IF($B25=0,"",SUMIFS(INPUT_DATA!O:O,INPUT_DATA!$A:$A,$B25,INPUT_DATA!$C:$C,"D"))</f>
        <v>0</v>
      </c>
      <c r="BN25" s="296">
        <f>IF($B25=0,"",SUMIFS(INPUT_DATA!P:P,INPUT_DATA!$A:$A,$B25,INPUT_DATA!$C:$C,"D"))</f>
        <v>0</v>
      </c>
      <c r="BO25" s="999">
        <f t="shared" si="9"/>
        <v>638541.44000000006</v>
      </c>
      <c r="BP25" s="999">
        <f>IF($B25=0,"",SUMIFS(INPUT_DATA!Q:Q,INPUT_DATA!$A:$A,$B25,INPUT_DATA!$C:$C,"D"))</f>
        <v>638541.44000000006</v>
      </c>
      <c r="BQ25" s="999">
        <f t="shared" si="10"/>
        <v>0</v>
      </c>
      <c r="BR25" s="993">
        <f>IF($B25=0,"",SUMIFS(INPUT_DATA!R:R,INPUT_DATA!$A:$A,$B25,INPUT_DATA!$C:$C,"D"))</f>
        <v>8753.5499999999993</v>
      </c>
      <c r="BS25" s="1000">
        <f>IF($B25=0,"",SUMIFS(INPUT_DATA!S:S,INPUT_DATA!$A:$A,$B25,INPUT_DATA!$C:$C,"D"))</f>
        <v>338.54</v>
      </c>
      <c r="BT25" s="1000">
        <f>IF($B25=0,"",SUMIFS(INPUT_DATA!T:T,INPUT_DATA!$A:$A,$B25,INPUT_DATA!$C:$C,"D"))</f>
        <v>0</v>
      </c>
      <c r="BU25" s="296">
        <f>IF($B25=0,"",SUMIFS(INPUT_DATA!U:U,INPUT_DATA!$A:$A,$B25,INPUT_DATA!$C:$C,"D"))</f>
        <v>3179.33</v>
      </c>
      <c r="BV25" s="296">
        <f>IF($B25=0,"",SUMIFS(INPUT_DATA!V:V,INPUT_DATA!$A:$A,$B25,INPUT_DATA!$C:$C,"D"))</f>
        <v>283.06</v>
      </c>
      <c r="BW25" s="296">
        <f>IF($B25=0,"",SUMIFS(INPUT_DATA!W:W,INPUT_DATA!$A:$A,$B25,INPUT_DATA!$C:$C,"D"))</f>
        <v>0</v>
      </c>
      <c r="BX25" s="296">
        <f>IF($B25=0,"",SUMIFS(INPUT_DATA!X:X,INPUT_DATA!$A:$A,$B25,INPUT_DATA!$C:$C,"D"))</f>
        <v>1490.17</v>
      </c>
      <c r="BY25" s="296">
        <f>IF($B25=0,"",SUMIFS(INPUT_DATA!Y:Y,INPUT_DATA!$A:$A,$B25,INPUT_DATA!$C:$C,"D"))</f>
        <v>204.83</v>
      </c>
      <c r="BZ25" s="296">
        <f>IF($B25=0,"",SUMIFS(INPUT_DATA!Z:Z,INPUT_DATA!$A:$A,$B25,INPUT_DATA!$C:$C,"D"))</f>
        <v>0</v>
      </c>
      <c r="CA25" s="336">
        <f>IF($B25=0,"",SUMIFS(INPUT_DATA!AA:AA,INPUT_DATA!$A:$A,$B25,INPUT_DATA!$C:$C,"D"))</f>
        <v>0</v>
      </c>
      <c r="CB25" s="336">
        <f>IF($B25=0,"",SUMIFS(INPUT_DATA!AB:AB,INPUT_DATA!$A:$A,$B25,INPUT_DATA!$C:$C,"D"))</f>
        <v>0</v>
      </c>
      <c r="CC25" s="336">
        <f>IF($B25=0,"",SUMIFS(INPUT_DATA!AC:AC,INPUT_DATA!$A:$A,$B25,INPUT_DATA!$C:$C,"D"))</f>
        <v>0</v>
      </c>
      <c r="CD25" s="296">
        <f>IF($B25=0,"",SUMIFS(INPUT_DATA!AD:AD,INPUT_DATA!$A:$A,$B25,INPUT_DATA!$C:$C,"D"))</f>
        <v>0</v>
      </c>
      <c r="CE25" s="296">
        <f>IF($B25=0,"",SUMIFS(INPUT_DATA!AE:AE,INPUT_DATA!$A:$A,$B25,INPUT_DATA!$C:$C,"D"))</f>
        <v>0</v>
      </c>
      <c r="CF25" s="296">
        <f>IF($B25=0,"",SUMIFS(INPUT_DATA!AF:AF,INPUT_DATA!$A:$A,$B25,INPUT_DATA!$C:$C,"D"))</f>
        <v>0</v>
      </c>
      <c r="CG25" s="336">
        <f>IF($B25=0,"",SUMIFS(INPUT_DATA!AG:AG,INPUT_DATA!$A:$A,$B25,INPUT_DATA!$C:$C,"D"))</f>
        <v>0</v>
      </c>
      <c r="CH25" s="336">
        <f>IF($B25=0,"",SUMIFS(INPUT_DATA!AH:AH,INPUT_DATA!$A:$A,$B25,INPUT_DATA!$C:$C,"D"))</f>
        <v>0</v>
      </c>
      <c r="CI25" s="336">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53">
        <f>IF($B25=0,"",SUMIFS(INPUT_DATA!AR:AR,INPUT_DATA!$A:$A,$B25,INPUT_DATA!$C:$C,"D"))</f>
        <v>0</v>
      </c>
      <c r="CS25" s="997">
        <f t="shared" si="14"/>
        <v>10442.709999999999</v>
      </c>
      <c r="CT25" s="997">
        <f t="shared" si="15"/>
        <v>416.77</v>
      </c>
      <c r="CU25" s="997">
        <f t="shared" si="16"/>
        <v>0</v>
      </c>
      <c r="CV25" s="349">
        <f>IF($B25=0,"",SUMIFS(INPUT_DATA!AS:AS,INPUT_DATA!$A:$A,$B25,INPUT_DATA!$C:$C,"D"))</f>
        <v>10442.709999999999</v>
      </c>
      <c r="CW25" s="349">
        <f>IF($B25=0,"",SUMIFS(INPUT_DATA!AT:AT,INPUT_DATA!$A:$A,$B25,INPUT_DATA!$C:$C,"D"))</f>
        <v>416.77</v>
      </c>
      <c r="CX25" s="349">
        <f>IF($B25=0,"",SUMIFS(INPUT_DATA!AU:AU,INPUT_DATA!$A:$A,$B25,INPUT_DATA!$C:$C,"D"))</f>
        <v>0</v>
      </c>
      <c r="CY25" s="349">
        <f t="shared" si="17"/>
        <v>0</v>
      </c>
      <c r="CZ25" s="997">
        <f t="shared" si="18"/>
        <v>0</v>
      </c>
      <c r="DA25" s="1001">
        <f t="shared" si="19"/>
        <v>0</v>
      </c>
      <c r="DB25" s="150"/>
    </row>
    <row r="26" spans="2:106">
      <c r="B26" s="697">
        <f>INPUT_DATA!BR13</f>
        <v>45930</v>
      </c>
      <c r="C26" s="993">
        <f>IF($B26=0,"",SUMIFS(INPUT_DATA!D:D,INPUT_DATA!$A:$A,$B26,INPUT_DATA!$C:$C,"S"))</f>
        <v>745075613.75000119</v>
      </c>
      <c r="D26" s="349">
        <f>IF($B26=0,"",SUMIFS(INPUT_DATA!E:E,INPUT_DATA!$A:$A,$B26,INPUT_DATA!$C:$C,"S"))</f>
        <v>16307666.240000002</v>
      </c>
      <c r="E26" s="349">
        <f>IF($B26=0,"",SUMIFS(INPUT_DATA!F:F,INPUT_DATA!$A:$A,$B26,INPUT_DATA!$C:$C,"S"))</f>
        <v>427685.51999999996</v>
      </c>
      <c r="F26" s="153">
        <f>IF($B26=0,"",SUMIFS(INPUT_DATA!G:G,INPUT_DATA!$A:$A,$B26,INPUT_DATA!$C:$C,"S"))</f>
        <v>5034844.1199999833</v>
      </c>
      <c r="G26" s="153">
        <f>IF($B26=0,"",SUMIFS(INPUT_DATA!H:H,INPUT_DATA!$A:$A,$B26,INPUT_DATA!$C:$C,"S"))</f>
        <v>1206284.69</v>
      </c>
      <c r="H26" s="153">
        <f>IF($B26=0,"",SUMIFS(INPUT_DATA!I:I,INPUT_DATA!$A:$A,$B26,INPUT_DATA!$C:$C,"S"))</f>
        <v>-21280</v>
      </c>
      <c r="I26" s="153">
        <f>IF($B26=0,"",SUMIFS(INPUT_DATA!J:J,INPUT_DATA!$A:$A,$B26,INPUT_DATA!$C:$C,"S"))</f>
        <v>7834.13</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53">
        <f>IF($B26=0,"",SUMIFS(INPUT_DATA!P:P,INPUT_DATA!$A:$A,$B26,INPUT_DATA!$C:$C,"S"))</f>
        <v>0</v>
      </c>
      <c r="P26" s="994">
        <f t="shared" si="5"/>
        <v>755556390.83000112</v>
      </c>
      <c r="Q26" s="995">
        <f>IF($B26=0,"",SUMIFS(INPUT_DATA!Q:Q,INPUT_DATA!$A:$A,$B26,INPUT_DATA!$C:$C,"S"))</f>
        <v>755556390.8300004</v>
      </c>
      <c r="R26" s="995">
        <f t="shared" si="20"/>
        <v>7.152557373046875E-7</v>
      </c>
      <c r="S26" s="297">
        <f>IF($B26=0,"",SUMIFS(INPUT_DATA!R:R,INPUT_DATA!$A:$A,$B26,INPUT_DATA!$C:$C,"S"))</f>
        <v>104631.68000000001</v>
      </c>
      <c r="T26" s="297">
        <f>IF($B26=0,"",SUMIFS(INPUT_DATA!S:S,INPUT_DATA!$A:$A,$B26,INPUT_DATA!$C:$C,"S"))</f>
        <v>23028.12999999999</v>
      </c>
      <c r="U26" s="297">
        <f>IF($B26=0,"",SUMIFS(INPUT_DATA!T:T,INPUT_DATA!$A:$A,$B26,INPUT_DATA!$C:$C,"S"))</f>
        <v>0</v>
      </c>
      <c r="V26" s="297">
        <f>IF($B26=0,"",SUMIFS(INPUT_DATA!U:U,INPUT_DATA!$A:$A,$B26,INPUT_DATA!$C:$C,"S"))</f>
        <v>73166.809999999983</v>
      </c>
      <c r="W26" s="297">
        <f>IF($B26=0,"",SUMIFS(INPUT_DATA!V:V,INPUT_DATA!$A:$A,$B26,INPUT_DATA!$C:$C,"S"))</f>
        <v>11832.730000000001</v>
      </c>
      <c r="X26" s="297">
        <f>IF($B26=0,"",SUMIFS(INPUT_DATA!W:W,INPUT_DATA!$A:$A,$B26,INPUT_DATA!$C:$C,"S"))</f>
        <v>0</v>
      </c>
      <c r="Y26" s="297">
        <f>IF($B26=0,"",SUMIFS(INPUT_DATA!X:X,INPUT_DATA!$A:$A,$B26,INPUT_DATA!$C:$C,"S"))</f>
        <v>100486.22</v>
      </c>
      <c r="Z26" s="297">
        <f>IF($B26=0,"",SUMIFS(INPUT_DATA!Y:Y,INPUT_DATA!$A:$A,$B26,INPUT_DATA!$C:$C,"S"))</f>
        <v>22415.009999999991</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0</v>
      </c>
      <c r="AI26" s="297">
        <f>IF($B26=0,"",SUMIFS(INPUT_DATA!AH:AH,INPUT_DATA!$A:$A,$B26,INPUT_DATA!$C:$C,"S"))</f>
        <v>0</v>
      </c>
      <c r="AJ26" s="297">
        <f>IF($B26=0,"",SUMIFS(INPUT_DATA!AI:AI,INPUT_DATA!$A:$A,$B26,INPUT_DATA!$C:$C,"S"))</f>
        <v>0</v>
      </c>
      <c r="AK26" s="297">
        <f>IF($B26=0,"",SUMIFS(INPUT_DATA!AJ:AJ,INPUT_DATA!$A:$A,$B26,INPUT_DATA!$C:$C,"S"))</f>
        <v>0</v>
      </c>
      <c r="AL26" s="297">
        <f>IF($B26=0,"",SUMIFS(INPUT_DATA!AK:AK,INPUT_DATA!$A:$A,$B26,INPUT_DATA!$C:$C,"S"))</f>
        <v>0</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297">
        <f>IF($B26=0,"",SUMIFS(INPUT_DATA!AR:AR,INPUT_DATA!$A:$A,$B26,INPUT_DATA!$C:$C,"S"))</f>
        <v>0</v>
      </c>
      <c r="AT26" s="996">
        <f t="shared" si="11"/>
        <v>77312.26999999999</v>
      </c>
      <c r="AU26" s="997">
        <f t="shared" si="12"/>
        <v>12445.850000000002</v>
      </c>
      <c r="AV26" s="998">
        <f t="shared" si="13"/>
        <v>0</v>
      </c>
      <c r="AW26" s="996">
        <f>IF($B26=0,"",SUMIFS(INPUT_DATA!AS:AS,INPUT_DATA!$A:$A,$B26,INPUT_DATA!$C:$C,"S"))</f>
        <v>77312.26999999996</v>
      </c>
      <c r="AX26" s="997">
        <f>IF($B26=0,"",SUMIFS(INPUT_DATA!AT:AT,INPUT_DATA!$A:$A,$B26,INPUT_DATA!$C:$C,"S"))</f>
        <v>12445.850000000002</v>
      </c>
      <c r="AY26" s="998">
        <f>IF($B26=0,"",SUMIFS(INPUT_DATA!AU:AU,INPUT_DATA!$A:$A,$B26,INPUT_DATA!$C:$C,"S"))</f>
        <v>0</v>
      </c>
      <c r="AZ26" s="996">
        <f t="shared" si="6"/>
        <v>2.9103830456733704E-11</v>
      </c>
      <c r="BA26" s="997">
        <f t="shared" si="7"/>
        <v>0</v>
      </c>
      <c r="BB26" s="998">
        <f t="shared" si="8"/>
        <v>0</v>
      </c>
      <c r="BC26" s="150"/>
      <c r="BD26" s="993">
        <f>IF($B26=0,"",SUMIFS(INPUT_DATA!D:D,INPUT_DATA!$A:$A,$B26,INPUT_DATA!$C:$C,"D"))</f>
        <v>675985.79</v>
      </c>
      <c r="BE26" s="296">
        <f>IF($B26=0,"",SUMIFS(INPUT_DATA!G:G,INPUT_DATA!$A:$A,$B26,INPUT_DATA!$C:$C,"D"))</f>
        <v>7999.81</v>
      </c>
      <c r="BF26" s="296">
        <f>IF($B26=0,"",SUMIFS(INPUT_DATA!H:H,INPUT_DATA!$A:$A,$B26,INPUT_DATA!$C:$C,"D"))</f>
        <v>21979.21</v>
      </c>
      <c r="BG26" s="296">
        <f>IF($B26=0,"",SUMIFS(INPUT_DATA!I:I,INPUT_DATA!$A:$A,$B26,INPUT_DATA!$C:$C,"D"))</f>
        <v>0</v>
      </c>
      <c r="BH26" s="296">
        <f>IF($B26=0,"",SUMIFS(INPUT_DATA!J:J,INPUT_DATA!$A:$A,$B26,INPUT_DATA!$C:$C,"D"))</f>
        <v>0</v>
      </c>
      <c r="BI26" s="296">
        <f>IF($B26=0,"",SUMIFS(INPUT_DATA!K:K,INPUT_DATA!$A:$A,$B26,INPUT_DATA!$C:$C,"D"))</f>
        <v>0</v>
      </c>
      <c r="BJ26" s="296">
        <f>IF($B26=0,"",SUMIFS(INPUT_DATA!L:L,INPUT_DATA!$A:$A,$B26,INPUT_DATA!$C:$C,"D"))</f>
        <v>0</v>
      </c>
      <c r="BK26" s="296">
        <f>IF($B26=0,"",SUMIFS(INPUT_DATA!M:M,INPUT_DATA!$A:$A,$B26,INPUT_DATA!$C:$C,"D"))</f>
        <v>0</v>
      </c>
      <c r="BL26" s="296">
        <f>IF($B26=0,"",SUMIFS(INPUT_DATA!N:N,INPUT_DATA!$A:$A,$B26,INPUT_DATA!$C:$C,"D"))</f>
        <v>0</v>
      </c>
      <c r="BM26" s="296">
        <f>IF($B26=0,"",SUMIFS(INPUT_DATA!O:O,INPUT_DATA!$A:$A,$B26,INPUT_DATA!$C:$C,"D"))</f>
        <v>0</v>
      </c>
      <c r="BN26" s="296">
        <f>IF($B26=0,"",SUMIFS(INPUT_DATA!P:P,INPUT_DATA!$A:$A,$B26,INPUT_DATA!$C:$C,"D"))</f>
        <v>0</v>
      </c>
      <c r="BO26" s="999">
        <f t="shared" si="9"/>
        <v>646006.77</v>
      </c>
      <c r="BP26" s="999">
        <f>IF($B26=0,"",SUMIFS(INPUT_DATA!Q:Q,INPUT_DATA!$A:$A,$B26,INPUT_DATA!$C:$C,"D"))</f>
        <v>646006.77</v>
      </c>
      <c r="BQ26" s="999">
        <f t="shared" si="10"/>
        <v>0</v>
      </c>
      <c r="BR26" s="993">
        <f>IF($B26=0,"",SUMIFS(INPUT_DATA!R:R,INPUT_DATA!$A:$A,$B26,INPUT_DATA!$C:$C,"D"))</f>
        <v>14856.149999999998</v>
      </c>
      <c r="BS26" s="1000">
        <f>IF($B26=0,"",SUMIFS(INPUT_DATA!S:S,INPUT_DATA!$A:$A,$B26,INPUT_DATA!$C:$C,"D"))</f>
        <v>1306.51</v>
      </c>
      <c r="BT26" s="1000">
        <f>IF($B26=0,"",SUMIFS(INPUT_DATA!T:T,INPUT_DATA!$A:$A,$B26,INPUT_DATA!$C:$C,"D"))</f>
        <v>0</v>
      </c>
      <c r="BU26" s="296">
        <f>IF($B26=0,"",SUMIFS(INPUT_DATA!U:U,INPUT_DATA!$A:$A,$B26,INPUT_DATA!$C:$C,"D"))</f>
        <v>2298.5100000000002</v>
      </c>
      <c r="BV26" s="296">
        <f>IF($B26=0,"",SUMIFS(INPUT_DATA!V:V,INPUT_DATA!$A:$A,$B26,INPUT_DATA!$C:$C,"D"))</f>
        <v>215.33999999999997</v>
      </c>
      <c r="BW26" s="296">
        <f>IF($B26=0,"",SUMIFS(INPUT_DATA!W:W,INPUT_DATA!$A:$A,$B26,INPUT_DATA!$C:$C,"D"))</f>
        <v>0</v>
      </c>
      <c r="BX26" s="296">
        <f>IF($B26=0,"",SUMIFS(INPUT_DATA!X:X,INPUT_DATA!$A:$A,$B26,INPUT_DATA!$C:$C,"D"))</f>
        <v>8401.11</v>
      </c>
      <c r="BY26" s="296">
        <f>IF($B26=0,"",SUMIFS(INPUT_DATA!Y:Y,INPUT_DATA!$A:$A,$B26,INPUT_DATA!$C:$C,"D"))</f>
        <v>1183.31</v>
      </c>
      <c r="BZ26" s="296">
        <f>IF($B26=0,"",SUMIFS(INPUT_DATA!Z:Z,INPUT_DATA!$A:$A,$B26,INPUT_DATA!$C:$C,"D"))</f>
        <v>0</v>
      </c>
      <c r="CA26" s="336">
        <f>IF($B26=0,"",SUMIFS(INPUT_DATA!AA:AA,INPUT_DATA!$A:$A,$B26,INPUT_DATA!$C:$C,"D"))</f>
        <v>0</v>
      </c>
      <c r="CB26" s="336">
        <f>IF($B26=0,"",SUMIFS(INPUT_DATA!AB:AB,INPUT_DATA!$A:$A,$B26,INPUT_DATA!$C:$C,"D"))</f>
        <v>0</v>
      </c>
      <c r="CC26" s="336">
        <f>IF($B26=0,"",SUMIFS(INPUT_DATA!AC:AC,INPUT_DATA!$A:$A,$B26,INPUT_DATA!$C:$C,"D"))</f>
        <v>0</v>
      </c>
      <c r="CD26" s="296">
        <f>IF($B26=0,"",SUMIFS(INPUT_DATA!AD:AD,INPUT_DATA!$A:$A,$B26,INPUT_DATA!$C:$C,"D"))</f>
        <v>0</v>
      </c>
      <c r="CE26" s="296">
        <f>IF($B26=0,"",SUMIFS(INPUT_DATA!AE:AE,INPUT_DATA!$A:$A,$B26,INPUT_DATA!$C:$C,"D"))</f>
        <v>0</v>
      </c>
      <c r="CF26" s="296">
        <f>IF($B26=0,"",SUMIFS(INPUT_DATA!AF:AF,INPUT_DATA!$A:$A,$B26,INPUT_DATA!$C:$C,"D"))</f>
        <v>0</v>
      </c>
      <c r="CG26" s="336">
        <f>IF($B26=0,"",SUMIFS(INPUT_DATA!AG:AG,INPUT_DATA!$A:$A,$B26,INPUT_DATA!$C:$C,"D"))</f>
        <v>0</v>
      </c>
      <c r="CH26" s="336">
        <f>IF($B26=0,"",SUMIFS(INPUT_DATA!AH:AH,INPUT_DATA!$A:$A,$B26,INPUT_DATA!$C:$C,"D"))</f>
        <v>0</v>
      </c>
      <c r="CI26" s="336">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53">
        <f>IF($B26=0,"",SUMIFS(INPUT_DATA!AR:AR,INPUT_DATA!$A:$A,$B26,INPUT_DATA!$C:$C,"D"))</f>
        <v>0</v>
      </c>
      <c r="CS26" s="997">
        <f t="shared" si="14"/>
        <v>8753.5499999999956</v>
      </c>
      <c r="CT26" s="997">
        <f t="shared" si="15"/>
        <v>338.53999999999996</v>
      </c>
      <c r="CU26" s="997">
        <f t="shared" si="16"/>
        <v>0</v>
      </c>
      <c r="CV26" s="349">
        <f>IF($B26=0,"",SUMIFS(INPUT_DATA!AS:AS,INPUT_DATA!$A:$A,$B26,INPUT_DATA!$C:$C,"D"))</f>
        <v>8753.5499999999993</v>
      </c>
      <c r="CW26" s="349">
        <f>IF($B26=0,"",SUMIFS(INPUT_DATA!AT:AT,INPUT_DATA!$A:$A,$B26,INPUT_DATA!$C:$C,"D"))</f>
        <v>338.54</v>
      </c>
      <c r="CX26" s="349">
        <f>IF($B26=0,"",SUMIFS(INPUT_DATA!AU:AU,INPUT_DATA!$A:$A,$B26,INPUT_DATA!$C:$C,"D"))</f>
        <v>0</v>
      </c>
      <c r="CY26" s="349">
        <f t="shared" si="17"/>
        <v>-3.637978807091713E-12</v>
      </c>
      <c r="CZ26" s="997">
        <f t="shared" si="18"/>
        <v>-5.6843418860808015E-14</v>
      </c>
      <c r="DA26" s="1001">
        <f t="shared" si="19"/>
        <v>0</v>
      </c>
      <c r="DB26" s="150"/>
    </row>
    <row r="27" spans="2:106">
      <c r="B27" s="697">
        <f>INPUT_DATA!BR14</f>
        <v>45900</v>
      </c>
      <c r="C27" s="993">
        <f>IF($B27=0,"",SUMIFS(INPUT_DATA!D:D,INPUT_DATA!$A:$A,$B27,INPUT_DATA!$C:$C,"S"))</f>
        <v>750941511.05000126</v>
      </c>
      <c r="D27" s="349">
        <f>IF($B27=0,"",SUMIFS(INPUT_DATA!E:E,INPUT_DATA!$A:$A,$B27,INPUT_DATA!$C:$C,"S"))</f>
        <v>0</v>
      </c>
      <c r="E27" s="349">
        <f>IF($B27=0,"",SUMIFS(INPUT_DATA!F:F,INPUT_DATA!$A:$A,$B27,INPUT_DATA!$C:$C,"S"))</f>
        <v>317749.37</v>
      </c>
      <c r="F27" s="153">
        <f>IF($B27=0,"",SUMIFS(INPUT_DATA!G:G,INPUT_DATA!$A:$A,$B27,INPUT_DATA!$C:$C,"S"))</f>
        <v>4986382.1000000006</v>
      </c>
      <c r="G27" s="153">
        <f>IF($B27=0,"",SUMIFS(INPUT_DATA!H:H,INPUT_DATA!$A:$A,$B27,INPUT_DATA!$C:$C,"S"))</f>
        <v>1179293.54</v>
      </c>
      <c r="H27" s="153">
        <f>IF($B27=0,"",SUMIFS(INPUT_DATA!I:I,INPUT_DATA!$A:$A,$B27,INPUT_DATA!$C:$C,"S"))</f>
        <v>0</v>
      </c>
      <c r="I27" s="153">
        <f>IF($B27=0,"",SUMIFS(INPUT_DATA!J:J,INPUT_DATA!$A:$A,$B27,INPUT_DATA!$C:$C,"S"))</f>
        <v>4301.33</v>
      </c>
      <c r="J27" s="153">
        <f>IF($B27=0,"",SUMIFS(INPUT_DATA!K:K,INPUT_DATA!$A:$A,$B27,INPUT_DATA!$C:$C,"S"))</f>
        <v>0</v>
      </c>
      <c r="K27" s="153">
        <f>IF($B27=0,"",SUMIFS(INPUT_DATA!L:L,INPUT_DATA!$A:$A,$B27,INPUT_DATA!$C:$C,"S"))</f>
        <v>0</v>
      </c>
      <c r="L27" s="153">
        <f>IF($B27=0,"",SUMIFS(INPUT_DATA!M:M,INPUT_DATA!$A:$A,$B27,INPUT_DATA!$C:$C,"S"))</f>
        <v>22272.36</v>
      </c>
      <c r="M27" s="153">
        <f>IF($B27=0,"",SUMIFS(INPUT_DATA!N:N,INPUT_DATA!$A:$A,$B27,INPUT_DATA!$C:$C,"S"))</f>
        <v>0</v>
      </c>
      <c r="N27" s="153">
        <f>IF($B27=0,"",SUMIFS(INPUT_DATA!O:O,INPUT_DATA!$A:$A,$B27,INPUT_DATA!$C:$C,"S"))</f>
        <v>0</v>
      </c>
      <c r="O27" s="153">
        <f>IF($B27=0,"",SUMIFS(INPUT_DATA!P:P,INPUT_DATA!$A:$A,$B27,INPUT_DATA!$C:$C,"S"))</f>
        <v>0</v>
      </c>
      <c r="P27" s="994">
        <f t="shared" si="5"/>
        <v>745075613.75000131</v>
      </c>
      <c r="Q27" s="995">
        <f>IF($B27=0,"",SUMIFS(INPUT_DATA!Q:Q,INPUT_DATA!$A:$A,$B27,INPUT_DATA!$C:$C,"S"))</f>
        <v>745075613.75000119</v>
      </c>
      <c r="R27" s="995">
        <f t="shared" si="20"/>
        <v>1.1920928955078125E-7</v>
      </c>
      <c r="S27" s="297">
        <f>IF($B27=0,"",SUMIFS(INPUT_DATA!R:R,INPUT_DATA!$A:$A,$B27,INPUT_DATA!$C:$C,"S"))</f>
        <v>83565.530000000028</v>
      </c>
      <c r="T27" s="297">
        <f>IF($B27=0,"",SUMIFS(INPUT_DATA!S:S,INPUT_DATA!$A:$A,$B27,INPUT_DATA!$C:$C,"S"))</f>
        <v>12930.040000000003</v>
      </c>
      <c r="U27" s="297">
        <f>IF($B27=0,"",SUMIFS(INPUT_DATA!T:T,INPUT_DATA!$A:$A,$B27,INPUT_DATA!$C:$C,"S"))</f>
        <v>0</v>
      </c>
      <c r="V27" s="297">
        <f>IF($B27=0,"",SUMIFS(INPUT_DATA!U:U,INPUT_DATA!$A:$A,$B27,INPUT_DATA!$C:$C,"S"))</f>
        <v>98040.86</v>
      </c>
      <c r="W27" s="297">
        <f>IF($B27=0,"",SUMIFS(INPUT_DATA!V:V,INPUT_DATA!$A:$A,$B27,INPUT_DATA!$C:$C,"S"))</f>
        <v>22520.309999999998</v>
      </c>
      <c r="X27" s="297">
        <f>IF($B27=0,"",SUMIFS(INPUT_DATA!W:W,INPUT_DATA!$A:$A,$B27,INPUT_DATA!$C:$C,"S"))</f>
        <v>0</v>
      </c>
      <c r="Y27" s="297">
        <f>IF($B27=0,"",SUMIFS(INPUT_DATA!X:X,INPUT_DATA!$A:$A,$B27,INPUT_DATA!$C:$C,"S"))</f>
        <v>76974.710000000006</v>
      </c>
      <c r="Z27" s="297">
        <f>IF($B27=0,"",SUMIFS(INPUT_DATA!Y:Y,INPUT_DATA!$A:$A,$B27,INPUT_DATA!$C:$C,"S"))</f>
        <v>12422.22</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0</v>
      </c>
      <c r="AI27" s="297">
        <f>IF($B27=0,"",SUMIFS(INPUT_DATA!AH:AH,INPUT_DATA!$A:$A,$B27,INPUT_DATA!$C:$C,"S"))</f>
        <v>0</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297">
        <f>IF($B27=0,"",SUMIFS(INPUT_DATA!AR:AR,INPUT_DATA!$A:$A,$B27,INPUT_DATA!$C:$C,"S"))</f>
        <v>0</v>
      </c>
      <c r="AT27" s="996">
        <f t="shared" si="11"/>
        <v>104631.68000000001</v>
      </c>
      <c r="AU27" s="997">
        <f t="shared" si="12"/>
        <v>23028.129999999997</v>
      </c>
      <c r="AV27" s="998">
        <f t="shared" si="13"/>
        <v>0</v>
      </c>
      <c r="AW27" s="996">
        <f>IF($B27=0,"",SUMIFS(INPUT_DATA!AS:AS,INPUT_DATA!$A:$A,$B27,INPUT_DATA!$C:$C,"S"))</f>
        <v>104631.68000000001</v>
      </c>
      <c r="AX27" s="997">
        <f>IF($B27=0,"",SUMIFS(INPUT_DATA!AT:AT,INPUT_DATA!$A:$A,$B27,INPUT_DATA!$C:$C,"S"))</f>
        <v>23028.12999999999</v>
      </c>
      <c r="AY27" s="998">
        <f>IF($B27=0,"",SUMIFS(INPUT_DATA!AU:AU,INPUT_DATA!$A:$A,$B27,INPUT_DATA!$C:$C,"S"))</f>
        <v>0</v>
      </c>
      <c r="AZ27" s="996">
        <f t="shared" si="6"/>
        <v>0</v>
      </c>
      <c r="BA27" s="997">
        <f t="shared" si="7"/>
        <v>7.2759576141834259E-12</v>
      </c>
      <c r="BB27" s="998">
        <f t="shared" si="8"/>
        <v>0</v>
      </c>
      <c r="BC27" s="150"/>
      <c r="BD27" s="993">
        <f>IF($B27=0,"",SUMIFS(INPUT_DATA!D:D,INPUT_DATA!$A:$A,$B27,INPUT_DATA!$C:$C,"D"))</f>
        <v>753552.79000000015</v>
      </c>
      <c r="BE27" s="296">
        <f>IF($B27=0,"",SUMIFS(INPUT_DATA!G:G,INPUT_DATA!$A:$A,$B27,INPUT_DATA!$C:$C,"D"))</f>
        <v>9123.2099999999991</v>
      </c>
      <c r="BF27" s="296">
        <f>IF($B27=0,"",SUMIFS(INPUT_DATA!H:H,INPUT_DATA!$A:$A,$B27,INPUT_DATA!$C:$C,"D"))</f>
        <v>90716.15</v>
      </c>
      <c r="BG27" s="296">
        <f>IF($B27=0,"",SUMIFS(INPUT_DATA!I:I,INPUT_DATA!$A:$A,$B27,INPUT_DATA!$C:$C,"D"))</f>
        <v>0</v>
      </c>
      <c r="BH27" s="296">
        <f>IF($B27=0,"",SUMIFS(INPUT_DATA!J:J,INPUT_DATA!$A:$A,$B27,INPUT_DATA!$C:$C,"D"))</f>
        <v>0</v>
      </c>
      <c r="BI27" s="296">
        <f>IF($B27=0,"",SUMIFS(INPUT_DATA!K:K,INPUT_DATA!$A:$A,$B27,INPUT_DATA!$C:$C,"D"))</f>
        <v>0</v>
      </c>
      <c r="BJ27" s="296">
        <f>IF($B27=0,"",SUMIFS(INPUT_DATA!L:L,INPUT_DATA!$A:$A,$B27,INPUT_DATA!$C:$C,"D"))</f>
        <v>0</v>
      </c>
      <c r="BK27" s="296">
        <f>IF($B27=0,"",SUMIFS(INPUT_DATA!M:M,INPUT_DATA!$A:$A,$B27,INPUT_DATA!$C:$C,"D"))</f>
        <v>22272.36</v>
      </c>
      <c r="BL27" s="296">
        <f>IF($B27=0,"",SUMIFS(INPUT_DATA!N:N,INPUT_DATA!$A:$A,$B27,INPUT_DATA!$C:$C,"D"))</f>
        <v>0</v>
      </c>
      <c r="BM27" s="296">
        <f>IF($B27=0,"",SUMIFS(INPUT_DATA!O:O,INPUT_DATA!$A:$A,$B27,INPUT_DATA!$C:$C,"D"))</f>
        <v>0</v>
      </c>
      <c r="BN27" s="296">
        <f>IF($B27=0,"",SUMIFS(INPUT_DATA!P:P,INPUT_DATA!$A:$A,$B27,INPUT_DATA!$C:$C,"D"))</f>
        <v>0</v>
      </c>
      <c r="BO27" s="999">
        <f t="shared" si="9"/>
        <v>675985.79000000015</v>
      </c>
      <c r="BP27" s="999">
        <f>IF($B27=0,"",SUMIFS(INPUT_DATA!Q:Q,INPUT_DATA!$A:$A,$B27,INPUT_DATA!$C:$C,"D"))</f>
        <v>675985.79</v>
      </c>
      <c r="BQ27" s="999">
        <f t="shared" si="10"/>
        <v>1.1641532182693481E-10</v>
      </c>
      <c r="BR27" s="993">
        <f>IF($B27=0,"",SUMIFS(INPUT_DATA!R:R,INPUT_DATA!$A:$A,$B27,INPUT_DATA!$C:$C,"D"))</f>
        <v>18954.269999999997</v>
      </c>
      <c r="BS27" s="1000">
        <f>IF($B27=0,"",SUMIFS(INPUT_DATA!S:S,INPUT_DATA!$A:$A,$B27,INPUT_DATA!$C:$C,"D"))</f>
        <v>2392.36</v>
      </c>
      <c r="BT27" s="1000">
        <f>IF($B27=0,"",SUMIFS(INPUT_DATA!T:T,INPUT_DATA!$A:$A,$B27,INPUT_DATA!$C:$C,"D"))</f>
        <v>0</v>
      </c>
      <c r="BU27" s="296">
        <f>IF($B27=0,"",SUMIFS(INPUT_DATA!U:U,INPUT_DATA!$A:$A,$B27,INPUT_DATA!$C:$C,"D"))</f>
        <v>3127.2799999999997</v>
      </c>
      <c r="BV27" s="296">
        <f>IF($B27=0,"",SUMIFS(INPUT_DATA!V:V,INPUT_DATA!$A:$A,$B27,INPUT_DATA!$C:$C,"D"))</f>
        <v>250.34</v>
      </c>
      <c r="BW27" s="296">
        <f>IF($B27=0,"",SUMIFS(INPUT_DATA!W:W,INPUT_DATA!$A:$A,$B27,INPUT_DATA!$C:$C,"D"))</f>
        <v>0</v>
      </c>
      <c r="BX27" s="296">
        <f>IF($B27=0,"",SUMIFS(INPUT_DATA!X:X,INPUT_DATA!$A:$A,$B27,INPUT_DATA!$C:$C,"D"))</f>
        <v>7225.4</v>
      </c>
      <c r="BY27" s="296">
        <f>IF($B27=0,"",SUMIFS(INPUT_DATA!Y:Y,INPUT_DATA!$A:$A,$B27,INPUT_DATA!$C:$C,"D"))</f>
        <v>1336.19</v>
      </c>
      <c r="BZ27" s="296">
        <f>IF($B27=0,"",SUMIFS(INPUT_DATA!Z:Z,INPUT_DATA!$A:$A,$B27,INPUT_DATA!$C:$C,"D"))</f>
        <v>0</v>
      </c>
      <c r="CA27" s="336">
        <f>IF($B27=0,"",SUMIFS(INPUT_DATA!AA:AA,INPUT_DATA!$A:$A,$B27,INPUT_DATA!$C:$C,"D"))</f>
        <v>0</v>
      </c>
      <c r="CB27" s="336">
        <f>IF($B27=0,"",SUMIFS(INPUT_DATA!AB:AB,INPUT_DATA!$A:$A,$B27,INPUT_DATA!$C:$C,"D"))</f>
        <v>0</v>
      </c>
      <c r="CC27" s="336">
        <f>IF($B27=0,"",SUMIFS(INPUT_DATA!AC:AC,INPUT_DATA!$A:$A,$B27,INPUT_DATA!$C:$C,"D"))</f>
        <v>0</v>
      </c>
      <c r="CD27" s="296">
        <f>IF($B27=0,"",SUMIFS(INPUT_DATA!AD:AD,INPUT_DATA!$A:$A,$B27,INPUT_DATA!$C:$C,"D"))</f>
        <v>0</v>
      </c>
      <c r="CE27" s="296">
        <f>IF($B27=0,"",SUMIFS(INPUT_DATA!AE:AE,INPUT_DATA!$A:$A,$B27,INPUT_DATA!$C:$C,"D"))</f>
        <v>0</v>
      </c>
      <c r="CF27" s="296">
        <f>IF($B27=0,"",SUMIFS(INPUT_DATA!AF:AF,INPUT_DATA!$A:$A,$B27,INPUT_DATA!$C:$C,"D"))</f>
        <v>0</v>
      </c>
      <c r="CG27" s="336">
        <f>IF($B27=0,"",SUMIFS(INPUT_DATA!AG:AG,INPUT_DATA!$A:$A,$B27,INPUT_DATA!$C:$C,"D"))</f>
        <v>0</v>
      </c>
      <c r="CH27" s="336">
        <f>IF($B27=0,"",SUMIFS(INPUT_DATA!AH:AH,INPUT_DATA!$A:$A,$B27,INPUT_DATA!$C:$C,"D"))</f>
        <v>0</v>
      </c>
      <c r="CI27" s="336">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53">
        <f>IF($B27=0,"",SUMIFS(INPUT_DATA!AR:AR,INPUT_DATA!$A:$A,$B27,INPUT_DATA!$C:$C,"D"))</f>
        <v>0</v>
      </c>
      <c r="CS27" s="997">
        <f t="shared" si="14"/>
        <v>14856.149999999996</v>
      </c>
      <c r="CT27" s="997">
        <f t="shared" si="15"/>
        <v>1306.5100000000002</v>
      </c>
      <c r="CU27" s="997">
        <f t="shared" si="16"/>
        <v>0</v>
      </c>
      <c r="CV27" s="349">
        <f>IF($B27=0,"",SUMIFS(INPUT_DATA!AS:AS,INPUT_DATA!$A:$A,$B27,INPUT_DATA!$C:$C,"D"))</f>
        <v>14856.149999999998</v>
      </c>
      <c r="CW27" s="349">
        <f>IF($B27=0,"",SUMIFS(INPUT_DATA!AT:AT,INPUT_DATA!$A:$A,$B27,INPUT_DATA!$C:$C,"D"))</f>
        <v>1306.51</v>
      </c>
      <c r="CX27" s="349">
        <f>IF($B27=0,"",SUMIFS(INPUT_DATA!AU:AU,INPUT_DATA!$A:$A,$B27,INPUT_DATA!$C:$C,"D"))</f>
        <v>0</v>
      </c>
      <c r="CY27" s="349">
        <f t="shared" si="17"/>
        <v>-1.8189894035458565E-12</v>
      </c>
      <c r="CZ27" s="997">
        <f t="shared" si="18"/>
        <v>2.2737367544323206E-13</v>
      </c>
      <c r="DA27" s="1001">
        <f t="shared" si="19"/>
        <v>0</v>
      </c>
      <c r="DB27" s="150"/>
    </row>
    <row r="28" spans="2:106">
      <c r="B28" s="697">
        <f>INPUT_DATA!BR15</f>
        <v>45869</v>
      </c>
      <c r="C28" s="993">
        <f>IF($B28=0,"",SUMIFS(INPUT_DATA!D:D,INPUT_DATA!$A:$A,$B28,INPUT_DATA!$C:$C,"S"))</f>
        <v>757021994.38999987</v>
      </c>
      <c r="D28" s="349">
        <f>IF($B28=0,"",SUMIFS(INPUT_DATA!E:E,INPUT_DATA!$A:$A,$B28,INPUT_DATA!$C:$C,"S"))</f>
        <v>0</v>
      </c>
      <c r="E28" s="349">
        <f>IF($B28=0,"",SUMIFS(INPUT_DATA!F:F,INPUT_DATA!$A:$A,$B28,INPUT_DATA!$C:$C,"S"))</f>
        <v>801330.13</v>
      </c>
      <c r="F28" s="153">
        <f>IF($B28=0,"",SUMIFS(INPUT_DATA!G:G,INPUT_DATA!$A:$A,$B28,INPUT_DATA!$C:$C,"S"))</f>
        <v>5144340.6600000057</v>
      </c>
      <c r="G28" s="153">
        <f>IF($B28=0,"",SUMIFS(INPUT_DATA!H:H,INPUT_DATA!$A:$A,$B28,INPUT_DATA!$C:$C,"S"))</f>
        <v>1470425.3499999999</v>
      </c>
      <c r="H28" s="153">
        <f>IF($B28=0,"",SUMIFS(INPUT_DATA!I:I,INPUT_DATA!$A:$A,$B28,INPUT_DATA!$C:$C,"S"))</f>
        <v>0</v>
      </c>
      <c r="I28" s="153">
        <f>IF($B28=0,"",SUMIFS(INPUT_DATA!J:J,INPUT_DATA!$A:$A,$B28,INPUT_DATA!$C:$C,"S"))</f>
        <v>5045.04</v>
      </c>
      <c r="J28" s="153">
        <f>IF($B28=0,"",SUMIFS(INPUT_DATA!K:K,INPUT_DATA!$A:$A,$B28,INPUT_DATA!$C:$C,"S"))</f>
        <v>0</v>
      </c>
      <c r="K28" s="153">
        <f>IF($B28=0,"",SUMIFS(INPUT_DATA!L:L,INPUT_DATA!$A:$A,$B28,INPUT_DATA!$C:$C,"S"))</f>
        <v>0</v>
      </c>
      <c r="L28" s="153">
        <f>IF($B28=0,"",SUMIFS(INPUT_DATA!M:M,INPUT_DATA!$A:$A,$B28,INPUT_DATA!$C:$C,"S"))</f>
        <v>145403.74</v>
      </c>
      <c r="M28" s="153">
        <f>IF($B28=0,"",SUMIFS(INPUT_DATA!N:N,INPUT_DATA!$A:$A,$B28,INPUT_DATA!$C:$C,"S"))</f>
        <v>0</v>
      </c>
      <c r="N28" s="153">
        <f>IF($B28=0,"",SUMIFS(INPUT_DATA!O:O,INPUT_DATA!$A:$A,$B28,INPUT_DATA!$C:$C,"S"))</f>
        <v>0</v>
      </c>
      <c r="O28" s="153">
        <f>IF($B28=0,"",SUMIFS(INPUT_DATA!P:P,INPUT_DATA!$A:$A,$B28,INPUT_DATA!$C:$C,"S"))</f>
        <v>126688.76</v>
      </c>
      <c r="P28" s="994">
        <f t="shared" si="5"/>
        <v>750941511.04999983</v>
      </c>
      <c r="Q28" s="995">
        <f>IF($B28=0,"",SUMIFS(INPUT_DATA!Q:Q,INPUT_DATA!$A:$A,$B28,INPUT_DATA!$C:$C,"S"))</f>
        <v>750941511.05000126</v>
      </c>
      <c r="R28" s="995">
        <f t="shared" si="20"/>
        <v>-1.430511474609375E-6</v>
      </c>
      <c r="S28" s="297">
        <f>IF($B28=0,"",SUMIFS(INPUT_DATA!R:R,INPUT_DATA!$A:$A,$B28,INPUT_DATA!$C:$C,"S"))</f>
        <v>110908.45999999999</v>
      </c>
      <c r="T28" s="297">
        <f>IF($B28=0,"",SUMIFS(INPUT_DATA!S:S,INPUT_DATA!$A:$A,$B28,INPUT_DATA!$C:$C,"S"))</f>
        <v>31206.779999999995</v>
      </c>
      <c r="U28" s="297">
        <f>IF($B28=0,"",SUMIFS(INPUT_DATA!T:T,INPUT_DATA!$A:$A,$B28,INPUT_DATA!$C:$C,"S"))</f>
        <v>0</v>
      </c>
      <c r="V28" s="297">
        <f>IF($B28=0,"",SUMIFS(INPUT_DATA!U:U,INPUT_DATA!$A:$A,$B28,INPUT_DATA!$C:$C,"S"))</f>
        <v>66536.25999999998</v>
      </c>
      <c r="W28" s="297">
        <f>IF($B28=0,"",SUMIFS(INPUT_DATA!V:V,INPUT_DATA!$A:$A,$B28,INPUT_DATA!$C:$C,"S"))</f>
        <v>11312.039999999999</v>
      </c>
      <c r="X28" s="297">
        <f>IF($B28=0,"",SUMIFS(INPUT_DATA!W:W,INPUT_DATA!$A:$A,$B28,INPUT_DATA!$C:$C,"S"))</f>
        <v>0</v>
      </c>
      <c r="Y28" s="297">
        <f>IF($B28=0,"",SUMIFS(INPUT_DATA!X:X,INPUT_DATA!$A:$A,$B28,INPUT_DATA!$C:$C,"S"))</f>
        <v>87039.29</v>
      </c>
      <c r="Z28" s="297">
        <f>IF($B28=0,"",SUMIFS(INPUT_DATA!Y:Y,INPUT_DATA!$A:$A,$B28,INPUT_DATA!$C:$C,"S"))</f>
        <v>28252.589999999993</v>
      </c>
      <c r="AA28" s="297">
        <f>IF($B28=0,"",SUMIFS(INPUT_DATA!Z:Z,INPUT_DATA!$A:$A,$B28,INPUT_DATA!$C:$C,"S"))</f>
        <v>0</v>
      </c>
      <c r="AB28" s="297">
        <f>IF($B28=0,"",SUMIFS(INPUT_DATA!AA:AA,INPUT_DATA!$A:$A,$B28,INPUT_DATA!$C:$C,"S"))</f>
        <v>0</v>
      </c>
      <c r="AC28" s="297">
        <f>IF($B28=0,"",SUMIFS(INPUT_DATA!AB:AB,INPUT_DATA!$A:$A,$B28,INPUT_DATA!$C:$C,"S"))</f>
        <v>0</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6839.9000000000005</v>
      </c>
      <c r="AI28" s="297">
        <f>IF($B28=0,"",SUMIFS(INPUT_DATA!AH:AH,INPUT_DATA!$A:$A,$B28,INPUT_DATA!$C:$C,"S"))</f>
        <v>1336.19</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297">
        <f>IF($B28=0,"",SUMIFS(INPUT_DATA!AR:AR,INPUT_DATA!$A:$A,$B28,INPUT_DATA!$C:$C,"S"))</f>
        <v>0</v>
      </c>
      <c r="AT28" s="996">
        <f t="shared" si="11"/>
        <v>83565.529999999984</v>
      </c>
      <c r="AU28" s="997">
        <f t="shared" si="12"/>
        <v>12930.039999999999</v>
      </c>
      <c r="AV28" s="998">
        <f t="shared" si="13"/>
        <v>0</v>
      </c>
      <c r="AW28" s="996">
        <f>IF($B28=0,"",SUMIFS(INPUT_DATA!AS:AS,INPUT_DATA!$A:$A,$B28,INPUT_DATA!$C:$C,"S"))</f>
        <v>83565.530000000028</v>
      </c>
      <c r="AX28" s="997">
        <f>IF($B28=0,"",SUMIFS(INPUT_DATA!AT:AT,INPUT_DATA!$A:$A,$B28,INPUT_DATA!$C:$C,"S"))</f>
        <v>12930.040000000003</v>
      </c>
      <c r="AY28" s="998">
        <f>IF($B28=0,"",SUMIFS(INPUT_DATA!AU:AU,INPUT_DATA!$A:$A,$B28,INPUT_DATA!$C:$C,"S"))</f>
        <v>0</v>
      </c>
      <c r="AZ28" s="996">
        <f t="shared" si="6"/>
        <v>-4.3655745685100555E-11</v>
      </c>
      <c r="BA28" s="997">
        <f t="shared" si="7"/>
        <v>-3.637978807091713E-12</v>
      </c>
      <c r="BB28" s="998">
        <f t="shared" si="8"/>
        <v>0</v>
      </c>
      <c r="BC28" s="150"/>
      <c r="BD28" s="993">
        <f>IF($B28=0,"",SUMIFS(INPUT_DATA!D:D,INPUT_DATA!$A:$A,$B28,INPUT_DATA!$C:$C,"D"))</f>
        <v>616170.73</v>
      </c>
      <c r="BE28" s="296">
        <f>IF($B28=0,"",SUMIFS(INPUT_DATA!G:G,INPUT_DATA!$A:$A,$B28,INPUT_DATA!$C:$C,"D"))</f>
        <v>8021.68</v>
      </c>
      <c r="BF28" s="296">
        <f>IF($B28=0,"",SUMIFS(INPUT_DATA!H:H,INPUT_DATA!$A:$A,$B28,INPUT_DATA!$C:$C,"D"))</f>
        <v>0</v>
      </c>
      <c r="BG28" s="296">
        <f>IF($B28=0,"",SUMIFS(INPUT_DATA!I:I,INPUT_DATA!$A:$A,$B28,INPUT_DATA!$C:$C,"D"))</f>
        <v>0</v>
      </c>
      <c r="BH28" s="296">
        <f>IF($B28=0,"",SUMIFS(INPUT_DATA!J:J,INPUT_DATA!$A:$A,$B28,INPUT_DATA!$C:$C,"D"))</f>
        <v>0</v>
      </c>
      <c r="BI28" s="296">
        <f>IF($B28=0,"",SUMIFS(INPUT_DATA!K:K,INPUT_DATA!$A:$A,$B28,INPUT_DATA!$C:$C,"D"))</f>
        <v>0</v>
      </c>
      <c r="BJ28" s="296">
        <f>IF($B28=0,"",SUMIFS(INPUT_DATA!L:L,INPUT_DATA!$A:$A,$B28,INPUT_DATA!$C:$C,"D"))</f>
        <v>0</v>
      </c>
      <c r="BK28" s="296">
        <f>IF($B28=0,"",SUMIFS(INPUT_DATA!M:M,INPUT_DATA!$A:$A,$B28,INPUT_DATA!$C:$C,"D"))</f>
        <v>145403.74</v>
      </c>
      <c r="BL28" s="296">
        <f>IF($B28=0,"",SUMIFS(INPUT_DATA!N:N,INPUT_DATA!$A:$A,$B28,INPUT_DATA!$C:$C,"D"))</f>
        <v>0</v>
      </c>
      <c r="BM28" s="296">
        <f>IF($B28=0,"",SUMIFS(INPUT_DATA!O:O,INPUT_DATA!$A:$A,$B28,INPUT_DATA!$C:$C,"D"))</f>
        <v>0</v>
      </c>
      <c r="BN28" s="296">
        <f>IF($B28=0,"",SUMIFS(INPUT_DATA!P:P,INPUT_DATA!$A:$A,$B28,INPUT_DATA!$C:$C,"D"))</f>
        <v>0</v>
      </c>
      <c r="BO28" s="999">
        <f t="shared" si="9"/>
        <v>753552.78999999992</v>
      </c>
      <c r="BP28" s="999">
        <f>IF($B28=0,"",SUMIFS(INPUT_DATA!Q:Q,INPUT_DATA!$A:$A,$B28,INPUT_DATA!$C:$C,"D"))</f>
        <v>753552.79</v>
      </c>
      <c r="BQ28" s="999">
        <f t="shared" si="10"/>
        <v>-1.1641532182693481E-10</v>
      </c>
      <c r="BR28" s="993">
        <f>IF($B28=0,"",SUMIFS(INPUT_DATA!R:R,INPUT_DATA!$A:$A,$B28,INPUT_DATA!$C:$C,"D"))</f>
        <v>9941.86</v>
      </c>
      <c r="BS28" s="1000">
        <f>IF($B28=0,"",SUMIFS(INPUT_DATA!S:S,INPUT_DATA!$A:$A,$B28,INPUT_DATA!$C:$C,"D"))</f>
        <v>924.61</v>
      </c>
      <c r="BT28" s="1000">
        <f>IF($B28=0,"",SUMIFS(INPUT_DATA!T:T,INPUT_DATA!$A:$A,$B28,INPUT_DATA!$C:$C,"D"))</f>
        <v>0</v>
      </c>
      <c r="BU28" s="296">
        <f>IF($B28=0,"",SUMIFS(INPUT_DATA!U:U,INPUT_DATA!$A:$A,$B28,INPUT_DATA!$C:$C,"D"))</f>
        <v>2172.5099999999998</v>
      </c>
      <c r="BV28" s="296">
        <f>IF($B28=0,"",SUMIFS(INPUT_DATA!V:V,INPUT_DATA!$A:$A,$B28,INPUT_DATA!$C:$C,"D"))</f>
        <v>131.56</v>
      </c>
      <c r="BW28" s="296">
        <f>IF($B28=0,"",SUMIFS(INPUT_DATA!W:W,INPUT_DATA!$A:$A,$B28,INPUT_DATA!$C:$C,"D"))</f>
        <v>0</v>
      </c>
      <c r="BX28" s="296">
        <f>IF($B28=0,"",SUMIFS(INPUT_DATA!X:X,INPUT_DATA!$A:$A,$B28,INPUT_DATA!$C:$C,"D"))</f>
        <v>0</v>
      </c>
      <c r="BY28" s="296">
        <f>IF($B28=0,"",SUMIFS(INPUT_DATA!Y:Y,INPUT_DATA!$A:$A,$B28,INPUT_DATA!$C:$C,"D"))</f>
        <v>0</v>
      </c>
      <c r="BZ28" s="296">
        <f>IF($B28=0,"",SUMIFS(INPUT_DATA!Z:Z,INPUT_DATA!$A:$A,$B28,INPUT_DATA!$C:$C,"D"))</f>
        <v>0</v>
      </c>
      <c r="CA28" s="336">
        <f>IF($B28=0,"",SUMIFS(INPUT_DATA!AA:AA,INPUT_DATA!$A:$A,$B28,INPUT_DATA!$C:$C,"D"))</f>
        <v>0</v>
      </c>
      <c r="CB28" s="336">
        <f>IF($B28=0,"",SUMIFS(INPUT_DATA!AB:AB,INPUT_DATA!$A:$A,$B28,INPUT_DATA!$C:$C,"D"))</f>
        <v>0</v>
      </c>
      <c r="CC28" s="336">
        <f>IF($B28=0,"",SUMIFS(INPUT_DATA!AC:AC,INPUT_DATA!$A:$A,$B28,INPUT_DATA!$C:$C,"D"))</f>
        <v>0</v>
      </c>
      <c r="CD28" s="296">
        <f>IF($B28=0,"",SUMIFS(INPUT_DATA!AD:AD,INPUT_DATA!$A:$A,$B28,INPUT_DATA!$C:$C,"D"))</f>
        <v>0</v>
      </c>
      <c r="CE28" s="296">
        <f>IF($B28=0,"",SUMIFS(INPUT_DATA!AE:AE,INPUT_DATA!$A:$A,$B28,INPUT_DATA!$C:$C,"D"))</f>
        <v>0</v>
      </c>
      <c r="CF28" s="296">
        <f>IF($B28=0,"",SUMIFS(INPUT_DATA!AF:AF,INPUT_DATA!$A:$A,$B28,INPUT_DATA!$C:$C,"D"))</f>
        <v>0</v>
      </c>
      <c r="CG28" s="336">
        <f>IF($B28=0,"",SUMIFS(INPUT_DATA!AG:AG,INPUT_DATA!$A:$A,$B28,INPUT_DATA!$C:$C,"D"))</f>
        <v>6839.9000000000005</v>
      </c>
      <c r="CH28" s="336">
        <f>IF($B28=0,"",SUMIFS(INPUT_DATA!AH:AH,INPUT_DATA!$A:$A,$B28,INPUT_DATA!$C:$C,"D"))</f>
        <v>1336.19</v>
      </c>
      <c r="CI28" s="336">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53">
        <f>IF($B28=0,"",SUMIFS(INPUT_DATA!AR:AR,INPUT_DATA!$A:$A,$B28,INPUT_DATA!$C:$C,"D"))</f>
        <v>0</v>
      </c>
      <c r="CS28" s="997">
        <f t="shared" si="14"/>
        <v>18954.27</v>
      </c>
      <c r="CT28" s="997">
        <f t="shared" si="15"/>
        <v>2392.36</v>
      </c>
      <c r="CU28" s="997">
        <f t="shared" si="16"/>
        <v>0</v>
      </c>
      <c r="CV28" s="349">
        <f>IF($B28=0,"",SUMIFS(INPUT_DATA!AS:AS,INPUT_DATA!$A:$A,$B28,INPUT_DATA!$C:$C,"D"))</f>
        <v>18954.27</v>
      </c>
      <c r="CW28" s="349">
        <f>IF($B28=0,"",SUMIFS(INPUT_DATA!AT:AT,INPUT_DATA!$A:$A,$B28,INPUT_DATA!$C:$C,"D"))</f>
        <v>2392.36</v>
      </c>
      <c r="CX28" s="349">
        <f>IF($B28=0,"",SUMIFS(INPUT_DATA!AU:AU,INPUT_DATA!$A:$A,$B28,INPUT_DATA!$C:$C,"D"))</f>
        <v>0</v>
      </c>
      <c r="CY28" s="349">
        <f t="shared" si="17"/>
        <v>0</v>
      </c>
      <c r="CZ28" s="997">
        <f t="shared" si="18"/>
        <v>0</v>
      </c>
      <c r="DA28" s="1001">
        <f t="shared" si="19"/>
        <v>0</v>
      </c>
      <c r="DB28" s="150"/>
    </row>
    <row r="29" spans="2:106">
      <c r="B29" s="697">
        <f>INPUT_DATA!BR16</f>
        <v>45838</v>
      </c>
      <c r="C29" s="993">
        <f>IF($B29=0,"",SUMIFS(INPUT_DATA!D:D,INPUT_DATA!$A:$A,$B29,INPUT_DATA!$C:$C,"S"))</f>
        <v>634611562.37999856</v>
      </c>
      <c r="D29" s="349">
        <f>IF($B29=0,"",SUMIFS(INPUT_DATA!E:E,INPUT_DATA!$A:$A,$B29,INPUT_DATA!$C:$C,"S"))</f>
        <v>120500579.37000002</v>
      </c>
      <c r="E29" s="349">
        <f>IF($B29=0,"",SUMIFS(INPUT_DATA!F:F,INPUT_DATA!$A:$A,$B29,INPUT_DATA!$C:$C,"S"))</f>
        <v>8890214.8300000019</v>
      </c>
      <c r="F29" s="153">
        <f>IF($B29=0,"",SUMIFS(INPUT_DATA!G:G,INPUT_DATA!$A:$A,$B29,INPUT_DATA!$C:$C,"S"))</f>
        <v>5110443.6999999983</v>
      </c>
      <c r="G29" s="153">
        <f>IF($B29=0,"",SUMIFS(INPUT_DATA!H:H,INPUT_DATA!$A:$A,$B29,INPUT_DATA!$C:$C,"S"))</f>
        <v>1167911.44</v>
      </c>
      <c r="H29" s="153">
        <f>IF($B29=0,"",SUMIFS(INPUT_DATA!I:I,INPUT_DATA!$A:$A,$B29,INPUT_DATA!$C:$C,"S"))</f>
        <v>0</v>
      </c>
      <c r="I29" s="153">
        <f>IF($B29=0,"",SUMIFS(INPUT_DATA!J:J,INPUT_DATA!$A:$A,$B29,INPUT_DATA!$C:$C,"S"))</f>
        <v>5797.52</v>
      </c>
      <c r="J29" s="153">
        <f>IF($B29=0,"",SUMIFS(INPUT_DATA!K:K,INPUT_DATA!$A:$A,$B29,INPUT_DATA!$C:$C,"S"))</f>
        <v>0</v>
      </c>
      <c r="K29" s="153">
        <f>IF($B29=0,"",SUMIFS(INPUT_DATA!L:L,INPUT_DATA!$A:$A,$B29,INPUT_DATA!$C:$C,"S"))</f>
        <v>0</v>
      </c>
      <c r="L29" s="153">
        <f>IF($B29=0,"",SUMIFS(INPUT_DATA!M:M,INPUT_DATA!$A:$A,$B29,INPUT_DATA!$C:$C,"S"))</f>
        <v>9022.39</v>
      </c>
      <c r="M29" s="153">
        <f>IF($B29=0,"",SUMIFS(INPUT_DATA!N:N,INPUT_DATA!$A:$A,$B29,INPUT_DATA!$C:$C,"S"))</f>
        <v>0</v>
      </c>
      <c r="N29" s="153">
        <f>IF($B29=0,"",SUMIFS(INPUT_DATA!O:O,INPUT_DATA!$A:$A,$B29,INPUT_DATA!$C:$C,"S"))</f>
        <v>0</v>
      </c>
      <c r="O29" s="153">
        <f>IF($B29=0,"",SUMIFS(INPUT_DATA!P:P,INPUT_DATA!$A:$A,$B29,INPUT_DATA!$C:$C,"S"))</f>
        <v>698782.17999999993</v>
      </c>
      <c r="P29" s="994">
        <f t="shared" si="5"/>
        <v>757021994.38999856</v>
      </c>
      <c r="Q29" s="995">
        <f>IF($B29=0,"",SUMIFS(INPUT_DATA!Q:Q,INPUT_DATA!$A:$A,$B29,INPUT_DATA!$C:$C,"S"))</f>
        <v>757021994.39000046</v>
      </c>
      <c r="R29" s="995">
        <f t="shared" si="20"/>
        <v>-1.9073486328125E-6</v>
      </c>
      <c r="S29" s="297">
        <f>IF($B29=0,"",SUMIFS(INPUT_DATA!R:R,INPUT_DATA!$A:$A,$B29,INPUT_DATA!$C:$C,"S"))</f>
        <v>103366.31999999996</v>
      </c>
      <c r="T29" s="297">
        <f>IF($B29=0,"",SUMIFS(INPUT_DATA!S:S,INPUT_DATA!$A:$A,$B29,INPUT_DATA!$C:$C,"S"))</f>
        <v>8560.3799999999974</v>
      </c>
      <c r="U29" s="297">
        <f>IF($B29=0,"",SUMIFS(INPUT_DATA!T:T,INPUT_DATA!$A:$A,$B29,INPUT_DATA!$C:$C,"S"))</f>
        <v>0</v>
      </c>
      <c r="V29" s="297">
        <f>IF($B29=0,"",SUMIFS(INPUT_DATA!U:U,INPUT_DATA!$A:$A,$B29,INPUT_DATA!$C:$C,"S"))</f>
        <v>99273.839999999982</v>
      </c>
      <c r="W29" s="297">
        <f>IF($B29=0,"",SUMIFS(INPUT_DATA!V:V,INPUT_DATA!$A:$A,$B29,INPUT_DATA!$C:$C,"S"))</f>
        <v>30024.599999999995</v>
      </c>
      <c r="X29" s="297">
        <f>IF($B29=0,"",SUMIFS(INPUT_DATA!W:W,INPUT_DATA!$A:$A,$B29,INPUT_DATA!$C:$C,"S"))</f>
        <v>0</v>
      </c>
      <c r="Y29" s="297">
        <f>IF($B29=0,"",SUMIFS(INPUT_DATA!X:X,INPUT_DATA!$A:$A,$B29,INPUT_DATA!$C:$C,"S"))</f>
        <v>85518.179999999978</v>
      </c>
      <c r="Z29" s="297">
        <f>IF($B29=0,"",SUMIFS(INPUT_DATA!Y:Y,INPUT_DATA!$A:$A,$B29,INPUT_DATA!$C:$C,"S"))</f>
        <v>7234.7200000000012</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6213.52</v>
      </c>
      <c r="AI29" s="297">
        <f>IF($B29=0,"",SUMIFS(INPUT_DATA!AH:AH,INPUT_DATA!$A:$A,$B29,INPUT_DATA!$C:$C,"S"))</f>
        <v>143.47999999999999</v>
      </c>
      <c r="AJ29" s="297">
        <f>IF($B29=0,"",SUMIFS(INPUT_DATA!AI:AI,INPUT_DATA!$A:$A,$B29,INPUT_DATA!$C:$C,"S"))</f>
        <v>0</v>
      </c>
      <c r="AK29" s="297">
        <f>IF($B29=0,"",SUMIFS(INPUT_DATA!AJ:AJ,INPUT_DATA!$A:$A,$B29,INPUT_DATA!$C:$C,"S"))</f>
        <v>0</v>
      </c>
      <c r="AL29" s="297">
        <f>IF($B29=0,"",SUMIFS(INPUT_DATA!AK:AK,INPUT_DATA!$A:$A,$B29,INPUT_DATA!$C:$C,"S"))</f>
        <v>0</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297">
        <f>IF($B29=0,"",SUMIFS(INPUT_DATA!AR:AR,INPUT_DATA!$A:$A,$B29,INPUT_DATA!$C:$C,"S"))</f>
        <v>0</v>
      </c>
      <c r="AT29" s="996">
        <f t="shared" si="11"/>
        <v>110908.45999999996</v>
      </c>
      <c r="AU29" s="997">
        <f t="shared" si="12"/>
        <v>31206.779999999995</v>
      </c>
      <c r="AV29" s="998">
        <f t="shared" si="13"/>
        <v>0</v>
      </c>
      <c r="AW29" s="996">
        <f>IF($B29=0,"",SUMIFS(INPUT_DATA!AS:AS,INPUT_DATA!$A:$A,$B29,INPUT_DATA!$C:$C,"S"))</f>
        <v>110908.45999999999</v>
      </c>
      <c r="AX29" s="997">
        <f>IF($B29=0,"",SUMIFS(INPUT_DATA!AT:AT,INPUT_DATA!$A:$A,$B29,INPUT_DATA!$C:$C,"S"))</f>
        <v>31206.780000000002</v>
      </c>
      <c r="AY29" s="998">
        <f>IF($B29=0,"",SUMIFS(INPUT_DATA!AU:AU,INPUT_DATA!$A:$A,$B29,INPUT_DATA!$C:$C,"S"))</f>
        <v>0</v>
      </c>
      <c r="AZ29" s="996">
        <f t="shared" si="6"/>
        <v>-2.9103830456733704E-11</v>
      </c>
      <c r="BA29" s="997">
        <f t="shared" si="7"/>
        <v>-7.2759576141834259E-12</v>
      </c>
      <c r="BB29" s="998">
        <f t="shared" si="8"/>
        <v>0</v>
      </c>
      <c r="BC29" s="150"/>
      <c r="BD29" s="993">
        <f>IF($B29=0,"",SUMIFS(INPUT_DATA!D:D,INPUT_DATA!$A:$A,$B29,INPUT_DATA!$C:$C,"D"))</f>
        <v>610524.32000000007</v>
      </c>
      <c r="BE29" s="296">
        <f>IF($B29=0,"",SUMIFS(INPUT_DATA!G:G,INPUT_DATA!$A:$A,$B29,INPUT_DATA!$C:$C,"D"))</f>
        <v>3622.7799999999997</v>
      </c>
      <c r="BF29" s="296">
        <f>IF($B29=0,"",SUMIFS(INPUT_DATA!H:H,INPUT_DATA!$A:$A,$B29,INPUT_DATA!$C:$C,"D"))</f>
        <v>0</v>
      </c>
      <c r="BG29" s="296">
        <f>IF($B29=0,"",SUMIFS(INPUT_DATA!I:I,INPUT_DATA!$A:$A,$B29,INPUT_DATA!$C:$C,"D"))</f>
        <v>0</v>
      </c>
      <c r="BH29" s="296">
        <f>IF($B29=0,"",SUMIFS(INPUT_DATA!J:J,INPUT_DATA!$A:$A,$B29,INPUT_DATA!$C:$C,"D"))</f>
        <v>246.8</v>
      </c>
      <c r="BI29" s="296">
        <f>IF($B29=0,"",SUMIFS(INPUT_DATA!K:K,INPUT_DATA!$A:$A,$B29,INPUT_DATA!$C:$C,"D"))</f>
        <v>0</v>
      </c>
      <c r="BJ29" s="296">
        <f>IF($B29=0,"",SUMIFS(INPUT_DATA!L:L,INPUT_DATA!$A:$A,$B29,INPUT_DATA!$C:$C,"D"))</f>
        <v>0</v>
      </c>
      <c r="BK29" s="296">
        <f>IF($B29=0,"",SUMIFS(INPUT_DATA!M:M,INPUT_DATA!$A:$A,$B29,INPUT_DATA!$C:$C,"D"))</f>
        <v>9022.39</v>
      </c>
      <c r="BL29" s="296">
        <f>IF($B29=0,"",SUMIFS(INPUT_DATA!N:N,INPUT_DATA!$A:$A,$B29,INPUT_DATA!$C:$C,"D"))</f>
        <v>0</v>
      </c>
      <c r="BM29" s="296">
        <f>IF($B29=0,"",SUMIFS(INPUT_DATA!O:O,INPUT_DATA!$A:$A,$B29,INPUT_DATA!$C:$C,"D"))</f>
        <v>0</v>
      </c>
      <c r="BN29" s="296">
        <f>IF($B29=0,"",SUMIFS(INPUT_DATA!P:P,INPUT_DATA!$A:$A,$B29,INPUT_DATA!$C:$C,"D"))</f>
        <v>0</v>
      </c>
      <c r="BO29" s="999">
        <f t="shared" si="9"/>
        <v>616170.7300000001</v>
      </c>
      <c r="BP29" s="999">
        <f>IF($B29=0,"",SUMIFS(INPUT_DATA!Q:Q,INPUT_DATA!$A:$A,$B29,INPUT_DATA!$C:$C,"D"))</f>
        <v>616170.73</v>
      </c>
      <c r="BQ29" s="999">
        <f t="shared" si="10"/>
        <v>1.1641532182693481E-10</v>
      </c>
      <c r="BR29" s="993">
        <f>IF($B29=0,"",SUMIFS(INPUT_DATA!R:R,INPUT_DATA!$A:$A,$B29,INPUT_DATA!$C:$C,"D"))</f>
        <v>4795.3899999999994</v>
      </c>
      <c r="BS29" s="1000">
        <f>IF($B29=0,"",SUMIFS(INPUT_DATA!S:S,INPUT_DATA!$A:$A,$B29,INPUT_DATA!$C:$C,"D"))</f>
        <v>751.72</v>
      </c>
      <c r="BT29" s="1000">
        <f>IF($B29=0,"",SUMIFS(INPUT_DATA!T:T,INPUT_DATA!$A:$A,$B29,INPUT_DATA!$C:$C,"D"))</f>
        <v>0</v>
      </c>
      <c r="BU29" s="296">
        <f>IF($B29=0,"",SUMIFS(INPUT_DATA!U:U,INPUT_DATA!$A:$A,$B29,INPUT_DATA!$C:$C,"D"))</f>
        <v>539.54999999999995</v>
      </c>
      <c r="BV29" s="296">
        <f>IF($B29=0,"",SUMIFS(INPUT_DATA!V:V,INPUT_DATA!$A:$A,$B29,INPUT_DATA!$C:$C,"D"))</f>
        <v>104.66</v>
      </c>
      <c r="BW29" s="296">
        <f>IF($B29=0,"",SUMIFS(INPUT_DATA!W:W,INPUT_DATA!$A:$A,$B29,INPUT_DATA!$C:$C,"D"))</f>
        <v>0</v>
      </c>
      <c r="BX29" s="296">
        <f>IF($B29=0,"",SUMIFS(INPUT_DATA!X:X,INPUT_DATA!$A:$A,$B29,INPUT_DATA!$C:$C,"D"))</f>
        <v>1606.6000000000001</v>
      </c>
      <c r="BY29" s="296">
        <f>IF($B29=0,"",SUMIFS(INPUT_DATA!Y:Y,INPUT_DATA!$A:$A,$B29,INPUT_DATA!$C:$C,"D"))</f>
        <v>75.25</v>
      </c>
      <c r="BZ29" s="296">
        <f>IF($B29=0,"",SUMIFS(INPUT_DATA!Z:Z,INPUT_DATA!$A:$A,$B29,INPUT_DATA!$C:$C,"D"))</f>
        <v>0</v>
      </c>
      <c r="CA29" s="336">
        <f>IF($B29=0,"",SUMIFS(INPUT_DATA!AA:AA,INPUT_DATA!$A:$A,$B29,INPUT_DATA!$C:$C,"D"))</f>
        <v>0</v>
      </c>
      <c r="CB29" s="336">
        <f>IF($B29=0,"",SUMIFS(INPUT_DATA!AB:AB,INPUT_DATA!$A:$A,$B29,INPUT_DATA!$C:$C,"D"))</f>
        <v>0</v>
      </c>
      <c r="CC29" s="336">
        <f>IF($B29=0,"",SUMIFS(INPUT_DATA!AC:AC,INPUT_DATA!$A:$A,$B29,INPUT_DATA!$C:$C,"D"))</f>
        <v>0</v>
      </c>
      <c r="CD29" s="296">
        <f>IF($B29=0,"",SUMIFS(INPUT_DATA!AD:AD,INPUT_DATA!$A:$A,$B29,INPUT_DATA!$C:$C,"D"))</f>
        <v>0</v>
      </c>
      <c r="CE29" s="296">
        <f>IF($B29=0,"",SUMIFS(INPUT_DATA!AE:AE,INPUT_DATA!$A:$A,$B29,INPUT_DATA!$C:$C,"D"))</f>
        <v>0</v>
      </c>
      <c r="CF29" s="296">
        <f>IF($B29=0,"",SUMIFS(INPUT_DATA!AF:AF,INPUT_DATA!$A:$A,$B29,INPUT_DATA!$C:$C,"D"))</f>
        <v>0</v>
      </c>
      <c r="CG29" s="336">
        <f>IF($B29=0,"",SUMIFS(INPUT_DATA!AG:AG,INPUT_DATA!$A:$A,$B29,INPUT_DATA!$C:$C,"D"))</f>
        <v>6213.52</v>
      </c>
      <c r="CH29" s="336">
        <f>IF($B29=0,"",SUMIFS(INPUT_DATA!AH:AH,INPUT_DATA!$A:$A,$B29,INPUT_DATA!$C:$C,"D"))</f>
        <v>143.47999999999999</v>
      </c>
      <c r="CI29" s="336">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53">
        <f>IF($B29=0,"",SUMIFS(INPUT_DATA!AR:AR,INPUT_DATA!$A:$A,$B29,INPUT_DATA!$C:$C,"D"))</f>
        <v>0</v>
      </c>
      <c r="CS29" s="997">
        <f t="shared" si="14"/>
        <v>9941.86</v>
      </c>
      <c r="CT29" s="997">
        <f t="shared" si="15"/>
        <v>924.61</v>
      </c>
      <c r="CU29" s="997">
        <f t="shared" si="16"/>
        <v>0</v>
      </c>
      <c r="CV29" s="349">
        <f>IF($B29=0,"",SUMIFS(INPUT_DATA!AS:AS,INPUT_DATA!$A:$A,$B29,INPUT_DATA!$C:$C,"D"))</f>
        <v>9941.86</v>
      </c>
      <c r="CW29" s="349">
        <f>IF($B29=0,"",SUMIFS(INPUT_DATA!AT:AT,INPUT_DATA!$A:$A,$B29,INPUT_DATA!$C:$C,"D"))</f>
        <v>924.61</v>
      </c>
      <c r="CX29" s="349">
        <f>IF($B29=0,"",SUMIFS(INPUT_DATA!AU:AU,INPUT_DATA!$A:$A,$B29,INPUT_DATA!$C:$C,"D"))</f>
        <v>0</v>
      </c>
      <c r="CY29" s="349">
        <f t="shared" si="17"/>
        <v>0</v>
      </c>
      <c r="CZ29" s="997">
        <f t="shared" si="18"/>
        <v>0</v>
      </c>
      <c r="DA29" s="1001">
        <f t="shared" si="19"/>
        <v>0</v>
      </c>
      <c r="DB29" s="150"/>
    </row>
    <row r="30" spans="2:106">
      <c r="B30" s="697">
        <f>INPUT_DATA!BR17</f>
        <v>45808</v>
      </c>
      <c r="C30" s="702">
        <f>IF($B30=0,"",SUMIFS(INPUT_DATA!D:D,INPUT_DATA!$A:$A,$B30,INPUT_DATA!$C:$C,"S"))</f>
        <v>640193334.03000021</v>
      </c>
      <c r="D30" s="703">
        <f>IF($B30=0,"",SUMIFS(INPUT_DATA!E:E,INPUT_DATA!$A:$A,$B30,INPUT_DATA!$C:$C,"S"))</f>
        <v>0</v>
      </c>
      <c r="E30" s="703">
        <f>IF($B30=0,"",SUMIFS(INPUT_DATA!F:F,INPUT_DATA!$A:$A,$B30,INPUT_DATA!$C:$C,"S"))</f>
        <v>0</v>
      </c>
      <c r="F30" s="704">
        <f>IF($B30=0,"",SUMIFS(INPUT_DATA!G:G,INPUT_DATA!$A:$A,$B30,INPUT_DATA!$C:$C,"S"))</f>
        <v>4604252.1599999927</v>
      </c>
      <c r="G30" s="704">
        <f>IF($B30=0,"",SUMIFS(INPUT_DATA!H:H,INPUT_DATA!$A:$A,$B30,INPUT_DATA!$C:$C,"S"))</f>
        <v>482114.58999999997</v>
      </c>
      <c r="H30" s="704">
        <f>IF($B30=0,"",SUMIFS(INPUT_DATA!I:I,INPUT_DATA!$A:$A,$B30,INPUT_DATA!$C:$C,"S"))</f>
        <v>0</v>
      </c>
      <c r="I30" s="704">
        <f>IF($B30=0,"",SUMIFS(INPUT_DATA!J:J,INPUT_DATA!$A:$A,$B30,INPUT_DATA!$C:$C,"S"))</f>
        <v>1831.42</v>
      </c>
      <c r="J30" s="704">
        <f>IF($B30=0,"",SUMIFS(INPUT_DATA!K:K,INPUT_DATA!$A:$A,$B30,INPUT_DATA!$C:$C,"S"))</f>
        <v>0</v>
      </c>
      <c r="K30" s="704">
        <f>IF($B30=0,"",SUMIFS(INPUT_DATA!L:L,INPUT_DATA!$A:$A,$B30,INPUT_DATA!$C:$C,"S"))</f>
        <v>0</v>
      </c>
      <c r="L30" s="704">
        <f>IF($B30=0,"",SUMIFS(INPUT_DATA!M:M,INPUT_DATA!$A:$A,$B30,INPUT_DATA!$C:$C,"S"))</f>
        <v>497236.32</v>
      </c>
      <c r="M30" s="704">
        <f>IF($B30=0,"",SUMIFS(INPUT_DATA!N:N,INPUT_DATA!$A:$A,$B30,INPUT_DATA!$C:$C,"S"))</f>
        <v>0</v>
      </c>
      <c r="N30" s="704">
        <f>IF($B30=0,"",SUMIFS(INPUT_DATA!O:O,INPUT_DATA!$A:$A,$B30,INPUT_DATA!$C:$C,"S"))</f>
        <v>0</v>
      </c>
      <c r="O30" s="704">
        <f>IF($B30=0,"",SUMIFS(INPUT_DATA!P:P,INPUT_DATA!$A:$A,$B30,INPUT_DATA!$C:$C,"S"))</f>
        <v>0</v>
      </c>
      <c r="P30" s="705">
        <f t="shared" si="5"/>
        <v>634611562.38000011</v>
      </c>
      <c r="Q30" s="706">
        <f>IF($B30=0,"",SUMIFS(INPUT_DATA!Q:Q,INPUT_DATA!$A:$A,$B30,INPUT_DATA!$C:$C,"S"))</f>
        <v>634611562.37999856</v>
      </c>
      <c r="R30" s="706">
        <f t="shared" si="20"/>
        <v>1.5497207641601563E-6</v>
      </c>
      <c r="S30" s="712">
        <f>IF($B30=0,"",SUMIFS(INPUT_DATA!R:R,INPUT_DATA!$A:$A,$B30,INPUT_DATA!$C:$C,"S"))</f>
        <v>99345.190000000017</v>
      </c>
      <c r="T30" s="712">
        <f>IF($B30=0,"",SUMIFS(INPUT_DATA!S:S,INPUT_DATA!$A:$A,$B30,INPUT_DATA!$C:$C,"S"))</f>
        <v>9534.1400000000031</v>
      </c>
      <c r="U30" s="712">
        <f>IF($B30=0,"",SUMIFS(INPUT_DATA!T:T,INPUT_DATA!$A:$A,$B30,INPUT_DATA!$C:$C,"S"))</f>
        <v>0</v>
      </c>
      <c r="V30" s="297">
        <f>IF($B30=0,"",SUMIFS(INPUT_DATA!U:U,INPUT_DATA!$A:$A,$B30,INPUT_DATA!$C:$C,"S"))</f>
        <v>80275.53</v>
      </c>
      <c r="W30" s="297">
        <f>IF($B30=0,"",SUMIFS(INPUT_DATA!V:V,INPUT_DATA!$A:$A,$B30,INPUT_DATA!$C:$C,"S"))</f>
        <v>6524.1</v>
      </c>
      <c r="X30" s="297">
        <f>IF($B30=0,"",SUMIFS(INPUT_DATA!W:W,INPUT_DATA!$A:$A,$B30,INPUT_DATA!$C:$C,"S"))</f>
        <v>0</v>
      </c>
      <c r="Y30" s="297">
        <f>IF($B30=0,"",SUMIFS(INPUT_DATA!X:X,INPUT_DATA!$A:$A,$B30,INPUT_DATA!$C:$C,"S"))</f>
        <v>74647.800000000017</v>
      </c>
      <c r="Z30" s="297">
        <f>IF($B30=0,"",SUMIFS(INPUT_DATA!Y:Y,INPUT_DATA!$A:$A,$B30,INPUT_DATA!$C:$C,"S"))</f>
        <v>7422.6100000000006</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1606.6</v>
      </c>
      <c r="AI30" s="297">
        <f>IF($B30=0,"",SUMIFS(INPUT_DATA!AH:AH,INPUT_DATA!$A:$A,$B30,INPUT_DATA!$C:$C,"S"))</f>
        <v>75.25</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297">
        <f>IF($B30=0,"",SUMIFS(INPUT_DATA!AR:AR,INPUT_DATA!$A:$A,$B30,INPUT_DATA!$C:$C,"S"))</f>
        <v>0</v>
      </c>
      <c r="AT30" s="713">
        <f t="shared" si="11"/>
        <v>103366.32</v>
      </c>
      <c r="AU30" s="714">
        <f t="shared" si="12"/>
        <v>8560.3800000000028</v>
      </c>
      <c r="AV30" s="715">
        <f t="shared" si="13"/>
        <v>0</v>
      </c>
      <c r="AW30" s="713">
        <f>IF($B30=0,"",SUMIFS(INPUT_DATA!AS:AS,INPUT_DATA!$A:$A,$B30,INPUT_DATA!$C:$C,"S"))</f>
        <v>103366.31999999996</v>
      </c>
      <c r="AX30" s="714">
        <f>IF($B30=0,"",SUMIFS(INPUT_DATA!AT:AT,INPUT_DATA!$A:$A,$B30,INPUT_DATA!$C:$C,"S"))</f>
        <v>8560.3799999999974</v>
      </c>
      <c r="AY30" s="715">
        <f>IF($B30=0,"",SUMIFS(INPUT_DATA!AU:AU,INPUT_DATA!$A:$A,$B30,INPUT_DATA!$C:$C,"S"))</f>
        <v>0</v>
      </c>
      <c r="AZ30" s="713">
        <f t="shared" si="6"/>
        <v>4.3655745685100555E-11</v>
      </c>
      <c r="BA30" s="714">
        <f t="shared" si="7"/>
        <v>5.4569682106375694E-12</v>
      </c>
      <c r="BB30" s="715">
        <f t="shared" si="8"/>
        <v>0</v>
      </c>
      <c r="BC30" s="150"/>
      <c r="BD30" s="702">
        <f>IF($B30=0,"",SUMIFS(INPUT_DATA!D:D,INPUT_DATA!$A:$A,$B30,INPUT_DATA!$C:$C,"D"))</f>
        <v>115295.06</v>
      </c>
      <c r="BE30" s="296">
        <f>IF($B30=0,"",SUMIFS(INPUT_DATA!G:G,INPUT_DATA!$A:$A,$B30,INPUT_DATA!$C:$C,"D"))</f>
        <v>2007.06</v>
      </c>
      <c r="BF30" s="296">
        <f>IF($B30=0,"",SUMIFS(INPUT_DATA!H:H,INPUT_DATA!$A:$A,$B30,INPUT_DATA!$C:$C,"D"))</f>
        <v>0</v>
      </c>
      <c r="BG30" s="296">
        <f>IF($B30=0,"",SUMIFS(INPUT_DATA!I:I,INPUT_DATA!$A:$A,$B30,INPUT_DATA!$C:$C,"D"))</f>
        <v>0</v>
      </c>
      <c r="BH30" s="296">
        <f>IF($B30=0,"",SUMIFS(INPUT_DATA!J:J,INPUT_DATA!$A:$A,$B30,INPUT_DATA!$C:$C,"D"))</f>
        <v>0</v>
      </c>
      <c r="BI30" s="296">
        <f>IF($B30=0,"",SUMIFS(INPUT_DATA!K:K,INPUT_DATA!$A:$A,$B30,INPUT_DATA!$C:$C,"D"))</f>
        <v>0</v>
      </c>
      <c r="BJ30" s="296">
        <f>IF($B30=0,"",SUMIFS(INPUT_DATA!L:L,INPUT_DATA!$A:$A,$B30,INPUT_DATA!$C:$C,"D"))</f>
        <v>0</v>
      </c>
      <c r="BK30" s="296">
        <f>IF($B30=0,"",SUMIFS(INPUT_DATA!M:M,INPUT_DATA!$A:$A,$B30,INPUT_DATA!$C:$C,"D"))</f>
        <v>497236.32</v>
      </c>
      <c r="BL30" s="296">
        <f>IF($B30=0,"",SUMIFS(INPUT_DATA!N:N,INPUT_DATA!$A:$A,$B30,INPUT_DATA!$C:$C,"D"))</f>
        <v>0</v>
      </c>
      <c r="BM30" s="296">
        <f>IF($B30=0,"",SUMIFS(INPUT_DATA!O:O,INPUT_DATA!$A:$A,$B30,INPUT_DATA!$C:$C,"D"))</f>
        <v>0</v>
      </c>
      <c r="BN30" s="296">
        <f>IF($B30=0,"",SUMIFS(INPUT_DATA!P:P,INPUT_DATA!$A:$A,$B30,INPUT_DATA!$C:$C,"D"))</f>
        <v>0</v>
      </c>
      <c r="BO30" s="718">
        <f t="shared" si="9"/>
        <v>610524.32000000007</v>
      </c>
      <c r="BP30" s="718">
        <f>IF($B30=0,"",SUMIFS(INPUT_DATA!Q:Q,INPUT_DATA!$A:$A,$B30,INPUT_DATA!$C:$C,"D"))</f>
        <v>610524.32000000007</v>
      </c>
      <c r="BQ30" s="718">
        <f t="shared" si="10"/>
        <v>0</v>
      </c>
      <c r="BR30" s="702">
        <f>IF($B30=0,"",SUMIFS(INPUT_DATA!R:R,INPUT_DATA!$A:$A,$B30,INPUT_DATA!$C:$C,"D"))</f>
        <v>8587.76</v>
      </c>
      <c r="BS30" s="724">
        <f>IF($B30=0,"",SUMIFS(INPUT_DATA!S:S,INPUT_DATA!$A:$A,$B30,INPUT_DATA!$C:$C,"D"))</f>
        <v>1867.08</v>
      </c>
      <c r="BT30" s="724">
        <f>IF($B30=0,"",SUMIFS(INPUT_DATA!T:T,INPUT_DATA!$A:$A,$B30,INPUT_DATA!$C:$C,"D"))</f>
        <v>0</v>
      </c>
      <c r="BU30" s="296">
        <f>IF($B30=0,"",SUMIFS(INPUT_DATA!U:U,INPUT_DATA!$A:$A,$B30,INPUT_DATA!$C:$C,"D"))</f>
        <v>537.23</v>
      </c>
      <c r="BV30" s="296">
        <f>IF($B30=0,"",SUMIFS(INPUT_DATA!V:V,INPUT_DATA!$A:$A,$B30,INPUT_DATA!$C:$C,"D"))</f>
        <v>106.98</v>
      </c>
      <c r="BW30" s="296">
        <f>IF($B30=0,"",SUMIFS(INPUT_DATA!W:W,INPUT_DATA!$A:$A,$B30,INPUT_DATA!$C:$C,"D"))</f>
        <v>0</v>
      </c>
      <c r="BX30" s="296">
        <f>IF($B30=0,"",SUMIFS(INPUT_DATA!X:X,INPUT_DATA!$A:$A,$B30,INPUT_DATA!$C:$C,"D"))</f>
        <v>5936.2</v>
      </c>
      <c r="BY30" s="296">
        <f>IF($B30=0,"",SUMIFS(INPUT_DATA!Y:Y,INPUT_DATA!$A:$A,$B30,INPUT_DATA!$C:$C,"D"))</f>
        <v>1297.5899999999999</v>
      </c>
      <c r="BZ30" s="296">
        <f>IF($B30=0,"",SUMIFS(INPUT_DATA!Z:Z,INPUT_DATA!$A:$A,$B30,INPUT_DATA!$C:$C,"D"))</f>
        <v>0</v>
      </c>
      <c r="CA30" s="336">
        <f>IF($B30=0,"",SUMIFS(INPUT_DATA!AA:AA,INPUT_DATA!$A:$A,$B30,INPUT_DATA!$C:$C,"D"))</f>
        <v>0</v>
      </c>
      <c r="CB30" s="336">
        <f>IF($B30=0,"",SUMIFS(INPUT_DATA!AB:AB,INPUT_DATA!$A:$A,$B30,INPUT_DATA!$C:$C,"D"))</f>
        <v>0</v>
      </c>
      <c r="CC30" s="336">
        <f>IF($B30=0,"",SUMIFS(INPUT_DATA!AC:AC,INPUT_DATA!$A:$A,$B30,INPUT_DATA!$C:$C,"D"))</f>
        <v>0</v>
      </c>
      <c r="CD30" s="296">
        <f>IF($B30=0,"",SUMIFS(INPUT_DATA!AD:AD,INPUT_DATA!$A:$A,$B30,INPUT_DATA!$C:$C,"D"))</f>
        <v>0</v>
      </c>
      <c r="CE30" s="296">
        <f>IF($B30=0,"",SUMIFS(INPUT_DATA!AE:AE,INPUT_DATA!$A:$A,$B30,INPUT_DATA!$C:$C,"D"))</f>
        <v>0</v>
      </c>
      <c r="CF30" s="296">
        <f>IF($B30=0,"",SUMIFS(INPUT_DATA!AF:AF,INPUT_DATA!$A:$A,$B30,INPUT_DATA!$C:$C,"D"))</f>
        <v>0</v>
      </c>
      <c r="CG30" s="336">
        <f>IF($B30=0,"",SUMIFS(INPUT_DATA!AG:AG,INPUT_DATA!$A:$A,$B30,INPUT_DATA!$C:$C,"D"))</f>
        <v>1606.6</v>
      </c>
      <c r="CH30" s="336">
        <f>IF($B30=0,"",SUMIFS(INPUT_DATA!AH:AH,INPUT_DATA!$A:$A,$B30,INPUT_DATA!$C:$C,"D"))</f>
        <v>75.25</v>
      </c>
      <c r="CI30" s="336">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153">
        <f>IF($B30=0,"",SUMIFS(INPUT_DATA!AR:AR,INPUT_DATA!$A:$A,$B30,INPUT_DATA!$C:$C,"D"))</f>
        <v>0</v>
      </c>
      <c r="CS30" s="714">
        <f t="shared" si="14"/>
        <v>4795.3899999999994</v>
      </c>
      <c r="CT30" s="714">
        <f t="shared" si="15"/>
        <v>751.72</v>
      </c>
      <c r="CU30" s="714">
        <f t="shared" si="16"/>
        <v>0</v>
      </c>
      <c r="CV30" s="703">
        <f>IF($B30=0,"",SUMIFS(INPUT_DATA!AS:AS,INPUT_DATA!$A:$A,$B30,INPUT_DATA!$C:$C,"D"))</f>
        <v>4795.3899999999994</v>
      </c>
      <c r="CW30" s="703">
        <f>IF($B30=0,"",SUMIFS(INPUT_DATA!AT:AT,INPUT_DATA!$A:$A,$B30,INPUT_DATA!$C:$C,"D"))</f>
        <v>751.72</v>
      </c>
      <c r="CX30" s="703">
        <f>IF($B30=0,"",SUMIFS(INPUT_DATA!AU:AU,INPUT_DATA!$A:$A,$B30,INPUT_DATA!$C:$C,"D"))</f>
        <v>0</v>
      </c>
      <c r="CY30" s="703">
        <f t="shared" si="17"/>
        <v>0</v>
      </c>
      <c r="CZ30" s="714">
        <f t="shared" si="18"/>
        <v>0</v>
      </c>
      <c r="DA30" s="725">
        <f t="shared" si="19"/>
        <v>0</v>
      </c>
      <c r="DB30" s="150"/>
    </row>
    <row r="31" spans="2:106">
      <c r="B31" s="697">
        <f>INPUT_DATA!BR18</f>
        <v>45777</v>
      </c>
      <c r="C31" s="702">
        <f>IF($B31=0,"",SUMIFS(INPUT_DATA!D:D,INPUT_DATA!$A:$A,$B31,INPUT_DATA!$C:$C,"S"))</f>
        <v>645853473.62000012</v>
      </c>
      <c r="D31" s="703">
        <f>IF($B31=0,"",SUMIFS(INPUT_DATA!E:E,INPUT_DATA!$A:$A,$B31,INPUT_DATA!$C:$C,"S"))</f>
        <v>0</v>
      </c>
      <c r="E31" s="703">
        <f>IF($B31=0,"",SUMIFS(INPUT_DATA!F:F,INPUT_DATA!$A:$A,$B31,INPUT_DATA!$C:$C,"S"))</f>
        <v>0</v>
      </c>
      <c r="F31" s="704">
        <f>IF($B31=0,"",SUMIFS(INPUT_DATA!G:G,INPUT_DATA!$A:$A,$B31,INPUT_DATA!$C:$C,"S"))</f>
        <v>4684664.3400000045</v>
      </c>
      <c r="G31" s="704">
        <f>IF($B31=0,"",SUMIFS(INPUT_DATA!H:H,INPUT_DATA!$A:$A,$B31,INPUT_DATA!$C:$C,"S"))</f>
        <v>981192.52999999991</v>
      </c>
      <c r="H31" s="704">
        <f>IF($B31=0,"",SUMIFS(INPUT_DATA!I:I,INPUT_DATA!$A:$A,$B31,INPUT_DATA!$C:$C,"S"))</f>
        <v>3735.11</v>
      </c>
      <c r="I31" s="704">
        <f>IF($B31=0,"",SUMIFS(INPUT_DATA!J:J,INPUT_DATA!$A:$A,$B31,INPUT_DATA!$C:$C,"S"))</f>
        <v>1982.17</v>
      </c>
      <c r="J31" s="704">
        <f>IF($B31=0,"",SUMIFS(INPUT_DATA!K:K,INPUT_DATA!$A:$A,$B31,INPUT_DATA!$C:$C,"S"))</f>
        <v>0</v>
      </c>
      <c r="K31" s="704">
        <f>IF($B31=0,"",SUMIFS(INPUT_DATA!L:L,INPUT_DATA!$A:$A,$B31,INPUT_DATA!$C:$C,"S"))</f>
        <v>0</v>
      </c>
      <c r="L31" s="704">
        <f>IF($B31=0,"",SUMIFS(INPUT_DATA!M:M,INPUT_DATA!$A:$A,$B31,INPUT_DATA!$C:$C,"S"))</f>
        <v>0</v>
      </c>
      <c r="M31" s="704">
        <f>IF($B31=0,"",SUMIFS(INPUT_DATA!N:N,INPUT_DATA!$A:$A,$B31,INPUT_DATA!$C:$C,"S"))</f>
        <v>0</v>
      </c>
      <c r="N31" s="704">
        <f>IF($B31=0,"",SUMIFS(INPUT_DATA!O:O,INPUT_DATA!$A:$A,$B31,INPUT_DATA!$C:$C,"S"))</f>
        <v>0</v>
      </c>
      <c r="O31" s="704">
        <f>IF($B31=0,"",SUMIFS(INPUT_DATA!P:P,INPUT_DATA!$A:$A,$B31,INPUT_DATA!$C:$C,"S"))</f>
        <v>0</v>
      </c>
      <c r="P31" s="705">
        <f t="shared" si="5"/>
        <v>640193334.03000009</v>
      </c>
      <c r="Q31" s="706">
        <f>IF($B31=0,"",SUMIFS(INPUT_DATA!Q:Q,INPUT_DATA!$A:$A,$B31,INPUT_DATA!$C:$C,"S"))</f>
        <v>640193334.03000021</v>
      </c>
      <c r="R31" s="706">
        <f t="shared" si="20"/>
        <v>-1.1920928955078125E-7</v>
      </c>
      <c r="S31" s="712">
        <f>IF($B31=0,"",SUMIFS(INPUT_DATA!R:R,INPUT_DATA!$A:$A,$B31,INPUT_DATA!$C:$C,"S"))</f>
        <v>100084.04999999999</v>
      </c>
      <c r="T31" s="712">
        <f>IF($B31=0,"",SUMIFS(INPUT_DATA!S:S,INPUT_DATA!$A:$A,$B31,INPUT_DATA!$C:$C,"S"))</f>
        <v>7573.6800000000021</v>
      </c>
      <c r="U31" s="712">
        <f>IF($B31=0,"",SUMIFS(INPUT_DATA!T:T,INPUT_DATA!$A:$A,$B31,INPUT_DATA!$C:$C,"S"))</f>
        <v>0</v>
      </c>
      <c r="V31" s="297">
        <f>IF($B31=0,"",SUMIFS(INPUT_DATA!U:U,INPUT_DATA!$A:$A,$B31,INPUT_DATA!$C:$C,"S"))</f>
        <v>86671.32</v>
      </c>
      <c r="W31" s="297">
        <f>IF($B31=0,"",SUMIFS(INPUT_DATA!V:V,INPUT_DATA!$A:$A,$B31,INPUT_DATA!$C:$C,"S"))</f>
        <v>9380.4900000000016</v>
      </c>
      <c r="X31" s="297">
        <f>IF($B31=0,"",SUMIFS(INPUT_DATA!W:W,INPUT_DATA!$A:$A,$B31,INPUT_DATA!$C:$C,"S"))</f>
        <v>0</v>
      </c>
      <c r="Y31" s="297">
        <f>IF($B31=0,"",SUMIFS(INPUT_DATA!X:X,INPUT_DATA!$A:$A,$B31,INPUT_DATA!$C:$C,"S"))</f>
        <v>83675.069999999992</v>
      </c>
      <c r="Z31" s="297">
        <f>IF($B31=0,"",SUMIFS(INPUT_DATA!Y:Y,INPUT_DATA!$A:$A,$B31,INPUT_DATA!$C:$C,"S"))</f>
        <v>6320.35</v>
      </c>
      <c r="AA31" s="297">
        <f>IF($B31=0,"",SUMIFS(INPUT_DATA!Z:Z,INPUT_DATA!$A:$A,$B31,INPUT_DATA!$C:$C,"S"))</f>
        <v>0</v>
      </c>
      <c r="AB31" s="297">
        <f>IF($B31=0,"",SUMIFS(INPUT_DATA!AA:AA,INPUT_DATA!$A:$A,$B31,INPUT_DATA!$C:$C,"S"))</f>
        <v>3735.11</v>
      </c>
      <c r="AC31" s="297">
        <f>IF($B31=0,"",SUMIFS(INPUT_DATA!AB:AB,INPUT_DATA!$A:$A,$B31,INPUT_DATA!$C:$C,"S"))</f>
        <v>1099.68</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0</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297">
        <f>IF($B31=0,"",SUMIFS(INPUT_DATA!AR:AR,INPUT_DATA!$A:$A,$B31,INPUT_DATA!$C:$C,"S"))</f>
        <v>0</v>
      </c>
      <c r="AT31" s="713">
        <f t="shared" si="11"/>
        <v>99345.19</v>
      </c>
      <c r="AU31" s="714">
        <f t="shared" si="12"/>
        <v>9534.1400000000049</v>
      </c>
      <c r="AV31" s="715">
        <f t="shared" si="13"/>
        <v>0</v>
      </c>
      <c r="AW31" s="713">
        <f>IF($B31=0,"",SUMIFS(INPUT_DATA!AS:AS,INPUT_DATA!$A:$A,$B31,INPUT_DATA!$C:$C,"S"))</f>
        <v>99345.190000000017</v>
      </c>
      <c r="AX31" s="714">
        <f>IF($B31=0,"",SUMIFS(INPUT_DATA!AT:AT,INPUT_DATA!$A:$A,$B31,INPUT_DATA!$C:$C,"S"))</f>
        <v>9534.1400000000031</v>
      </c>
      <c r="AY31" s="715">
        <f>IF($B31=0,"",SUMIFS(INPUT_DATA!AU:AU,INPUT_DATA!$A:$A,$B31,INPUT_DATA!$C:$C,"S"))</f>
        <v>0</v>
      </c>
      <c r="AZ31" s="713">
        <f t="shared" si="6"/>
        <v>-1.4551915228366852E-11</v>
      </c>
      <c r="BA31" s="714">
        <f t="shared" si="7"/>
        <v>1.8189894035458565E-12</v>
      </c>
      <c r="BB31" s="715">
        <f t="shared" si="8"/>
        <v>0</v>
      </c>
      <c r="BC31" s="150"/>
      <c r="BD31" s="702">
        <f>IF($B31=0,"",SUMIFS(INPUT_DATA!D:D,INPUT_DATA!$A:$A,$B31,INPUT_DATA!$C:$C,"D"))</f>
        <v>117294.76000000001</v>
      </c>
      <c r="BE31" s="296">
        <f>IF($B31=0,"",SUMIFS(INPUT_DATA!G:G,INPUT_DATA!$A:$A,$B31,INPUT_DATA!$C:$C,"D"))</f>
        <v>1999.6999999999998</v>
      </c>
      <c r="BF31" s="296">
        <f>IF($B31=0,"",SUMIFS(INPUT_DATA!H:H,INPUT_DATA!$A:$A,$B31,INPUT_DATA!$C:$C,"D"))</f>
        <v>0</v>
      </c>
      <c r="BG31" s="296">
        <f>IF($B31=0,"",SUMIFS(INPUT_DATA!I:I,INPUT_DATA!$A:$A,$B31,INPUT_DATA!$C:$C,"D"))</f>
        <v>0</v>
      </c>
      <c r="BH31" s="296">
        <f>IF($B31=0,"",SUMIFS(INPUT_DATA!J:J,INPUT_DATA!$A:$A,$B31,INPUT_DATA!$C:$C,"D"))</f>
        <v>0</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296">
        <f>IF($B31=0,"",SUMIFS(INPUT_DATA!P:P,INPUT_DATA!$A:$A,$B31,INPUT_DATA!$C:$C,"D"))</f>
        <v>0</v>
      </c>
      <c r="BO31" s="718">
        <f t="shared" si="9"/>
        <v>115295.06000000001</v>
      </c>
      <c r="BP31" s="718">
        <f>IF($B31=0,"",SUMIFS(INPUT_DATA!Q:Q,INPUT_DATA!$A:$A,$B31,INPUT_DATA!$C:$C,"D"))</f>
        <v>115295.06</v>
      </c>
      <c r="BQ31" s="718">
        <f t="shared" si="10"/>
        <v>1.4551915228366852E-11</v>
      </c>
      <c r="BR31" s="702">
        <f>IF($B31=0,"",SUMIFS(INPUT_DATA!R:R,INPUT_DATA!$A:$A,$B31,INPUT_DATA!$C:$C,"D"))</f>
        <v>6588.0599999999995</v>
      </c>
      <c r="BS31" s="724">
        <f>IF($B31=0,"",SUMIFS(INPUT_DATA!S:S,INPUT_DATA!$A:$A,$B31,INPUT_DATA!$C:$C,"D"))</f>
        <v>1440.9</v>
      </c>
      <c r="BT31" s="724">
        <f>IF($B31=0,"",SUMIFS(INPUT_DATA!T:T,INPUT_DATA!$A:$A,$B31,INPUT_DATA!$C:$C,"D"))</f>
        <v>0</v>
      </c>
      <c r="BU31" s="296">
        <f>IF($B31=0,"",SUMIFS(INPUT_DATA!U:U,INPUT_DATA!$A:$A,$B31,INPUT_DATA!$C:$C,"D"))</f>
        <v>1999.6999999999998</v>
      </c>
      <c r="BV31" s="296">
        <f>IF($B31=0,"",SUMIFS(INPUT_DATA!V:V,INPUT_DATA!$A:$A,$B31,INPUT_DATA!$C:$C,"D"))</f>
        <v>426.18</v>
      </c>
      <c r="BW31" s="296">
        <f>IF($B31=0,"",SUMIFS(INPUT_DATA!W:W,INPUT_DATA!$A:$A,$B31,INPUT_DATA!$C:$C,"D"))</f>
        <v>0</v>
      </c>
      <c r="BX31" s="296">
        <f>IF($B31=0,"",SUMIFS(INPUT_DATA!X:X,INPUT_DATA!$A:$A,$B31,INPUT_DATA!$C:$C,"D"))</f>
        <v>0</v>
      </c>
      <c r="BY31" s="296">
        <f>IF($B31=0,"",SUMIFS(INPUT_DATA!Y:Y,INPUT_DATA!$A:$A,$B31,INPUT_DATA!$C:$C,"D"))</f>
        <v>0</v>
      </c>
      <c r="BZ31" s="296">
        <f>IF($B31=0,"",SUMIFS(INPUT_DATA!Z:Z,INPUT_DATA!$A:$A,$B31,INPUT_DATA!$C:$C,"D"))</f>
        <v>0</v>
      </c>
      <c r="CA31" s="336">
        <f>IF($B31=0,"",SUMIFS(INPUT_DATA!AA:AA,INPUT_DATA!$A:$A,$B31,INPUT_DATA!$C:$C,"D"))</f>
        <v>0</v>
      </c>
      <c r="CB31" s="336">
        <f>IF($B31=0,"",SUMIFS(INPUT_DATA!AB:AB,INPUT_DATA!$A:$A,$B31,INPUT_DATA!$C:$C,"D"))</f>
        <v>0</v>
      </c>
      <c r="CC31" s="336">
        <f>IF($B31=0,"",SUMIFS(INPUT_DATA!AC:AC,INPUT_DATA!$A:$A,$B31,INPUT_DATA!$C:$C,"D"))</f>
        <v>0</v>
      </c>
      <c r="CD31" s="296">
        <f>IF($B31=0,"",SUMIFS(INPUT_DATA!AD:AD,INPUT_DATA!$A:$A,$B31,INPUT_DATA!$C:$C,"D"))</f>
        <v>0</v>
      </c>
      <c r="CE31" s="296">
        <f>IF($B31=0,"",SUMIFS(INPUT_DATA!AE:AE,INPUT_DATA!$A:$A,$B31,INPUT_DATA!$C:$C,"D"))</f>
        <v>0</v>
      </c>
      <c r="CF31" s="296">
        <f>IF($B31=0,"",SUMIFS(INPUT_DATA!AF:AF,INPUT_DATA!$A:$A,$B31,INPUT_DATA!$C:$C,"D"))</f>
        <v>0</v>
      </c>
      <c r="CG31" s="336">
        <f>IF($B31=0,"",SUMIFS(INPUT_DATA!AG:AG,INPUT_DATA!$A:$A,$B31,INPUT_DATA!$C:$C,"D"))</f>
        <v>0</v>
      </c>
      <c r="CH31" s="336">
        <f>IF($B31=0,"",SUMIFS(INPUT_DATA!AH:AH,INPUT_DATA!$A:$A,$B31,INPUT_DATA!$C:$C,"D"))</f>
        <v>0</v>
      </c>
      <c r="CI31" s="336">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153">
        <f>IF($B31=0,"",SUMIFS(INPUT_DATA!AR:AR,INPUT_DATA!$A:$A,$B31,INPUT_DATA!$C:$C,"D"))</f>
        <v>0</v>
      </c>
      <c r="CS31" s="714">
        <f t="shared" si="14"/>
        <v>8587.7599999999984</v>
      </c>
      <c r="CT31" s="714">
        <f t="shared" si="15"/>
        <v>1867.0800000000002</v>
      </c>
      <c r="CU31" s="714">
        <f t="shared" si="16"/>
        <v>0</v>
      </c>
      <c r="CV31" s="703">
        <f>IF($B31=0,"",SUMIFS(INPUT_DATA!AS:AS,INPUT_DATA!$A:$A,$B31,INPUT_DATA!$C:$C,"D"))</f>
        <v>8587.76</v>
      </c>
      <c r="CW31" s="703">
        <f>IF($B31=0,"",SUMIFS(INPUT_DATA!AT:AT,INPUT_DATA!$A:$A,$B31,INPUT_DATA!$C:$C,"D"))</f>
        <v>1867.08</v>
      </c>
      <c r="CX31" s="703">
        <f>IF($B31=0,"",SUMIFS(INPUT_DATA!AU:AU,INPUT_DATA!$A:$A,$B31,INPUT_DATA!$C:$C,"D"))</f>
        <v>0</v>
      </c>
      <c r="CY31" s="703">
        <f t="shared" si="17"/>
        <v>-1.8189894035458565E-12</v>
      </c>
      <c r="CZ31" s="714">
        <f t="shared" si="18"/>
        <v>2.2737367544323206E-13</v>
      </c>
      <c r="DA31" s="725">
        <f t="shared" si="19"/>
        <v>0</v>
      </c>
      <c r="DB31" s="150"/>
    </row>
    <row r="32" spans="2:106">
      <c r="B32" s="697">
        <f>INPUT_DATA!BR19</f>
        <v>45747</v>
      </c>
      <c r="C32" s="702">
        <f>IF($B32=0,"",SUMIFS(INPUT_DATA!D:D,INPUT_DATA!$A:$A,$B32,INPUT_DATA!$C:$C,"S"))</f>
        <v>652250054.41999888</v>
      </c>
      <c r="D32" s="703">
        <f>IF($B32=0,"",SUMIFS(INPUT_DATA!E:E,INPUT_DATA!$A:$A,$B32,INPUT_DATA!$C:$C,"S"))</f>
        <v>0</v>
      </c>
      <c r="E32" s="703">
        <f>IF($B32=0,"",SUMIFS(INPUT_DATA!F:F,INPUT_DATA!$A:$A,$B32,INPUT_DATA!$C:$C,"S"))</f>
        <v>0</v>
      </c>
      <c r="F32" s="704">
        <f>IF($B32=0,"",SUMIFS(INPUT_DATA!G:G,INPUT_DATA!$A:$A,$B32,INPUT_DATA!$C:$C,"S"))</f>
        <v>4865005.6400000006</v>
      </c>
      <c r="G32" s="704">
        <f>IF($B32=0,"",SUMIFS(INPUT_DATA!H:H,INPUT_DATA!$A:$A,$B32,INPUT_DATA!$C:$C,"S"))</f>
        <v>1914870.19</v>
      </c>
      <c r="H32" s="704">
        <f>IF($B32=0,"",SUMIFS(INPUT_DATA!I:I,INPUT_DATA!$A:$A,$B32,INPUT_DATA!$C:$C,"S"))</f>
        <v>0</v>
      </c>
      <c r="I32" s="704">
        <f>IF($B32=0,"",SUMIFS(INPUT_DATA!J:J,INPUT_DATA!$A:$A,$B32,INPUT_DATA!$C:$C,"S"))</f>
        <v>635.17000000000007</v>
      </c>
      <c r="J32" s="704">
        <f>IF($B32=0,"",SUMIFS(INPUT_DATA!K:K,INPUT_DATA!$A:$A,$B32,INPUT_DATA!$C:$C,"S"))</f>
        <v>0</v>
      </c>
      <c r="K32" s="704">
        <f>IF($B32=0,"",SUMIFS(INPUT_DATA!L:L,INPUT_DATA!$A:$A,$B32,INPUT_DATA!$C:$C,"S"))</f>
        <v>0</v>
      </c>
      <c r="L32" s="704">
        <f>IF($B32=0,"",SUMIFS(INPUT_DATA!M:M,INPUT_DATA!$A:$A,$B32,INPUT_DATA!$C:$C,"S"))</f>
        <v>117294.76000000001</v>
      </c>
      <c r="M32" s="704">
        <f>IF($B32=0,"",SUMIFS(INPUT_DATA!N:N,INPUT_DATA!$A:$A,$B32,INPUT_DATA!$C:$C,"S"))</f>
        <v>499954.62</v>
      </c>
      <c r="N32" s="704">
        <f>IF($B32=0,"",SUMIFS(INPUT_DATA!O:O,INPUT_DATA!$A:$A,$B32,INPUT_DATA!$C:$C,"S"))</f>
        <v>0</v>
      </c>
      <c r="O32" s="704">
        <f>IF($B32=0,"",SUMIFS(INPUT_DATA!P:P,INPUT_DATA!$A:$A,$B32,INPUT_DATA!$C:$C,"S"))</f>
        <v>0</v>
      </c>
      <c r="P32" s="705">
        <f t="shared" si="5"/>
        <v>645853473.61999881</v>
      </c>
      <c r="Q32" s="706">
        <f>IF($B32=0,"",SUMIFS(INPUT_DATA!Q:Q,INPUT_DATA!$A:$A,$B32,INPUT_DATA!$C:$C,"S"))</f>
        <v>645853473.62000012</v>
      </c>
      <c r="R32" s="706">
        <f t="shared" si="20"/>
        <v>-1.3113021850585938E-6</v>
      </c>
      <c r="S32" s="712">
        <f>IF($B32=0,"",SUMIFS(INPUT_DATA!R:R,INPUT_DATA!$A:$A,$B32,INPUT_DATA!$C:$C,"S"))</f>
        <v>107593.26999999999</v>
      </c>
      <c r="T32" s="712">
        <f>IF($B32=0,"",SUMIFS(INPUT_DATA!S:S,INPUT_DATA!$A:$A,$B32,INPUT_DATA!$C:$C,"S"))</f>
        <v>12146.280000000002</v>
      </c>
      <c r="U32" s="712">
        <f>IF($B32=0,"",SUMIFS(INPUT_DATA!T:T,INPUT_DATA!$A:$A,$B32,INPUT_DATA!$C:$C,"S"))</f>
        <v>0</v>
      </c>
      <c r="V32" s="297">
        <f>IF($B32=0,"",SUMIFS(INPUT_DATA!U:U,INPUT_DATA!$A:$A,$B32,INPUT_DATA!$C:$C,"S"))</f>
        <v>80615.799999999974</v>
      </c>
      <c r="W32" s="297">
        <f>IF($B32=0,"",SUMIFS(INPUT_DATA!V:V,INPUT_DATA!$A:$A,$B32,INPUT_DATA!$C:$C,"S"))</f>
        <v>6587.760000000002</v>
      </c>
      <c r="X32" s="297">
        <f>IF($B32=0,"",SUMIFS(INPUT_DATA!W:W,INPUT_DATA!$A:$A,$B32,INPUT_DATA!$C:$C,"S"))</f>
        <v>0</v>
      </c>
      <c r="Y32" s="297">
        <f>IF($B32=0,"",SUMIFS(INPUT_DATA!X:X,INPUT_DATA!$A:$A,$B32,INPUT_DATA!$C:$C,"S"))</f>
        <v>84933.37999999999</v>
      </c>
      <c r="Z32" s="297">
        <f>IF($B32=0,"",SUMIFS(INPUT_DATA!Y:Y,INPUT_DATA!$A:$A,$B32,INPUT_DATA!$C:$C,"S"))</f>
        <v>9875.0500000000029</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6588.0599999999995</v>
      </c>
      <c r="AI32" s="297">
        <f>IF($B32=0,"",SUMIFS(INPUT_DATA!AH:AH,INPUT_DATA!$A:$A,$B32,INPUT_DATA!$C:$C,"S"))</f>
        <v>1440.9</v>
      </c>
      <c r="AJ32" s="297">
        <f>IF($B32=0,"",SUMIFS(INPUT_DATA!AI:AI,INPUT_DATA!$A:$A,$B32,INPUT_DATA!$C:$C,"S"))</f>
        <v>0</v>
      </c>
      <c r="AK32" s="297">
        <f>IF($B32=0,"",SUMIFS(INPUT_DATA!AJ:AJ,INPUT_DATA!$A:$A,$B32,INPUT_DATA!$C:$C,"S"))</f>
        <v>3396.42</v>
      </c>
      <c r="AL32" s="297">
        <f>IF($B32=0,"",SUMIFS(INPUT_DATA!AK:AK,INPUT_DATA!$A:$A,$B32,INPUT_DATA!$C:$C,"S"))</f>
        <v>155.59</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297">
        <f>IF($B32=0,"",SUMIFS(INPUT_DATA!AR:AR,INPUT_DATA!$A:$A,$B32,INPUT_DATA!$C:$C,"S"))</f>
        <v>0</v>
      </c>
      <c r="AT32" s="713">
        <f t="shared" si="11"/>
        <v>100084.04999999996</v>
      </c>
      <c r="AU32" s="714">
        <f t="shared" si="12"/>
        <v>7573.6800000000021</v>
      </c>
      <c r="AV32" s="715">
        <f t="shared" si="13"/>
        <v>0</v>
      </c>
      <c r="AW32" s="713">
        <f>IF($B32=0,"",SUMIFS(INPUT_DATA!AS:AS,INPUT_DATA!$A:$A,$B32,INPUT_DATA!$C:$C,"S"))</f>
        <v>100084.04999999999</v>
      </c>
      <c r="AX32" s="714">
        <f>IF($B32=0,"",SUMIFS(INPUT_DATA!AT:AT,INPUT_DATA!$A:$A,$B32,INPUT_DATA!$C:$C,"S"))</f>
        <v>7573.6800000000021</v>
      </c>
      <c r="AY32" s="715">
        <f>IF($B32=0,"",SUMIFS(INPUT_DATA!AU:AU,INPUT_DATA!$A:$A,$B32,INPUT_DATA!$C:$C,"S"))</f>
        <v>0</v>
      </c>
      <c r="AZ32" s="713">
        <f t="shared" si="6"/>
        <v>-2.9103830456733704E-11</v>
      </c>
      <c r="BA32" s="714">
        <f t="shared" si="7"/>
        <v>0</v>
      </c>
      <c r="BB32" s="715">
        <f t="shared" si="8"/>
        <v>0</v>
      </c>
      <c r="BC32" s="150"/>
      <c r="BD32" s="702">
        <f>IF($B32=0,"",SUMIFS(INPUT_DATA!D:D,INPUT_DATA!$A:$A,$B32,INPUT_DATA!$C:$C,"D"))</f>
        <v>501311.38</v>
      </c>
      <c r="BE32" s="296">
        <f>IF($B32=0,"",SUMIFS(INPUT_DATA!G:G,INPUT_DATA!$A:$A,$B32,INPUT_DATA!$C:$C,"D"))</f>
        <v>1603.13</v>
      </c>
      <c r="BF32" s="296">
        <f>IF($B32=0,"",SUMIFS(INPUT_DATA!H:H,INPUT_DATA!$A:$A,$B32,INPUT_DATA!$C:$C,"D"))</f>
        <v>0</v>
      </c>
      <c r="BG32" s="296">
        <f>IF($B32=0,"",SUMIFS(INPUT_DATA!I:I,INPUT_DATA!$A:$A,$B32,INPUT_DATA!$C:$C,"D"))</f>
        <v>0</v>
      </c>
      <c r="BH32" s="296">
        <f>IF($B32=0,"",SUMIFS(INPUT_DATA!J:J,INPUT_DATA!$A:$A,$B32,INPUT_DATA!$C:$C,"D"))</f>
        <v>246.37</v>
      </c>
      <c r="BI32" s="296">
        <f>IF($B32=0,"",SUMIFS(INPUT_DATA!K:K,INPUT_DATA!$A:$A,$B32,INPUT_DATA!$C:$C,"D"))</f>
        <v>0</v>
      </c>
      <c r="BJ32" s="296">
        <f>IF($B32=0,"",SUMIFS(INPUT_DATA!L:L,INPUT_DATA!$A:$A,$B32,INPUT_DATA!$C:$C,"D"))</f>
        <v>0</v>
      </c>
      <c r="BK32" s="296">
        <f>IF($B32=0,"",SUMIFS(INPUT_DATA!M:M,INPUT_DATA!$A:$A,$B32,INPUT_DATA!$C:$C,"D"))</f>
        <v>117294.76000000001</v>
      </c>
      <c r="BL32" s="296">
        <f>IF($B32=0,"",SUMIFS(INPUT_DATA!N:N,INPUT_DATA!$A:$A,$B32,INPUT_DATA!$C:$C,"D"))</f>
        <v>499954.62</v>
      </c>
      <c r="BM32" s="296">
        <f>IF($B32=0,"",SUMIFS(INPUT_DATA!O:O,INPUT_DATA!$A:$A,$B32,INPUT_DATA!$C:$C,"D"))</f>
        <v>0</v>
      </c>
      <c r="BN32" s="296">
        <f>IF($B32=0,"",SUMIFS(INPUT_DATA!P:P,INPUT_DATA!$A:$A,$B32,INPUT_DATA!$C:$C,"D"))</f>
        <v>0</v>
      </c>
      <c r="BO32" s="718">
        <f t="shared" si="9"/>
        <v>117294.76000000001</v>
      </c>
      <c r="BP32" s="990">
        <f>IF($B32=0,"",SUMIFS(INPUT_DATA!Q:Q,INPUT_DATA!$A:$A,$B32,INPUT_DATA!$C:$C,"D"))</f>
        <v>117294.76000000001</v>
      </c>
      <c r="BQ32" s="718">
        <f t="shared" si="10"/>
        <v>0</v>
      </c>
      <c r="BR32" s="702">
        <f>IF($B32=0,"",SUMIFS(INPUT_DATA!R:R,INPUT_DATA!$A:$A,$B32,INPUT_DATA!$C:$C,"D"))</f>
        <v>2833.87</v>
      </c>
      <c r="BS32" s="724">
        <f>IF($B32=0,"",SUMIFS(INPUT_DATA!S:S,INPUT_DATA!$A:$A,$B32,INPUT_DATA!$C:$C,"D"))</f>
        <v>70.069999999999993</v>
      </c>
      <c r="BT32" s="724">
        <f>IF($B32=0,"",SUMIFS(INPUT_DATA!T:T,INPUT_DATA!$A:$A,$B32,INPUT_DATA!$C:$C,"D"))</f>
        <v>0</v>
      </c>
      <c r="BU32" s="296">
        <f>IF($B32=0,"",SUMIFS(INPUT_DATA!U:U,INPUT_DATA!$A:$A,$B32,INPUT_DATA!$C:$C,"D"))</f>
        <v>1603.13</v>
      </c>
      <c r="BV32" s="296">
        <f>IF($B32=0,"",SUMIFS(INPUT_DATA!V:V,INPUT_DATA!$A:$A,$B32,INPUT_DATA!$C:$C,"D"))</f>
        <v>85.52</v>
      </c>
      <c r="BW32" s="296">
        <f>IF($B32=0,"",SUMIFS(INPUT_DATA!W:W,INPUT_DATA!$A:$A,$B32,INPUT_DATA!$C:$C,"D"))</f>
        <v>0</v>
      </c>
      <c r="BX32" s="296">
        <f>IF($B32=0,"",SUMIFS(INPUT_DATA!X:X,INPUT_DATA!$A:$A,$B32,INPUT_DATA!$C:$C,"D"))</f>
        <v>1040.58</v>
      </c>
      <c r="BY32" s="296">
        <f>IF($B32=0,"",SUMIFS(INPUT_DATA!Y:Y,INPUT_DATA!$A:$A,$B32,INPUT_DATA!$C:$C,"D"))</f>
        <v>0</v>
      </c>
      <c r="BZ32" s="296">
        <f>IF($B32=0,"",SUMIFS(INPUT_DATA!Z:Z,INPUT_DATA!$A:$A,$B32,INPUT_DATA!$C:$C,"D"))</f>
        <v>0</v>
      </c>
      <c r="CA32" s="336">
        <f>IF($B32=0,"",SUMIFS(INPUT_DATA!AA:AA,INPUT_DATA!$A:$A,$B32,INPUT_DATA!$C:$C,"D"))</f>
        <v>0</v>
      </c>
      <c r="CB32" s="336">
        <f>IF($B32=0,"",SUMIFS(INPUT_DATA!AB:AB,INPUT_DATA!$A:$A,$B32,INPUT_DATA!$C:$C,"D"))</f>
        <v>0</v>
      </c>
      <c r="CC32" s="336">
        <f>IF($B32=0,"",SUMIFS(INPUT_DATA!AC:AC,INPUT_DATA!$A:$A,$B32,INPUT_DATA!$C:$C,"D"))</f>
        <v>0</v>
      </c>
      <c r="CD32" s="296">
        <f>IF($B32=0,"",SUMIFS(INPUT_DATA!AD:AD,INPUT_DATA!$A:$A,$B32,INPUT_DATA!$C:$C,"D"))</f>
        <v>0</v>
      </c>
      <c r="CE32" s="296">
        <f>IF($B32=0,"",SUMIFS(INPUT_DATA!AE:AE,INPUT_DATA!$A:$A,$B32,INPUT_DATA!$C:$C,"D"))</f>
        <v>0</v>
      </c>
      <c r="CF32" s="296">
        <f>IF($B32=0,"",SUMIFS(INPUT_DATA!AF:AF,INPUT_DATA!$A:$A,$B32,INPUT_DATA!$C:$C,"D"))</f>
        <v>0</v>
      </c>
      <c r="CG32" s="336">
        <f>IF($B32=0,"",SUMIFS(INPUT_DATA!AG:AG,INPUT_DATA!$A:$A,$B32,INPUT_DATA!$C:$C,"D"))</f>
        <v>6588.0599999999995</v>
      </c>
      <c r="CH32" s="336">
        <f>IF($B32=0,"",SUMIFS(INPUT_DATA!AH:AH,INPUT_DATA!$A:$A,$B32,INPUT_DATA!$C:$C,"D"))</f>
        <v>1440.9</v>
      </c>
      <c r="CI32" s="336">
        <f>IF($B32=0,"",SUMIFS(INPUT_DATA!AI:AI,INPUT_DATA!$A:$A,$B32,INPUT_DATA!$C:$C,"D"))</f>
        <v>0</v>
      </c>
      <c r="CJ32" s="153">
        <f>IF($B32=0,"",SUMIFS(INPUT_DATA!AJ:AJ,INPUT_DATA!$A:$A,$B32,INPUT_DATA!$C:$C,"D"))</f>
        <v>3396.42</v>
      </c>
      <c r="CK32" s="153">
        <f>IF($B32=0,"",SUMIFS(INPUT_DATA!AK:AK,INPUT_DATA!$A:$A,$B32,INPUT_DATA!$C:$C,"D"))</f>
        <v>155.59</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153">
        <f>IF($B32=0,"",SUMIFS(INPUT_DATA!AR:AR,INPUT_DATA!$A:$A,$B32,INPUT_DATA!$C:$C,"D"))</f>
        <v>0</v>
      </c>
      <c r="CS32" s="714">
        <f t="shared" si="14"/>
        <v>6588.0599999999995</v>
      </c>
      <c r="CT32" s="714">
        <f t="shared" si="15"/>
        <v>1440.9</v>
      </c>
      <c r="CU32" s="714">
        <f t="shared" si="16"/>
        <v>0</v>
      </c>
      <c r="CV32" s="703">
        <f>IF($B32=0,"",SUMIFS(INPUT_DATA!AS:AS,INPUT_DATA!$A:$A,$B32,INPUT_DATA!$C:$C,"D"))</f>
        <v>6588.0599999999995</v>
      </c>
      <c r="CW32" s="703">
        <f>IF($B32=0,"",SUMIFS(INPUT_DATA!AT:AT,INPUT_DATA!$A:$A,$B32,INPUT_DATA!$C:$C,"D"))</f>
        <v>1440.9</v>
      </c>
      <c r="CX32" s="703">
        <f>IF($B32=0,"",SUMIFS(INPUT_DATA!AU:AU,INPUT_DATA!$A:$A,$B32,INPUT_DATA!$C:$C,"D"))</f>
        <v>0</v>
      </c>
      <c r="CY32" s="703">
        <f t="shared" si="17"/>
        <v>0</v>
      </c>
      <c r="CZ32" s="714">
        <f t="shared" si="18"/>
        <v>0</v>
      </c>
      <c r="DA32" s="725">
        <f t="shared" si="19"/>
        <v>0</v>
      </c>
      <c r="DB32" s="150"/>
    </row>
    <row r="33" spans="1:106">
      <c r="B33" s="697">
        <f>INPUT_DATA!BR20</f>
        <v>45716</v>
      </c>
      <c r="C33" s="702">
        <f>IF($B33=0,"",SUMIFS(INPUT_DATA!D:D,INPUT_DATA!$A:$A,$B33,INPUT_DATA!$C:$C,"S"))</f>
        <v>657546105.12000012</v>
      </c>
      <c r="D33" s="703">
        <f>IF($B33=0,"",SUMIFS(INPUT_DATA!E:E,INPUT_DATA!$A:$A,$B33,INPUT_DATA!$C:$C,"S"))</f>
        <v>0</v>
      </c>
      <c r="E33" s="703">
        <f>IF($B33=0,"",SUMIFS(INPUT_DATA!F:F,INPUT_DATA!$A:$A,$B33,INPUT_DATA!$C:$C,"S"))</f>
        <v>0</v>
      </c>
      <c r="F33" s="704">
        <f>IF($B33=0,"",SUMIFS(INPUT_DATA!G:G,INPUT_DATA!$A:$A,$B33,INPUT_DATA!$C:$C,"S"))</f>
        <v>4705470.4400000004</v>
      </c>
      <c r="G33" s="704">
        <f>IF($B33=0,"",SUMIFS(INPUT_DATA!H:H,INPUT_DATA!$A:$A,$B33,INPUT_DATA!$C:$C,"S"))</f>
        <v>591214.62</v>
      </c>
      <c r="H33" s="704">
        <f>IF($B33=0,"",SUMIFS(INPUT_DATA!I:I,INPUT_DATA!$A:$A,$B33,INPUT_DATA!$C:$C,"S"))</f>
        <v>0</v>
      </c>
      <c r="I33" s="704">
        <f>IF($B33=0,"",SUMIFS(INPUT_DATA!J:J,INPUT_DATA!$A:$A,$B33,INPUT_DATA!$C:$C,"S"))</f>
        <v>634.3599999999999</v>
      </c>
      <c r="J33" s="704">
        <f>IF($B33=0,"",SUMIFS(INPUT_DATA!K:K,INPUT_DATA!$A:$A,$B33,INPUT_DATA!$C:$C,"S"))</f>
        <v>0</v>
      </c>
      <c r="K33" s="704">
        <f>IF($B33=0,"",SUMIFS(INPUT_DATA!L:L,INPUT_DATA!$A:$A,$B33,INPUT_DATA!$C:$C,"S"))</f>
        <v>0</v>
      </c>
      <c r="L33" s="704">
        <f>IF($B33=0,"",SUMIFS(INPUT_DATA!M:M,INPUT_DATA!$A:$A,$B33,INPUT_DATA!$C:$C,"S"))</f>
        <v>0</v>
      </c>
      <c r="M33" s="704">
        <f>IF($B33=0,"",SUMIFS(INPUT_DATA!N:N,INPUT_DATA!$A:$A,$B33,INPUT_DATA!$C:$C,"S"))</f>
        <v>0</v>
      </c>
      <c r="N33" s="704">
        <f>IF($B33=0,"",SUMIFS(INPUT_DATA!O:O,INPUT_DATA!$A:$A,$B33,INPUT_DATA!$C:$C,"S"))</f>
        <v>0</v>
      </c>
      <c r="O33" s="704">
        <f>IF($B33=0,"",SUMIFS(INPUT_DATA!P:P,INPUT_DATA!$A:$A,$B33,INPUT_DATA!$C:$C,"S"))</f>
        <v>0</v>
      </c>
      <c r="P33" s="705">
        <f t="shared" si="5"/>
        <v>652250054.42000008</v>
      </c>
      <c r="Q33" s="706">
        <f>IF($B33=0,"",SUMIFS(INPUT_DATA!Q:Q,INPUT_DATA!$A:$A,$B33,INPUT_DATA!$C:$C,"S"))</f>
        <v>652250054.41999888</v>
      </c>
      <c r="R33" s="706">
        <f t="shared" si="20"/>
        <v>1.1920928955078125E-6</v>
      </c>
      <c r="S33" s="712">
        <f>IF($B33=0,"",SUMIFS(INPUT_DATA!R:R,INPUT_DATA!$A:$A,$B33,INPUT_DATA!$C:$C,"S"))</f>
        <v>87713.279999999984</v>
      </c>
      <c r="T33" s="712">
        <f>IF($B33=0,"",SUMIFS(INPUT_DATA!S:S,INPUT_DATA!$A:$A,$B33,INPUT_DATA!$C:$C,"S"))</f>
        <v>13114.01</v>
      </c>
      <c r="U33" s="712">
        <f>IF($B33=0,"",SUMIFS(INPUT_DATA!T:T,INPUT_DATA!$A:$A,$B33,INPUT_DATA!$C:$C,"S"))</f>
        <v>0</v>
      </c>
      <c r="V33" s="297">
        <f>IF($B33=0,"",SUMIFS(INPUT_DATA!U:U,INPUT_DATA!$A:$A,$B33,INPUT_DATA!$C:$C,"S"))</f>
        <v>96657.999999999985</v>
      </c>
      <c r="W33" s="297">
        <f>IF($B33=0,"",SUMIFS(INPUT_DATA!V:V,INPUT_DATA!$A:$A,$B33,INPUT_DATA!$C:$C,"S"))</f>
        <v>10640.420000000004</v>
      </c>
      <c r="X33" s="297">
        <f>IF($B33=0,"",SUMIFS(INPUT_DATA!W:W,INPUT_DATA!$A:$A,$B33,INPUT_DATA!$C:$C,"S"))</f>
        <v>0</v>
      </c>
      <c r="Y33" s="297">
        <f>IF($B33=0,"",SUMIFS(INPUT_DATA!X:X,INPUT_DATA!$A:$A,$B33,INPUT_DATA!$C:$C,"S"))</f>
        <v>76778.010000000009</v>
      </c>
      <c r="Z33" s="297">
        <f>IF($B33=0,"",SUMIFS(INPUT_DATA!Y:Y,INPUT_DATA!$A:$A,$B33,INPUT_DATA!$C:$C,"S"))</f>
        <v>11608.150000000001</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0</v>
      </c>
      <c r="AI33" s="297">
        <f>IF($B33=0,"",SUMIFS(INPUT_DATA!AH:AH,INPUT_DATA!$A:$A,$B33,INPUT_DATA!$C:$C,"S"))</f>
        <v>0</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297">
        <f>IF($B33=0,"",SUMIFS(INPUT_DATA!AR:AR,INPUT_DATA!$A:$A,$B33,INPUT_DATA!$C:$C,"S"))</f>
        <v>0</v>
      </c>
      <c r="AT33" s="713">
        <f t="shared" si="11"/>
        <v>107593.26999999996</v>
      </c>
      <c r="AU33" s="714">
        <f t="shared" si="12"/>
        <v>12146.280000000002</v>
      </c>
      <c r="AV33" s="715">
        <f t="shared" si="13"/>
        <v>0</v>
      </c>
      <c r="AW33" s="713">
        <f>IF($B33=0,"",SUMIFS(INPUT_DATA!AS:AS,INPUT_DATA!$A:$A,$B33,INPUT_DATA!$C:$C,"S"))</f>
        <v>107593.26999999999</v>
      </c>
      <c r="AX33" s="714">
        <f>IF($B33=0,"",SUMIFS(INPUT_DATA!AT:AT,INPUT_DATA!$A:$A,$B33,INPUT_DATA!$C:$C,"S"))</f>
        <v>12146.280000000002</v>
      </c>
      <c r="AY33" s="715">
        <f>IF($B33=0,"",SUMIFS(INPUT_DATA!AU:AU,INPUT_DATA!$A:$A,$B33,INPUT_DATA!$C:$C,"S"))</f>
        <v>0</v>
      </c>
      <c r="AZ33" s="713">
        <f t="shared" si="6"/>
        <v>-2.9103830456733704E-11</v>
      </c>
      <c r="BA33" s="714">
        <f t="shared" si="7"/>
        <v>0</v>
      </c>
      <c r="BB33" s="715">
        <f t="shared" si="8"/>
        <v>0</v>
      </c>
      <c r="BC33" s="150"/>
      <c r="BD33" s="702">
        <f>IF($B33=0,"",SUMIFS(INPUT_DATA!D:D,INPUT_DATA!$A:$A,$B33,INPUT_DATA!$C:$C,"D"))</f>
        <v>502666.54</v>
      </c>
      <c r="BE33" s="296">
        <f>IF($B33=0,"",SUMIFS(INPUT_DATA!G:G,INPUT_DATA!$A:$A,$B33,INPUT_DATA!$C:$C,"D"))</f>
        <v>1601.39</v>
      </c>
      <c r="BF33" s="296">
        <f>IF($B33=0,"",SUMIFS(INPUT_DATA!H:H,INPUT_DATA!$A:$A,$B33,INPUT_DATA!$C:$C,"D"))</f>
        <v>0</v>
      </c>
      <c r="BG33" s="296">
        <f>IF($B33=0,"",SUMIFS(INPUT_DATA!I:I,INPUT_DATA!$A:$A,$B33,INPUT_DATA!$C:$C,"D"))</f>
        <v>0</v>
      </c>
      <c r="BH33" s="296">
        <f>IF($B33=0,"",SUMIFS(INPUT_DATA!J:J,INPUT_DATA!$A:$A,$B33,INPUT_DATA!$C:$C,"D"))</f>
        <v>246.23</v>
      </c>
      <c r="BI33" s="296">
        <f>IF($B33=0,"",SUMIFS(INPUT_DATA!K:K,INPUT_DATA!$A:$A,$B33,INPUT_DATA!$C:$C,"D"))</f>
        <v>0</v>
      </c>
      <c r="BJ33" s="296">
        <f>IF($B33=0,"",SUMIFS(INPUT_DATA!L:L,INPUT_DATA!$A:$A,$B33,INPUT_DATA!$C:$C,"D"))</f>
        <v>0</v>
      </c>
      <c r="BK33" s="296">
        <f>IF($B33=0,"",SUMIFS(INPUT_DATA!M:M,INPUT_DATA!$A:$A,$B33,INPUT_DATA!$C:$C,"D"))</f>
        <v>0</v>
      </c>
      <c r="BL33" s="296">
        <f>IF($B33=0,"",SUMIFS(INPUT_DATA!N:N,INPUT_DATA!$A:$A,$B33,INPUT_DATA!$C:$C,"D"))</f>
        <v>0</v>
      </c>
      <c r="BM33" s="296">
        <f>IF($B33=0,"",SUMIFS(INPUT_DATA!O:O,INPUT_DATA!$A:$A,$B33,INPUT_DATA!$C:$C,"D"))</f>
        <v>0</v>
      </c>
      <c r="BN33" s="296">
        <f>IF($B33=0,"",SUMIFS(INPUT_DATA!P:P,INPUT_DATA!$A:$A,$B33,INPUT_DATA!$C:$C,"D"))</f>
        <v>0</v>
      </c>
      <c r="BO33" s="718">
        <f t="shared" si="9"/>
        <v>501311.37999999995</v>
      </c>
      <c r="BP33" s="990">
        <f>IF($B33=0,"",SUMIFS(INPUT_DATA!Q:Q,INPUT_DATA!$A:$A,$B33,INPUT_DATA!$C:$C,"D"))</f>
        <v>501311.38</v>
      </c>
      <c r="BQ33" s="718">
        <f t="shared" si="10"/>
        <v>-5.8207660913467407E-11</v>
      </c>
      <c r="BR33" s="702">
        <f>IF($B33=0,"",SUMIFS(INPUT_DATA!R:R,INPUT_DATA!$A:$A,$B33,INPUT_DATA!$C:$C,"D"))</f>
        <v>12565.78</v>
      </c>
      <c r="BS33" s="724">
        <f>IF($B33=0,"",SUMIFS(INPUT_DATA!S:S,INPUT_DATA!$A:$A,$B33,INPUT_DATA!$C:$C,"D"))</f>
        <v>686.02</v>
      </c>
      <c r="BT33" s="724">
        <f>IF($B33=0,"",SUMIFS(INPUT_DATA!T:T,INPUT_DATA!$A:$A,$B33,INPUT_DATA!$C:$C,"D"))</f>
        <v>0</v>
      </c>
      <c r="BU33" s="296">
        <f>IF($B33=0,"",SUMIFS(INPUT_DATA!U:U,INPUT_DATA!$A:$A,$B33,INPUT_DATA!$C:$C,"D"))</f>
        <v>1601.39</v>
      </c>
      <c r="BV33" s="296">
        <f>IF($B33=0,"",SUMIFS(INPUT_DATA!V:V,INPUT_DATA!$A:$A,$B33,INPUT_DATA!$C:$C,"D"))</f>
        <v>70.070000000000007</v>
      </c>
      <c r="BW33" s="296">
        <f>IF($B33=0,"",SUMIFS(INPUT_DATA!W:W,INPUT_DATA!$A:$A,$B33,INPUT_DATA!$C:$C,"D"))</f>
        <v>0</v>
      </c>
      <c r="BX33" s="296">
        <f>IF($B33=0,"",SUMIFS(INPUT_DATA!X:X,INPUT_DATA!$A:$A,$B33,INPUT_DATA!$C:$C,"D"))</f>
        <v>11333.300000000001</v>
      </c>
      <c r="BY33" s="296">
        <f>IF($B33=0,"",SUMIFS(INPUT_DATA!Y:Y,INPUT_DATA!$A:$A,$B33,INPUT_DATA!$C:$C,"D"))</f>
        <v>686.02</v>
      </c>
      <c r="BZ33" s="296">
        <f>IF($B33=0,"",SUMIFS(INPUT_DATA!Z:Z,INPUT_DATA!$A:$A,$B33,INPUT_DATA!$C:$C,"D"))</f>
        <v>0</v>
      </c>
      <c r="CA33" s="336">
        <f>IF($B33=0,"",SUMIFS(INPUT_DATA!AA:AA,INPUT_DATA!$A:$A,$B33,INPUT_DATA!$C:$C,"D"))</f>
        <v>0</v>
      </c>
      <c r="CB33" s="336">
        <f>IF($B33=0,"",SUMIFS(INPUT_DATA!AB:AB,INPUT_DATA!$A:$A,$B33,INPUT_DATA!$C:$C,"D"))</f>
        <v>0</v>
      </c>
      <c r="CC33" s="336">
        <f>IF($B33=0,"",SUMIFS(INPUT_DATA!AC:AC,INPUT_DATA!$A:$A,$B33,INPUT_DATA!$C:$C,"D"))</f>
        <v>0</v>
      </c>
      <c r="CD33" s="296">
        <f>IF($B33=0,"",SUMIFS(INPUT_DATA!AD:AD,INPUT_DATA!$A:$A,$B33,INPUT_DATA!$C:$C,"D"))</f>
        <v>0</v>
      </c>
      <c r="CE33" s="296">
        <f>IF($B33=0,"",SUMIFS(INPUT_DATA!AE:AE,INPUT_DATA!$A:$A,$B33,INPUT_DATA!$C:$C,"D"))</f>
        <v>0</v>
      </c>
      <c r="CF33" s="296">
        <f>IF($B33=0,"",SUMIFS(INPUT_DATA!AF:AF,INPUT_DATA!$A:$A,$B33,INPUT_DATA!$C:$C,"D"))</f>
        <v>0</v>
      </c>
      <c r="CG33" s="336">
        <f>IF($B33=0,"",SUMIFS(INPUT_DATA!AG:AG,INPUT_DATA!$A:$A,$B33,INPUT_DATA!$C:$C,"D"))</f>
        <v>0</v>
      </c>
      <c r="CH33" s="336">
        <f>IF($B33=0,"",SUMIFS(INPUT_DATA!AH:AH,INPUT_DATA!$A:$A,$B33,INPUT_DATA!$C:$C,"D"))</f>
        <v>0</v>
      </c>
      <c r="CI33" s="336">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153">
        <f>IF($B33=0,"",SUMIFS(INPUT_DATA!AR:AR,INPUT_DATA!$A:$A,$B33,INPUT_DATA!$C:$C,"D"))</f>
        <v>0</v>
      </c>
      <c r="CS33" s="714">
        <f t="shared" si="14"/>
        <v>2833.869999999999</v>
      </c>
      <c r="CT33" s="714">
        <f t="shared" si="15"/>
        <v>70.07000000000005</v>
      </c>
      <c r="CU33" s="714">
        <f t="shared" si="16"/>
        <v>0</v>
      </c>
      <c r="CV33" s="703">
        <f>IF($B33=0,"",SUMIFS(INPUT_DATA!AS:AS,INPUT_DATA!$A:$A,$B33,INPUT_DATA!$C:$C,"D"))</f>
        <v>2833.87</v>
      </c>
      <c r="CW33" s="703">
        <f>IF($B33=0,"",SUMIFS(INPUT_DATA!AT:AT,INPUT_DATA!$A:$A,$B33,INPUT_DATA!$C:$C,"D"))</f>
        <v>70.069999999999993</v>
      </c>
      <c r="CX33" s="703">
        <f>IF($B33=0,"",SUMIFS(INPUT_DATA!AU:AU,INPUT_DATA!$A:$A,$B33,INPUT_DATA!$C:$C,"D"))</f>
        <v>0</v>
      </c>
      <c r="CY33" s="703">
        <f t="shared" si="17"/>
        <v>-9.0949470177292824E-13</v>
      </c>
      <c r="CZ33" s="714">
        <f t="shared" si="18"/>
        <v>5.6843418860808015E-14</v>
      </c>
      <c r="DA33" s="725">
        <f t="shared" si="19"/>
        <v>0</v>
      </c>
      <c r="DB33" s="150"/>
    </row>
    <row r="34" spans="1:106">
      <c r="B34" s="697">
        <f>INPUT_DATA!BR21</f>
        <v>45688</v>
      </c>
      <c r="C34" s="702">
        <f>IF($B34=0,"",SUMIFS(INPUT_DATA!D:D,INPUT_DATA!$A:$A,$B34,INPUT_DATA!$C:$C,"S"))</f>
        <v>663515720.61999917</v>
      </c>
      <c r="D34" s="703">
        <f>IF($B34=0,"",SUMIFS(INPUT_DATA!E:E,INPUT_DATA!$A:$A,$B34,INPUT_DATA!$C:$C,"S"))</f>
        <v>0</v>
      </c>
      <c r="E34" s="703">
        <f>IF($B34=0,"",SUMIFS(INPUT_DATA!F:F,INPUT_DATA!$A:$A,$B34,INPUT_DATA!$C:$C,"S"))</f>
        <v>0</v>
      </c>
      <c r="F34" s="704">
        <f>IF($B34=0,"",SUMIFS(INPUT_DATA!G:G,INPUT_DATA!$A:$A,$B34,INPUT_DATA!$C:$C,"S"))</f>
        <v>4775823.26000001</v>
      </c>
      <c r="G34" s="704">
        <f>IF($B34=0,"",SUMIFS(INPUT_DATA!H:H,INPUT_DATA!$A:$A,$B34,INPUT_DATA!$C:$C,"S"))</f>
        <v>1194425.79</v>
      </c>
      <c r="H34" s="704">
        <f>IF($B34=0,"",SUMIFS(INPUT_DATA!I:I,INPUT_DATA!$A:$A,$B34,INPUT_DATA!$C:$C,"S"))</f>
        <v>0</v>
      </c>
      <c r="I34" s="704">
        <f>IF($B34=0,"",SUMIFS(INPUT_DATA!J:J,INPUT_DATA!$A:$A,$B34,INPUT_DATA!$C:$C,"S"))</f>
        <v>633.54999999999995</v>
      </c>
      <c r="J34" s="704">
        <f>IF($B34=0,"",SUMIFS(INPUT_DATA!K:K,INPUT_DATA!$A:$A,$B34,INPUT_DATA!$C:$C,"S"))</f>
        <v>0</v>
      </c>
      <c r="K34" s="704">
        <f>IF($B34=0,"",SUMIFS(INPUT_DATA!L:L,INPUT_DATA!$A:$A,$B34,INPUT_DATA!$C:$C,"S"))</f>
        <v>0</v>
      </c>
      <c r="L34" s="704">
        <f>IF($B34=0,"",SUMIFS(INPUT_DATA!M:M,INPUT_DATA!$A:$A,$B34,INPUT_DATA!$C:$C,"S"))</f>
        <v>0</v>
      </c>
      <c r="M34" s="704">
        <f>IF($B34=0,"",SUMIFS(INPUT_DATA!N:N,INPUT_DATA!$A:$A,$B34,INPUT_DATA!$C:$C,"S"))</f>
        <v>0</v>
      </c>
      <c r="N34" s="704">
        <f>IF($B34=0,"",SUMIFS(INPUT_DATA!O:O,INPUT_DATA!$A:$A,$B34,INPUT_DATA!$C:$C,"S"))</f>
        <v>0</v>
      </c>
      <c r="O34" s="704">
        <f>IF($B34=0,"",SUMIFS(INPUT_DATA!P:P,INPUT_DATA!$A:$A,$B34,INPUT_DATA!$C:$C,"S"))</f>
        <v>0</v>
      </c>
      <c r="P34" s="705">
        <f t="shared" si="5"/>
        <v>657546105.11999917</v>
      </c>
      <c r="Q34" s="706">
        <f>IF($B34=0,"",SUMIFS(INPUT_DATA!Q:Q,INPUT_DATA!$A:$A,$B34,INPUT_DATA!$C:$C,"S"))</f>
        <v>657546105.12000012</v>
      </c>
      <c r="R34" s="706">
        <f t="shared" si="20"/>
        <v>-9.5367431640625E-7</v>
      </c>
      <c r="S34" s="712">
        <f>IF($B34=0,"",SUMIFS(INPUT_DATA!R:R,INPUT_DATA!$A:$A,$B34,INPUT_DATA!$C:$C,"S"))</f>
        <v>80755.87</v>
      </c>
      <c r="T34" s="712">
        <f>IF($B34=0,"",SUMIFS(INPUT_DATA!S:S,INPUT_DATA!$A:$A,$B34,INPUT_DATA!$C:$C,"S"))</f>
        <v>6704.7600000000011</v>
      </c>
      <c r="U34" s="712">
        <f>IF($B34=0,"",SUMIFS(INPUT_DATA!T:T,INPUT_DATA!$A:$A,$B34,INPUT_DATA!$C:$C,"S"))</f>
        <v>0</v>
      </c>
      <c r="V34" s="297">
        <f>IF($B34=0,"",SUMIFS(INPUT_DATA!U:U,INPUT_DATA!$A:$A,$B34,INPUT_DATA!$C:$C,"S"))</f>
        <v>79994.129999999961</v>
      </c>
      <c r="W34" s="297">
        <f>IF($B34=0,"",SUMIFS(INPUT_DATA!V:V,INPUT_DATA!$A:$A,$B34,INPUT_DATA!$C:$C,"S"))</f>
        <v>12390.800000000001</v>
      </c>
      <c r="X34" s="297">
        <f>IF($B34=0,"",SUMIFS(INPUT_DATA!W:W,INPUT_DATA!$A:$A,$B34,INPUT_DATA!$C:$C,"S"))</f>
        <v>0</v>
      </c>
      <c r="Y34" s="297">
        <f>IF($B34=0,"",SUMIFS(INPUT_DATA!X:X,INPUT_DATA!$A:$A,$B34,INPUT_DATA!$C:$C,"S"))</f>
        <v>73036.719999999987</v>
      </c>
      <c r="Z34" s="297">
        <f>IF($B34=0,"",SUMIFS(INPUT_DATA!Y:Y,INPUT_DATA!$A:$A,$B34,INPUT_DATA!$C:$C,"S"))</f>
        <v>5981.5499999999993</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0</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297">
        <f>IF($B34=0,"",SUMIFS(INPUT_DATA!AR:AR,INPUT_DATA!$A:$A,$B34,INPUT_DATA!$C:$C,"S"))</f>
        <v>0</v>
      </c>
      <c r="AT34" s="713">
        <f t="shared" si="11"/>
        <v>87713.279999999955</v>
      </c>
      <c r="AU34" s="714">
        <f t="shared" si="12"/>
        <v>13114.010000000002</v>
      </c>
      <c r="AV34" s="715">
        <f t="shared" si="13"/>
        <v>0</v>
      </c>
      <c r="AW34" s="713">
        <f>IF($B34=0,"",SUMIFS(INPUT_DATA!AS:AS,INPUT_DATA!$A:$A,$B34,INPUT_DATA!$C:$C,"S"))</f>
        <v>87713.279999999984</v>
      </c>
      <c r="AX34" s="714">
        <f>IF($B34=0,"",SUMIFS(INPUT_DATA!AT:AT,INPUT_DATA!$A:$A,$B34,INPUT_DATA!$C:$C,"S"))</f>
        <v>13114.01</v>
      </c>
      <c r="AY34" s="715">
        <f>IF($B34=0,"",SUMIFS(INPUT_DATA!AU:AU,INPUT_DATA!$A:$A,$B34,INPUT_DATA!$C:$C,"S"))</f>
        <v>0</v>
      </c>
      <c r="AZ34" s="713">
        <f t="shared" si="6"/>
        <v>-2.9103830456733704E-11</v>
      </c>
      <c r="BA34" s="714">
        <f t="shared" si="7"/>
        <v>1.8189894035458565E-12</v>
      </c>
      <c r="BB34" s="715">
        <f t="shared" si="8"/>
        <v>0</v>
      </c>
      <c r="BC34" s="150"/>
      <c r="BD34" s="702">
        <f>IF($B34=0,"",SUMIFS(INPUT_DATA!D:D,INPUT_DATA!$A:$A,$B34,INPUT_DATA!$C:$C,"D"))</f>
        <v>504020.12</v>
      </c>
      <c r="BE34" s="296">
        <f>IF($B34=0,"",SUMIFS(INPUT_DATA!G:G,INPUT_DATA!$A:$A,$B34,INPUT_DATA!$C:$C,"D"))</f>
        <v>1599.66</v>
      </c>
      <c r="BF34" s="296">
        <f>IF($B34=0,"",SUMIFS(INPUT_DATA!H:H,INPUT_DATA!$A:$A,$B34,INPUT_DATA!$C:$C,"D"))</f>
        <v>0</v>
      </c>
      <c r="BG34" s="296">
        <f>IF($B34=0,"",SUMIFS(INPUT_DATA!I:I,INPUT_DATA!$A:$A,$B34,INPUT_DATA!$C:$C,"D"))</f>
        <v>0</v>
      </c>
      <c r="BH34" s="296">
        <f>IF($B34=0,"",SUMIFS(INPUT_DATA!J:J,INPUT_DATA!$A:$A,$B34,INPUT_DATA!$C:$C,"D"))</f>
        <v>246.08</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296">
        <f>IF($B34=0,"",SUMIFS(INPUT_DATA!P:P,INPUT_DATA!$A:$A,$B34,INPUT_DATA!$C:$C,"D"))</f>
        <v>0</v>
      </c>
      <c r="BO34" s="718">
        <f t="shared" si="9"/>
        <v>502666.54000000004</v>
      </c>
      <c r="BP34" s="990">
        <f>IF($B34=0,"",SUMIFS(INPUT_DATA!Q:Q,INPUT_DATA!$A:$A,$B34,INPUT_DATA!$C:$C,"D"))</f>
        <v>502666.54</v>
      </c>
      <c r="BQ34" s="718">
        <f t="shared" si="10"/>
        <v>5.8207660913467407E-11</v>
      </c>
      <c r="BR34" s="702">
        <f>IF($B34=0,"",SUMIFS(INPUT_DATA!R:R,INPUT_DATA!$A:$A,$B34,INPUT_DATA!$C:$C,"D"))</f>
        <v>14379.25</v>
      </c>
      <c r="BS34" s="724">
        <f>IF($B34=0,"",SUMIFS(INPUT_DATA!S:S,INPUT_DATA!$A:$A,$B34,INPUT_DATA!$C:$C,"D"))</f>
        <v>940.17</v>
      </c>
      <c r="BT34" s="724">
        <f>IF($B34=0,"",SUMIFS(INPUT_DATA!T:T,INPUT_DATA!$A:$A,$B34,INPUT_DATA!$C:$C,"D"))</f>
        <v>0</v>
      </c>
      <c r="BU34" s="296">
        <f>IF($B34=0,"",SUMIFS(INPUT_DATA!U:U,INPUT_DATA!$A:$A,$B34,INPUT_DATA!$C:$C,"D"))</f>
        <v>1599.66</v>
      </c>
      <c r="BV34" s="296">
        <f>IF($B34=0,"",SUMIFS(INPUT_DATA!V:V,INPUT_DATA!$A:$A,$B34,INPUT_DATA!$C:$C,"D"))</f>
        <v>88.99</v>
      </c>
      <c r="BW34" s="296">
        <f>IF($B34=0,"",SUMIFS(INPUT_DATA!W:W,INPUT_DATA!$A:$A,$B34,INPUT_DATA!$C:$C,"D"))</f>
        <v>0</v>
      </c>
      <c r="BX34" s="296">
        <f>IF($B34=0,"",SUMIFS(INPUT_DATA!X:X,INPUT_DATA!$A:$A,$B34,INPUT_DATA!$C:$C,"D"))</f>
        <v>3413.13</v>
      </c>
      <c r="BY34" s="296">
        <f>IF($B34=0,"",SUMIFS(INPUT_DATA!Y:Y,INPUT_DATA!$A:$A,$B34,INPUT_DATA!$C:$C,"D"))</f>
        <v>343.14</v>
      </c>
      <c r="BZ34" s="296">
        <f>IF($B34=0,"",SUMIFS(INPUT_DATA!Z:Z,INPUT_DATA!$A:$A,$B34,INPUT_DATA!$C:$C,"D"))</f>
        <v>0</v>
      </c>
      <c r="CA34" s="336">
        <f>IF($B34=0,"",SUMIFS(INPUT_DATA!AA:AA,INPUT_DATA!$A:$A,$B34,INPUT_DATA!$C:$C,"D"))</f>
        <v>0</v>
      </c>
      <c r="CB34" s="336">
        <f>IF($B34=0,"",SUMIFS(INPUT_DATA!AB:AB,INPUT_DATA!$A:$A,$B34,INPUT_DATA!$C:$C,"D"))</f>
        <v>0</v>
      </c>
      <c r="CC34" s="336">
        <f>IF($B34=0,"",SUMIFS(INPUT_DATA!AC:AC,INPUT_DATA!$A:$A,$B34,INPUT_DATA!$C:$C,"D"))</f>
        <v>0</v>
      </c>
      <c r="CD34" s="296">
        <f>IF($B34=0,"",SUMIFS(INPUT_DATA!AD:AD,INPUT_DATA!$A:$A,$B34,INPUT_DATA!$C:$C,"D"))</f>
        <v>0</v>
      </c>
      <c r="CE34" s="296">
        <f>IF($B34=0,"",SUMIFS(INPUT_DATA!AE:AE,INPUT_DATA!$A:$A,$B34,INPUT_DATA!$C:$C,"D"))</f>
        <v>0</v>
      </c>
      <c r="CF34" s="296">
        <f>IF($B34=0,"",SUMIFS(INPUT_DATA!AF:AF,INPUT_DATA!$A:$A,$B34,INPUT_DATA!$C:$C,"D"))</f>
        <v>0</v>
      </c>
      <c r="CG34" s="336">
        <f>IF($B34=0,"",SUMIFS(INPUT_DATA!AG:AG,INPUT_DATA!$A:$A,$B34,INPUT_DATA!$C:$C,"D"))</f>
        <v>0</v>
      </c>
      <c r="CH34" s="336">
        <f>IF($B34=0,"",SUMIFS(INPUT_DATA!AH:AH,INPUT_DATA!$A:$A,$B34,INPUT_DATA!$C:$C,"D"))</f>
        <v>0</v>
      </c>
      <c r="CI34" s="336">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153">
        <f>IF($B34=0,"",SUMIFS(INPUT_DATA!AR:AR,INPUT_DATA!$A:$A,$B34,INPUT_DATA!$C:$C,"D"))</f>
        <v>0</v>
      </c>
      <c r="CS34" s="714">
        <f t="shared" si="14"/>
        <v>12565.779999999999</v>
      </c>
      <c r="CT34" s="714">
        <f t="shared" si="15"/>
        <v>686.01999999999987</v>
      </c>
      <c r="CU34" s="714">
        <f t="shared" si="16"/>
        <v>0</v>
      </c>
      <c r="CV34" s="703">
        <f>IF($B34=0,"",SUMIFS(INPUT_DATA!AS:AS,INPUT_DATA!$A:$A,$B34,INPUT_DATA!$C:$C,"D"))</f>
        <v>12565.78</v>
      </c>
      <c r="CW34" s="703">
        <f>IF($B34=0,"",SUMIFS(INPUT_DATA!AT:AT,INPUT_DATA!$A:$A,$B34,INPUT_DATA!$C:$C,"D"))</f>
        <v>686.02</v>
      </c>
      <c r="CX34" s="703">
        <f>IF($B34=0,"",SUMIFS(INPUT_DATA!AU:AU,INPUT_DATA!$A:$A,$B34,INPUT_DATA!$C:$C,"D"))</f>
        <v>0</v>
      </c>
      <c r="CY34" s="703">
        <f t="shared" si="17"/>
        <v>-1.8189894035458565E-12</v>
      </c>
      <c r="CZ34" s="714">
        <f t="shared" si="18"/>
        <v>-1.1368683772161603E-13</v>
      </c>
      <c r="DA34" s="725">
        <f t="shared" si="19"/>
        <v>0</v>
      </c>
      <c r="DB34" s="150"/>
    </row>
    <row r="35" spans="1:106">
      <c r="B35" s="697">
        <f>INPUT_DATA!BR22</f>
        <v>45657</v>
      </c>
      <c r="C35" s="702">
        <f>IF($B35=0,"",SUMIFS(INPUT_DATA!D:D,INPUT_DATA!$A:$A,$B35,INPUT_DATA!$C:$C,"S"))</f>
        <v>669520516.21000004</v>
      </c>
      <c r="D35" s="703">
        <f>IF($B35=0,"",SUMIFS(INPUT_DATA!E:E,INPUT_DATA!$A:$A,$B35,INPUT_DATA!$C:$C,"S"))</f>
        <v>0</v>
      </c>
      <c r="E35" s="703">
        <f>IF($B35=0,"",SUMIFS(INPUT_DATA!F:F,INPUT_DATA!$A:$A,$B35,INPUT_DATA!$C:$C,"S"))</f>
        <v>0</v>
      </c>
      <c r="F35" s="704">
        <f>IF($B35=0,"",SUMIFS(INPUT_DATA!G:G,INPUT_DATA!$A:$A,$B35,INPUT_DATA!$C:$C,"S"))</f>
        <v>5022731.91</v>
      </c>
      <c r="G35" s="704">
        <f>IF($B35=0,"",SUMIFS(INPUT_DATA!H:H,INPUT_DATA!$A:$A,$B35,INPUT_DATA!$C:$C,"S"))</f>
        <v>982640.81</v>
      </c>
      <c r="H35" s="704">
        <f>IF($B35=0,"",SUMIFS(INPUT_DATA!I:I,INPUT_DATA!$A:$A,$B35,INPUT_DATA!$C:$C,"S"))</f>
        <v>0</v>
      </c>
      <c r="I35" s="704">
        <f>IF($B35=0,"",SUMIFS(INPUT_DATA!J:J,INPUT_DATA!$A:$A,$B35,INPUT_DATA!$C:$C,"S"))</f>
        <v>577.13</v>
      </c>
      <c r="J35" s="704">
        <f>IF($B35=0,"",SUMIFS(INPUT_DATA!K:K,INPUT_DATA!$A:$A,$B35,INPUT_DATA!$C:$C,"S"))</f>
        <v>0</v>
      </c>
      <c r="K35" s="704">
        <f>IF($B35=0,"",SUMIFS(INPUT_DATA!L:L,INPUT_DATA!$A:$A,$B35,INPUT_DATA!$C:$C,"S"))</f>
        <v>0</v>
      </c>
      <c r="L35" s="704">
        <f>IF($B35=0,"",SUMIFS(INPUT_DATA!M:M,INPUT_DATA!$A:$A,$B35,INPUT_DATA!$C:$C,"S"))</f>
        <v>0</v>
      </c>
      <c r="M35" s="704">
        <f>IF($B35=0,"",SUMIFS(INPUT_DATA!N:N,INPUT_DATA!$A:$A,$B35,INPUT_DATA!$C:$C,"S"))</f>
        <v>0</v>
      </c>
      <c r="N35" s="704">
        <f>IF($B35=0,"",SUMIFS(INPUT_DATA!O:O,INPUT_DATA!$A:$A,$B35,INPUT_DATA!$C:$C,"S"))</f>
        <v>0</v>
      </c>
      <c r="O35" s="704">
        <f>IF($B35=0,"",SUMIFS(INPUT_DATA!P:P,INPUT_DATA!$A:$A,$B35,INPUT_DATA!$C:$C,"S"))</f>
        <v>0</v>
      </c>
      <c r="P35" s="705">
        <f t="shared" si="5"/>
        <v>663515720.62000012</v>
      </c>
      <c r="Q35" s="706">
        <f>IF($B35=0,"",SUMIFS(INPUT_DATA!Q:Q,INPUT_DATA!$A:$A,$B35,INPUT_DATA!$C:$C,"S"))</f>
        <v>663515720.62</v>
      </c>
      <c r="R35" s="706">
        <f t="shared" si="20"/>
        <v>1.1920928955078125E-7</v>
      </c>
      <c r="S35" s="712">
        <f>IF($B35=0,"",SUMIFS(INPUT_DATA!R:R,INPUT_DATA!$A:$A,$B35,INPUT_DATA!$C:$C,"S"))</f>
        <v>77894.490000000005</v>
      </c>
      <c r="T35" s="712">
        <f>IF($B35=0,"",SUMIFS(INPUT_DATA!S:S,INPUT_DATA!$A:$A,$B35,INPUT_DATA!$C:$C,"S"))</f>
        <v>7838.21</v>
      </c>
      <c r="U35" s="712">
        <f>IF($B35=0,"",SUMIFS(INPUT_DATA!T:T,INPUT_DATA!$A:$A,$B35,INPUT_DATA!$C:$C,"S"))</f>
        <v>0</v>
      </c>
      <c r="V35" s="297">
        <f>IF($B35=0,"",SUMIFS(INPUT_DATA!U:U,INPUT_DATA!$A:$A,$B35,INPUT_DATA!$C:$C,"S"))</f>
        <v>70205.87</v>
      </c>
      <c r="W35" s="297">
        <f>IF($B35=0,"",SUMIFS(INPUT_DATA!V:V,INPUT_DATA!$A:$A,$B35,INPUT_DATA!$C:$C,"S"))</f>
        <v>5444.81</v>
      </c>
      <c r="X35" s="297">
        <f>IF($B35=0,"",SUMIFS(INPUT_DATA!W:W,INPUT_DATA!$A:$A,$B35,INPUT_DATA!$C:$C,"S"))</f>
        <v>0</v>
      </c>
      <c r="Y35" s="297">
        <f>IF($B35=0,"",SUMIFS(INPUT_DATA!X:X,INPUT_DATA!$A:$A,$B35,INPUT_DATA!$C:$C,"S"))</f>
        <v>67344.490000000005</v>
      </c>
      <c r="Z35" s="297">
        <f>IF($B35=0,"",SUMIFS(INPUT_DATA!Y:Y,INPUT_DATA!$A:$A,$B35,INPUT_DATA!$C:$C,"S"))</f>
        <v>6578.26</v>
      </c>
      <c r="AA35" s="297">
        <f>IF($B35=0,"",SUMIFS(INPUT_DATA!Z:Z,INPUT_DATA!$A:$A,$B35,INPUT_DATA!$C:$C,"S"))</f>
        <v>0</v>
      </c>
      <c r="AB35" s="297">
        <f>IF($B35=0,"",SUMIFS(INPUT_DATA!AA:AA,INPUT_DATA!$A:$A,$B35,INPUT_DATA!$C:$C,"S"))</f>
        <v>0</v>
      </c>
      <c r="AC35" s="297">
        <f>IF($B35=0,"",SUMIFS(INPUT_DATA!AB:AB,INPUT_DATA!$A:$A,$B35,INPUT_DATA!$C:$C,"S"))</f>
        <v>0</v>
      </c>
      <c r="AD35" s="297">
        <f>IF($B35=0,"",SUMIFS(INPUT_DATA!AC:AC,INPUT_DATA!$A:$A,$B35,INPUT_DATA!$C:$C,"S"))</f>
        <v>0</v>
      </c>
      <c r="AE35" s="297">
        <f>IF($B35=0,"",SUMIFS(INPUT_DATA!AD:AD,INPUT_DATA!$A:$A,$B35,INPUT_DATA!$C:$C,"S"))</f>
        <v>0</v>
      </c>
      <c r="AF35" s="297">
        <f>IF($B35=0,"",SUMIFS(INPUT_DATA!AE:AE,INPUT_DATA!$A:$A,$B35,INPUT_DATA!$C:$C,"S"))</f>
        <v>0</v>
      </c>
      <c r="AG35" s="297">
        <f>IF($B35=0,"",SUMIFS(INPUT_DATA!AF:AF,INPUT_DATA!$A:$A,$B35,INPUT_DATA!$C:$C,"S"))</f>
        <v>0</v>
      </c>
      <c r="AH35" s="297">
        <f>IF($B35=0,"",SUMIFS(INPUT_DATA!AG:AG,INPUT_DATA!$A:$A,$B35,INPUT_DATA!$C:$C,"S"))</f>
        <v>0</v>
      </c>
      <c r="AI35" s="297">
        <f>IF($B35=0,"",SUMIFS(INPUT_DATA!AH:AH,INPUT_DATA!$A:$A,$B35,INPUT_DATA!$C:$C,"S"))</f>
        <v>0</v>
      </c>
      <c r="AJ35" s="297">
        <f>IF($B35=0,"",SUMIFS(INPUT_DATA!AI:AI,INPUT_DATA!$A:$A,$B35,INPUT_DATA!$C:$C,"S"))</f>
        <v>0</v>
      </c>
      <c r="AK35" s="297">
        <f>IF($B35=0,"",SUMIFS(INPUT_DATA!AJ:AJ,INPUT_DATA!$A:$A,$B35,INPUT_DATA!$C:$C,"S"))</f>
        <v>0</v>
      </c>
      <c r="AL35" s="297">
        <f>IF($B35=0,"",SUMIFS(INPUT_DATA!AK:AK,INPUT_DATA!$A:$A,$B35,INPUT_DATA!$C:$C,"S"))</f>
        <v>0</v>
      </c>
      <c r="AM35" s="297">
        <f>IF($B35=0,"",SUMIFS(INPUT_DATA!AL:AL,INPUT_DATA!$A:$A,$B35,INPUT_DATA!$C:$C,"S"))</f>
        <v>0</v>
      </c>
      <c r="AN35" s="297">
        <f>IF($B35=0,"",SUMIFS(INPUT_DATA!AM:AM,INPUT_DATA!$A:$A,$B35,INPUT_DATA!$C:$C,"S"))</f>
        <v>0</v>
      </c>
      <c r="AO35" s="297">
        <f>IF($B35=0,"",SUMIFS(INPUT_DATA!AN:AN,INPUT_DATA!$A:$A,$B35,INPUT_DATA!$C:$C,"S"))</f>
        <v>0</v>
      </c>
      <c r="AP35" s="297">
        <f>IF($B35=0,"",SUMIFS(INPUT_DATA!AO:AO,INPUT_DATA!$A:$A,$B35,INPUT_DATA!$C:$C,"S"))</f>
        <v>0</v>
      </c>
      <c r="AQ35" s="297">
        <f>IF($B35=0,"",SUMIFS(INPUT_DATA!AP:AP,INPUT_DATA!$A:$A,$B35,INPUT_DATA!$C:$C,"S"))</f>
        <v>0</v>
      </c>
      <c r="AR35" s="297">
        <f>IF($B35=0,"",SUMIFS(INPUT_DATA!AQ:AQ,INPUT_DATA!$A:$A,$B35,INPUT_DATA!$C:$C,"S"))</f>
        <v>0</v>
      </c>
      <c r="AS35" s="297">
        <f>IF($B35=0,"",SUMIFS(INPUT_DATA!AR:AR,INPUT_DATA!$A:$A,$B35,INPUT_DATA!$C:$C,"S"))</f>
        <v>0</v>
      </c>
      <c r="AT35" s="713">
        <f t="shared" si="11"/>
        <v>80755.869999999981</v>
      </c>
      <c r="AU35" s="714">
        <f t="shared" si="12"/>
        <v>6704.76</v>
      </c>
      <c r="AV35" s="715">
        <f t="shared" si="13"/>
        <v>0</v>
      </c>
      <c r="AW35" s="713">
        <f>IF($B35=0,"",SUMIFS(INPUT_DATA!AS:AS,INPUT_DATA!$A:$A,$B35,INPUT_DATA!$C:$C,"S"))</f>
        <v>80755.87</v>
      </c>
      <c r="AX35" s="714">
        <f>IF($B35=0,"",SUMIFS(INPUT_DATA!AT:AT,INPUT_DATA!$A:$A,$B35,INPUT_DATA!$C:$C,"S"))</f>
        <v>6704.76</v>
      </c>
      <c r="AY35" s="715">
        <f>IF($B35=0,"",SUMIFS(INPUT_DATA!AU:AU,INPUT_DATA!$A:$A,$B35,INPUT_DATA!$C:$C,"S"))</f>
        <v>0</v>
      </c>
      <c r="AZ35" s="713">
        <f t="shared" si="6"/>
        <v>-1.4551915228366852E-11</v>
      </c>
      <c r="BA35" s="714">
        <f t="shared" si="7"/>
        <v>0</v>
      </c>
      <c r="BB35" s="715">
        <f t="shared" si="8"/>
        <v>0</v>
      </c>
      <c r="BC35" s="150"/>
      <c r="BD35" s="702">
        <f>IF($B35=0,"",SUMIFS(INPUT_DATA!D:D,INPUT_DATA!$A:$A,$B35,INPUT_DATA!$C:$C,"D"))</f>
        <v>508253.47</v>
      </c>
      <c r="BE35" s="296">
        <f>IF($B35=0,"",SUMIFS(INPUT_DATA!G:G,INPUT_DATA!$A:$A,$B35,INPUT_DATA!$C:$C,"D"))</f>
        <v>4233.3500000000004</v>
      </c>
      <c r="BF35" s="296">
        <f>IF($B35=0,"",SUMIFS(INPUT_DATA!H:H,INPUT_DATA!$A:$A,$B35,INPUT_DATA!$C:$C,"D"))</f>
        <v>0</v>
      </c>
      <c r="BG35" s="296">
        <f>IF($B35=0,"",SUMIFS(INPUT_DATA!I:I,INPUT_DATA!$A:$A,$B35,INPUT_DATA!$C:$C,"D"))</f>
        <v>0</v>
      </c>
      <c r="BH35" s="296">
        <f>IF($B35=0,"",SUMIFS(INPUT_DATA!J:J,INPUT_DATA!$A:$A,$B35,INPUT_DATA!$C:$C,"D"))</f>
        <v>0</v>
      </c>
      <c r="BI35" s="296">
        <f>IF($B35=0,"",SUMIFS(INPUT_DATA!K:K,INPUT_DATA!$A:$A,$B35,INPUT_DATA!$C:$C,"D"))</f>
        <v>0</v>
      </c>
      <c r="BJ35" s="296">
        <f>IF($B35=0,"",SUMIFS(INPUT_DATA!L:L,INPUT_DATA!$A:$A,$B35,INPUT_DATA!$C:$C,"D"))</f>
        <v>0</v>
      </c>
      <c r="BK35" s="296">
        <f>IF($B35=0,"",SUMIFS(INPUT_DATA!M:M,INPUT_DATA!$A:$A,$B35,INPUT_DATA!$C:$C,"D"))</f>
        <v>0</v>
      </c>
      <c r="BL35" s="296">
        <f>IF($B35=0,"",SUMIFS(INPUT_DATA!N:N,INPUT_DATA!$A:$A,$B35,INPUT_DATA!$C:$C,"D"))</f>
        <v>0</v>
      </c>
      <c r="BM35" s="296">
        <f>IF($B35=0,"",SUMIFS(INPUT_DATA!O:O,INPUT_DATA!$A:$A,$B35,INPUT_DATA!$C:$C,"D"))</f>
        <v>0</v>
      </c>
      <c r="BN35" s="296">
        <f>IF($B35=0,"",SUMIFS(INPUT_DATA!P:P,INPUT_DATA!$A:$A,$B35,INPUT_DATA!$C:$C,"D"))</f>
        <v>0</v>
      </c>
      <c r="BO35" s="718">
        <f t="shared" si="9"/>
        <v>504020.12</v>
      </c>
      <c r="BP35" s="990">
        <f>IF($B35=0,"",SUMIFS(INPUT_DATA!Q:Q,INPUT_DATA!$A:$A,$B35,INPUT_DATA!$C:$C,"D"))</f>
        <v>504020.12</v>
      </c>
      <c r="BQ35" s="718">
        <f t="shared" si="10"/>
        <v>0</v>
      </c>
      <c r="BR35" s="702">
        <f>IF($B35=0,"",SUMIFS(INPUT_DATA!R:R,INPUT_DATA!$A:$A,$B35,INPUT_DATA!$C:$C,"D"))</f>
        <v>15533.73</v>
      </c>
      <c r="BS35" s="724">
        <f>IF($B35=0,"",SUMIFS(INPUT_DATA!S:S,INPUT_DATA!$A:$A,$B35,INPUT_DATA!$C:$C,"D"))</f>
        <v>1015.13</v>
      </c>
      <c r="BT35" s="724">
        <f>IF($B35=0,"",SUMIFS(INPUT_DATA!T:T,INPUT_DATA!$A:$A,$B35,INPUT_DATA!$C:$C,"D"))</f>
        <v>0</v>
      </c>
      <c r="BU35" s="296">
        <f>IF($B35=0,"",SUMIFS(INPUT_DATA!U:U,INPUT_DATA!$A:$A,$B35,INPUT_DATA!$C:$C,"D"))</f>
        <v>4233.3500000000004</v>
      </c>
      <c r="BV35" s="296">
        <f>IF($B35=0,"",SUMIFS(INPUT_DATA!V:V,INPUT_DATA!$A:$A,$B35,INPUT_DATA!$C:$C,"D"))</f>
        <v>338.34</v>
      </c>
      <c r="BW35" s="296">
        <f>IF($B35=0,"",SUMIFS(INPUT_DATA!W:W,INPUT_DATA!$A:$A,$B35,INPUT_DATA!$C:$C,"D"))</f>
        <v>0</v>
      </c>
      <c r="BX35" s="296">
        <f>IF($B35=0,"",SUMIFS(INPUT_DATA!X:X,INPUT_DATA!$A:$A,$B35,INPUT_DATA!$C:$C,"D"))</f>
        <v>5387.83</v>
      </c>
      <c r="BY35" s="296">
        <f>IF($B35=0,"",SUMIFS(INPUT_DATA!Y:Y,INPUT_DATA!$A:$A,$B35,INPUT_DATA!$C:$C,"D"))</f>
        <v>413.3</v>
      </c>
      <c r="BZ35" s="296">
        <f>IF($B35=0,"",SUMIFS(INPUT_DATA!Z:Z,INPUT_DATA!$A:$A,$B35,INPUT_DATA!$C:$C,"D"))</f>
        <v>0</v>
      </c>
      <c r="CA35" s="336">
        <f>IF($B35=0,"",SUMIFS(INPUT_DATA!AA:AA,INPUT_DATA!$A:$A,$B35,INPUT_DATA!$C:$C,"D"))</f>
        <v>0</v>
      </c>
      <c r="CB35" s="336">
        <f>IF($B35=0,"",SUMIFS(INPUT_DATA!AB:AB,INPUT_DATA!$A:$A,$B35,INPUT_DATA!$C:$C,"D"))</f>
        <v>0</v>
      </c>
      <c r="CC35" s="336">
        <f>IF($B35=0,"",SUMIFS(INPUT_DATA!AC:AC,INPUT_DATA!$A:$A,$B35,INPUT_DATA!$C:$C,"D"))</f>
        <v>0</v>
      </c>
      <c r="CD35" s="296">
        <f>IF($B35=0,"",SUMIFS(INPUT_DATA!AD:AD,INPUT_DATA!$A:$A,$B35,INPUT_DATA!$C:$C,"D"))</f>
        <v>0</v>
      </c>
      <c r="CE35" s="296">
        <f>IF($B35=0,"",SUMIFS(INPUT_DATA!AE:AE,INPUT_DATA!$A:$A,$B35,INPUT_DATA!$C:$C,"D"))</f>
        <v>0</v>
      </c>
      <c r="CF35" s="296">
        <f>IF($B35=0,"",SUMIFS(INPUT_DATA!AF:AF,INPUT_DATA!$A:$A,$B35,INPUT_DATA!$C:$C,"D"))</f>
        <v>0</v>
      </c>
      <c r="CG35" s="336">
        <f>IF($B35=0,"",SUMIFS(INPUT_DATA!AG:AG,INPUT_DATA!$A:$A,$B35,INPUT_DATA!$C:$C,"D"))</f>
        <v>0</v>
      </c>
      <c r="CH35" s="336">
        <f>IF($B35=0,"",SUMIFS(INPUT_DATA!AH:AH,INPUT_DATA!$A:$A,$B35,INPUT_DATA!$C:$C,"D"))</f>
        <v>0</v>
      </c>
      <c r="CI35" s="336">
        <f>IF($B35=0,"",SUMIFS(INPUT_DATA!AI:AI,INPUT_DATA!$A:$A,$B35,INPUT_DATA!$C:$C,"D"))</f>
        <v>0</v>
      </c>
      <c r="CJ35" s="153">
        <f>IF($B35=0,"",SUMIFS(INPUT_DATA!AJ:AJ,INPUT_DATA!$A:$A,$B35,INPUT_DATA!$C:$C,"D"))</f>
        <v>0</v>
      </c>
      <c r="CK35" s="153">
        <f>IF($B35=0,"",SUMIFS(INPUT_DATA!AK:AK,INPUT_DATA!$A:$A,$B35,INPUT_DATA!$C:$C,"D"))</f>
        <v>0</v>
      </c>
      <c r="CL35" s="153">
        <f>IF($B35=0,"",SUMIFS(INPUT_DATA!AL:AL,INPUT_DATA!$A:$A,$B35,INPUT_DATA!$C:$C,"D"))</f>
        <v>0</v>
      </c>
      <c r="CM35" s="153">
        <f>IF($B35=0,"",SUMIFS(INPUT_DATA!AM:AM,INPUT_DATA!$A:$A,$B35,INPUT_DATA!$C:$C,"D"))</f>
        <v>0</v>
      </c>
      <c r="CN35" s="153">
        <f>IF($B35=0,"",SUMIFS(INPUT_DATA!AN:AN,INPUT_DATA!$A:$A,$B35,INPUT_DATA!$C:$C,"D"))</f>
        <v>0</v>
      </c>
      <c r="CO35" s="153">
        <f>IF($B35=0,"",SUMIFS(INPUT_DATA!AO:AO,INPUT_DATA!$A:$A,$B35,INPUT_DATA!$C:$C,"D"))</f>
        <v>0</v>
      </c>
      <c r="CP35" s="153">
        <f>IF($B35=0,"",SUMIFS(INPUT_DATA!AP:AP,INPUT_DATA!$A:$A,$B35,INPUT_DATA!$C:$C,"D"))</f>
        <v>0</v>
      </c>
      <c r="CQ35" s="153">
        <f>IF($B35=0,"",SUMIFS(INPUT_DATA!AQ:AQ,INPUT_DATA!$A:$A,$B35,INPUT_DATA!$C:$C,"D"))</f>
        <v>0</v>
      </c>
      <c r="CR35" s="153">
        <f>IF($B35=0,"",SUMIFS(INPUT_DATA!AR:AR,INPUT_DATA!$A:$A,$B35,INPUT_DATA!$C:$C,"D"))</f>
        <v>0</v>
      </c>
      <c r="CS35" s="714">
        <f t="shared" si="14"/>
        <v>14379.250000000002</v>
      </c>
      <c r="CT35" s="714">
        <f t="shared" si="15"/>
        <v>940.17000000000007</v>
      </c>
      <c r="CU35" s="714">
        <f t="shared" si="16"/>
        <v>0</v>
      </c>
      <c r="CV35" s="703">
        <f>IF($B35=0,"",SUMIFS(INPUT_DATA!AS:AS,INPUT_DATA!$A:$A,$B35,INPUT_DATA!$C:$C,"D"))</f>
        <v>14379.25</v>
      </c>
      <c r="CW35" s="703">
        <f>IF($B35=0,"",SUMIFS(INPUT_DATA!AT:AT,INPUT_DATA!$A:$A,$B35,INPUT_DATA!$C:$C,"D"))</f>
        <v>940.17</v>
      </c>
      <c r="CX35" s="703">
        <f>IF($B35=0,"",SUMIFS(INPUT_DATA!AU:AU,INPUT_DATA!$A:$A,$B35,INPUT_DATA!$C:$C,"D"))</f>
        <v>0</v>
      </c>
      <c r="CY35" s="703">
        <f t="shared" si="17"/>
        <v>1.8189894035458565E-12</v>
      </c>
      <c r="CZ35" s="714">
        <f t="shared" si="18"/>
        <v>1.1368683772161603E-13</v>
      </c>
      <c r="DA35" s="725">
        <f t="shared" si="19"/>
        <v>0</v>
      </c>
      <c r="DB35" s="150"/>
    </row>
    <row r="36" spans="1:106">
      <c r="B36" s="697">
        <f>INPUT_DATA!BR23</f>
        <v>45626</v>
      </c>
      <c r="C36" s="702">
        <f>IF($B36=0,"",SUMIFS(INPUT_DATA!D:D,INPUT_DATA!$A:$A,$B36,INPUT_DATA!$C:$C,"S"))</f>
        <v>675288645.96999931</v>
      </c>
      <c r="D36" s="703">
        <f>IF($B36=0,"",SUMIFS(INPUT_DATA!E:E,INPUT_DATA!$A:$A,$B36,INPUT_DATA!$C:$C,"S"))</f>
        <v>0</v>
      </c>
      <c r="E36" s="703">
        <f>IF($B36=0,"",SUMIFS(INPUT_DATA!F:F,INPUT_DATA!$A:$A,$B36,INPUT_DATA!$C:$C,"S"))</f>
        <v>0</v>
      </c>
      <c r="F36" s="704">
        <f>IF($B36=0,"",SUMIFS(INPUT_DATA!G:G,INPUT_DATA!$A:$A,$B36,INPUT_DATA!$C:$C,"S"))</f>
        <v>4780622.2199999932</v>
      </c>
      <c r="G36" s="704">
        <f>IF($B36=0,"",SUMIFS(INPUT_DATA!H:H,INPUT_DATA!$A:$A,$B36,INPUT_DATA!$C:$C,"S"))</f>
        <v>479363.94000000006</v>
      </c>
      <c r="H36" s="704">
        <f>IF($B36=0,"",SUMIFS(INPUT_DATA!I:I,INPUT_DATA!$A:$A,$B36,INPUT_DATA!$C:$C,"S"))</f>
        <v>0</v>
      </c>
      <c r="I36" s="704">
        <f>IF($B36=0,"",SUMIFS(INPUT_DATA!J:J,INPUT_DATA!$A:$A,$B36,INPUT_DATA!$C:$C,"S"))</f>
        <v>109.87</v>
      </c>
      <c r="J36" s="704">
        <f>IF($B36=0,"",SUMIFS(INPUT_DATA!K:K,INPUT_DATA!$A:$A,$B36,INPUT_DATA!$C:$C,"S"))</f>
        <v>0</v>
      </c>
      <c r="K36" s="704">
        <f>IF($B36=0,"",SUMIFS(INPUT_DATA!L:L,INPUT_DATA!$A:$A,$B36,INPUT_DATA!$C:$C,"S"))</f>
        <v>0</v>
      </c>
      <c r="L36" s="704">
        <f>IF($B36=0,"",SUMIFS(INPUT_DATA!M:M,INPUT_DATA!$A:$A,$B36,INPUT_DATA!$C:$C,"S"))</f>
        <v>508253.47</v>
      </c>
      <c r="M36" s="704">
        <f>IF($B36=0,"",SUMIFS(INPUT_DATA!N:N,INPUT_DATA!$A:$A,$B36,INPUT_DATA!$C:$C,"S"))</f>
        <v>0</v>
      </c>
      <c r="N36" s="704">
        <f>IF($B36=0,"",SUMIFS(INPUT_DATA!O:O,INPUT_DATA!$A:$A,$B36,INPUT_DATA!$C:$C,"S"))</f>
        <v>0</v>
      </c>
      <c r="O36" s="704">
        <f>IF($B36=0,"",SUMIFS(INPUT_DATA!P:P,INPUT_DATA!$A:$A,$B36,INPUT_DATA!$C:$C,"S"))</f>
        <v>0</v>
      </c>
      <c r="P36" s="705">
        <f t="shared" si="5"/>
        <v>669520516.2099992</v>
      </c>
      <c r="Q36" s="706">
        <f>IF($B36=0,"",SUMIFS(INPUT_DATA!Q:Q,INPUT_DATA!$A:$A,$B36,INPUT_DATA!$C:$C,"S"))</f>
        <v>669520516.2099992</v>
      </c>
      <c r="R36" s="706">
        <f t="shared" si="20"/>
        <v>0</v>
      </c>
      <c r="S36" s="712">
        <f>IF($B36=0,"",SUMIFS(INPUT_DATA!R:R,INPUT_DATA!$A:$A,$B36,INPUT_DATA!$C:$C,"S"))</f>
        <v>66545.22</v>
      </c>
      <c r="T36" s="712">
        <f>IF($B36=0,"",SUMIFS(INPUT_DATA!S:S,INPUT_DATA!$A:$A,$B36,INPUT_DATA!$C:$C,"S"))</f>
        <v>5431.21</v>
      </c>
      <c r="U36" s="712">
        <f>IF($B36=0,"",SUMIFS(INPUT_DATA!T:T,INPUT_DATA!$A:$A,$B36,INPUT_DATA!$C:$C,"S"))</f>
        <v>0</v>
      </c>
      <c r="V36" s="297">
        <f>IF($B36=0,"",SUMIFS(INPUT_DATA!U:U,INPUT_DATA!$A:$A,$B36,INPUT_DATA!$C:$C,"S"))</f>
        <v>72569.229999999981</v>
      </c>
      <c r="W36" s="297">
        <f>IF($B36=0,"",SUMIFS(INPUT_DATA!V:V,INPUT_DATA!$A:$A,$B36,INPUT_DATA!$C:$C,"S"))</f>
        <v>6678.2200000000012</v>
      </c>
      <c r="X36" s="297">
        <f>IF($B36=0,"",SUMIFS(INPUT_DATA!W:W,INPUT_DATA!$A:$A,$B36,INPUT_DATA!$C:$C,"S"))</f>
        <v>0</v>
      </c>
      <c r="Y36" s="297">
        <f>IF($B36=0,"",SUMIFS(INPUT_DATA!X:X,INPUT_DATA!$A:$A,$B36,INPUT_DATA!$C:$C,"S"))</f>
        <v>47282.84</v>
      </c>
      <c r="Z36" s="297">
        <f>IF($B36=0,"",SUMIFS(INPUT_DATA!Y:Y,INPUT_DATA!$A:$A,$B36,INPUT_DATA!$C:$C,"S"))</f>
        <v>3265.62</v>
      </c>
      <c r="AA36" s="297">
        <f>IF($B36=0,"",SUMIFS(INPUT_DATA!Z:Z,INPUT_DATA!$A:$A,$B36,INPUT_DATA!$C:$C,"S"))</f>
        <v>0</v>
      </c>
      <c r="AB36" s="297">
        <f>IF($B36=0,"",SUMIFS(INPUT_DATA!AA:AA,INPUT_DATA!$A:$A,$B36,INPUT_DATA!$C:$C,"S"))</f>
        <v>0</v>
      </c>
      <c r="AC36" s="297">
        <f>IF($B36=0,"",SUMIFS(INPUT_DATA!AB:AB,INPUT_DATA!$A:$A,$B36,INPUT_DATA!$C:$C,"S"))</f>
        <v>0</v>
      </c>
      <c r="AD36" s="297">
        <f>IF($B36=0,"",SUMIFS(INPUT_DATA!AC:AC,INPUT_DATA!$A:$A,$B36,INPUT_DATA!$C:$C,"S"))</f>
        <v>0</v>
      </c>
      <c r="AE36" s="297">
        <f>IF($B36=0,"",SUMIFS(INPUT_DATA!AD:AD,INPUT_DATA!$A:$A,$B36,INPUT_DATA!$C:$C,"S"))</f>
        <v>0</v>
      </c>
      <c r="AF36" s="297">
        <f>IF($B36=0,"",SUMIFS(INPUT_DATA!AE:AE,INPUT_DATA!$A:$A,$B36,INPUT_DATA!$C:$C,"S"))</f>
        <v>0</v>
      </c>
      <c r="AG36" s="297">
        <f>IF($B36=0,"",SUMIFS(INPUT_DATA!AF:AF,INPUT_DATA!$A:$A,$B36,INPUT_DATA!$C:$C,"S"))</f>
        <v>0</v>
      </c>
      <c r="AH36" s="297">
        <f>IF($B36=0,"",SUMIFS(INPUT_DATA!AG:AG,INPUT_DATA!$A:$A,$B36,INPUT_DATA!$C:$C,"S"))</f>
        <v>13937.119999999999</v>
      </c>
      <c r="AI36" s="297">
        <f>IF($B36=0,"",SUMIFS(INPUT_DATA!AH:AH,INPUT_DATA!$A:$A,$B36,INPUT_DATA!$C:$C,"S"))</f>
        <v>1005.6</v>
      </c>
      <c r="AJ36" s="297">
        <f>IF($B36=0,"",SUMIFS(INPUT_DATA!AI:AI,INPUT_DATA!$A:$A,$B36,INPUT_DATA!$C:$C,"S"))</f>
        <v>0</v>
      </c>
      <c r="AK36" s="297">
        <f>IF($B36=0,"",SUMIFS(INPUT_DATA!AJ:AJ,INPUT_DATA!$A:$A,$B36,INPUT_DATA!$C:$C,"S"))</f>
        <v>0</v>
      </c>
      <c r="AL36" s="297">
        <f>IF($B36=0,"",SUMIFS(INPUT_DATA!AK:AK,INPUT_DATA!$A:$A,$B36,INPUT_DATA!$C:$C,"S"))</f>
        <v>0</v>
      </c>
      <c r="AM36" s="297">
        <f>IF($B36=0,"",SUMIFS(INPUT_DATA!AL:AL,INPUT_DATA!$A:$A,$B36,INPUT_DATA!$C:$C,"S"))</f>
        <v>0</v>
      </c>
      <c r="AN36" s="297">
        <f>IF($B36=0,"",SUMIFS(INPUT_DATA!AM:AM,INPUT_DATA!$A:$A,$B36,INPUT_DATA!$C:$C,"S"))</f>
        <v>0</v>
      </c>
      <c r="AO36" s="297">
        <f>IF($B36=0,"",SUMIFS(INPUT_DATA!AN:AN,INPUT_DATA!$A:$A,$B36,INPUT_DATA!$C:$C,"S"))</f>
        <v>0</v>
      </c>
      <c r="AP36" s="297">
        <f>IF($B36=0,"",SUMIFS(INPUT_DATA!AO:AO,INPUT_DATA!$A:$A,$B36,INPUT_DATA!$C:$C,"S"))</f>
        <v>0</v>
      </c>
      <c r="AQ36" s="297">
        <f>IF($B36=0,"",SUMIFS(INPUT_DATA!AP:AP,INPUT_DATA!$A:$A,$B36,INPUT_DATA!$C:$C,"S"))</f>
        <v>0</v>
      </c>
      <c r="AR36" s="297">
        <f>IF($B36=0,"",SUMIFS(INPUT_DATA!AQ:AQ,INPUT_DATA!$A:$A,$B36,INPUT_DATA!$C:$C,"S"))</f>
        <v>0</v>
      </c>
      <c r="AS36" s="297">
        <f>IF($B36=0,"",SUMIFS(INPUT_DATA!AR:AR,INPUT_DATA!$A:$A,$B36,INPUT_DATA!$C:$C,"S"))</f>
        <v>0</v>
      </c>
      <c r="AT36" s="713">
        <f t="shared" si="11"/>
        <v>77894.489999999991</v>
      </c>
      <c r="AU36" s="714">
        <f t="shared" si="12"/>
        <v>7838.2100000000009</v>
      </c>
      <c r="AV36" s="715">
        <f t="shared" si="13"/>
        <v>0</v>
      </c>
      <c r="AW36" s="713">
        <f>IF($B36=0,"",SUMIFS(INPUT_DATA!AS:AS,INPUT_DATA!$A:$A,$B36,INPUT_DATA!$C:$C,"S"))</f>
        <v>77894.489999999991</v>
      </c>
      <c r="AX36" s="714">
        <f>IF($B36=0,"",SUMIFS(INPUT_DATA!AT:AT,INPUT_DATA!$A:$A,$B36,INPUT_DATA!$C:$C,"S"))</f>
        <v>7838.2100000000009</v>
      </c>
      <c r="AY36" s="715">
        <f>IF($B36=0,"",SUMIFS(INPUT_DATA!AU:AU,INPUT_DATA!$A:$A,$B36,INPUT_DATA!$C:$C,"S"))</f>
        <v>0</v>
      </c>
      <c r="AZ36" s="713">
        <f t="shared" si="6"/>
        <v>0</v>
      </c>
      <c r="BA36" s="714">
        <f t="shared" si="7"/>
        <v>0</v>
      </c>
      <c r="BB36" s="715">
        <f t="shared" si="8"/>
        <v>0</v>
      </c>
      <c r="BC36" s="150"/>
      <c r="BD36" s="702">
        <f>IF($B36=0,"",SUMIFS(INPUT_DATA!D:D,INPUT_DATA!$A:$A,$B36,INPUT_DATA!$C:$C,"D"))</f>
        <v>0</v>
      </c>
      <c r="BE36" s="296">
        <f>IF($B36=0,"",SUMIFS(INPUT_DATA!G:G,INPUT_DATA!$A:$A,$B36,INPUT_DATA!$C:$C,"D"))</f>
        <v>0</v>
      </c>
      <c r="BF36" s="296">
        <f>IF($B36=0,"",SUMIFS(INPUT_DATA!H:H,INPUT_DATA!$A:$A,$B36,INPUT_DATA!$C:$C,"D"))</f>
        <v>0</v>
      </c>
      <c r="BG36" s="296">
        <f>IF($B36=0,"",SUMIFS(INPUT_DATA!I:I,INPUT_DATA!$A:$A,$B36,INPUT_DATA!$C:$C,"D"))</f>
        <v>0</v>
      </c>
      <c r="BH36" s="296">
        <f>IF($B36=0,"",SUMIFS(INPUT_DATA!J:J,INPUT_DATA!$A:$A,$B36,INPUT_DATA!$C:$C,"D"))</f>
        <v>0</v>
      </c>
      <c r="BI36" s="296">
        <f>IF($B36=0,"",SUMIFS(INPUT_DATA!K:K,INPUT_DATA!$A:$A,$B36,INPUT_DATA!$C:$C,"D"))</f>
        <v>0</v>
      </c>
      <c r="BJ36" s="296">
        <f>IF($B36=0,"",SUMIFS(INPUT_DATA!L:L,INPUT_DATA!$A:$A,$B36,INPUT_DATA!$C:$C,"D"))</f>
        <v>0</v>
      </c>
      <c r="BK36" s="296">
        <f>IF($B36=0,"",SUMIFS(INPUT_DATA!M:M,INPUT_DATA!$A:$A,$B36,INPUT_DATA!$C:$C,"D"))</f>
        <v>508253.47</v>
      </c>
      <c r="BL36" s="296">
        <f>IF($B36=0,"",SUMIFS(INPUT_DATA!N:N,INPUT_DATA!$A:$A,$B36,INPUT_DATA!$C:$C,"D"))</f>
        <v>0</v>
      </c>
      <c r="BM36" s="296">
        <f>IF($B36=0,"",SUMIFS(INPUT_DATA!O:O,INPUT_DATA!$A:$A,$B36,INPUT_DATA!$C:$C,"D"))</f>
        <v>0</v>
      </c>
      <c r="BN36" s="296">
        <f>IF($B36=0,"",SUMIFS(INPUT_DATA!P:P,INPUT_DATA!$A:$A,$B36,INPUT_DATA!$C:$C,"D"))</f>
        <v>0</v>
      </c>
      <c r="BO36" s="718">
        <f t="shared" si="9"/>
        <v>508253.47</v>
      </c>
      <c r="BP36" s="990">
        <f>IF($B36=0,"",SUMIFS(INPUT_DATA!Q:Q,INPUT_DATA!$A:$A,$B36,INPUT_DATA!$C:$C,"D"))</f>
        <v>508253.47</v>
      </c>
      <c r="BQ36" s="718">
        <f t="shared" si="10"/>
        <v>0</v>
      </c>
      <c r="BR36" s="702">
        <f>IF($B36=0,"",SUMIFS(INPUT_DATA!R:R,INPUT_DATA!$A:$A,$B36,INPUT_DATA!$C:$C,"D"))</f>
        <v>1596.61</v>
      </c>
      <c r="BS36" s="724">
        <f>IF($B36=0,"",SUMIFS(INPUT_DATA!S:S,INPUT_DATA!$A:$A,$B36,INPUT_DATA!$C:$C,"D"))</f>
        <v>9.5299999999999994</v>
      </c>
      <c r="BT36" s="724">
        <f>IF($B36=0,"",SUMIFS(INPUT_DATA!T:T,INPUT_DATA!$A:$A,$B36,INPUT_DATA!$C:$C,"D"))</f>
        <v>0</v>
      </c>
      <c r="BU36" s="296">
        <f>IF($B36=0,"",SUMIFS(INPUT_DATA!U:U,INPUT_DATA!$A:$A,$B36,INPUT_DATA!$C:$C,"D"))</f>
        <v>0</v>
      </c>
      <c r="BV36" s="296">
        <f>IF($B36=0,"",SUMIFS(INPUT_DATA!V:V,INPUT_DATA!$A:$A,$B36,INPUT_DATA!$C:$C,"D"))</f>
        <v>0</v>
      </c>
      <c r="BW36" s="296">
        <f>IF($B36=0,"",SUMIFS(INPUT_DATA!W:W,INPUT_DATA!$A:$A,$B36,INPUT_DATA!$C:$C,"D"))</f>
        <v>0</v>
      </c>
      <c r="BX36" s="296">
        <f>IF($B36=0,"",SUMIFS(INPUT_DATA!X:X,INPUT_DATA!$A:$A,$B36,INPUT_DATA!$C:$C,"D"))</f>
        <v>0</v>
      </c>
      <c r="BY36" s="296">
        <f>IF($B36=0,"",SUMIFS(INPUT_DATA!Y:Y,INPUT_DATA!$A:$A,$B36,INPUT_DATA!$C:$C,"D"))</f>
        <v>0</v>
      </c>
      <c r="BZ36" s="296">
        <f>IF($B36=0,"",SUMIFS(INPUT_DATA!Z:Z,INPUT_DATA!$A:$A,$B36,INPUT_DATA!$C:$C,"D"))</f>
        <v>0</v>
      </c>
      <c r="CA36" s="336">
        <f>IF($B36=0,"",SUMIFS(INPUT_DATA!AA:AA,INPUT_DATA!$A:$A,$B36,INPUT_DATA!$C:$C,"D"))</f>
        <v>0</v>
      </c>
      <c r="CB36" s="336">
        <f>IF($B36=0,"",SUMIFS(INPUT_DATA!AB:AB,INPUT_DATA!$A:$A,$B36,INPUT_DATA!$C:$C,"D"))</f>
        <v>0</v>
      </c>
      <c r="CC36" s="336">
        <f>IF($B36=0,"",SUMIFS(INPUT_DATA!AC:AC,INPUT_DATA!$A:$A,$B36,INPUT_DATA!$C:$C,"D"))</f>
        <v>0</v>
      </c>
      <c r="CD36" s="296">
        <f>IF($B36=0,"",SUMIFS(INPUT_DATA!AD:AD,INPUT_DATA!$A:$A,$B36,INPUT_DATA!$C:$C,"D"))</f>
        <v>0</v>
      </c>
      <c r="CE36" s="296">
        <f>IF($B36=0,"",SUMIFS(INPUT_DATA!AE:AE,INPUT_DATA!$A:$A,$B36,INPUT_DATA!$C:$C,"D"))</f>
        <v>0</v>
      </c>
      <c r="CF36" s="296">
        <f>IF($B36=0,"",SUMIFS(INPUT_DATA!AF:AF,INPUT_DATA!$A:$A,$B36,INPUT_DATA!$C:$C,"D"))</f>
        <v>0</v>
      </c>
      <c r="CG36" s="336">
        <f>IF($B36=0,"",SUMIFS(INPUT_DATA!AG:AG,INPUT_DATA!$A:$A,$B36,INPUT_DATA!$C:$C,"D"))</f>
        <v>13937.119999999999</v>
      </c>
      <c r="CH36" s="336">
        <f>IF($B36=0,"",SUMIFS(INPUT_DATA!AH:AH,INPUT_DATA!$A:$A,$B36,INPUT_DATA!$C:$C,"D"))</f>
        <v>1005.6</v>
      </c>
      <c r="CI36" s="336">
        <f>IF($B36=0,"",SUMIFS(INPUT_DATA!AI:AI,INPUT_DATA!$A:$A,$B36,INPUT_DATA!$C:$C,"D"))</f>
        <v>0</v>
      </c>
      <c r="CJ36" s="153">
        <f>IF($B36=0,"",SUMIFS(INPUT_DATA!AJ:AJ,INPUT_DATA!$A:$A,$B36,INPUT_DATA!$C:$C,"D"))</f>
        <v>0</v>
      </c>
      <c r="CK36" s="153">
        <f>IF($B36=0,"",SUMIFS(INPUT_DATA!AK:AK,INPUT_DATA!$A:$A,$B36,INPUT_DATA!$C:$C,"D"))</f>
        <v>0</v>
      </c>
      <c r="CL36" s="153">
        <f>IF($B36=0,"",SUMIFS(INPUT_DATA!AL:AL,INPUT_DATA!$A:$A,$B36,INPUT_DATA!$C:$C,"D"))</f>
        <v>0</v>
      </c>
      <c r="CM36" s="153">
        <f>IF($B36=0,"",SUMIFS(INPUT_DATA!AM:AM,INPUT_DATA!$A:$A,$B36,INPUT_DATA!$C:$C,"D"))</f>
        <v>0</v>
      </c>
      <c r="CN36" s="153">
        <f>IF($B36=0,"",SUMIFS(INPUT_DATA!AN:AN,INPUT_DATA!$A:$A,$B36,INPUT_DATA!$C:$C,"D"))</f>
        <v>0</v>
      </c>
      <c r="CO36" s="153">
        <f>IF($B36=0,"",SUMIFS(INPUT_DATA!AO:AO,INPUT_DATA!$A:$A,$B36,INPUT_DATA!$C:$C,"D"))</f>
        <v>0</v>
      </c>
      <c r="CP36" s="153">
        <f>IF($B36=0,"",SUMIFS(INPUT_DATA!AP:AP,INPUT_DATA!$A:$A,$B36,INPUT_DATA!$C:$C,"D"))</f>
        <v>0</v>
      </c>
      <c r="CQ36" s="153">
        <f>IF($B36=0,"",SUMIFS(INPUT_DATA!AQ:AQ,INPUT_DATA!$A:$A,$B36,INPUT_DATA!$C:$C,"D"))</f>
        <v>0</v>
      </c>
      <c r="CR36" s="153">
        <f>IF($B36=0,"",SUMIFS(INPUT_DATA!AR:AR,INPUT_DATA!$A:$A,$B36,INPUT_DATA!$C:$C,"D"))</f>
        <v>0</v>
      </c>
      <c r="CS36" s="714">
        <f t="shared" si="14"/>
        <v>15533.73</v>
      </c>
      <c r="CT36" s="714">
        <f t="shared" si="15"/>
        <v>1015.13</v>
      </c>
      <c r="CU36" s="714">
        <f t="shared" si="16"/>
        <v>0</v>
      </c>
      <c r="CV36" s="703">
        <f>IF($B36=0,"",SUMIFS(INPUT_DATA!AS:AS,INPUT_DATA!$A:$A,$B36,INPUT_DATA!$C:$C,"D"))</f>
        <v>15533.73</v>
      </c>
      <c r="CW36" s="703">
        <f>IF($B36=0,"",SUMIFS(INPUT_DATA!AT:AT,INPUT_DATA!$A:$A,$B36,INPUT_DATA!$C:$C,"D"))</f>
        <v>1015.13</v>
      </c>
      <c r="CX36" s="703">
        <f>IF($B36=0,"",SUMIFS(INPUT_DATA!AU:AU,INPUT_DATA!$A:$A,$B36,INPUT_DATA!$C:$C,"D"))</f>
        <v>0</v>
      </c>
      <c r="CY36" s="703">
        <f t="shared" si="17"/>
        <v>0</v>
      </c>
      <c r="CZ36" s="714">
        <f t="shared" si="18"/>
        <v>0</v>
      </c>
      <c r="DA36" s="725">
        <f t="shared" si="19"/>
        <v>0</v>
      </c>
      <c r="DB36" s="150"/>
    </row>
    <row r="37" spans="1:106">
      <c r="B37" s="697">
        <f>INPUT_DATA!BR24</f>
        <v>45596</v>
      </c>
      <c r="C37" s="702">
        <f>IF($B37=0,"",SUMIFS(INPUT_DATA!D:D,INPUT_DATA!$A:$A,$B37,INPUT_DATA!$C:$C,"S"))</f>
        <v>682966575.97999787</v>
      </c>
      <c r="D37" s="703">
        <f>IF($B37=0,"",SUMIFS(INPUT_DATA!E:E,INPUT_DATA!$A:$A,$B37,INPUT_DATA!$C:$C,"S"))</f>
        <v>0</v>
      </c>
      <c r="E37" s="703">
        <f>IF($B37=0,"",SUMIFS(INPUT_DATA!F:F,INPUT_DATA!$A:$A,$B37,INPUT_DATA!$C:$C,"S"))</f>
        <v>0</v>
      </c>
      <c r="F37" s="704">
        <f>IF($B37=0,"",SUMIFS(INPUT_DATA!G:G,INPUT_DATA!$A:$A,$B37,INPUT_DATA!$C:$C,"S"))</f>
        <v>6830391.719999996</v>
      </c>
      <c r="G37" s="704">
        <f>IF($B37=0,"",SUMIFS(INPUT_DATA!H:H,INPUT_DATA!$A:$A,$B37,INPUT_DATA!$C:$C,"S"))</f>
        <v>847789.26</v>
      </c>
      <c r="H37" s="704">
        <f>IF($B37=0,"",SUMIFS(INPUT_DATA!I:I,INPUT_DATA!$A:$A,$B37,INPUT_DATA!$C:$C,"S"))</f>
        <v>0</v>
      </c>
      <c r="I37" s="704">
        <f>IF($B37=0,"",SUMIFS(INPUT_DATA!J:J,INPUT_DATA!$A:$A,$B37,INPUT_DATA!$C:$C,"S"))</f>
        <v>250.97</v>
      </c>
      <c r="J37" s="704">
        <f>IF($B37=0,"",SUMIFS(INPUT_DATA!K:K,INPUT_DATA!$A:$A,$B37,INPUT_DATA!$C:$C,"S"))</f>
        <v>0</v>
      </c>
      <c r="K37" s="704">
        <f>IF($B37=0,"",SUMIFS(INPUT_DATA!L:L,INPUT_DATA!$A:$A,$B37,INPUT_DATA!$C:$C,"S"))</f>
        <v>0</v>
      </c>
      <c r="L37" s="704">
        <f>IF($B37=0,"",SUMIFS(INPUT_DATA!M:M,INPUT_DATA!$A:$A,$B37,INPUT_DATA!$C:$C,"S"))</f>
        <v>0</v>
      </c>
      <c r="M37" s="704">
        <f>IF($B37=0,"",SUMIFS(INPUT_DATA!N:N,INPUT_DATA!$A:$A,$B37,INPUT_DATA!$C:$C,"S"))</f>
        <v>0</v>
      </c>
      <c r="N37" s="704">
        <f>IF($B37=0,"",SUMIFS(INPUT_DATA!O:O,INPUT_DATA!$A:$A,$B37,INPUT_DATA!$C:$C,"S"))</f>
        <v>0</v>
      </c>
      <c r="O37" s="704">
        <f>IF($B37=0,"",SUMIFS(INPUT_DATA!P:P,INPUT_DATA!$A:$A,$B37,INPUT_DATA!$C:$C,"S"))</f>
        <v>0</v>
      </c>
      <c r="P37" s="705">
        <f t="shared" si="5"/>
        <v>675288645.96999788</v>
      </c>
      <c r="Q37" s="706">
        <f>IF($B37=0,"",SUMIFS(INPUT_DATA!Q:Q,INPUT_DATA!$A:$A,$B37,INPUT_DATA!$C:$C,"S"))</f>
        <v>675288645.96999931</v>
      </c>
      <c r="R37" s="706">
        <f t="shared" si="20"/>
        <v>-1.430511474609375E-6</v>
      </c>
      <c r="S37" s="712">
        <f>IF($B37=0,"",SUMIFS(INPUT_DATA!R:R,INPUT_DATA!$A:$A,$B37,INPUT_DATA!$C:$C,"S"))</f>
        <v>68316.850000000006</v>
      </c>
      <c r="T37" s="712">
        <f>IF($B37=0,"",SUMIFS(INPUT_DATA!S:S,INPUT_DATA!$A:$A,$B37,INPUT_DATA!$C:$C,"S"))</f>
        <v>4764.66</v>
      </c>
      <c r="U37" s="712">
        <f>IF($B37=0,"",SUMIFS(INPUT_DATA!T:T,INPUT_DATA!$A:$A,$B37,INPUT_DATA!$C:$C,"S"))</f>
        <v>0</v>
      </c>
      <c r="V37" s="297">
        <f>IF($B37=0,"",SUMIFS(INPUT_DATA!U:U,INPUT_DATA!$A:$A,$B37,INPUT_DATA!$C:$C,"S"))</f>
        <v>50860.539999999994</v>
      </c>
      <c r="W37" s="297">
        <f>IF($B37=0,"",SUMIFS(INPUT_DATA!V:V,INPUT_DATA!$A:$A,$B37,INPUT_DATA!$C:$C,"S"))</f>
        <v>4195.57</v>
      </c>
      <c r="X37" s="297">
        <f>IF($B37=0,"",SUMIFS(INPUT_DATA!W:W,INPUT_DATA!$A:$A,$B37,INPUT_DATA!$C:$C,"S"))</f>
        <v>0</v>
      </c>
      <c r="Y37" s="297">
        <f>IF($B37=0,"",SUMIFS(INPUT_DATA!X:X,INPUT_DATA!$A:$A,$B37,INPUT_DATA!$C:$C,"S"))</f>
        <v>52632.169999999991</v>
      </c>
      <c r="Z37" s="297">
        <f>IF($B37=0,"",SUMIFS(INPUT_DATA!Y:Y,INPUT_DATA!$A:$A,$B37,INPUT_DATA!$C:$C,"S"))</f>
        <v>3529.0200000000009</v>
      </c>
      <c r="AA37" s="297">
        <f>IF($B37=0,"",SUMIFS(INPUT_DATA!Z:Z,INPUT_DATA!$A:$A,$B37,INPUT_DATA!$C:$C,"S"))</f>
        <v>0</v>
      </c>
      <c r="AB37" s="297">
        <f>IF($B37=0,"",SUMIFS(INPUT_DATA!AA:AA,INPUT_DATA!$A:$A,$B37,INPUT_DATA!$C:$C,"S"))</f>
        <v>0</v>
      </c>
      <c r="AC37" s="297">
        <f>IF($B37=0,"",SUMIFS(INPUT_DATA!AB:AB,INPUT_DATA!$A:$A,$B37,INPUT_DATA!$C:$C,"S"))</f>
        <v>0</v>
      </c>
      <c r="AD37" s="297">
        <f>IF($B37=0,"",SUMIFS(INPUT_DATA!AC:AC,INPUT_DATA!$A:$A,$B37,INPUT_DATA!$C:$C,"S"))</f>
        <v>0</v>
      </c>
      <c r="AE37" s="297">
        <f>IF($B37=0,"",SUMIFS(INPUT_DATA!AD:AD,INPUT_DATA!$A:$A,$B37,INPUT_DATA!$C:$C,"S"))</f>
        <v>0</v>
      </c>
      <c r="AF37" s="297">
        <f>IF($B37=0,"",SUMIFS(INPUT_DATA!AE:AE,INPUT_DATA!$A:$A,$B37,INPUT_DATA!$C:$C,"S"))</f>
        <v>0</v>
      </c>
      <c r="AG37" s="297">
        <f>IF($B37=0,"",SUMIFS(INPUT_DATA!AF:AF,INPUT_DATA!$A:$A,$B37,INPUT_DATA!$C:$C,"S"))</f>
        <v>0</v>
      </c>
      <c r="AH37" s="297">
        <f>IF($B37=0,"",SUMIFS(INPUT_DATA!AG:AG,INPUT_DATA!$A:$A,$B37,INPUT_DATA!$C:$C,"S"))</f>
        <v>0</v>
      </c>
      <c r="AI37" s="297">
        <f>IF($B37=0,"",SUMIFS(INPUT_DATA!AH:AH,INPUT_DATA!$A:$A,$B37,INPUT_DATA!$C:$C,"S"))</f>
        <v>0</v>
      </c>
      <c r="AJ37" s="297">
        <f>IF($B37=0,"",SUMIFS(INPUT_DATA!AI:AI,INPUT_DATA!$A:$A,$B37,INPUT_DATA!$C:$C,"S"))</f>
        <v>0</v>
      </c>
      <c r="AK37" s="297">
        <f>IF($B37=0,"",SUMIFS(INPUT_DATA!AJ:AJ,INPUT_DATA!$A:$A,$B37,INPUT_DATA!$C:$C,"S"))</f>
        <v>0</v>
      </c>
      <c r="AL37" s="297">
        <f>IF($B37=0,"",SUMIFS(INPUT_DATA!AK:AK,INPUT_DATA!$A:$A,$B37,INPUT_DATA!$C:$C,"S"))</f>
        <v>0</v>
      </c>
      <c r="AM37" s="297">
        <f>IF($B37=0,"",SUMIFS(INPUT_DATA!AL:AL,INPUT_DATA!$A:$A,$B37,INPUT_DATA!$C:$C,"S"))</f>
        <v>0</v>
      </c>
      <c r="AN37" s="297">
        <f>IF($B37=0,"",SUMIFS(INPUT_DATA!AM:AM,INPUT_DATA!$A:$A,$B37,INPUT_DATA!$C:$C,"S"))</f>
        <v>0</v>
      </c>
      <c r="AO37" s="297">
        <f>IF($B37=0,"",SUMIFS(INPUT_DATA!AN:AN,INPUT_DATA!$A:$A,$B37,INPUT_DATA!$C:$C,"S"))</f>
        <v>0</v>
      </c>
      <c r="AP37" s="297">
        <f>IF($B37=0,"",SUMIFS(INPUT_DATA!AO:AO,INPUT_DATA!$A:$A,$B37,INPUT_DATA!$C:$C,"S"))</f>
        <v>0</v>
      </c>
      <c r="AQ37" s="297">
        <f>IF($B37=0,"",SUMIFS(INPUT_DATA!AP:AP,INPUT_DATA!$A:$A,$B37,INPUT_DATA!$C:$C,"S"))</f>
        <v>0</v>
      </c>
      <c r="AR37" s="297">
        <f>IF($B37=0,"",SUMIFS(INPUT_DATA!AQ:AQ,INPUT_DATA!$A:$A,$B37,INPUT_DATA!$C:$C,"S"))</f>
        <v>0</v>
      </c>
      <c r="AS37" s="297">
        <f>IF($B37=0,"",SUMIFS(INPUT_DATA!AR:AR,INPUT_DATA!$A:$A,$B37,INPUT_DATA!$C:$C,"S"))</f>
        <v>0</v>
      </c>
      <c r="AT37" s="713">
        <f t="shared" si="11"/>
        <v>66545.22</v>
      </c>
      <c r="AU37" s="714">
        <f t="shared" si="12"/>
        <v>5431.2099999999991</v>
      </c>
      <c r="AV37" s="715">
        <f t="shared" si="13"/>
        <v>0</v>
      </c>
      <c r="AW37" s="713">
        <f>IF($B37=0,"",SUMIFS(INPUT_DATA!AS:AS,INPUT_DATA!$A:$A,$B37,INPUT_DATA!$C:$C,"S"))</f>
        <v>66545.22</v>
      </c>
      <c r="AX37" s="714">
        <f>IF($B37=0,"",SUMIFS(INPUT_DATA!AT:AT,INPUT_DATA!$A:$A,$B37,INPUT_DATA!$C:$C,"S"))</f>
        <v>5431.21</v>
      </c>
      <c r="AY37" s="715">
        <f>IF($B37=0,"",SUMIFS(INPUT_DATA!AU:AU,INPUT_DATA!$A:$A,$B37,INPUT_DATA!$C:$C,"S"))</f>
        <v>0</v>
      </c>
      <c r="AZ37" s="713">
        <f t="shared" si="6"/>
        <v>0</v>
      </c>
      <c r="BA37" s="714">
        <f t="shared" si="7"/>
        <v>-9.0949470177292824E-13</v>
      </c>
      <c r="BB37" s="715">
        <f t="shared" si="8"/>
        <v>0</v>
      </c>
      <c r="BC37" s="150"/>
      <c r="BD37" s="702">
        <f>IF($B37=0,"",SUMIFS(INPUT_DATA!D:D,INPUT_DATA!$A:$A,$B37,INPUT_DATA!$C:$C,"D"))</f>
        <v>0</v>
      </c>
      <c r="BE37" s="296">
        <f>IF($B37=0,"",SUMIFS(INPUT_DATA!G:G,INPUT_DATA!$A:$A,$B37,INPUT_DATA!$C:$C,"D"))</f>
        <v>0</v>
      </c>
      <c r="BF37" s="296">
        <f>IF($B37=0,"",SUMIFS(INPUT_DATA!H:H,INPUT_DATA!$A:$A,$B37,INPUT_DATA!$C:$C,"D"))</f>
        <v>0</v>
      </c>
      <c r="BG37" s="296">
        <f>IF($B37=0,"",SUMIFS(INPUT_DATA!I:I,INPUT_DATA!$A:$A,$B37,INPUT_DATA!$C:$C,"D"))</f>
        <v>0</v>
      </c>
      <c r="BH37" s="296">
        <f>IF($B37=0,"",SUMIFS(INPUT_DATA!J:J,INPUT_DATA!$A:$A,$B37,INPUT_DATA!$C:$C,"D"))</f>
        <v>0</v>
      </c>
      <c r="BI37" s="296">
        <f>IF($B37=0,"",SUMIFS(INPUT_DATA!K:K,INPUT_DATA!$A:$A,$B37,INPUT_DATA!$C:$C,"D"))</f>
        <v>0</v>
      </c>
      <c r="BJ37" s="296">
        <f>IF($B37=0,"",SUMIFS(INPUT_DATA!L:L,INPUT_DATA!$A:$A,$B37,INPUT_DATA!$C:$C,"D"))</f>
        <v>0</v>
      </c>
      <c r="BK37" s="296">
        <f>IF($B37=0,"",SUMIFS(INPUT_DATA!M:M,INPUT_DATA!$A:$A,$B37,INPUT_DATA!$C:$C,"D"))</f>
        <v>0</v>
      </c>
      <c r="BL37" s="296">
        <f>IF($B37=0,"",SUMIFS(INPUT_DATA!N:N,INPUT_DATA!$A:$A,$B37,INPUT_DATA!$C:$C,"D"))</f>
        <v>0</v>
      </c>
      <c r="BM37" s="296">
        <f>IF($B37=0,"",SUMIFS(INPUT_DATA!O:O,INPUT_DATA!$A:$A,$B37,INPUT_DATA!$C:$C,"D"))</f>
        <v>0</v>
      </c>
      <c r="BN37" s="296">
        <f>IF($B37=0,"",SUMIFS(INPUT_DATA!P:P,INPUT_DATA!$A:$A,$B37,INPUT_DATA!$C:$C,"D"))</f>
        <v>0</v>
      </c>
      <c r="BO37" s="718">
        <f t="shared" si="9"/>
        <v>0</v>
      </c>
      <c r="BP37" s="990">
        <f>IF($B37=0,"",SUMIFS(INPUT_DATA!Q:Q,INPUT_DATA!$A:$A,$B37,INPUT_DATA!$C:$C,"D"))</f>
        <v>0</v>
      </c>
      <c r="BQ37" s="718">
        <f t="shared" si="10"/>
        <v>0</v>
      </c>
      <c r="BR37" s="702">
        <f>IF($B37=0,"",SUMIFS(INPUT_DATA!R:R,INPUT_DATA!$A:$A,$B37,INPUT_DATA!$C:$C,"D"))</f>
        <v>3515.46</v>
      </c>
      <c r="BS37" s="724">
        <f>IF($B37=0,"",SUMIFS(INPUT_DATA!S:S,INPUT_DATA!$A:$A,$B37,INPUT_DATA!$C:$C,"D"))</f>
        <v>42.78</v>
      </c>
      <c r="BT37" s="724">
        <f>IF($B37=0,"",SUMIFS(INPUT_DATA!T:T,INPUT_DATA!$A:$A,$B37,INPUT_DATA!$C:$C,"D"))</f>
        <v>0</v>
      </c>
      <c r="BU37" s="296">
        <f>IF($B37=0,"",SUMIFS(INPUT_DATA!U:U,INPUT_DATA!$A:$A,$B37,INPUT_DATA!$C:$C,"D"))</f>
        <v>0</v>
      </c>
      <c r="BV37" s="296">
        <f>IF($B37=0,"",SUMIFS(INPUT_DATA!V:V,INPUT_DATA!$A:$A,$B37,INPUT_DATA!$C:$C,"D"))</f>
        <v>0</v>
      </c>
      <c r="BW37" s="296">
        <f>IF($B37=0,"",SUMIFS(INPUT_DATA!W:W,INPUT_DATA!$A:$A,$B37,INPUT_DATA!$C:$C,"D"))</f>
        <v>0</v>
      </c>
      <c r="BX37" s="296">
        <f>IF($B37=0,"",SUMIFS(INPUT_DATA!X:X,INPUT_DATA!$A:$A,$B37,INPUT_DATA!$C:$C,"D"))</f>
        <v>1918.85</v>
      </c>
      <c r="BY37" s="296">
        <f>IF($B37=0,"",SUMIFS(INPUT_DATA!Y:Y,INPUT_DATA!$A:$A,$B37,INPUT_DATA!$C:$C,"D"))</f>
        <v>33.25</v>
      </c>
      <c r="BZ37" s="296">
        <f>IF($B37=0,"",SUMIFS(INPUT_DATA!Z:Z,INPUT_DATA!$A:$A,$B37,INPUT_DATA!$C:$C,"D"))</f>
        <v>0</v>
      </c>
      <c r="CA37" s="336">
        <f>IF($B37=0,"",SUMIFS(INPUT_DATA!AA:AA,INPUT_DATA!$A:$A,$B37,INPUT_DATA!$C:$C,"D"))</f>
        <v>0</v>
      </c>
      <c r="CB37" s="336">
        <f>IF($B37=0,"",SUMIFS(INPUT_DATA!AB:AB,INPUT_DATA!$A:$A,$B37,INPUT_DATA!$C:$C,"D"))</f>
        <v>0</v>
      </c>
      <c r="CC37" s="336">
        <f>IF($B37=0,"",SUMIFS(INPUT_DATA!AC:AC,INPUT_DATA!$A:$A,$B37,INPUT_DATA!$C:$C,"D"))</f>
        <v>0</v>
      </c>
      <c r="CD37" s="296">
        <f>IF($B37=0,"",SUMIFS(INPUT_DATA!AD:AD,INPUT_DATA!$A:$A,$B37,INPUT_DATA!$C:$C,"D"))</f>
        <v>0</v>
      </c>
      <c r="CE37" s="296">
        <f>IF($B37=0,"",SUMIFS(INPUT_DATA!AE:AE,INPUT_DATA!$A:$A,$B37,INPUT_DATA!$C:$C,"D"))</f>
        <v>0</v>
      </c>
      <c r="CF37" s="296">
        <f>IF($B37=0,"",SUMIFS(INPUT_DATA!AF:AF,INPUT_DATA!$A:$A,$B37,INPUT_DATA!$C:$C,"D"))</f>
        <v>0</v>
      </c>
      <c r="CG37" s="336">
        <f>IF($B37=0,"",SUMIFS(INPUT_DATA!AG:AG,INPUT_DATA!$A:$A,$B37,INPUT_DATA!$C:$C,"D"))</f>
        <v>0</v>
      </c>
      <c r="CH37" s="336">
        <f>IF($B37=0,"",SUMIFS(INPUT_DATA!AH:AH,INPUT_DATA!$A:$A,$B37,INPUT_DATA!$C:$C,"D"))</f>
        <v>0</v>
      </c>
      <c r="CI37" s="336">
        <f>IF($B37=0,"",SUMIFS(INPUT_DATA!AI:AI,INPUT_DATA!$A:$A,$B37,INPUT_DATA!$C:$C,"D"))</f>
        <v>0</v>
      </c>
      <c r="CJ37" s="153">
        <f>IF($B37=0,"",SUMIFS(INPUT_DATA!AJ:AJ,INPUT_DATA!$A:$A,$B37,INPUT_DATA!$C:$C,"D"))</f>
        <v>0</v>
      </c>
      <c r="CK37" s="153">
        <f>IF($B37=0,"",SUMIFS(INPUT_DATA!AK:AK,INPUT_DATA!$A:$A,$B37,INPUT_DATA!$C:$C,"D"))</f>
        <v>0</v>
      </c>
      <c r="CL37" s="153">
        <f>IF($B37=0,"",SUMIFS(INPUT_DATA!AL:AL,INPUT_DATA!$A:$A,$B37,INPUT_DATA!$C:$C,"D"))</f>
        <v>0</v>
      </c>
      <c r="CM37" s="153">
        <f>IF($B37=0,"",SUMIFS(INPUT_DATA!AM:AM,INPUT_DATA!$A:$A,$B37,INPUT_DATA!$C:$C,"D"))</f>
        <v>0</v>
      </c>
      <c r="CN37" s="153">
        <f>IF($B37=0,"",SUMIFS(INPUT_DATA!AN:AN,INPUT_DATA!$A:$A,$B37,INPUT_DATA!$C:$C,"D"))</f>
        <v>0</v>
      </c>
      <c r="CO37" s="153">
        <f>IF($B37=0,"",SUMIFS(INPUT_DATA!AO:AO,INPUT_DATA!$A:$A,$B37,INPUT_DATA!$C:$C,"D"))</f>
        <v>0</v>
      </c>
      <c r="CP37" s="153">
        <f>IF($B37=0,"",SUMIFS(INPUT_DATA!AP:AP,INPUT_DATA!$A:$A,$B37,INPUT_DATA!$C:$C,"D"))</f>
        <v>0</v>
      </c>
      <c r="CQ37" s="153">
        <f>IF($B37=0,"",SUMIFS(INPUT_DATA!AQ:AQ,INPUT_DATA!$A:$A,$B37,INPUT_DATA!$C:$C,"D"))</f>
        <v>0</v>
      </c>
      <c r="CR37" s="153">
        <f>IF($B37=0,"",SUMIFS(INPUT_DATA!AR:AR,INPUT_DATA!$A:$A,$B37,INPUT_DATA!$C:$C,"D"))</f>
        <v>0</v>
      </c>
      <c r="CS37" s="714">
        <f t="shared" si="14"/>
        <v>1596.6100000000001</v>
      </c>
      <c r="CT37" s="714">
        <f t="shared" si="15"/>
        <v>9.5300000000000011</v>
      </c>
      <c r="CU37" s="714">
        <f t="shared" si="16"/>
        <v>0</v>
      </c>
      <c r="CV37" s="703">
        <f>IF($B37=0,"",SUMIFS(INPUT_DATA!AS:AS,INPUT_DATA!$A:$A,$B37,INPUT_DATA!$C:$C,"D"))</f>
        <v>1596.61</v>
      </c>
      <c r="CW37" s="703">
        <f>IF($B37=0,"",SUMIFS(INPUT_DATA!AT:AT,INPUT_DATA!$A:$A,$B37,INPUT_DATA!$C:$C,"D"))</f>
        <v>9.5299999999999994</v>
      </c>
      <c r="CX37" s="703">
        <f>IF($B37=0,"",SUMIFS(INPUT_DATA!AU:AU,INPUT_DATA!$A:$A,$B37,INPUT_DATA!$C:$C,"D"))</f>
        <v>0</v>
      </c>
      <c r="CY37" s="703">
        <f t="shared" si="17"/>
        <v>2.2737367544323206E-13</v>
      </c>
      <c r="CZ37" s="714">
        <f t="shared" si="18"/>
        <v>1.7763568394002505E-15</v>
      </c>
      <c r="DA37" s="725">
        <f t="shared" si="19"/>
        <v>0</v>
      </c>
      <c r="DB37" s="150"/>
    </row>
    <row r="38" spans="1:106">
      <c r="B38" s="697">
        <f>INPUT_DATA!BR25</f>
        <v>45565</v>
      </c>
      <c r="C38" s="702">
        <f>IF($B38=0,"",SUMIFS(INPUT_DATA!D:D,INPUT_DATA!$A:$A,$B38,INPUT_DATA!$C:$C,"S"))</f>
        <v>688594142.69999981</v>
      </c>
      <c r="D38" s="703">
        <f>IF($B38=0,"",SUMIFS(INPUT_DATA!E:E,INPUT_DATA!$A:$A,$B38,INPUT_DATA!$C:$C,"S"))</f>
        <v>0</v>
      </c>
      <c r="E38" s="703">
        <f>IF($B38=0,"",SUMIFS(INPUT_DATA!F:F,INPUT_DATA!$A:$A,$B38,INPUT_DATA!$C:$C,"S"))</f>
        <v>0</v>
      </c>
      <c r="F38" s="704">
        <f>IF($B38=0,"",SUMIFS(INPUT_DATA!G:G,INPUT_DATA!$A:$A,$B38,INPUT_DATA!$C:$C,"S"))</f>
        <v>4821644.0899999896</v>
      </c>
      <c r="G38" s="704">
        <f>IF($B38=0,"",SUMIFS(INPUT_DATA!H:H,INPUT_DATA!$A:$A,$B38,INPUT_DATA!$C:$C,"S"))</f>
        <v>806173.41</v>
      </c>
      <c r="H38" s="704">
        <f>IF($B38=0,"",SUMIFS(INPUT_DATA!I:I,INPUT_DATA!$A:$A,$B38,INPUT_DATA!$C:$C,"S"))</f>
        <v>0</v>
      </c>
      <c r="I38" s="704">
        <f>IF($B38=0,"",SUMIFS(INPUT_DATA!J:J,INPUT_DATA!$A:$A,$B38,INPUT_DATA!$C:$C,"S"))</f>
        <v>250.78000000000003</v>
      </c>
      <c r="J38" s="704">
        <f>IF($B38=0,"",SUMIFS(INPUT_DATA!K:K,INPUT_DATA!$A:$A,$B38,INPUT_DATA!$C:$C,"S"))</f>
        <v>0</v>
      </c>
      <c r="K38" s="704">
        <f>IF($B38=0,"",SUMIFS(INPUT_DATA!L:L,INPUT_DATA!$A:$A,$B38,INPUT_DATA!$C:$C,"S"))</f>
        <v>0</v>
      </c>
      <c r="L38" s="704">
        <f>IF($B38=0,"",SUMIFS(INPUT_DATA!M:M,INPUT_DATA!$A:$A,$B38,INPUT_DATA!$C:$C,"S"))</f>
        <v>0</v>
      </c>
      <c r="M38" s="704">
        <f>IF($B38=0,"",SUMIFS(INPUT_DATA!N:N,INPUT_DATA!$A:$A,$B38,INPUT_DATA!$C:$C,"S"))</f>
        <v>0</v>
      </c>
      <c r="N38" s="704">
        <f>IF($B38=0,"",SUMIFS(INPUT_DATA!O:O,INPUT_DATA!$A:$A,$B38,INPUT_DATA!$C:$C,"S"))</f>
        <v>0</v>
      </c>
      <c r="O38" s="704">
        <f>IF($B38=0,"",SUMIFS(INPUT_DATA!P:P,INPUT_DATA!$A:$A,$B38,INPUT_DATA!$C:$C,"S"))</f>
        <v>0</v>
      </c>
      <c r="P38" s="705">
        <f t="shared" si="5"/>
        <v>682966575.97999978</v>
      </c>
      <c r="Q38" s="706">
        <f>IF($B38=0,"",SUMIFS(INPUT_DATA!Q:Q,INPUT_DATA!$A:$A,$B38,INPUT_DATA!$C:$C,"S"))</f>
        <v>682966575.97999787</v>
      </c>
      <c r="R38" s="706">
        <f t="shared" si="20"/>
        <v>1.9073486328125E-6</v>
      </c>
      <c r="S38" s="712">
        <f>IF($B38=0,"",SUMIFS(INPUT_DATA!R:R,INPUT_DATA!$A:$A,$B38,INPUT_DATA!$C:$C,"S"))</f>
        <v>65309.620000000024</v>
      </c>
      <c r="T38" s="712">
        <f>IF($B38=0,"",SUMIFS(INPUT_DATA!S:S,INPUT_DATA!$A:$A,$B38,INPUT_DATA!$C:$C,"S"))</f>
        <v>3102.21</v>
      </c>
      <c r="U38" s="712">
        <f>IF($B38=0,"",SUMIFS(INPUT_DATA!T:T,INPUT_DATA!$A:$A,$B38,INPUT_DATA!$C:$C,"S"))</f>
        <v>0</v>
      </c>
      <c r="V38" s="297">
        <f>IF($B38=0,"",SUMIFS(INPUT_DATA!U:U,INPUT_DATA!$A:$A,$B38,INPUT_DATA!$C:$C,"S"))</f>
        <v>58910.87</v>
      </c>
      <c r="W38" s="297">
        <f>IF($B38=0,"",SUMIFS(INPUT_DATA!V:V,INPUT_DATA!$A:$A,$B38,INPUT_DATA!$C:$C,"S"))</f>
        <v>4311.2500000000009</v>
      </c>
      <c r="X38" s="297">
        <f>IF($B38=0,"",SUMIFS(INPUT_DATA!W:W,INPUT_DATA!$A:$A,$B38,INPUT_DATA!$C:$C,"S"))</f>
        <v>0</v>
      </c>
      <c r="Y38" s="297">
        <f>IF($B38=0,"",SUMIFS(INPUT_DATA!X:X,INPUT_DATA!$A:$A,$B38,INPUT_DATA!$C:$C,"S"))</f>
        <v>52388.180000000015</v>
      </c>
      <c r="Z38" s="297">
        <f>IF($B38=0,"",SUMIFS(INPUT_DATA!Y:Y,INPUT_DATA!$A:$A,$B38,INPUT_DATA!$C:$C,"S"))</f>
        <v>2606.0200000000004</v>
      </c>
      <c r="AA38" s="297">
        <f>IF($B38=0,"",SUMIFS(INPUT_DATA!Z:Z,INPUT_DATA!$A:$A,$B38,INPUT_DATA!$C:$C,"S"))</f>
        <v>0</v>
      </c>
      <c r="AB38" s="297">
        <f>IF($B38=0,"",SUMIFS(INPUT_DATA!AA:AA,INPUT_DATA!$A:$A,$B38,INPUT_DATA!$C:$C,"S"))</f>
        <v>0</v>
      </c>
      <c r="AC38" s="297">
        <f>IF($B38=0,"",SUMIFS(INPUT_DATA!AB:AB,INPUT_DATA!$A:$A,$B38,INPUT_DATA!$C:$C,"S"))</f>
        <v>0</v>
      </c>
      <c r="AD38" s="297">
        <f>IF($B38=0,"",SUMIFS(INPUT_DATA!AC:AC,INPUT_DATA!$A:$A,$B38,INPUT_DATA!$C:$C,"S"))</f>
        <v>0</v>
      </c>
      <c r="AE38" s="297">
        <f>IF($B38=0,"",SUMIFS(INPUT_DATA!AD:AD,INPUT_DATA!$A:$A,$B38,INPUT_DATA!$C:$C,"S"))</f>
        <v>0</v>
      </c>
      <c r="AF38" s="297">
        <f>IF($B38=0,"",SUMIFS(INPUT_DATA!AE:AE,INPUT_DATA!$A:$A,$B38,INPUT_DATA!$C:$C,"S"))</f>
        <v>0</v>
      </c>
      <c r="AG38" s="297">
        <f>IF($B38=0,"",SUMIFS(INPUT_DATA!AF:AF,INPUT_DATA!$A:$A,$B38,INPUT_DATA!$C:$C,"S"))</f>
        <v>0</v>
      </c>
      <c r="AH38" s="297">
        <f>IF($B38=0,"",SUMIFS(INPUT_DATA!AG:AG,INPUT_DATA!$A:$A,$B38,INPUT_DATA!$C:$C,"S"))</f>
        <v>3515.46</v>
      </c>
      <c r="AI38" s="297">
        <f>IF($B38=0,"",SUMIFS(INPUT_DATA!AH:AH,INPUT_DATA!$A:$A,$B38,INPUT_DATA!$C:$C,"S"))</f>
        <v>42.78</v>
      </c>
      <c r="AJ38" s="297">
        <f>IF($B38=0,"",SUMIFS(INPUT_DATA!AI:AI,INPUT_DATA!$A:$A,$B38,INPUT_DATA!$C:$C,"S"))</f>
        <v>0</v>
      </c>
      <c r="AK38" s="297">
        <f>IF($B38=0,"",SUMIFS(INPUT_DATA!AJ:AJ,INPUT_DATA!$A:$A,$B38,INPUT_DATA!$C:$C,"S"))</f>
        <v>0</v>
      </c>
      <c r="AL38" s="297">
        <f>IF($B38=0,"",SUMIFS(INPUT_DATA!AK:AK,INPUT_DATA!$A:$A,$B38,INPUT_DATA!$C:$C,"S"))</f>
        <v>0</v>
      </c>
      <c r="AM38" s="297">
        <f>IF($B38=0,"",SUMIFS(INPUT_DATA!AL:AL,INPUT_DATA!$A:$A,$B38,INPUT_DATA!$C:$C,"S"))</f>
        <v>0</v>
      </c>
      <c r="AN38" s="297">
        <f>IF($B38=0,"",SUMIFS(INPUT_DATA!AM:AM,INPUT_DATA!$A:$A,$B38,INPUT_DATA!$C:$C,"S"))</f>
        <v>0</v>
      </c>
      <c r="AO38" s="297">
        <f>IF($B38=0,"",SUMIFS(INPUT_DATA!AN:AN,INPUT_DATA!$A:$A,$B38,INPUT_DATA!$C:$C,"S"))</f>
        <v>0</v>
      </c>
      <c r="AP38" s="297">
        <f>IF($B38=0,"",SUMIFS(INPUT_DATA!AO:AO,INPUT_DATA!$A:$A,$B38,INPUT_DATA!$C:$C,"S"))</f>
        <v>0</v>
      </c>
      <c r="AQ38" s="297">
        <f>IF($B38=0,"",SUMIFS(INPUT_DATA!AP:AP,INPUT_DATA!$A:$A,$B38,INPUT_DATA!$C:$C,"S"))</f>
        <v>0</v>
      </c>
      <c r="AR38" s="297">
        <f>IF($B38=0,"",SUMIFS(INPUT_DATA!AQ:AQ,INPUT_DATA!$A:$A,$B38,INPUT_DATA!$C:$C,"S"))</f>
        <v>0</v>
      </c>
      <c r="AS38" s="297">
        <f>IF($B38=0,"",SUMIFS(INPUT_DATA!AR:AR,INPUT_DATA!$A:$A,$B38,INPUT_DATA!$C:$C,"S"))</f>
        <v>0</v>
      </c>
      <c r="AT38" s="713">
        <f t="shared" si="11"/>
        <v>68316.849999999991</v>
      </c>
      <c r="AU38" s="714">
        <f t="shared" si="12"/>
        <v>4764.6600000000008</v>
      </c>
      <c r="AV38" s="715">
        <f t="shared" si="13"/>
        <v>0</v>
      </c>
      <c r="AW38" s="713">
        <f>IF($B38=0,"",SUMIFS(INPUT_DATA!AS:AS,INPUT_DATA!$A:$A,$B38,INPUT_DATA!$C:$C,"S"))</f>
        <v>68316.850000000006</v>
      </c>
      <c r="AX38" s="714">
        <f>IF($B38=0,"",SUMIFS(INPUT_DATA!AT:AT,INPUT_DATA!$A:$A,$B38,INPUT_DATA!$C:$C,"S"))</f>
        <v>4764.66</v>
      </c>
      <c r="AY38" s="715">
        <f>IF($B38=0,"",SUMIFS(INPUT_DATA!AU:AU,INPUT_DATA!$A:$A,$B38,INPUT_DATA!$C:$C,"S"))</f>
        <v>0</v>
      </c>
      <c r="AZ38" s="713">
        <f t="shared" si="6"/>
        <v>-1.4551915228366852E-11</v>
      </c>
      <c r="BA38" s="714">
        <f t="shared" si="7"/>
        <v>9.0949470177292824E-13</v>
      </c>
      <c r="BB38" s="715">
        <f t="shared" si="8"/>
        <v>0</v>
      </c>
      <c r="BC38" s="150"/>
      <c r="BD38" s="702">
        <f>IF($B38=0,"",SUMIFS(INPUT_DATA!D:D,INPUT_DATA!$A:$A,$B38,INPUT_DATA!$C:$C,"D"))</f>
        <v>0</v>
      </c>
      <c r="BE38" s="296">
        <f>IF($B38=0,"",SUMIFS(INPUT_DATA!G:G,INPUT_DATA!$A:$A,$B38,INPUT_DATA!$C:$C,"D"))</f>
        <v>0</v>
      </c>
      <c r="BF38" s="296">
        <f>IF($B38=0,"",SUMIFS(INPUT_DATA!H:H,INPUT_DATA!$A:$A,$B38,INPUT_DATA!$C:$C,"D"))</f>
        <v>0</v>
      </c>
      <c r="BG38" s="296">
        <f>IF($B38=0,"",SUMIFS(INPUT_DATA!I:I,INPUT_DATA!$A:$A,$B38,INPUT_DATA!$C:$C,"D"))</f>
        <v>0</v>
      </c>
      <c r="BH38" s="296">
        <f>IF($B38=0,"",SUMIFS(INPUT_DATA!J:J,INPUT_DATA!$A:$A,$B38,INPUT_DATA!$C:$C,"D"))</f>
        <v>0</v>
      </c>
      <c r="BI38" s="296">
        <f>IF($B38=0,"",SUMIFS(INPUT_DATA!K:K,INPUT_DATA!$A:$A,$B38,INPUT_DATA!$C:$C,"D"))</f>
        <v>0</v>
      </c>
      <c r="BJ38" s="296">
        <f>IF($B38=0,"",SUMIFS(INPUT_DATA!L:L,INPUT_DATA!$A:$A,$B38,INPUT_DATA!$C:$C,"D"))</f>
        <v>0</v>
      </c>
      <c r="BK38" s="296">
        <f>IF($B38=0,"",SUMIFS(INPUT_DATA!M:M,INPUT_DATA!$A:$A,$B38,INPUT_DATA!$C:$C,"D"))</f>
        <v>0</v>
      </c>
      <c r="BL38" s="296">
        <f>IF($B38=0,"",SUMIFS(INPUT_DATA!N:N,INPUT_DATA!$A:$A,$B38,INPUT_DATA!$C:$C,"D"))</f>
        <v>0</v>
      </c>
      <c r="BM38" s="296">
        <f>IF($B38=0,"",SUMIFS(INPUT_DATA!O:O,INPUT_DATA!$A:$A,$B38,INPUT_DATA!$C:$C,"D"))</f>
        <v>0</v>
      </c>
      <c r="BN38" s="296">
        <f>IF($B38=0,"",SUMIFS(INPUT_DATA!P:P,INPUT_DATA!$A:$A,$B38,INPUT_DATA!$C:$C,"D"))</f>
        <v>0</v>
      </c>
      <c r="BO38" s="718">
        <f t="shared" si="9"/>
        <v>0</v>
      </c>
      <c r="BP38" s="990">
        <f>IF($B38=0,"",SUMIFS(INPUT_DATA!Q:Q,INPUT_DATA!$A:$A,$B38,INPUT_DATA!$C:$C,"D"))</f>
        <v>0</v>
      </c>
      <c r="BQ38" s="718">
        <f t="shared" si="10"/>
        <v>0</v>
      </c>
      <c r="BR38" s="702">
        <f>IF($B38=0,"",SUMIFS(INPUT_DATA!R:R,INPUT_DATA!$A:$A,$B38,INPUT_DATA!$C:$C,"D"))</f>
        <v>3272.83</v>
      </c>
      <c r="BS38" s="724">
        <f>IF($B38=0,"",SUMIFS(INPUT_DATA!S:S,INPUT_DATA!$A:$A,$B38,INPUT_DATA!$C:$C,"D"))</f>
        <v>0</v>
      </c>
      <c r="BT38" s="724">
        <f>IF($B38=0,"",SUMIFS(INPUT_DATA!T:T,INPUT_DATA!$A:$A,$B38,INPUT_DATA!$C:$C,"D"))</f>
        <v>0</v>
      </c>
      <c r="BU38" s="296">
        <f>IF($B38=0,"",SUMIFS(INPUT_DATA!U:U,INPUT_DATA!$A:$A,$B38,INPUT_DATA!$C:$C,"D"))</f>
        <v>0</v>
      </c>
      <c r="BV38" s="296">
        <f>IF($B38=0,"",SUMIFS(INPUT_DATA!V:V,INPUT_DATA!$A:$A,$B38,INPUT_DATA!$C:$C,"D"))</f>
        <v>0</v>
      </c>
      <c r="BW38" s="296">
        <f>IF($B38=0,"",SUMIFS(INPUT_DATA!W:W,INPUT_DATA!$A:$A,$B38,INPUT_DATA!$C:$C,"D"))</f>
        <v>0</v>
      </c>
      <c r="BX38" s="296">
        <f>IF($B38=0,"",SUMIFS(INPUT_DATA!X:X,INPUT_DATA!$A:$A,$B38,INPUT_DATA!$C:$C,"D"))</f>
        <v>3272.83</v>
      </c>
      <c r="BY38" s="296">
        <f>IF($B38=0,"",SUMIFS(INPUT_DATA!Y:Y,INPUT_DATA!$A:$A,$B38,INPUT_DATA!$C:$C,"D"))</f>
        <v>0</v>
      </c>
      <c r="BZ38" s="296">
        <f>IF($B38=0,"",SUMIFS(INPUT_DATA!Z:Z,INPUT_DATA!$A:$A,$B38,INPUT_DATA!$C:$C,"D"))</f>
        <v>0</v>
      </c>
      <c r="CA38" s="336">
        <f>IF($B38=0,"",SUMIFS(INPUT_DATA!AA:AA,INPUT_DATA!$A:$A,$B38,INPUT_DATA!$C:$C,"D"))</f>
        <v>0</v>
      </c>
      <c r="CB38" s="336">
        <f>IF($B38=0,"",SUMIFS(INPUT_DATA!AB:AB,INPUT_DATA!$A:$A,$B38,INPUT_DATA!$C:$C,"D"))</f>
        <v>0</v>
      </c>
      <c r="CC38" s="336">
        <f>IF($B38=0,"",SUMIFS(INPUT_DATA!AC:AC,INPUT_DATA!$A:$A,$B38,INPUT_DATA!$C:$C,"D"))</f>
        <v>0</v>
      </c>
      <c r="CD38" s="296">
        <f>IF($B38=0,"",SUMIFS(INPUT_DATA!AD:AD,INPUT_DATA!$A:$A,$B38,INPUT_DATA!$C:$C,"D"))</f>
        <v>0</v>
      </c>
      <c r="CE38" s="296">
        <f>IF($B38=0,"",SUMIFS(INPUT_DATA!AE:AE,INPUT_DATA!$A:$A,$B38,INPUT_DATA!$C:$C,"D"))</f>
        <v>0</v>
      </c>
      <c r="CF38" s="296">
        <f>IF($B38=0,"",SUMIFS(INPUT_DATA!AF:AF,INPUT_DATA!$A:$A,$B38,INPUT_DATA!$C:$C,"D"))</f>
        <v>0</v>
      </c>
      <c r="CG38" s="336">
        <f>IF($B38=0,"",SUMIFS(INPUT_DATA!AG:AG,INPUT_DATA!$A:$A,$B38,INPUT_DATA!$C:$C,"D"))</f>
        <v>3515.46</v>
      </c>
      <c r="CH38" s="336">
        <f>IF($B38=0,"",SUMIFS(INPUT_DATA!AH:AH,INPUT_DATA!$A:$A,$B38,INPUT_DATA!$C:$C,"D"))</f>
        <v>42.78</v>
      </c>
      <c r="CI38" s="336">
        <f>IF($B38=0,"",SUMIFS(INPUT_DATA!AI:AI,INPUT_DATA!$A:$A,$B38,INPUT_DATA!$C:$C,"D"))</f>
        <v>0</v>
      </c>
      <c r="CJ38" s="153">
        <f>IF($B38=0,"",SUMIFS(INPUT_DATA!AJ:AJ,INPUT_DATA!$A:$A,$B38,INPUT_DATA!$C:$C,"D"))</f>
        <v>0</v>
      </c>
      <c r="CK38" s="153">
        <f>IF($B38=0,"",SUMIFS(INPUT_DATA!AK:AK,INPUT_DATA!$A:$A,$B38,INPUT_DATA!$C:$C,"D"))</f>
        <v>0</v>
      </c>
      <c r="CL38" s="153">
        <f>IF($B38=0,"",SUMIFS(INPUT_DATA!AL:AL,INPUT_DATA!$A:$A,$B38,INPUT_DATA!$C:$C,"D"))</f>
        <v>0</v>
      </c>
      <c r="CM38" s="153">
        <f>IF($B38=0,"",SUMIFS(INPUT_DATA!AM:AM,INPUT_DATA!$A:$A,$B38,INPUT_DATA!$C:$C,"D"))</f>
        <v>0</v>
      </c>
      <c r="CN38" s="153">
        <f>IF($B38=0,"",SUMIFS(INPUT_DATA!AN:AN,INPUT_DATA!$A:$A,$B38,INPUT_DATA!$C:$C,"D"))</f>
        <v>0</v>
      </c>
      <c r="CO38" s="153">
        <f>IF($B38=0,"",SUMIFS(INPUT_DATA!AO:AO,INPUT_DATA!$A:$A,$B38,INPUT_DATA!$C:$C,"D"))</f>
        <v>0</v>
      </c>
      <c r="CP38" s="153">
        <f>IF($B38=0,"",SUMIFS(INPUT_DATA!AP:AP,INPUT_DATA!$A:$A,$B38,INPUT_DATA!$C:$C,"D"))</f>
        <v>0</v>
      </c>
      <c r="CQ38" s="153">
        <f>IF($B38=0,"",SUMIFS(INPUT_DATA!AQ:AQ,INPUT_DATA!$A:$A,$B38,INPUT_DATA!$C:$C,"D"))</f>
        <v>0</v>
      </c>
      <c r="CR38" s="153">
        <f>IF($B38=0,"",SUMIFS(INPUT_DATA!AR:AR,INPUT_DATA!$A:$A,$B38,INPUT_DATA!$C:$C,"D"))</f>
        <v>0</v>
      </c>
      <c r="CS38" s="714">
        <f t="shared" si="14"/>
        <v>3515.46</v>
      </c>
      <c r="CT38" s="714">
        <f t="shared" si="15"/>
        <v>42.78</v>
      </c>
      <c r="CU38" s="714">
        <f t="shared" si="16"/>
        <v>0</v>
      </c>
      <c r="CV38" s="703">
        <f>IF($B38=0,"",SUMIFS(INPUT_DATA!AS:AS,INPUT_DATA!$A:$A,$B38,INPUT_DATA!$C:$C,"D"))</f>
        <v>3515.46</v>
      </c>
      <c r="CW38" s="703">
        <f>IF($B38=0,"",SUMIFS(INPUT_DATA!AT:AT,INPUT_DATA!$A:$A,$B38,INPUT_DATA!$C:$C,"D"))</f>
        <v>42.78</v>
      </c>
      <c r="CX38" s="703">
        <f>IF($B38=0,"",SUMIFS(INPUT_DATA!AU:AU,INPUT_DATA!$A:$A,$B38,INPUT_DATA!$C:$C,"D"))</f>
        <v>0</v>
      </c>
      <c r="CY38" s="703">
        <f t="shared" si="17"/>
        <v>0</v>
      </c>
      <c r="CZ38" s="714">
        <f t="shared" si="18"/>
        <v>0</v>
      </c>
      <c r="DA38" s="725">
        <f t="shared" si="19"/>
        <v>0</v>
      </c>
      <c r="DB38" s="150"/>
    </row>
    <row r="39" spans="1:106">
      <c r="B39" s="697">
        <f>INPUT_DATA!BR26</f>
        <v>45535</v>
      </c>
      <c r="C39" s="702">
        <f>IF($B39=0,"",SUMIFS(INPUT_DATA!D:D,INPUT_DATA!$A:$A,$B39,INPUT_DATA!$C:$C,"S"))</f>
        <v>695433900.90000021</v>
      </c>
      <c r="D39" s="703">
        <f>IF($B39=0,"",SUMIFS(INPUT_DATA!E:E,INPUT_DATA!$A:$A,$B39,INPUT_DATA!$C:$C,"S"))</f>
        <v>0</v>
      </c>
      <c r="E39" s="703">
        <f>IF($B39=0,"",SUMIFS(INPUT_DATA!F:F,INPUT_DATA!$A:$A,$B39,INPUT_DATA!$C:$C,"S"))</f>
        <v>0</v>
      </c>
      <c r="F39" s="704">
        <f>IF($B39=0,"",SUMIFS(INPUT_DATA!G:G,INPUT_DATA!$A:$A,$B39,INPUT_DATA!$C:$C,"S"))</f>
        <v>4836308.9699999942</v>
      </c>
      <c r="G39" s="704">
        <f>IF($B39=0,"",SUMIFS(INPUT_DATA!H:H,INPUT_DATA!$A:$A,$B39,INPUT_DATA!$C:$C,"S"))</f>
        <v>2003699.8000000003</v>
      </c>
      <c r="H39" s="704">
        <f>IF($B39=0,"",SUMIFS(INPUT_DATA!I:I,INPUT_DATA!$A:$A,$B39,INPUT_DATA!$C:$C,"S"))</f>
        <v>0</v>
      </c>
      <c r="I39" s="704">
        <f>IF($B39=0,"",SUMIFS(INPUT_DATA!J:J,INPUT_DATA!$A:$A,$B39,INPUT_DATA!$C:$C,"S"))</f>
        <v>250.57</v>
      </c>
      <c r="J39" s="704">
        <f>IF($B39=0,"",SUMIFS(INPUT_DATA!K:K,INPUT_DATA!$A:$A,$B39,INPUT_DATA!$C:$C,"S"))</f>
        <v>0</v>
      </c>
      <c r="K39" s="704">
        <f>IF($B39=0,"",SUMIFS(INPUT_DATA!L:L,INPUT_DATA!$A:$A,$B39,INPUT_DATA!$C:$C,"S"))</f>
        <v>0</v>
      </c>
      <c r="L39" s="704">
        <f>IF($B39=0,"",SUMIFS(INPUT_DATA!M:M,INPUT_DATA!$A:$A,$B39,INPUT_DATA!$C:$C,"S"))</f>
        <v>0</v>
      </c>
      <c r="M39" s="704">
        <f>IF($B39=0,"",SUMIFS(INPUT_DATA!N:N,INPUT_DATA!$A:$A,$B39,INPUT_DATA!$C:$C,"S"))</f>
        <v>0</v>
      </c>
      <c r="N39" s="704">
        <f>IF($B39=0,"",SUMIFS(INPUT_DATA!O:O,INPUT_DATA!$A:$A,$B39,INPUT_DATA!$C:$C,"S"))</f>
        <v>0</v>
      </c>
      <c r="O39" s="704">
        <f>IF($B39=0,"",SUMIFS(INPUT_DATA!P:P,INPUT_DATA!$A:$A,$B39,INPUT_DATA!$C:$C,"S"))</f>
        <v>0</v>
      </c>
      <c r="P39" s="705">
        <f t="shared" si="5"/>
        <v>688594142.70000029</v>
      </c>
      <c r="Q39" s="706">
        <f>IF($B39=0,"",SUMIFS(INPUT_DATA!Q:Q,INPUT_DATA!$A:$A,$B39,INPUT_DATA!$C:$C,"S"))</f>
        <v>688594142.69999981</v>
      </c>
      <c r="R39" s="706">
        <f t="shared" si="20"/>
        <v>4.76837158203125E-7</v>
      </c>
      <c r="S39" s="712">
        <f>IF($B39=0,"",SUMIFS(INPUT_DATA!R:R,INPUT_DATA!$A:$A,$B39,INPUT_DATA!$C:$C,"S"))</f>
        <v>75125.440000000017</v>
      </c>
      <c r="T39" s="712">
        <f>IF($B39=0,"",SUMIFS(INPUT_DATA!S:S,INPUT_DATA!$A:$A,$B39,INPUT_DATA!$C:$C,"S"))</f>
        <v>10516.199999999999</v>
      </c>
      <c r="U39" s="712">
        <f>IF($B39=0,"",SUMIFS(INPUT_DATA!T:T,INPUT_DATA!$A:$A,$B39,INPUT_DATA!$C:$C,"S"))</f>
        <v>0</v>
      </c>
      <c r="V39" s="297">
        <f>IF($B39=0,"",SUMIFS(INPUT_DATA!U:U,INPUT_DATA!$A:$A,$B39,INPUT_DATA!$C:$C,"S"))</f>
        <v>50700.250000000007</v>
      </c>
      <c r="W39" s="297">
        <f>IF($B39=0,"",SUMIFS(INPUT_DATA!V:V,INPUT_DATA!$A:$A,$B39,INPUT_DATA!$C:$C,"S"))</f>
        <v>2636.61</v>
      </c>
      <c r="X39" s="297">
        <f>IF($B39=0,"",SUMIFS(INPUT_DATA!W:W,INPUT_DATA!$A:$A,$B39,INPUT_DATA!$C:$C,"S"))</f>
        <v>0</v>
      </c>
      <c r="Y39" s="297">
        <f>IF($B39=0,"",SUMIFS(INPUT_DATA!X:X,INPUT_DATA!$A:$A,$B39,INPUT_DATA!$C:$C,"S"))</f>
        <v>60516.070000000022</v>
      </c>
      <c r="Z39" s="297">
        <f>IF($B39=0,"",SUMIFS(INPUT_DATA!Y:Y,INPUT_DATA!$A:$A,$B39,INPUT_DATA!$C:$C,"S"))</f>
        <v>10050.6</v>
      </c>
      <c r="AA39" s="297">
        <f>IF($B39=0,"",SUMIFS(INPUT_DATA!Z:Z,INPUT_DATA!$A:$A,$B39,INPUT_DATA!$C:$C,"S"))</f>
        <v>0</v>
      </c>
      <c r="AB39" s="297">
        <f>IF($B39=0,"",SUMIFS(INPUT_DATA!AA:AA,INPUT_DATA!$A:$A,$B39,INPUT_DATA!$C:$C,"S"))</f>
        <v>0</v>
      </c>
      <c r="AC39" s="297">
        <f>IF($B39=0,"",SUMIFS(INPUT_DATA!AB:AB,INPUT_DATA!$A:$A,$B39,INPUT_DATA!$C:$C,"S"))</f>
        <v>0</v>
      </c>
      <c r="AD39" s="297">
        <f>IF($B39=0,"",SUMIFS(INPUT_DATA!AC:AC,INPUT_DATA!$A:$A,$B39,INPUT_DATA!$C:$C,"S"))</f>
        <v>0</v>
      </c>
      <c r="AE39" s="297">
        <f>IF($B39=0,"",SUMIFS(INPUT_DATA!AD:AD,INPUT_DATA!$A:$A,$B39,INPUT_DATA!$C:$C,"S"))</f>
        <v>0</v>
      </c>
      <c r="AF39" s="297">
        <f>IF($B39=0,"",SUMIFS(INPUT_DATA!AE:AE,INPUT_DATA!$A:$A,$B39,INPUT_DATA!$C:$C,"S"))</f>
        <v>0</v>
      </c>
      <c r="AG39" s="297">
        <f>IF($B39=0,"",SUMIFS(INPUT_DATA!AF:AF,INPUT_DATA!$A:$A,$B39,INPUT_DATA!$C:$C,"S"))</f>
        <v>0</v>
      </c>
      <c r="AH39" s="297">
        <f>IF($B39=0,"",SUMIFS(INPUT_DATA!AG:AG,INPUT_DATA!$A:$A,$B39,INPUT_DATA!$C:$C,"S"))</f>
        <v>0</v>
      </c>
      <c r="AI39" s="297">
        <f>IF($B39=0,"",SUMIFS(INPUT_DATA!AH:AH,INPUT_DATA!$A:$A,$B39,INPUT_DATA!$C:$C,"S"))</f>
        <v>0</v>
      </c>
      <c r="AJ39" s="297">
        <f>IF($B39=0,"",SUMIFS(INPUT_DATA!AI:AI,INPUT_DATA!$A:$A,$B39,INPUT_DATA!$C:$C,"S"))</f>
        <v>0</v>
      </c>
      <c r="AK39" s="297">
        <f>IF($B39=0,"",SUMIFS(INPUT_DATA!AJ:AJ,INPUT_DATA!$A:$A,$B39,INPUT_DATA!$C:$C,"S"))</f>
        <v>0</v>
      </c>
      <c r="AL39" s="297">
        <f>IF($B39=0,"",SUMIFS(INPUT_DATA!AK:AK,INPUT_DATA!$A:$A,$B39,INPUT_DATA!$C:$C,"S"))</f>
        <v>0</v>
      </c>
      <c r="AM39" s="297">
        <f>IF($B39=0,"",SUMIFS(INPUT_DATA!AL:AL,INPUT_DATA!$A:$A,$B39,INPUT_DATA!$C:$C,"S"))</f>
        <v>0</v>
      </c>
      <c r="AN39" s="297">
        <f>IF($B39=0,"",SUMIFS(INPUT_DATA!AM:AM,INPUT_DATA!$A:$A,$B39,INPUT_DATA!$C:$C,"S"))</f>
        <v>0</v>
      </c>
      <c r="AO39" s="297">
        <f>IF($B39=0,"",SUMIFS(INPUT_DATA!AN:AN,INPUT_DATA!$A:$A,$B39,INPUT_DATA!$C:$C,"S"))</f>
        <v>0</v>
      </c>
      <c r="AP39" s="297">
        <f>IF($B39=0,"",SUMIFS(INPUT_DATA!AO:AO,INPUT_DATA!$A:$A,$B39,INPUT_DATA!$C:$C,"S"))</f>
        <v>0</v>
      </c>
      <c r="AQ39" s="297">
        <f>IF($B39=0,"",SUMIFS(INPUT_DATA!AP:AP,INPUT_DATA!$A:$A,$B39,INPUT_DATA!$C:$C,"S"))</f>
        <v>0</v>
      </c>
      <c r="AR39" s="297">
        <f>IF($B39=0,"",SUMIFS(INPUT_DATA!AQ:AQ,INPUT_DATA!$A:$A,$B39,INPUT_DATA!$C:$C,"S"))</f>
        <v>0</v>
      </c>
      <c r="AS39" s="297">
        <f>IF($B39=0,"",SUMIFS(INPUT_DATA!AR:AR,INPUT_DATA!$A:$A,$B39,INPUT_DATA!$C:$C,"S"))</f>
        <v>0</v>
      </c>
      <c r="AT39" s="713">
        <f t="shared" si="11"/>
        <v>65309.62000000001</v>
      </c>
      <c r="AU39" s="714">
        <f t="shared" si="12"/>
        <v>3102.2099999999991</v>
      </c>
      <c r="AV39" s="715">
        <f t="shared" si="13"/>
        <v>0</v>
      </c>
      <c r="AW39" s="713">
        <f>IF($B39=0,"",SUMIFS(INPUT_DATA!AS:AS,INPUT_DATA!$A:$A,$B39,INPUT_DATA!$C:$C,"S"))</f>
        <v>65309.620000000024</v>
      </c>
      <c r="AX39" s="714">
        <f>IF($B39=0,"",SUMIFS(INPUT_DATA!AT:AT,INPUT_DATA!$A:$A,$B39,INPUT_DATA!$C:$C,"S"))</f>
        <v>3102.21</v>
      </c>
      <c r="AY39" s="715">
        <f>IF($B39=0,"",SUMIFS(INPUT_DATA!AU:AU,INPUT_DATA!$A:$A,$B39,INPUT_DATA!$C:$C,"S"))</f>
        <v>0</v>
      </c>
      <c r="AZ39" s="713">
        <f t="shared" si="6"/>
        <v>-1.4551915228366852E-11</v>
      </c>
      <c r="BA39" s="714">
        <f t="shared" si="7"/>
        <v>-9.0949470177292824E-13</v>
      </c>
      <c r="BB39" s="715">
        <f t="shared" si="8"/>
        <v>0</v>
      </c>
      <c r="BC39" s="150"/>
      <c r="BD39" s="702">
        <f>IF($B39=0,"",SUMIFS(INPUT_DATA!D:D,INPUT_DATA!$A:$A,$B39,INPUT_DATA!$C:$C,"D"))</f>
        <v>0</v>
      </c>
      <c r="BE39" s="296">
        <f>IF($B39=0,"",SUMIFS(INPUT_DATA!G:G,INPUT_DATA!$A:$A,$B39,INPUT_DATA!$C:$C,"D"))</f>
        <v>0</v>
      </c>
      <c r="BF39" s="296">
        <f>IF($B39=0,"",SUMIFS(INPUT_DATA!H:H,INPUT_DATA!$A:$A,$B39,INPUT_DATA!$C:$C,"D"))</f>
        <v>0</v>
      </c>
      <c r="BG39" s="296">
        <f>IF($B39=0,"",SUMIFS(INPUT_DATA!I:I,INPUT_DATA!$A:$A,$B39,INPUT_DATA!$C:$C,"D"))</f>
        <v>0</v>
      </c>
      <c r="BH39" s="296">
        <f>IF($B39=0,"",SUMIFS(INPUT_DATA!J:J,INPUT_DATA!$A:$A,$B39,INPUT_DATA!$C:$C,"D"))</f>
        <v>0</v>
      </c>
      <c r="BI39" s="296">
        <f>IF($B39=0,"",SUMIFS(INPUT_DATA!K:K,INPUT_DATA!$A:$A,$B39,INPUT_DATA!$C:$C,"D"))</f>
        <v>0</v>
      </c>
      <c r="BJ39" s="296">
        <f>IF($B39=0,"",SUMIFS(INPUT_DATA!L:L,INPUT_DATA!$A:$A,$B39,INPUT_DATA!$C:$C,"D"))</f>
        <v>0</v>
      </c>
      <c r="BK39" s="296">
        <f>IF($B39=0,"",SUMIFS(INPUT_DATA!M:M,INPUT_DATA!$A:$A,$B39,INPUT_DATA!$C:$C,"D"))</f>
        <v>0</v>
      </c>
      <c r="BL39" s="296">
        <f>IF($B39=0,"",SUMIFS(INPUT_DATA!N:N,INPUT_DATA!$A:$A,$B39,INPUT_DATA!$C:$C,"D"))</f>
        <v>0</v>
      </c>
      <c r="BM39" s="296">
        <f>IF($B39=0,"",SUMIFS(INPUT_DATA!O:O,INPUT_DATA!$A:$A,$B39,INPUT_DATA!$C:$C,"D"))</f>
        <v>0</v>
      </c>
      <c r="BN39" s="296">
        <f>IF($B39=0,"",SUMIFS(INPUT_DATA!P:P,INPUT_DATA!$A:$A,$B39,INPUT_DATA!$C:$C,"D"))</f>
        <v>0</v>
      </c>
      <c r="BO39" s="718">
        <f t="shared" si="9"/>
        <v>0</v>
      </c>
      <c r="BP39" s="990">
        <f>IF($B39=0,"",SUMIFS(INPUT_DATA!Q:Q,INPUT_DATA!$A:$A,$B39,INPUT_DATA!$C:$C,"D"))</f>
        <v>0</v>
      </c>
      <c r="BQ39" s="718">
        <f t="shared" si="10"/>
        <v>0</v>
      </c>
      <c r="BR39" s="702">
        <f>IF($B39=0,"",SUMIFS(INPUT_DATA!R:R,INPUT_DATA!$A:$A,$B39,INPUT_DATA!$C:$C,"D"))</f>
        <v>3272.83</v>
      </c>
      <c r="BS39" s="724">
        <f>IF($B39=0,"",SUMIFS(INPUT_DATA!S:S,INPUT_DATA!$A:$A,$B39,INPUT_DATA!$C:$C,"D"))</f>
        <v>0</v>
      </c>
      <c r="BT39" s="724">
        <f>IF($B39=0,"",SUMIFS(INPUT_DATA!T:T,INPUT_DATA!$A:$A,$B39,INPUT_DATA!$C:$C,"D"))</f>
        <v>0</v>
      </c>
      <c r="BU39" s="296">
        <f>IF($B39=0,"",SUMIFS(INPUT_DATA!U:U,INPUT_DATA!$A:$A,$B39,INPUT_DATA!$C:$C,"D"))</f>
        <v>0</v>
      </c>
      <c r="BV39" s="296">
        <f>IF($B39=0,"",SUMIFS(INPUT_DATA!V:V,INPUT_DATA!$A:$A,$B39,INPUT_DATA!$C:$C,"D"))</f>
        <v>0</v>
      </c>
      <c r="BW39" s="296">
        <f>IF($B39=0,"",SUMIFS(INPUT_DATA!W:W,INPUT_DATA!$A:$A,$B39,INPUT_DATA!$C:$C,"D"))</f>
        <v>0</v>
      </c>
      <c r="BX39" s="296">
        <f>IF($B39=0,"",SUMIFS(INPUT_DATA!X:X,INPUT_DATA!$A:$A,$B39,INPUT_DATA!$C:$C,"D"))</f>
        <v>0</v>
      </c>
      <c r="BY39" s="296">
        <f>IF($B39=0,"",SUMIFS(INPUT_DATA!Y:Y,INPUT_DATA!$A:$A,$B39,INPUT_DATA!$C:$C,"D"))</f>
        <v>0</v>
      </c>
      <c r="BZ39" s="296">
        <f>IF($B39=0,"",SUMIFS(INPUT_DATA!Z:Z,INPUT_DATA!$A:$A,$B39,INPUT_DATA!$C:$C,"D"))</f>
        <v>0</v>
      </c>
      <c r="CA39" s="336">
        <f>IF($B39=0,"",SUMIFS(INPUT_DATA!AA:AA,INPUT_DATA!$A:$A,$B39,INPUT_DATA!$C:$C,"D"))</f>
        <v>0</v>
      </c>
      <c r="CB39" s="336">
        <f>IF($B39=0,"",SUMIFS(INPUT_DATA!AB:AB,INPUT_DATA!$A:$A,$B39,INPUT_DATA!$C:$C,"D"))</f>
        <v>0</v>
      </c>
      <c r="CC39" s="336">
        <f>IF($B39=0,"",SUMIFS(INPUT_DATA!AC:AC,INPUT_DATA!$A:$A,$B39,INPUT_DATA!$C:$C,"D"))</f>
        <v>0</v>
      </c>
      <c r="CD39" s="296">
        <f>IF($B39=0,"",SUMIFS(INPUT_DATA!AD:AD,INPUT_DATA!$A:$A,$B39,INPUT_DATA!$C:$C,"D"))</f>
        <v>0</v>
      </c>
      <c r="CE39" s="296">
        <f>IF($B39=0,"",SUMIFS(INPUT_DATA!AE:AE,INPUT_DATA!$A:$A,$B39,INPUT_DATA!$C:$C,"D"))</f>
        <v>0</v>
      </c>
      <c r="CF39" s="296">
        <f>IF($B39=0,"",SUMIFS(INPUT_DATA!AF:AF,INPUT_DATA!$A:$A,$B39,INPUT_DATA!$C:$C,"D"))</f>
        <v>0</v>
      </c>
      <c r="CG39" s="336">
        <f>IF($B39=0,"",SUMIFS(INPUT_DATA!AG:AG,INPUT_DATA!$A:$A,$B39,INPUT_DATA!$C:$C,"D"))</f>
        <v>0</v>
      </c>
      <c r="CH39" s="336">
        <f>IF($B39=0,"",SUMIFS(INPUT_DATA!AH:AH,INPUT_DATA!$A:$A,$B39,INPUT_DATA!$C:$C,"D"))</f>
        <v>0</v>
      </c>
      <c r="CI39" s="336">
        <f>IF($B39=0,"",SUMIFS(INPUT_DATA!AI:AI,INPUT_DATA!$A:$A,$B39,INPUT_DATA!$C:$C,"D"))</f>
        <v>0</v>
      </c>
      <c r="CJ39" s="153">
        <f>IF($B39=0,"",SUMIFS(INPUT_DATA!AJ:AJ,INPUT_DATA!$A:$A,$B39,INPUT_DATA!$C:$C,"D"))</f>
        <v>0</v>
      </c>
      <c r="CK39" s="153">
        <f>IF($B39=0,"",SUMIFS(INPUT_DATA!AK:AK,INPUT_DATA!$A:$A,$B39,INPUT_DATA!$C:$C,"D"))</f>
        <v>0</v>
      </c>
      <c r="CL39" s="153">
        <f>IF($B39=0,"",SUMIFS(INPUT_DATA!AL:AL,INPUT_DATA!$A:$A,$B39,INPUT_DATA!$C:$C,"D"))</f>
        <v>0</v>
      </c>
      <c r="CM39" s="153">
        <f>IF($B39=0,"",SUMIFS(INPUT_DATA!AM:AM,INPUT_DATA!$A:$A,$B39,INPUT_DATA!$C:$C,"D"))</f>
        <v>0</v>
      </c>
      <c r="CN39" s="153">
        <f>IF($B39=0,"",SUMIFS(INPUT_DATA!AN:AN,INPUT_DATA!$A:$A,$B39,INPUT_DATA!$C:$C,"D"))</f>
        <v>0</v>
      </c>
      <c r="CO39" s="153">
        <f>IF($B39=0,"",SUMIFS(INPUT_DATA!AO:AO,INPUT_DATA!$A:$A,$B39,INPUT_DATA!$C:$C,"D"))</f>
        <v>0</v>
      </c>
      <c r="CP39" s="153">
        <f>IF($B39=0,"",SUMIFS(INPUT_DATA!AP:AP,INPUT_DATA!$A:$A,$B39,INPUT_DATA!$C:$C,"D"))</f>
        <v>0</v>
      </c>
      <c r="CQ39" s="153">
        <f>IF($B39=0,"",SUMIFS(INPUT_DATA!AQ:AQ,INPUT_DATA!$A:$A,$B39,INPUT_DATA!$C:$C,"D"))</f>
        <v>0</v>
      </c>
      <c r="CR39" s="153">
        <f>IF($B39=0,"",SUMIFS(INPUT_DATA!AR:AR,INPUT_DATA!$A:$A,$B39,INPUT_DATA!$C:$C,"D"))</f>
        <v>0</v>
      </c>
      <c r="CS39" s="714">
        <f t="shared" si="14"/>
        <v>3272.83</v>
      </c>
      <c r="CT39" s="714">
        <f t="shared" si="15"/>
        <v>0</v>
      </c>
      <c r="CU39" s="714">
        <f t="shared" si="16"/>
        <v>0</v>
      </c>
      <c r="CV39" s="703">
        <f>IF($B39=0,"",SUMIFS(INPUT_DATA!AS:AS,INPUT_DATA!$A:$A,$B39,INPUT_DATA!$C:$C,"D"))</f>
        <v>3272.83</v>
      </c>
      <c r="CW39" s="703">
        <f>IF($B39=0,"",SUMIFS(INPUT_DATA!AT:AT,INPUT_DATA!$A:$A,$B39,INPUT_DATA!$C:$C,"D"))</f>
        <v>0</v>
      </c>
      <c r="CX39" s="703">
        <f>IF($B39=0,"",SUMIFS(INPUT_DATA!AU:AU,INPUT_DATA!$A:$A,$B39,INPUT_DATA!$C:$C,"D"))</f>
        <v>0</v>
      </c>
      <c r="CY39" s="703">
        <f t="shared" si="17"/>
        <v>0</v>
      </c>
      <c r="CZ39" s="714">
        <f t="shared" si="18"/>
        <v>0</v>
      </c>
      <c r="DA39" s="725">
        <f t="shared" si="19"/>
        <v>0</v>
      </c>
      <c r="DB39" s="150"/>
    </row>
    <row r="40" spans="1:106">
      <c r="B40" s="697">
        <f>INPUT_DATA!BR27</f>
        <v>45504</v>
      </c>
      <c r="C40" s="702">
        <f>IF($B40=0,"",SUMIFS(INPUT_DATA!D:D,INPUT_DATA!$A:$A,$B40,INPUT_DATA!$C:$C,"S"))</f>
        <v>701287262.86999977</v>
      </c>
      <c r="D40" s="703">
        <f>IF($B40=0,"",SUMIFS(INPUT_DATA!E:E,INPUT_DATA!$A:$A,$B40,INPUT_DATA!$C:$C,"S"))</f>
        <v>0</v>
      </c>
      <c r="E40" s="703">
        <f>IF($B40=0,"",SUMIFS(INPUT_DATA!F:F,INPUT_DATA!$A:$A,$B40,INPUT_DATA!$C:$C,"S"))</f>
        <v>0</v>
      </c>
      <c r="F40" s="704">
        <f>IF($B40=0,"",SUMIFS(INPUT_DATA!G:G,INPUT_DATA!$A:$A,$B40,INPUT_DATA!$C:$C,"S"))</f>
        <v>4936030.2500000084</v>
      </c>
      <c r="G40" s="704">
        <f>IF($B40=0,"",SUMIFS(INPUT_DATA!H:H,INPUT_DATA!$A:$A,$B40,INPUT_DATA!$C:$C,"S"))</f>
        <v>917582.09000000008</v>
      </c>
      <c r="H40" s="704">
        <f>IF($B40=0,"",SUMIFS(INPUT_DATA!I:I,INPUT_DATA!$A:$A,$B40,INPUT_DATA!$C:$C,"S"))</f>
        <v>0</v>
      </c>
      <c r="I40" s="704">
        <f>IF($B40=0,"",SUMIFS(INPUT_DATA!J:J,INPUT_DATA!$A:$A,$B40,INPUT_DATA!$C:$C,"S"))</f>
        <v>250.37</v>
      </c>
      <c r="J40" s="704">
        <f>IF($B40=0,"",SUMIFS(INPUT_DATA!K:K,INPUT_DATA!$A:$A,$B40,INPUT_DATA!$C:$C,"S"))</f>
        <v>0</v>
      </c>
      <c r="K40" s="704">
        <f>IF($B40=0,"",SUMIFS(INPUT_DATA!L:L,INPUT_DATA!$A:$A,$B40,INPUT_DATA!$C:$C,"S"))</f>
        <v>0</v>
      </c>
      <c r="L40" s="704">
        <f>IF($B40=0,"",SUMIFS(INPUT_DATA!M:M,INPUT_DATA!$A:$A,$B40,INPUT_DATA!$C:$C,"S"))</f>
        <v>0</v>
      </c>
      <c r="M40" s="704">
        <f>IF($B40=0,"",SUMIFS(INPUT_DATA!N:N,INPUT_DATA!$A:$A,$B40,INPUT_DATA!$C:$C,"S"))</f>
        <v>0</v>
      </c>
      <c r="N40" s="704">
        <f>IF($B40=0,"",SUMIFS(INPUT_DATA!O:O,INPUT_DATA!$A:$A,$B40,INPUT_DATA!$C:$C,"S"))</f>
        <v>0</v>
      </c>
      <c r="O40" s="704">
        <f>IF($B40=0,"",SUMIFS(INPUT_DATA!P:P,INPUT_DATA!$A:$A,$B40,INPUT_DATA!$C:$C,"S"))</f>
        <v>0</v>
      </c>
      <c r="P40" s="705">
        <f t="shared" si="5"/>
        <v>695433900.89999974</v>
      </c>
      <c r="Q40" s="706">
        <f>IF($B40=0,"",SUMIFS(INPUT_DATA!Q:Q,INPUT_DATA!$A:$A,$B40,INPUT_DATA!$C:$C,"S"))</f>
        <v>695433900.90000021</v>
      </c>
      <c r="R40" s="706">
        <f t="shared" si="20"/>
        <v>-4.76837158203125E-7</v>
      </c>
      <c r="S40" s="712">
        <f>IF($B40=0,"",SUMIFS(INPUT_DATA!R:R,INPUT_DATA!$A:$A,$B40,INPUT_DATA!$C:$C,"S"))</f>
        <v>104466.44</v>
      </c>
      <c r="T40" s="712">
        <f>IF($B40=0,"",SUMIFS(INPUT_DATA!S:S,INPUT_DATA!$A:$A,$B40,INPUT_DATA!$C:$C,"S"))</f>
        <v>12795.280000000002</v>
      </c>
      <c r="U40" s="712">
        <f>IF($B40=0,"",SUMIFS(INPUT_DATA!T:T,INPUT_DATA!$A:$A,$B40,INPUT_DATA!$C:$C,"S"))</f>
        <v>0</v>
      </c>
      <c r="V40" s="297">
        <f>IF($B40=0,"",SUMIFS(INPUT_DATA!U:U,INPUT_DATA!$A:$A,$B40,INPUT_DATA!$C:$C,"S"))</f>
        <v>66126.87000000001</v>
      </c>
      <c r="W40" s="297">
        <f>IF($B40=0,"",SUMIFS(INPUT_DATA!V:V,INPUT_DATA!$A:$A,$B40,INPUT_DATA!$C:$C,"S"))</f>
        <v>9647.9500000000007</v>
      </c>
      <c r="X40" s="297">
        <f>IF($B40=0,"",SUMIFS(INPUT_DATA!W:W,INPUT_DATA!$A:$A,$B40,INPUT_DATA!$C:$C,"S"))</f>
        <v>0</v>
      </c>
      <c r="Y40" s="297">
        <f>IF($B40=0,"",SUMIFS(INPUT_DATA!X:X,INPUT_DATA!$A:$A,$B40,INPUT_DATA!$C:$C,"S"))</f>
        <v>92195.04</v>
      </c>
      <c r="Z40" s="297">
        <f>IF($B40=0,"",SUMIFS(INPUT_DATA!Y:Y,INPUT_DATA!$A:$A,$B40,INPUT_DATA!$C:$C,"S"))</f>
        <v>11927.030000000002</v>
      </c>
      <c r="AA40" s="297">
        <f>IF($B40=0,"",SUMIFS(INPUT_DATA!Z:Z,INPUT_DATA!$A:$A,$B40,INPUT_DATA!$C:$C,"S"))</f>
        <v>0</v>
      </c>
      <c r="AB40" s="297">
        <f>IF($B40=0,"",SUMIFS(INPUT_DATA!AA:AA,INPUT_DATA!$A:$A,$B40,INPUT_DATA!$C:$C,"S"))</f>
        <v>0</v>
      </c>
      <c r="AC40" s="297">
        <f>IF($B40=0,"",SUMIFS(INPUT_DATA!AB:AB,INPUT_DATA!$A:$A,$B40,INPUT_DATA!$C:$C,"S"))</f>
        <v>0</v>
      </c>
      <c r="AD40" s="297">
        <f>IF($B40=0,"",SUMIFS(INPUT_DATA!AC:AC,INPUT_DATA!$A:$A,$B40,INPUT_DATA!$C:$C,"S"))</f>
        <v>0</v>
      </c>
      <c r="AE40" s="297">
        <f>IF($B40=0,"",SUMIFS(INPUT_DATA!AD:AD,INPUT_DATA!$A:$A,$B40,INPUT_DATA!$C:$C,"S"))</f>
        <v>0</v>
      </c>
      <c r="AF40" s="297">
        <f>IF($B40=0,"",SUMIFS(INPUT_DATA!AE:AE,INPUT_DATA!$A:$A,$B40,INPUT_DATA!$C:$C,"S"))</f>
        <v>0</v>
      </c>
      <c r="AG40" s="297">
        <f>IF($B40=0,"",SUMIFS(INPUT_DATA!AF:AF,INPUT_DATA!$A:$A,$B40,INPUT_DATA!$C:$C,"S"))</f>
        <v>0</v>
      </c>
      <c r="AH40" s="297">
        <f>IF($B40=0,"",SUMIFS(INPUT_DATA!AG:AG,INPUT_DATA!$A:$A,$B40,INPUT_DATA!$C:$C,"S"))</f>
        <v>3272.83</v>
      </c>
      <c r="AI40" s="297">
        <f>IF($B40=0,"",SUMIFS(INPUT_DATA!AH:AH,INPUT_DATA!$A:$A,$B40,INPUT_DATA!$C:$C,"S"))</f>
        <v>0</v>
      </c>
      <c r="AJ40" s="297">
        <f>IF($B40=0,"",SUMIFS(INPUT_DATA!AI:AI,INPUT_DATA!$A:$A,$B40,INPUT_DATA!$C:$C,"S"))</f>
        <v>0</v>
      </c>
      <c r="AK40" s="297">
        <f>IF($B40=0,"",SUMIFS(INPUT_DATA!AJ:AJ,INPUT_DATA!$A:$A,$B40,INPUT_DATA!$C:$C,"S"))</f>
        <v>0</v>
      </c>
      <c r="AL40" s="297">
        <f>IF($B40=0,"",SUMIFS(INPUT_DATA!AK:AK,INPUT_DATA!$A:$A,$B40,INPUT_DATA!$C:$C,"S"))</f>
        <v>0</v>
      </c>
      <c r="AM40" s="297">
        <f>IF($B40=0,"",SUMIFS(INPUT_DATA!AL:AL,INPUT_DATA!$A:$A,$B40,INPUT_DATA!$C:$C,"S"))</f>
        <v>0</v>
      </c>
      <c r="AN40" s="297">
        <f>IF($B40=0,"",SUMIFS(INPUT_DATA!AM:AM,INPUT_DATA!$A:$A,$B40,INPUT_DATA!$C:$C,"S"))</f>
        <v>0</v>
      </c>
      <c r="AO40" s="297">
        <f>IF($B40=0,"",SUMIFS(INPUT_DATA!AN:AN,INPUT_DATA!$A:$A,$B40,INPUT_DATA!$C:$C,"S"))</f>
        <v>0</v>
      </c>
      <c r="AP40" s="297">
        <f>IF($B40=0,"",SUMIFS(INPUT_DATA!AO:AO,INPUT_DATA!$A:$A,$B40,INPUT_DATA!$C:$C,"S"))</f>
        <v>0</v>
      </c>
      <c r="AQ40" s="297">
        <f>IF($B40=0,"",SUMIFS(INPUT_DATA!AP:AP,INPUT_DATA!$A:$A,$B40,INPUT_DATA!$C:$C,"S"))</f>
        <v>0</v>
      </c>
      <c r="AR40" s="297">
        <f>IF($B40=0,"",SUMIFS(INPUT_DATA!AQ:AQ,INPUT_DATA!$A:$A,$B40,INPUT_DATA!$C:$C,"S"))</f>
        <v>0</v>
      </c>
      <c r="AS40" s="297">
        <f>IF($B40=0,"",SUMIFS(INPUT_DATA!AR:AR,INPUT_DATA!$A:$A,$B40,INPUT_DATA!$C:$C,"S"))</f>
        <v>0</v>
      </c>
      <c r="AT40" s="713">
        <f t="shared" si="11"/>
        <v>75125.440000000002</v>
      </c>
      <c r="AU40" s="714">
        <f t="shared" si="12"/>
        <v>10516.2</v>
      </c>
      <c r="AV40" s="715">
        <f t="shared" si="13"/>
        <v>0</v>
      </c>
      <c r="AW40" s="713">
        <f>IF($B40=0,"",SUMIFS(INPUT_DATA!AS:AS,INPUT_DATA!$A:$A,$B40,INPUT_DATA!$C:$C,"S"))</f>
        <v>75125.440000000017</v>
      </c>
      <c r="AX40" s="714">
        <f>IF($B40=0,"",SUMIFS(INPUT_DATA!AT:AT,INPUT_DATA!$A:$A,$B40,INPUT_DATA!$C:$C,"S"))</f>
        <v>10516.199999999999</v>
      </c>
      <c r="AY40" s="715">
        <f>IF($B40=0,"",SUMIFS(INPUT_DATA!AU:AU,INPUT_DATA!$A:$A,$B40,INPUT_DATA!$C:$C,"S"))</f>
        <v>0</v>
      </c>
      <c r="AZ40" s="713">
        <f t="shared" si="6"/>
        <v>-1.4551915228366852E-11</v>
      </c>
      <c r="BA40" s="714">
        <f t="shared" si="7"/>
        <v>1.8189894035458565E-12</v>
      </c>
      <c r="BB40" s="715">
        <f t="shared" si="8"/>
        <v>0</v>
      </c>
      <c r="BC40" s="150"/>
      <c r="BD40" s="702">
        <f>IF($B40=0,"",SUMIFS(INPUT_DATA!D:D,INPUT_DATA!$A:$A,$B40,INPUT_DATA!$C:$C,"D"))</f>
        <v>0</v>
      </c>
      <c r="BE40" s="296">
        <f>IF($B40=0,"",SUMIFS(INPUT_DATA!G:G,INPUT_DATA!$A:$A,$B40,INPUT_DATA!$C:$C,"D"))</f>
        <v>0</v>
      </c>
      <c r="BF40" s="296">
        <f>IF($B40=0,"",SUMIFS(INPUT_DATA!H:H,INPUT_DATA!$A:$A,$B40,INPUT_DATA!$C:$C,"D"))</f>
        <v>0</v>
      </c>
      <c r="BG40" s="296">
        <f>IF($B40=0,"",SUMIFS(INPUT_DATA!I:I,INPUT_DATA!$A:$A,$B40,INPUT_DATA!$C:$C,"D"))</f>
        <v>0</v>
      </c>
      <c r="BH40" s="296">
        <f>IF($B40=0,"",SUMIFS(INPUT_DATA!J:J,INPUT_DATA!$A:$A,$B40,INPUT_DATA!$C:$C,"D"))</f>
        <v>0</v>
      </c>
      <c r="BI40" s="296">
        <f>IF($B40=0,"",SUMIFS(INPUT_DATA!K:K,INPUT_DATA!$A:$A,$B40,INPUT_DATA!$C:$C,"D"))</f>
        <v>0</v>
      </c>
      <c r="BJ40" s="296">
        <f>IF($B40=0,"",SUMIFS(INPUT_DATA!L:L,INPUT_DATA!$A:$A,$B40,INPUT_DATA!$C:$C,"D"))</f>
        <v>0</v>
      </c>
      <c r="BK40" s="296">
        <f>IF($B40=0,"",SUMIFS(INPUT_DATA!M:M,INPUT_DATA!$A:$A,$B40,INPUT_DATA!$C:$C,"D"))</f>
        <v>0</v>
      </c>
      <c r="BL40" s="296">
        <f>IF($B40=0,"",SUMIFS(INPUT_DATA!N:N,INPUT_DATA!$A:$A,$B40,INPUT_DATA!$C:$C,"D"))</f>
        <v>0</v>
      </c>
      <c r="BM40" s="296">
        <f>IF($B40=0,"",SUMIFS(INPUT_DATA!O:O,INPUT_DATA!$A:$A,$B40,INPUT_DATA!$C:$C,"D"))</f>
        <v>0</v>
      </c>
      <c r="BN40" s="296">
        <f>IF($B40=0,"",SUMIFS(INPUT_DATA!P:P,INPUT_DATA!$A:$A,$B40,INPUT_DATA!$C:$C,"D"))</f>
        <v>0</v>
      </c>
      <c r="BO40" s="718">
        <f t="shared" si="9"/>
        <v>0</v>
      </c>
      <c r="BP40" s="990">
        <f>IF($B40=0,"",SUMIFS(INPUT_DATA!Q:Q,INPUT_DATA!$A:$A,$B40,INPUT_DATA!$C:$C,"D"))</f>
        <v>0</v>
      </c>
      <c r="BQ40" s="718">
        <f t="shared" si="10"/>
        <v>0</v>
      </c>
      <c r="BR40" s="702">
        <f>IF($B40=0,"",SUMIFS(INPUT_DATA!R:R,INPUT_DATA!$A:$A,$B40,INPUT_DATA!$C:$C,"D"))</f>
        <v>0</v>
      </c>
      <c r="BS40" s="724">
        <f>IF($B40=0,"",SUMIFS(INPUT_DATA!S:S,INPUT_DATA!$A:$A,$B40,INPUT_DATA!$C:$C,"D"))</f>
        <v>0</v>
      </c>
      <c r="BT40" s="724">
        <f>IF($B40=0,"",SUMIFS(INPUT_DATA!T:T,INPUT_DATA!$A:$A,$B40,INPUT_DATA!$C:$C,"D"))</f>
        <v>0</v>
      </c>
      <c r="BU40" s="296">
        <f>IF($B40=0,"",SUMIFS(INPUT_DATA!U:U,INPUT_DATA!$A:$A,$B40,INPUT_DATA!$C:$C,"D"))</f>
        <v>0</v>
      </c>
      <c r="BV40" s="296">
        <f>IF($B40=0,"",SUMIFS(INPUT_DATA!V:V,INPUT_DATA!$A:$A,$B40,INPUT_DATA!$C:$C,"D"))</f>
        <v>0</v>
      </c>
      <c r="BW40" s="296">
        <f>IF($B40=0,"",SUMIFS(INPUT_DATA!W:W,INPUT_DATA!$A:$A,$B40,INPUT_DATA!$C:$C,"D"))</f>
        <v>0</v>
      </c>
      <c r="BX40" s="296">
        <f>IF($B40=0,"",SUMIFS(INPUT_DATA!X:X,INPUT_DATA!$A:$A,$B40,INPUT_DATA!$C:$C,"D"))</f>
        <v>0</v>
      </c>
      <c r="BY40" s="296">
        <f>IF($B40=0,"",SUMIFS(INPUT_DATA!Y:Y,INPUT_DATA!$A:$A,$B40,INPUT_DATA!$C:$C,"D"))</f>
        <v>0</v>
      </c>
      <c r="BZ40" s="296">
        <f>IF($B40=0,"",SUMIFS(INPUT_DATA!Z:Z,INPUT_DATA!$A:$A,$B40,INPUT_DATA!$C:$C,"D"))</f>
        <v>0</v>
      </c>
      <c r="CA40" s="336">
        <f>IF($B40=0,"",SUMIFS(INPUT_DATA!AA:AA,INPUT_DATA!$A:$A,$B40,INPUT_DATA!$C:$C,"D"))</f>
        <v>0</v>
      </c>
      <c r="CB40" s="336">
        <f>IF($B40=0,"",SUMIFS(INPUT_DATA!AB:AB,INPUT_DATA!$A:$A,$B40,INPUT_DATA!$C:$C,"D"))</f>
        <v>0</v>
      </c>
      <c r="CC40" s="336">
        <f>IF($B40=0,"",SUMIFS(INPUT_DATA!AC:AC,INPUT_DATA!$A:$A,$B40,INPUT_DATA!$C:$C,"D"))</f>
        <v>0</v>
      </c>
      <c r="CD40" s="296">
        <f>IF($B40=0,"",SUMIFS(INPUT_DATA!AD:AD,INPUT_DATA!$A:$A,$B40,INPUT_DATA!$C:$C,"D"))</f>
        <v>0</v>
      </c>
      <c r="CE40" s="296">
        <f>IF($B40=0,"",SUMIFS(INPUT_DATA!AE:AE,INPUT_DATA!$A:$A,$B40,INPUT_DATA!$C:$C,"D"))</f>
        <v>0</v>
      </c>
      <c r="CF40" s="296">
        <f>IF($B40=0,"",SUMIFS(INPUT_DATA!AF:AF,INPUT_DATA!$A:$A,$B40,INPUT_DATA!$C:$C,"D"))</f>
        <v>0</v>
      </c>
      <c r="CG40" s="336">
        <f>IF($B40=0,"",SUMIFS(INPUT_DATA!AG:AG,INPUT_DATA!$A:$A,$B40,INPUT_DATA!$C:$C,"D"))</f>
        <v>3272.83</v>
      </c>
      <c r="CH40" s="336">
        <f>IF($B40=0,"",SUMIFS(INPUT_DATA!AH:AH,INPUT_DATA!$A:$A,$B40,INPUT_DATA!$C:$C,"D"))</f>
        <v>0</v>
      </c>
      <c r="CI40" s="336">
        <f>IF($B40=0,"",SUMIFS(INPUT_DATA!AI:AI,INPUT_DATA!$A:$A,$B40,INPUT_DATA!$C:$C,"D"))</f>
        <v>0</v>
      </c>
      <c r="CJ40" s="153">
        <f>IF($B40=0,"",SUMIFS(INPUT_DATA!AJ:AJ,INPUT_DATA!$A:$A,$B40,INPUT_DATA!$C:$C,"D"))</f>
        <v>0</v>
      </c>
      <c r="CK40" s="153">
        <f>IF($B40=0,"",SUMIFS(INPUT_DATA!AK:AK,INPUT_DATA!$A:$A,$B40,INPUT_DATA!$C:$C,"D"))</f>
        <v>0</v>
      </c>
      <c r="CL40" s="153">
        <f>IF($B40=0,"",SUMIFS(INPUT_DATA!AL:AL,INPUT_DATA!$A:$A,$B40,INPUT_DATA!$C:$C,"D"))</f>
        <v>0</v>
      </c>
      <c r="CM40" s="153">
        <f>IF($B40=0,"",SUMIFS(INPUT_DATA!AM:AM,INPUT_DATA!$A:$A,$B40,INPUT_DATA!$C:$C,"D"))</f>
        <v>0</v>
      </c>
      <c r="CN40" s="153">
        <f>IF($B40=0,"",SUMIFS(INPUT_DATA!AN:AN,INPUT_DATA!$A:$A,$B40,INPUT_DATA!$C:$C,"D"))</f>
        <v>0</v>
      </c>
      <c r="CO40" s="153">
        <f>IF($B40=0,"",SUMIFS(INPUT_DATA!AO:AO,INPUT_DATA!$A:$A,$B40,INPUT_DATA!$C:$C,"D"))</f>
        <v>0</v>
      </c>
      <c r="CP40" s="153">
        <f>IF($B40=0,"",SUMIFS(INPUT_DATA!AP:AP,INPUT_DATA!$A:$A,$B40,INPUT_DATA!$C:$C,"D"))</f>
        <v>0</v>
      </c>
      <c r="CQ40" s="153">
        <f>IF($B40=0,"",SUMIFS(INPUT_DATA!AQ:AQ,INPUT_DATA!$A:$A,$B40,INPUT_DATA!$C:$C,"D"))</f>
        <v>0</v>
      </c>
      <c r="CR40" s="153">
        <f>IF($B40=0,"",SUMIFS(INPUT_DATA!AR:AR,INPUT_DATA!$A:$A,$B40,INPUT_DATA!$C:$C,"D"))</f>
        <v>0</v>
      </c>
      <c r="CS40" s="714">
        <f t="shared" si="14"/>
        <v>3272.83</v>
      </c>
      <c r="CT40" s="714">
        <f t="shared" si="15"/>
        <v>0</v>
      </c>
      <c r="CU40" s="714">
        <f t="shared" si="16"/>
        <v>0</v>
      </c>
      <c r="CV40" s="703">
        <f>IF($B40=0,"",SUMIFS(INPUT_DATA!AS:AS,INPUT_DATA!$A:$A,$B40,INPUT_DATA!$C:$C,"D"))</f>
        <v>3272.83</v>
      </c>
      <c r="CW40" s="703">
        <f>IF($B40=0,"",SUMIFS(INPUT_DATA!AT:AT,INPUT_DATA!$A:$A,$B40,INPUT_DATA!$C:$C,"D"))</f>
        <v>0</v>
      </c>
      <c r="CX40" s="703">
        <f>IF($B40=0,"",SUMIFS(INPUT_DATA!AU:AU,INPUT_DATA!$A:$A,$B40,INPUT_DATA!$C:$C,"D"))</f>
        <v>0</v>
      </c>
      <c r="CY40" s="703">
        <f t="shared" si="17"/>
        <v>0</v>
      </c>
      <c r="CZ40" s="714">
        <f t="shared" si="18"/>
        <v>0</v>
      </c>
      <c r="DA40" s="725">
        <f t="shared" si="19"/>
        <v>0</v>
      </c>
      <c r="DB40" s="150"/>
    </row>
    <row r="41" spans="1:106">
      <c r="B41" s="697">
        <f>INPUT_DATA!BR28</f>
        <v>45473</v>
      </c>
      <c r="C41" s="702">
        <f>IF($B41=0,"",SUMIFS(INPUT_DATA!D:D,INPUT_DATA!$A:$A,$B41,INPUT_DATA!$C:$C,"S"))</f>
        <v>706842265.12000024</v>
      </c>
      <c r="D41" s="703">
        <f>IF($B41=0,"",SUMIFS(INPUT_DATA!E:E,INPUT_DATA!$A:$A,$B41,INPUT_DATA!$C:$C,"S"))</f>
        <v>0</v>
      </c>
      <c r="E41" s="703">
        <f>IF($B41=0,"",SUMIFS(INPUT_DATA!F:F,INPUT_DATA!$A:$A,$B41,INPUT_DATA!$C:$C,"S"))</f>
        <v>0</v>
      </c>
      <c r="F41" s="704">
        <f>IF($B41=0,"",SUMIFS(INPUT_DATA!G:G,INPUT_DATA!$A:$A,$B41,INPUT_DATA!$C:$C,"S"))</f>
        <v>4887596.6399999978</v>
      </c>
      <c r="G41" s="704">
        <f>IF($B41=0,"",SUMIFS(INPUT_DATA!H:H,INPUT_DATA!$A:$A,$B41,INPUT_DATA!$C:$C,"S"))</f>
        <v>667655.79</v>
      </c>
      <c r="H41" s="704">
        <f>IF($B41=0,"",SUMIFS(INPUT_DATA!I:I,INPUT_DATA!$A:$A,$B41,INPUT_DATA!$C:$C,"S"))</f>
        <v>0</v>
      </c>
      <c r="I41" s="704">
        <f>IF($B41=0,"",SUMIFS(INPUT_DATA!J:J,INPUT_DATA!$A:$A,$B41,INPUT_DATA!$C:$C,"S"))</f>
        <v>250.18</v>
      </c>
      <c r="J41" s="704">
        <f>IF($B41=0,"",SUMIFS(INPUT_DATA!K:K,INPUT_DATA!$A:$A,$B41,INPUT_DATA!$C:$C,"S"))</f>
        <v>0</v>
      </c>
      <c r="K41" s="704">
        <f>IF($B41=0,"",SUMIFS(INPUT_DATA!L:L,INPUT_DATA!$A:$A,$B41,INPUT_DATA!$C:$C,"S"))</f>
        <v>0</v>
      </c>
      <c r="L41" s="704">
        <f>IF($B41=0,"",SUMIFS(INPUT_DATA!M:M,INPUT_DATA!$A:$A,$B41,INPUT_DATA!$C:$C,"S"))</f>
        <v>0</v>
      </c>
      <c r="M41" s="704">
        <f>IF($B41=0,"",SUMIFS(INPUT_DATA!N:N,INPUT_DATA!$A:$A,$B41,INPUT_DATA!$C:$C,"S"))</f>
        <v>0</v>
      </c>
      <c r="N41" s="704">
        <f>IF($B41=0,"",SUMIFS(INPUT_DATA!O:O,INPUT_DATA!$A:$A,$B41,INPUT_DATA!$C:$C,"S"))</f>
        <v>0</v>
      </c>
      <c r="O41" s="704">
        <f>IF($B41=0,"",SUMIFS(INPUT_DATA!P:P,INPUT_DATA!$A:$A,$B41,INPUT_DATA!$C:$C,"S"))</f>
        <v>0</v>
      </c>
      <c r="P41" s="705">
        <f t="shared" si="5"/>
        <v>701287262.87000024</v>
      </c>
      <c r="Q41" s="706">
        <f>IF($B41=0,"",SUMIFS(INPUT_DATA!Q:Q,INPUT_DATA!$A:$A,$B41,INPUT_DATA!$C:$C,"S"))</f>
        <v>701287262.86999977</v>
      </c>
      <c r="R41" s="706">
        <f t="shared" si="20"/>
        <v>4.76837158203125E-7</v>
      </c>
      <c r="S41" s="712">
        <f>IF($B41=0,"",SUMIFS(INPUT_DATA!R:R,INPUT_DATA!$A:$A,$B41,INPUT_DATA!$C:$C,"S"))</f>
        <v>57532.390000000014</v>
      </c>
      <c r="T41" s="712">
        <f>IF($B41=0,"",SUMIFS(INPUT_DATA!S:S,INPUT_DATA!$A:$A,$B41,INPUT_DATA!$C:$C,"S"))</f>
        <v>7687.0799999999981</v>
      </c>
      <c r="U41" s="712">
        <f>IF($B41=0,"",SUMIFS(INPUT_DATA!T:T,INPUT_DATA!$A:$A,$B41,INPUT_DATA!$C:$C,"S"))</f>
        <v>0</v>
      </c>
      <c r="V41" s="297">
        <f>IF($B41=0,"",SUMIFS(INPUT_DATA!U:U,INPUT_DATA!$A:$A,$B41,INPUT_DATA!$C:$C,"S"))</f>
        <v>92567.569999999992</v>
      </c>
      <c r="W41" s="297">
        <f>IF($B41=0,"",SUMIFS(INPUT_DATA!V:V,INPUT_DATA!$A:$A,$B41,INPUT_DATA!$C:$C,"S"))</f>
        <v>12093.820000000002</v>
      </c>
      <c r="X41" s="297">
        <f>IF($B41=0,"",SUMIFS(INPUT_DATA!W:W,INPUT_DATA!$A:$A,$B41,INPUT_DATA!$C:$C,"S"))</f>
        <v>0</v>
      </c>
      <c r="Y41" s="297">
        <f>IF($B41=0,"",SUMIFS(INPUT_DATA!X:X,INPUT_DATA!$A:$A,$B41,INPUT_DATA!$C:$C,"S"))</f>
        <v>45633.520000000019</v>
      </c>
      <c r="Z41" s="297">
        <f>IF($B41=0,"",SUMIFS(INPUT_DATA!Y:Y,INPUT_DATA!$A:$A,$B41,INPUT_DATA!$C:$C,"S"))</f>
        <v>6985.619999999999</v>
      </c>
      <c r="AA41" s="297">
        <f>IF($B41=0,"",SUMIFS(INPUT_DATA!Z:Z,INPUT_DATA!$A:$A,$B41,INPUT_DATA!$C:$C,"S"))</f>
        <v>0</v>
      </c>
      <c r="AB41" s="297">
        <f>IF($B41=0,"",SUMIFS(INPUT_DATA!AA:AA,INPUT_DATA!$A:$A,$B41,INPUT_DATA!$C:$C,"S"))</f>
        <v>0</v>
      </c>
      <c r="AC41" s="297">
        <f>IF($B41=0,"",SUMIFS(INPUT_DATA!AB:AB,INPUT_DATA!$A:$A,$B41,INPUT_DATA!$C:$C,"S"))</f>
        <v>0</v>
      </c>
      <c r="AD41" s="297">
        <f>IF($B41=0,"",SUMIFS(INPUT_DATA!AC:AC,INPUT_DATA!$A:$A,$B41,INPUT_DATA!$C:$C,"S"))</f>
        <v>0</v>
      </c>
      <c r="AE41" s="297">
        <f>IF($B41=0,"",SUMIFS(INPUT_DATA!AD:AD,INPUT_DATA!$A:$A,$B41,INPUT_DATA!$C:$C,"S"))</f>
        <v>0</v>
      </c>
      <c r="AF41" s="297">
        <f>IF($B41=0,"",SUMIFS(INPUT_DATA!AE:AE,INPUT_DATA!$A:$A,$B41,INPUT_DATA!$C:$C,"S"))</f>
        <v>0</v>
      </c>
      <c r="AG41" s="297">
        <f>IF($B41=0,"",SUMIFS(INPUT_DATA!AF:AF,INPUT_DATA!$A:$A,$B41,INPUT_DATA!$C:$C,"S"))</f>
        <v>0</v>
      </c>
      <c r="AH41" s="297">
        <f>IF($B41=0,"",SUMIFS(INPUT_DATA!AG:AG,INPUT_DATA!$A:$A,$B41,INPUT_DATA!$C:$C,"S"))</f>
        <v>0</v>
      </c>
      <c r="AI41" s="297">
        <f>IF($B41=0,"",SUMIFS(INPUT_DATA!AH:AH,INPUT_DATA!$A:$A,$B41,INPUT_DATA!$C:$C,"S"))</f>
        <v>0</v>
      </c>
      <c r="AJ41" s="297">
        <f>IF($B41=0,"",SUMIFS(INPUT_DATA!AI:AI,INPUT_DATA!$A:$A,$B41,INPUT_DATA!$C:$C,"S"))</f>
        <v>0</v>
      </c>
      <c r="AK41" s="297">
        <f>IF($B41=0,"",SUMIFS(INPUT_DATA!AJ:AJ,INPUT_DATA!$A:$A,$B41,INPUT_DATA!$C:$C,"S"))</f>
        <v>0</v>
      </c>
      <c r="AL41" s="297">
        <f>IF($B41=0,"",SUMIFS(INPUT_DATA!AK:AK,INPUT_DATA!$A:$A,$B41,INPUT_DATA!$C:$C,"S"))</f>
        <v>0</v>
      </c>
      <c r="AM41" s="297">
        <f>IF($B41=0,"",SUMIFS(INPUT_DATA!AL:AL,INPUT_DATA!$A:$A,$B41,INPUT_DATA!$C:$C,"S"))</f>
        <v>0</v>
      </c>
      <c r="AN41" s="297">
        <f>IF($B41=0,"",SUMIFS(INPUT_DATA!AM:AM,INPUT_DATA!$A:$A,$B41,INPUT_DATA!$C:$C,"S"))</f>
        <v>0</v>
      </c>
      <c r="AO41" s="297">
        <f>IF($B41=0,"",SUMIFS(INPUT_DATA!AN:AN,INPUT_DATA!$A:$A,$B41,INPUT_DATA!$C:$C,"S"))</f>
        <v>0</v>
      </c>
      <c r="AP41" s="297">
        <f>IF($B41=0,"",SUMIFS(INPUT_DATA!AO:AO,INPUT_DATA!$A:$A,$B41,INPUT_DATA!$C:$C,"S"))</f>
        <v>0</v>
      </c>
      <c r="AQ41" s="297">
        <f>IF($B41=0,"",SUMIFS(INPUT_DATA!AP:AP,INPUT_DATA!$A:$A,$B41,INPUT_DATA!$C:$C,"S"))</f>
        <v>0</v>
      </c>
      <c r="AR41" s="297">
        <f>IF($B41=0,"",SUMIFS(INPUT_DATA!AQ:AQ,INPUT_DATA!$A:$A,$B41,INPUT_DATA!$C:$C,"S"))</f>
        <v>0</v>
      </c>
      <c r="AS41" s="297">
        <f>IF($B41=0,"",SUMIFS(INPUT_DATA!AR:AR,INPUT_DATA!$A:$A,$B41,INPUT_DATA!$C:$C,"S"))</f>
        <v>0</v>
      </c>
      <c r="AT41" s="713">
        <f t="shared" si="11"/>
        <v>104466.44</v>
      </c>
      <c r="AU41" s="714">
        <f t="shared" si="12"/>
        <v>12795.280000000002</v>
      </c>
      <c r="AV41" s="715">
        <f t="shared" si="13"/>
        <v>0</v>
      </c>
      <c r="AW41" s="713">
        <f>IF($B41=0,"",SUMIFS(INPUT_DATA!AS:AS,INPUT_DATA!$A:$A,$B41,INPUT_DATA!$C:$C,"S"))</f>
        <v>104466.44</v>
      </c>
      <c r="AX41" s="714">
        <f>IF($B41=0,"",SUMIFS(INPUT_DATA!AT:AT,INPUT_DATA!$A:$A,$B41,INPUT_DATA!$C:$C,"S"))</f>
        <v>12795.280000000002</v>
      </c>
      <c r="AY41" s="715">
        <f>IF($B41=0,"",SUMIFS(INPUT_DATA!AU:AU,INPUT_DATA!$A:$A,$B41,INPUT_DATA!$C:$C,"S"))</f>
        <v>0</v>
      </c>
      <c r="AZ41" s="713">
        <f t="shared" si="6"/>
        <v>0</v>
      </c>
      <c r="BA41" s="714">
        <f t="shared" si="7"/>
        <v>0</v>
      </c>
      <c r="BB41" s="715">
        <f t="shared" si="8"/>
        <v>0</v>
      </c>
      <c r="BC41" s="150"/>
      <c r="BD41" s="702">
        <f>IF($B41=0,"",SUMIFS(INPUT_DATA!D:D,INPUT_DATA!$A:$A,$B41,INPUT_DATA!$C:$C,"D"))</f>
        <v>0</v>
      </c>
      <c r="BE41" s="296">
        <f>IF($B41=0,"",SUMIFS(INPUT_DATA!G:G,INPUT_DATA!$A:$A,$B41,INPUT_DATA!$C:$C,"D"))</f>
        <v>0</v>
      </c>
      <c r="BF41" s="296">
        <f>IF($B41=0,"",SUMIFS(INPUT_DATA!H:H,INPUT_DATA!$A:$A,$B41,INPUT_DATA!$C:$C,"D"))</f>
        <v>0</v>
      </c>
      <c r="BG41" s="296">
        <f>IF($B41=0,"",SUMIFS(INPUT_DATA!I:I,INPUT_DATA!$A:$A,$B41,INPUT_DATA!$C:$C,"D"))</f>
        <v>0</v>
      </c>
      <c r="BH41" s="296">
        <f>IF($B41=0,"",SUMIFS(INPUT_DATA!J:J,INPUT_DATA!$A:$A,$B41,INPUT_DATA!$C:$C,"D"))</f>
        <v>0</v>
      </c>
      <c r="BI41" s="296">
        <f>IF($B41=0,"",SUMIFS(INPUT_DATA!K:K,INPUT_DATA!$A:$A,$B41,INPUT_DATA!$C:$C,"D"))</f>
        <v>0</v>
      </c>
      <c r="BJ41" s="296">
        <f>IF($B41=0,"",SUMIFS(INPUT_DATA!L:L,INPUT_DATA!$A:$A,$B41,INPUT_DATA!$C:$C,"D"))</f>
        <v>0</v>
      </c>
      <c r="BK41" s="296">
        <f>IF($B41=0,"",SUMIFS(INPUT_DATA!M:M,INPUT_DATA!$A:$A,$B41,INPUT_DATA!$C:$C,"D"))</f>
        <v>0</v>
      </c>
      <c r="BL41" s="296">
        <f>IF($B41=0,"",SUMIFS(INPUT_DATA!N:N,INPUT_DATA!$A:$A,$B41,INPUT_DATA!$C:$C,"D"))</f>
        <v>0</v>
      </c>
      <c r="BM41" s="296">
        <f>IF($B41=0,"",SUMIFS(INPUT_DATA!O:O,INPUT_DATA!$A:$A,$B41,INPUT_DATA!$C:$C,"D"))</f>
        <v>0</v>
      </c>
      <c r="BN41" s="296">
        <f>IF($B41=0,"",SUMIFS(INPUT_DATA!P:P,INPUT_DATA!$A:$A,$B41,INPUT_DATA!$C:$C,"D"))</f>
        <v>0</v>
      </c>
      <c r="BO41" s="718">
        <f t="shared" si="9"/>
        <v>0</v>
      </c>
      <c r="BP41" s="990">
        <f>IF($B41=0,"",SUMIFS(INPUT_DATA!Q:Q,INPUT_DATA!$A:$A,$B41,INPUT_DATA!$C:$C,"D"))</f>
        <v>0</v>
      </c>
      <c r="BQ41" s="718">
        <f t="shared" si="10"/>
        <v>0</v>
      </c>
      <c r="BR41" s="702">
        <f>IF($B41=0,"",SUMIFS(INPUT_DATA!R:R,INPUT_DATA!$A:$A,$B41,INPUT_DATA!$C:$C,"D"))</f>
        <v>0</v>
      </c>
      <c r="BS41" s="724">
        <f>IF($B41=0,"",SUMIFS(INPUT_DATA!S:S,INPUT_DATA!$A:$A,$B41,INPUT_DATA!$C:$C,"D"))</f>
        <v>0</v>
      </c>
      <c r="BT41" s="724">
        <f>IF($B41=0,"",SUMIFS(INPUT_DATA!T:T,INPUT_DATA!$A:$A,$B41,INPUT_DATA!$C:$C,"D"))</f>
        <v>0</v>
      </c>
      <c r="BU41" s="296">
        <f>IF($B41=0,"",SUMIFS(INPUT_DATA!U:U,INPUT_DATA!$A:$A,$B41,INPUT_DATA!$C:$C,"D"))</f>
        <v>0</v>
      </c>
      <c r="BV41" s="296">
        <f>IF($B41=0,"",SUMIFS(INPUT_DATA!V:V,INPUT_DATA!$A:$A,$B41,INPUT_DATA!$C:$C,"D"))</f>
        <v>0</v>
      </c>
      <c r="BW41" s="296">
        <f>IF($B41=0,"",SUMIFS(INPUT_DATA!W:W,INPUT_DATA!$A:$A,$B41,INPUT_DATA!$C:$C,"D"))</f>
        <v>0</v>
      </c>
      <c r="BX41" s="296">
        <f>IF($B41=0,"",SUMIFS(INPUT_DATA!X:X,INPUT_DATA!$A:$A,$B41,INPUT_DATA!$C:$C,"D"))</f>
        <v>0</v>
      </c>
      <c r="BY41" s="296">
        <f>IF($B41=0,"",SUMIFS(INPUT_DATA!Y:Y,INPUT_DATA!$A:$A,$B41,INPUT_DATA!$C:$C,"D"))</f>
        <v>0</v>
      </c>
      <c r="BZ41" s="296">
        <f>IF($B41=0,"",SUMIFS(INPUT_DATA!Z:Z,INPUT_DATA!$A:$A,$B41,INPUT_DATA!$C:$C,"D"))</f>
        <v>0</v>
      </c>
      <c r="CA41" s="336">
        <f>IF($B41=0,"",SUMIFS(INPUT_DATA!AA:AA,INPUT_DATA!$A:$A,$B41,INPUT_DATA!$C:$C,"D"))</f>
        <v>0</v>
      </c>
      <c r="CB41" s="336">
        <f>IF($B41=0,"",SUMIFS(INPUT_DATA!AB:AB,INPUT_DATA!$A:$A,$B41,INPUT_DATA!$C:$C,"D"))</f>
        <v>0</v>
      </c>
      <c r="CC41" s="336">
        <f>IF($B41=0,"",SUMIFS(INPUT_DATA!AC:AC,INPUT_DATA!$A:$A,$B41,INPUT_DATA!$C:$C,"D"))</f>
        <v>0</v>
      </c>
      <c r="CD41" s="296">
        <f>IF($B41=0,"",SUMIFS(INPUT_DATA!AD:AD,INPUT_DATA!$A:$A,$B41,INPUT_DATA!$C:$C,"D"))</f>
        <v>0</v>
      </c>
      <c r="CE41" s="296">
        <f>IF($B41=0,"",SUMIFS(INPUT_DATA!AE:AE,INPUT_DATA!$A:$A,$B41,INPUT_DATA!$C:$C,"D"))</f>
        <v>0</v>
      </c>
      <c r="CF41" s="296">
        <f>IF($B41=0,"",SUMIFS(INPUT_DATA!AF:AF,INPUT_DATA!$A:$A,$B41,INPUT_DATA!$C:$C,"D"))</f>
        <v>0</v>
      </c>
      <c r="CG41" s="336">
        <f>IF($B41=0,"",SUMIFS(INPUT_DATA!AG:AG,INPUT_DATA!$A:$A,$B41,INPUT_DATA!$C:$C,"D"))</f>
        <v>0</v>
      </c>
      <c r="CH41" s="336">
        <f>IF($B41=0,"",SUMIFS(INPUT_DATA!AH:AH,INPUT_DATA!$A:$A,$B41,INPUT_DATA!$C:$C,"D"))</f>
        <v>0</v>
      </c>
      <c r="CI41" s="336">
        <f>IF($B41=0,"",SUMIFS(INPUT_DATA!AI:AI,INPUT_DATA!$A:$A,$B41,INPUT_DATA!$C:$C,"D"))</f>
        <v>0</v>
      </c>
      <c r="CJ41" s="153">
        <f>IF($B41=0,"",SUMIFS(INPUT_DATA!AJ:AJ,INPUT_DATA!$A:$A,$B41,INPUT_DATA!$C:$C,"D"))</f>
        <v>0</v>
      </c>
      <c r="CK41" s="153">
        <f>IF($B41=0,"",SUMIFS(INPUT_DATA!AK:AK,INPUT_DATA!$A:$A,$B41,INPUT_DATA!$C:$C,"D"))</f>
        <v>0</v>
      </c>
      <c r="CL41" s="153">
        <f>IF($B41=0,"",SUMIFS(INPUT_DATA!AL:AL,INPUT_DATA!$A:$A,$B41,INPUT_DATA!$C:$C,"D"))</f>
        <v>0</v>
      </c>
      <c r="CM41" s="153">
        <f>IF($B41=0,"",SUMIFS(INPUT_DATA!AM:AM,INPUT_DATA!$A:$A,$B41,INPUT_DATA!$C:$C,"D"))</f>
        <v>0</v>
      </c>
      <c r="CN41" s="153">
        <f>IF($B41=0,"",SUMIFS(INPUT_DATA!AN:AN,INPUT_DATA!$A:$A,$B41,INPUT_DATA!$C:$C,"D"))</f>
        <v>0</v>
      </c>
      <c r="CO41" s="153">
        <f>IF($B41=0,"",SUMIFS(INPUT_DATA!AO:AO,INPUT_DATA!$A:$A,$B41,INPUT_DATA!$C:$C,"D"))</f>
        <v>0</v>
      </c>
      <c r="CP41" s="153">
        <f>IF($B41=0,"",SUMIFS(INPUT_DATA!AP:AP,INPUT_DATA!$A:$A,$B41,INPUT_DATA!$C:$C,"D"))</f>
        <v>0</v>
      </c>
      <c r="CQ41" s="153">
        <f>IF($B41=0,"",SUMIFS(INPUT_DATA!AQ:AQ,INPUT_DATA!$A:$A,$B41,INPUT_DATA!$C:$C,"D"))</f>
        <v>0</v>
      </c>
      <c r="CR41" s="153">
        <f>IF($B41=0,"",SUMIFS(INPUT_DATA!AR:AR,INPUT_DATA!$A:$A,$B41,INPUT_DATA!$C:$C,"D"))</f>
        <v>0</v>
      </c>
      <c r="CS41" s="714">
        <f t="shared" si="14"/>
        <v>0</v>
      </c>
      <c r="CT41" s="714">
        <f t="shared" si="15"/>
        <v>0</v>
      </c>
      <c r="CU41" s="714">
        <f t="shared" si="16"/>
        <v>0</v>
      </c>
      <c r="CV41" s="703">
        <f>IF($B41=0,"",SUMIFS(INPUT_DATA!AS:AS,INPUT_DATA!$A:$A,$B41,INPUT_DATA!$C:$C,"D"))</f>
        <v>0</v>
      </c>
      <c r="CW41" s="703">
        <f>IF($B41=0,"",SUMIFS(INPUT_DATA!AT:AT,INPUT_DATA!$A:$A,$B41,INPUT_DATA!$C:$C,"D"))</f>
        <v>0</v>
      </c>
      <c r="CX41" s="703">
        <f>IF($B41=0,"",SUMIFS(INPUT_DATA!AU:AU,INPUT_DATA!$A:$A,$B41,INPUT_DATA!$C:$C,"D"))</f>
        <v>0</v>
      </c>
      <c r="CY41" s="703">
        <f t="shared" si="17"/>
        <v>0</v>
      </c>
      <c r="CZ41" s="714">
        <f t="shared" si="18"/>
        <v>0</v>
      </c>
      <c r="DA41" s="725">
        <f t="shared" si="19"/>
        <v>0</v>
      </c>
      <c r="DB41" s="150"/>
    </row>
    <row r="42" spans="1:106">
      <c r="B42" s="697">
        <f>INPUT_DATA!BR29</f>
        <v>45443</v>
      </c>
      <c r="C42" s="702">
        <f>IF($B42=0,"",SUMIFS(INPUT_DATA!D:D,INPUT_DATA!$A:$A,$B42,INPUT_DATA!$C:$C,"S"))</f>
        <v>712314813.96000087</v>
      </c>
      <c r="D42" s="703">
        <f>IF($B42=0,"",SUMIFS(INPUT_DATA!E:E,INPUT_DATA!$A:$A,$B42,INPUT_DATA!$C:$C,"S"))</f>
        <v>0</v>
      </c>
      <c r="E42" s="703">
        <f>IF($B42=0,"",SUMIFS(INPUT_DATA!F:F,INPUT_DATA!$A:$A,$B42,INPUT_DATA!$C:$C,"S"))</f>
        <v>0</v>
      </c>
      <c r="F42" s="704">
        <f>IF($B42=0,"",SUMIFS(INPUT_DATA!G:G,INPUT_DATA!$A:$A,$B42,INPUT_DATA!$C:$C,"S"))</f>
        <v>4892047.1100000022</v>
      </c>
      <c r="G42" s="704">
        <f>IF($B42=0,"",SUMIFS(INPUT_DATA!H:H,INPUT_DATA!$A:$A,$B42,INPUT_DATA!$C:$C,"S"))</f>
        <v>581914.99</v>
      </c>
      <c r="H42" s="704">
        <f>IF($B42=0,"",SUMIFS(INPUT_DATA!I:I,INPUT_DATA!$A:$A,$B42,INPUT_DATA!$C:$C,"S"))</f>
        <v>0</v>
      </c>
      <c r="I42" s="704">
        <f>IF($B42=0,"",SUMIFS(INPUT_DATA!J:J,INPUT_DATA!$A:$A,$B42,INPUT_DATA!$C:$C,"S"))</f>
        <v>1413.2599999999998</v>
      </c>
      <c r="J42" s="704">
        <f>IF($B42=0,"",SUMIFS(INPUT_DATA!K:K,INPUT_DATA!$A:$A,$B42,INPUT_DATA!$C:$C,"S"))</f>
        <v>0</v>
      </c>
      <c r="K42" s="704">
        <f>IF($B42=0,"",SUMIFS(INPUT_DATA!L:L,INPUT_DATA!$A:$A,$B42,INPUT_DATA!$C:$C,"S"))</f>
        <v>0</v>
      </c>
      <c r="L42" s="704">
        <f>IF($B42=0,"",SUMIFS(INPUT_DATA!M:M,INPUT_DATA!$A:$A,$B42,INPUT_DATA!$C:$C,"S"))</f>
        <v>0</v>
      </c>
      <c r="M42" s="704">
        <f>IF($B42=0,"",SUMIFS(INPUT_DATA!N:N,INPUT_DATA!$A:$A,$B42,INPUT_DATA!$C:$C,"S"))</f>
        <v>0</v>
      </c>
      <c r="N42" s="704">
        <f>IF($B42=0,"",SUMIFS(INPUT_DATA!O:O,INPUT_DATA!$A:$A,$B42,INPUT_DATA!$C:$C,"S"))</f>
        <v>0</v>
      </c>
      <c r="O42" s="704">
        <f>IF($B42=0,"",SUMIFS(INPUT_DATA!P:P,INPUT_DATA!$A:$A,$B42,INPUT_DATA!$C:$C,"S"))</f>
        <v>0</v>
      </c>
      <c r="P42" s="705">
        <f t="shared" si="5"/>
        <v>706842265.12000084</v>
      </c>
      <c r="Q42" s="706">
        <f>IF($B42=0,"",SUMIFS(INPUT_DATA!Q:Q,INPUT_DATA!$A:$A,$B42,INPUT_DATA!$C:$C,"S"))</f>
        <v>706842265.12000024</v>
      </c>
      <c r="R42" s="706">
        <f t="shared" si="20"/>
        <v>5.9604644775390625E-7</v>
      </c>
      <c r="S42" s="712">
        <f>IF($B42=0,"",SUMIFS(INPUT_DATA!R:R,INPUT_DATA!$A:$A,$B42,INPUT_DATA!$C:$C,"S"))</f>
        <v>83181.740000000005</v>
      </c>
      <c r="T42" s="712">
        <f>IF($B42=0,"",SUMIFS(INPUT_DATA!S:S,INPUT_DATA!$A:$A,$B42,INPUT_DATA!$C:$C,"S"))</f>
        <v>5249.6399999999994</v>
      </c>
      <c r="U42" s="712">
        <f>IF($B42=0,"",SUMIFS(INPUT_DATA!T:T,INPUT_DATA!$A:$A,$B42,INPUT_DATA!$C:$C,"S"))</f>
        <v>0</v>
      </c>
      <c r="V42" s="297">
        <f>IF($B42=0,"",SUMIFS(INPUT_DATA!U:U,INPUT_DATA!$A:$A,$B42,INPUT_DATA!$C:$C,"S"))</f>
        <v>45638.840000000011</v>
      </c>
      <c r="W42" s="297">
        <f>IF($B42=0,"",SUMIFS(INPUT_DATA!V:V,INPUT_DATA!$A:$A,$B42,INPUT_DATA!$C:$C,"S"))</f>
        <v>6830.32</v>
      </c>
      <c r="X42" s="297">
        <f>IF($B42=0,"",SUMIFS(INPUT_DATA!W:W,INPUT_DATA!$A:$A,$B42,INPUT_DATA!$C:$C,"S"))</f>
        <v>0</v>
      </c>
      <c r="Y42" s="297">
        <f>IF($B42=0,"",SUMIFS(INPUT_DATA!X:X,INPUT_DATA!$A:$A,$B42,INPUT_DATA!$C:$C,"S"))</f>
        <v>71288.189999999988</v>
      </c>
      <c r="Z42" s="297">
        <f>IF($B42=0,"",SUMIFS(INPUT_DATA!Y:Y,INPUT_DATA!$A:$A,$B42,INPUT_DATA!$C:$C,"S"))</f>
        <v>4392.8799999999992</v>
      </c>
      <c r="AA42" s="297">
        <f>IF($B42=0,"",SUMIFS(INPUT_DATA!Z:Z,INPUT_DATA!$A:$A,$B42,INPUT_DATA!$C:$C,"S"))</f>
        <v>0</v>
      </c>
      <c r="AB42" s="297">
        <f>IF($B42=0,"",SUMIFS(INPUT_DATA!AA:AA,INPUT_DATA!$A:$A,$B42,INPUT_DATA!$C:$C,"S"))</f>
        <v>0</v>
      </c>
      <c r="AC42" s="297">
        <f>IF($B42=0,"",SUMIFS(INPUT_DATA!AB:AB,INPUT_DATA!$A:$A,$B42,INPUT_DATA!$C:$C,"S"))</f>
        <v>0</v>
      </c>
      <c r="AD42" s="297">
        <f>IF($B42=0,"",SUMIFS(INPUT_DATA!AC:AC,INPUT_DATA!$A:$A,$B42,INPUT_DATA!$C:$C,"S"))</f>
        <v>0</v>
      </c>
      <c r="AE42" s="297">
        <f>IF($B42=0,"",SUMIFS(INPUT_DATA!AD:AD,INPUT_DATA!$A:$A,$B42,INPUT_DATA!$C:$C,"S"))</f>
        <v>0</v>
      </c>
      <c r="AF42" s="297">
        <f>IF($B42=0,"",SUMIFS(INPUT_DATA!AE:AE,INPUT_DATA!$A:$A,$B42,INPUT_DATA!$C:$C,"S"))</f>
        <v>0</v>
      </c>
      <c r="AG42" s="297">
        <f>IF($B42=0,"",SUMIFS(INPUT_DATA!AF:AF,INPUT_DATA!$A:$A,$B42,INPUT_DATA!$C:$C,"S"))</f>
        <v>0</v>
      </c>
      <c r="AH42" s="297">
        <f>IF($B42=0,"",SUMIFS(INPUT_DATA!AG:AG,INPUT_DATA!$A:$A,$B42,INPUT_DATA!$C:$C,"S"))</f>
        <v>0</v>
      </c>
      <c r="AI42" s="297">
        <f>IF($B42=0,"",SUMIFS(INPUT_DATA!AH:AH,INPUT_DATA!$A:$A,$B42,INPUT_DATA!$C:$C,"S"))</f>
        <v>0</v>
      </c>
      <c r="AJ42" s="297">
        <f>IF($B42=0,"",SUMIFS(INPUT_DATA!AI:AI,INPUT_DATA!$A:$A,$B42,INPUT_DATA!$C:$C,"S"))</f>
        <v>0</v>
      </c>
      <c r="AK42" s="297">
        <f>IF($B42=0,"",SUMIFS(INPUT_DATA!AJ:AJ,INPUT_DATA!$A:$A,$B42,INPUT_DATA!$C:$C,"S"))</f>
        <v>0</v>
      </c>
      <c r="AL42" s="297">
        <f>IF($B42=0,"",SUMIFS(INPUT_DATA!AK:AK,INPUT_DATA!$A:$A,$B42,INPUT_DATA!$C:$C,"S"))</f>
        <v>0</v>
      </c>
      <c r="AM42" s="297">
        <f>IF($B42=0,"",SUMIFS(INPUT_DATA!AL:AL,INPUT_DATA!$A:$A,$B42,INPUT_DATA!$C:$C,"S"))</f>
        <v>0</v>
      </c>
      <c r="AN42" s="297">
        <f>IF($B42=0,"",SUMIFS(INPUT_DATA!AM:AM,INPUT_DATA!$A:$A,$B42,INPUT_DATA!$C:$C,"S"))</f>
        <v>0</v>
      </c>
      <c r="AO42" s="297">
        <f>IF($B42=0,"",SUMIFS(INPUT_DATA!AN:AN,INPUT_DATA!$A:$A,$B42,INPUT_DATA!$C:$C,"S"))</f>
        <v>0</v>
      </c>
      <c r="AP42" s="297">
        <f>IF($B42=0,"",SUMIFS(INPUT_DATA!AO:AO,INPUT_DATA!$A:$A,$B42,INPUT_DATA!$C:$C,"S"))</f>
        <v>0</v>
      </c>
      <c r="AQ42" s="297">
        <f>IF($B42=0,"",SUMIFS(INPUT_DATA!AP:AP,INPUT_DATA!$A:$A,$B42,INPUT_DATA!$C:$C,"S"))</f>
        <v>0</v>
      </c>
      <c r="AR42" s="297">
        <f>IF($B42=0,"",SUMIFS(INPUT_DATA!AQ:AQ,INPUT_DATA!$A:$A,$B42,INPUT_DATA!$C:$C,"S"))</f>
        <v>0</v>
      </c>
      <c r="AS42" s="297">
        <f>IF($B42=0,"",SUMIFS(INPUT_DATA!AR:AR,INPUT_DATA!$A:$A,$B42,INPUT_DATA!$C:$C,"S"))</f>
        <v>0</v>
      </c>
      <c r="AT42" s="713">
        <f t="shared" si="11"/>
        <v>57532.390000000029</v>
      </c>
      <c r="AU42" s="714">
        <f t="shared" si="12"/>
        <v>7687.08</v>
      </c>
      <c r="AV42" s="715">
        <f t="shared" si="13"/>
        <v>0</v>
      </c>
      <c r="AW42" s="713">
        <f>IF($B42=0,"",SUMIFS(INPUT_DATA!AS:AS,INPUT_DATA!$A:$A,$B42,INPUT_DATA!$C:$C,"S"))</f>
        <v>57532.390000000014</v>
      </c>
      <c r="AX42" s="714">
        <f>IF($B42=0,"",SUMIFS(INPUT_DATA!AT:AT,INPUT_DATA!$A:$A,$B42,INPUT_DATA!$C:$C,"S"))</f>
        <v>7687.0799999999981</v>
      </c>
      <c r="AY42" s="715">
        <f>IF($B42=0,"",SUMIFS(INPUT_DATA!AU:AU,INPUT_DATA!$A:$A,$B42,INPUT_DATA!$C:$C,"S"))</f>
        <v>0</v>
      </c>
      <c r="AZ42" s="713">
        <f t="shared" si="6"/>
        <v>1.4551915228366852E-11</v>
      </c>
      <c r="BA42" s="714">
        <f t="shared" si="7"/>
        <v>1.8189894035458565E-12</v>
      </c>
      <c r="BB42" s="715">
        <f t="shared" si="8"/>
        <v>0</v>
      </c>
      <c r="BC42" s="150"/>
      <c r="BD42" s="702">
        <f>IF($B42=0,"",SUMIFS(INPUT_DATA!D:D,INPUT_DATA!$A:$A,$B42,INPUT_DATA!$C:$C,"D"))</f>
        <v>0</v>
      </c>
      <c r="BE42" s="296">
        <f>IF($B42=0,"",SUMIFS(INPUT_DATA!G:G,INPUT_DATA!$A:$A,$B42,INPUT_DATA!$C:$C,"D"))</f>
        <v>0</v>
      </c>
      <c r="BF42" s="296">
        <f>IF($B42=0,"",SUMIFS(INPUT_DATA!H:H,INPUT_DATA!$A:$A,$B42,INPUT_DATA!$C:$C,"D"))</f>
        <v>0</v>
      </c>
      <c r="BG42" s="296">
        <f>IF($B42=0,"",SUMIFS(INPUT_DATA!I:I,INPUT_DATA!$A:$A,$B42,INPUT_DATA!$C:$C,"D"))</f>
        <v>0</v>
      </c>
      <c r="BH42" s="296">
        <f>IF($B42=0,"",SUMIFS(INPUT_DATA!J:J,INPUT_DATA!$A:$A,$B42,INPUT_DATA!$C:$C,"D"))</f>
        <v>0</v>
      </c>
      <c r="BI42" s="296">
        <f>IF($B42=0,"",SUMIFS(INPUT_DATA!K:K,INPUT_DATA!$A:$A,$B42,INPUT_DATA!$C:$C,"D"))</f>
        <v>0</v>
      </c>
      <c r="BJ42" s="296">
        <f>IF($B42=0,"",SUMIFS(INPUT_DATA!L:L,INPUT_DATA!$A:$A,$B42,INPUT_DATA!$C:$C,"D"))</f>
        <v>0</v>
      </c>
      <c r="BK42" s="296">
        <f>IF($B42=0,"",SUMIFS(INPUT_DATA!M:M,INPUT_DATA!$A:$A,$B42,INPUT_DATA!$C:$C,"D"))</f>
        <v>0</v>
      </c>
      <c r="BL42" s="296">
        <f>IF($B42=0,"",SUMIFS(INPUT_DATA!N:N,INPUT_DATA!$A:$A,$B42,INPUT_DATA!$C:$C,"D"))</f>
        <v>0</v>
      </c>
      <c r="BM42" s="296">
        <f>IF($B42=0,"",SUMIFS(INPUT_DATA!O:O,INPUT_DATA!$A:$A,$B42,INPUT_DATA!$C:$C,"D"))</f>
        <v>0</v>
      </c>
      <c r="BN42" s="296">
        <f>IF($B42=0,"",SUMIFS(INPUT_DATA!P:P,INPUT_DATA!$A:$A,$B42,INPUT_DATA!$C:$C,"D"))</f>
        <v>0</v>
      </c>
      <c r="BO42" s="718">
        <f t="shared" si="9"/>
        <v>0</v>
      </c>
      <c r="BP42" s="990">
        <f>IF($B42=0,"",SUMIFS(INPUT_DATA!Q:Q,INPUT_DATA!$A:$A,$B42,INPUT_DATA!$C:$C,"D"))</f>
        <v>0</v>
      </c>
      <c r="BQ42" s="718">
        <f t="shared" si="10"/>
        <v>0</v>
      </c>
      <c r="BR42" s="702">
        <f>IF($B42=0,"",SUMIFS(INPUT_DATA!R:R,INPUT_DATA!$A:$A,$B42,INPUT_DATA!$C:$C,"D"))</f>
        <v>0</v>
      </c>
      <c r="BS42" s="724">
        <f>IF($B42=0,"",SUMIFS(INPUT_DATA!S:S,INPUT_DATA!$A:$A,$B42,INPUT_DATA!$C:$C,"D"))</f>
        <v>0</v>
      </c>
      <c r="BT42" s="724">
        <f>IF($B42=0,"",SUMIFS(INPUT_DATA!T:T,INPUT_DATA!$A:$A,$B42,INPUT_DATA!$C:$C,"D"))</f>
        <v>0</v>
      </c>
      <c r="BU42" s="296">
        <f>IF($B42=0,"",SUMIFS(INPUT_DATA!U:U,INPUT_DATA!$A:$A,$B42,INPUT_DATA!$C:$C,"D"))</f>
        <v>0</v>
      </c>
      <c r="BV42" s="296">
        <f>IF($B42=0,"",SUMIFS(INPUT_DATA!V:V,INPUT_DATA!$A:$A,$B42,INPUT_DATA!$C:$C,"D"))</f>
        <v>0</v>
      </c>
      <c r="BW42" s="296">
        <f>IF($B42=0,"",SUMIFS(INPUT_DATA!W:W,INPUT_DATA!$A:$A,$B42,INPUT_DATA!$C:$C,"D"))</f>
        <v>0</v>
      </c>
      <c r="BX42" s="296">
        <f>IF($B42=0,"",SUMIFS(INPUT_DATA!X:X,INPUT_DATA!$A:$A,$B42,INPUT_DATA!$C:$C,"D"))</f>
        <v>0</v>
      </c>
      <c r="BY42" s="296">
        <f>IF($B42=0,"",SUMIFS(INPUT_DATA!Y:Y,INPUT_DATA!$A:$A,$B42,INPUT_DATA!$C:$C,"D"))</f>
        <v>0</v>
      </c>
      <c r="BZ42" s="296">
        <f>IF($B42=0,"",SUMIFS(INPUT_DATA!Z:Z,INPUT_DATA!$A:$A,$B42,INPUT_DATA!$C:$C,"D"))</f>
        <v>0</v>
      </c>
      <c r="CA42" s="336">
        <f>IF($B42=0,"",SUMIFS(INPUT_DATA!AA:AA,INPUT_DATA!$A:$A,$B42,INPUT_DATA!$C:$C,"D"))</f>
        <v>0</v>
      </c>
      <c r="CB42" s="336">
        <f>IF($B42=0,"",SUMIFS(INPUT_DATA!AB:AB,INPUT_DATA!$A:$A,$B42,INPUT_DATA!$C:$C,"D"))</f>
        <v>0</v>
      </c>
      <c r="CC42" s="336">
        <f>IF($B42=0,"",SUMIFS(INPUT_DATA!AC:AC,INPUT_DATA!$A:$A,$B42,INPUT_DATA!$C:$C,"D"))</f>
        <v>0</v>
      </c>
      <c r="CD42" s="296">
        <f>IF($B42=0,"",SUMIFS(INPUT_DATA!AD:AD,INPUT_DATA!$A:$A,$B42,INPUT_DATA!$C:$C,"D"))</f>
        <v>0</v>
      </c>
      <c r="CE42" s="296">
        <f>IF($B42=0,"",SUMIFS(INPUT_DATA!AE:AE,INPUT_DATA!$A:$A,$B42,INPUT_DATA!$C:$C,"D"))</f>
        <v>0</v>
      </c>
      <c r="CF42" s="296">
        <f>IF($B42=0,"",SUMIFS(INPUT_DATA!AF:AF,INPUT_DATA!$A:$A,$B42,INPUT_DATA!$C:$C,"D"))</f>
        <v>0</v>
      </c>
      <c r="CG42" s="336">
        <f>IF($B42=0,"",SUMIFS(INPUT_DATA!AG:AG,INPUT_DATA!$A:$A,$B42,INPUT_DATA!$C:$C,"D"))</f>
        <v>0</v>
      </c>
      <c r="CH42" s="336">
        <f>IF($B42=0,"",SUMIFS(INPUT_DATA!AH:AH,INPUT_DATA!$A:$A,$B42,INPUT_DATA!$C:$C,"D"))</f>
        <v>0</v>
      </c>
      <c r="CI42" s="336">
        <f>IF($B42=0,"",SUMIFS(INPUT_DATA!AI:AI,INPUT_DATA!$A:$A,$B42,INPUT_DATA!$C:$C,"D"))</f>
        <v>0</v>
      </c>
      <c r="CJ42" s="153">
        <f>IF($B42=0,"",SUMIFS(INPUT_DATA!AJ:AJ,INPUT_DATA!$A:$A,$B42,INPUT_DATA!$C:$C,"D"))</f>
        <v>0</v>
      </c>
      <c r="CK42" s="153">
        <f>IF($B42=0,"",SUMIFS(INPUT_DATA!AK:AK,INPUT_DATA!$A:$A,$B42,INPUT_DATA!$C:$C,"D"))</f>
        <v>0</v>
      </c>
      <c r="CL42" s="153">
        <f>IF($B42=0,"",SUMIFS(INPUT_DATA!AL:AL,INPUT_DATA!$A:$A,$B42,INPUT_DATA!$C:$C,"D"))</f>
        <v>0</v>
      </c>
      <c r="CM42" s="153">
        <f>IF($B42=0,"",SUMIFS(INPUT_DATA!AM:AM,INPUT_DATA!$A:$A,$B42,INPUT_DATA!$C:$C,"D"))</f>
        <v>0</v>
      </c>
      <c r="CN42" s="153">
        <f>IF($B42=0,"",SUMIFS(INPUT_DATA!AN:AN,INPUT_DATA!$A:$A,$B42,INPUT_DATA!$C:$C,"D"))</f>
        <v>0</v>
      </c>
      <c r="CO42" s="153">
        <f>IF($B42=0,"",SUMIFS(INPUT_DATA!AO:AO,INPUT_DATA!$A:$A,$B42,INPUT_DATA!$C:$C,"D"))</f>
        <v>0</v>
      </c>
      <c r="CP42" s="153">
        <f>IF($B42=0,"",SUMIFS(INPUT_DATA!AP:AP,INPUT_DATA!$A:$A,$B42,INPUT_DATA!$C:$C,"D"))</f>
        <v>0</v>
      </c>
      <c r="CQ42" s="153">
        <f>IF($B42=0,"",SUMIFS(INPUT_DATA!AQ:AQ,INPUT_DATA!$A:$A,$B42,INPUT_DATA!$C:$C,"D"))</f>
        <v>0</v>
      </c>
      <c r="CR42" s="153">
        <f>IF($B42=0,"",SUMIFS(INPUT_DATA!AR:AR,INPUT_DATA!$A:$A,$B42,INPUT_DATA!$C:$C,"D"))</f>
        <v>0</v>
      </c>
      <c r="CS42" s="714">
        <f t="shared" si="14"/>
        <v>0</v>
      </c>
      <c r="CT42" s="714">
        <f t="shared" si="15"/>
        <v>0</v>
      </c>
      <c r="CU42" s="714">
        <f t="shared" si="16"/>
        <v>0</v>
      </c>
      <c r="CV42" s="703">
        <f>IF($B42=0,"",SUMIFS(INPUT_DATA!AS:AS,INPUT_DATA!$A:$A,$B42,INPUT_DATA!$C:$C,"D"))</f>
        <v>0</v>
      </c>
      <c r="CW42" s="703">
        <f>IF($B42=0,"",SUMIFS(INPUT_DATA!AT:AT,INPUT_DATA!$A:$A,$B42,INPUT_DATA!$C:$C,"D"))</f>
        <v>0</v>
      </c>
      <c r="CX42" s="703">
        <f>IF($B42=0,"",SUMIFS(INPUT_DATA!AU:AU,INPUT_DATA!$A:$A,$B42,INPUT_DATA!$C:$C,"D"))</f>
        <v>0</v>
      </c>
      <c r="CY42" s="703">
        <f t="shared" si="17"/>
        <v>0</v>
      </c>
      <c r="CZ42" s="714">
        <f t="shared" si="18"/>
        <v>0</v>
      </c>
      <c r="DA42" s="725">
        <f t="shared" si="19"/>
        <v>0</v>
      </c>
      <c r="DB42" s="150"/>
    </row>
    <row r="43" spans="1:106">
      <c r="B43" s="697">
        <f>INPUT_DATA!BR30</f>
        <v>45412</v>
      </c>
      <c r="C43" s="702">
        <f>IF($B43=0,"",SUMIFS(INPUT_DATA!D:D,INPUT_DATA!$A:$A,$B43,INPUT_DATA!$C:$C,"S"))</f>
        <v>717784404.42000175</v>
      </c>
      <c r="D43" s="703">
        <f>IF($B43=0,"",SUMIFS(INPUT_DATA!E:E,INPUT_DATA!$A:$A,$B43,INPUT_DATA!$C:$C,"S"))</f>
        <v>0</v>
      </c>
      <c r="E43" s="703">
        <f>IF($B43=0,"",SUMIFS(INPUT_DATA!F:F,INPUT_DATA!$A:$A,$B43,INPUT_DATA!$C:$C,"S"))</f>
        <v>0</v>
      </c>
      <c r="F43" s="704">
        <f>IF($B43=0,"",SUMIFS(INPUT_DATA!G:G,INPUT_DATA!$A:$A,$B43,INPUT_DATA!$C:$C,"S"))</f>
        <v>4955354.1600000011</v>
      </c>
      <c r="G43" s="704">
        <f>IF($B43=0,"",SUMIFS(INPUT_DATA!H:H,INPUT_DATA!$A:$A,$B43,INPUT_DATA!$C:$C,"S"))</f>
        <v>515506.72</v>
      </c>
      <c r="H43" s="704">
        <f>IF($B43=0,"",SUMIFS(INPUT_DATA!I:I,INPUT_DATA!$A:$A,$B43,INPUT_DATA!$C:$C,"S"))</f>
        <v>0</v>
      </c>
      <c r="I43" s="704">
        <f>IF($B43=0,"",SUMIFS(INPUT_DATA!J:J,INPUT_DATA!$A:$A,$B43,INPUT_DATA!$C:$C,"S"))</f>
        <v>1270.4199999999998</v>
      </c>
      <c r="J43" s="704">
        <f>IF($B43=0,"",SUMIFS(INPUT_DATA!K:K,INPUT_DATA!$A:$A,$B43,INPUT_DATA!$C:$C,"S"))</f>
        <v>0</v>
      </c>
      <c r="K43" s="704">
        <f>IF($B43=0,"",SUMIFS(INPUT_DATA!L:L,INPUT_DATA!$A:$A,$B43,INPUT_DATA!$C:$C,"S"))</f>
        <v>0</v>
      </c>
      <c r="L43" s="704">
        <f>IF($B43=0,"",SUMIFS(INPUT_DATA!M:M,INPUT_DATA!$A:$A,$B43,INPUT_DATA!$C:$C,"S"))</f>
        <v>0</v>
      </c>
      <c r="M43" s="704">
        <f>IF($B43=0,"",SUMIFS(INPUT_DATA!N:N,INPUT_DATA!$A:$A,$B43,INPUT_DATA!$C:$C,"S"))</f>
        <v>0</v>
      </c>
      <c r="N43" s="704">
        <f>IF($B43=0,"",SUMIFS(INPUT_DATA!O:O,INPUT_DATA!$A:$A,$B43,INPUT_DATA!$C:$C,"S"))</f>
        <v>0</v>
      </c>
      <c r="O43" s="704">
        <f>IF($B43=0,"",SUMIFS(INPUT_DATA!P:P,INPUT_DATA!$A:$A,$B43,INPUT_DATA!$C:$C,"S"))</f>
        <v>0</v>
      </c>
      <c r="P43" s="705">
        <f t="shared" si="5"/>
        <v>712314813.96000171</v>
      </c>
      <c r="Q43" s="706">
        <f>IF($B43=0,"",SUMIFS(INPUT_DATA!Q:Q,INPUT_DATA!$A:$A,$B43,INPUT_DATA!$C:$C,"S"))</f>
        <v>712314813.96000087</v>
      </c>
      <c r="R43" s="706">
        <f t="shared" si="20"/>
        <v>8.3446502685546875E-7</v>
      </c>
      <c r="S43" s="712">
        <f>IF($B43=0,"",SUMIFS(INPUT_DATA!R:R,INPUT_DATA!$A:$A,$B43,INPUT_DATA!$C:$C,"S"))</f>
        <v>84046.089999999967</v>
      </c>
      <c r="T43" s="712">
        <f>IF($B43=0,"",SUMIFS(INPUT_DATA!S:S,INPUT_DATA!$A:$A,$B43,INPUT_DATA!$C:$C,"S"))</f>
        <v>5659.4600000000009</v>
      </c>
      <c r="U43" s="712">
        <f>IF($B43=0,"",SUMIFS(INPUT_DATA!T:T,INPUT_DATA!$A:$A,$B43,INPUT_DATA!$C:$C,"S"))</f>
        <v>0</v>
      </c>
      <c r="V43" s="297">
        <f>IF($B43=0,"",SUMIFS(INPUT_DATA!U:U,INPUT_DATA!$A:$A,$B43,INPUT_DATA!$C:$C,"S"))</f>
        <v>74590.569999999992</v>
      </c>
      <c r="W43" s="297">
        <f>IF($B43=0,"",SUMIFS(INPUT_DATA!V:V,INPUT_DATA!$A:$A,$B43,INPUT_DATA!$C:$C,"S"))</f>
        <v>4421.66</v>
      </c>
      <c r="X43" s="297">
        <f>IF($B43=0,"",SUMIFS(INPUT_DATA!W:W,INPUT_DATA!$A:$A,$B43,INPUT_DATA!$C:$C,"S"))</f>
        <v>0</v>
      </c>
      <c r="Y43" s="297">
        <f>IF($B43=0,"",SUMIFS(INPUT_DATA!X:X,INPUT_DATA!$A:$A,$B43,INPUT_DATA!$C:$C,"S"))</f>
        <v>75454.919999999984</v>
      </c>
      <c r="Z43" s="297">
        <f>IF($B43=0,"",SUMIFS(INPUT_DATA!Y:Y,INPUT_DATA!$A:$A,$B43,INPUT_DATA!$C:$C,"S"))</f>
        <v>4831.4800000000014</v>
      </c>
      <c r="AA43" s="297">
        <f>IF($B43=0,"",SUMIFS(INPUT_DATA!Z:Z,INPUT_DATA!$A:$A,$B43,INPUT_DATA!$C:$C,"S"))</f>
        <v>0</v>
      </c>
      <c r="AB43" s="297">
        <f>IF($B43=0,"",SUMIFS(INPUT_DATA!AA:AA,INPUT_DATA!$A:$A,$B43,INPUT_DATA!$C:$C,"S"))</f>
        <v>0</v>
      </c>
      <c r="AC43" s="297">
        <f>IF($B43=0,"",SUMIFS(INPUT_DATA!AB:AB,INPUT_DATA!$A:$A,$B43,INPUT_DATA!$C:$C,"S"))</f>
        <v>0</v>
      </c>
      <c r="AD43" s="297">
        <f>IF($B43=0,"",SUMIFS(INPUT_DATA!AC:AC,INPUT_DATA!$A:$A,$B43,INPUT_DATA!$C:$C,"S"))</f>
        <v>0</v>
      </c>
      <c r="AE43" s="297">
        <f>IF($B43=0,"",SUMIFS(INPUT_DATA!AD:AD,INPUT_DATA!$A:$A,$B43,INPUT_DATA!$C:$C,"S"))</f>
        <v>0</v>
      </c>
      <c r="AF43" s="297">
        <f>IF($B43=0,"",SUMIFS(INPUT_DATA!AE:AE,INPUT_DATA!$A:$A,$B43,INPUT_DATA!$C:$C,"S"))</f>
        <v>0</v>
      </c>
      <c r="AG43" s="297">
        <f>IF($B43=0,"",SUMIFS(INPUT_DATA!AF:AF,INPUT_DATA!$A:$A,$B43,INPUT_DATA!$C:$C,"S"))</f>
        <v>0</v>
      </c>
      <c r="AH43" s="297">
        <f>IF($B43=0,"",SUMIFS(INPUT_DATA!AG:AG,INPUT_DATA!$A:$A,$B43,INPUT_DATA!$C:$C,"S"))</f>
        <v>0</v>
      </c>
      <c r="AI43" s="297">
        <f>IF($B43=0,"",SUMIFS(INPUT_DATA!AH:AH,INPUT_DATA!$A:$A,$B43,INPUT_DATA!$C:$C,"S"))</f>
        <v>0</v>
      </c>
      <c r="AJ43" s="297">
        <f>IF($B43=0,"",SUMIFS(INPUT_DATA!AI:AI,INPUT_DATA!$A:$A,$B43,INPUT_DATA!$C:$C,"S"))</f>
        <v>0</v>
      </c>
      <c r="AK43" s="297">
        <f>IF($B43=0,"",SUMIFS(INPUT_DATA!AJ:AJ,INPUT_DATA!$A:$A,$B43,INPUT_DATA!$C:$C,"S"))</f>
        <v>0</v>
      </c>
      <c r="AL43" s="297">
        <f>IF($B43=0,"",SUMIFS(INPUT_DATA!AK:AK,INPUT_DATA!$A:$A,$B43,INPUT_DATA!$C:$C,"S"))</f>
        <v>0</v>
      </c>
      <c r="AM43" s="297">
        <f>IF($B43=0,"",SUMIFS(INPUT_DATA!AL:AL,INPUT_DATA!$A:$A,$B43,INPUT_DATA!$C:$C,"S"))</f>
        <v>0</v>
      </c>
      <c r="AN43" s="297">
        <f>IF($B43=0,"",SUMIFS(INPUT_DATA!AM:AM,INPUT_DATA!$A:$A,$B43,INPUT_DATA!$C:$C,"S"))</f>
        <v>0</v>
      </c>
      <c r="AO43" s="297">
        <f>IF($B43=0,"",SUMIFS(INPUT_DATA!AN:AN,INPUT_DATA!$A:$A,$B43,INPUT_DATA!$C:$C,"S"))</f>
        <v>0</v>
      </c>
      <c r="AP43" s="297">
        <f>IF($B43=0,"",SUMIFS(INPUT_DATA!AO:AO,INPUT_DATA!$A:$A,$B43,INPUT_DATA!$C:$C,"S"))</f>
        <v>0</v>
      </c>
      <c r="AQ43" s="297">
        <f>IF($B43=0,"",SUMIFS(INPUT_DATA!AP:AP,INPUT_DATA!$A:$A,$B43,INPUT_DATA!$C:$C,"S"))</f>
        <v>0</v>
      </c>
      <c r="AR43" s="297">
        <f>IF($B43=0,"",SUMIFS(INPUT_DATA!AQ:AQ,INPUT_DATA!$A:$A,$B43,INPUT_DATA!$C:$C,"S"))</f>
        <v>0</v>
      </c>
      <c r="AS43" s="297">
        <f>IF($B43=0,"",SUMIFS(INPUT_DATA!AR:AR,INPUT_DATA!$A:$A,$B43,INPUT_DATA!$C:$C,"S"))</f>
        <v>0</v>
      </c>
      <c r="AT43" s="713">
        <f t="shared" si="11"/>
        <v>83181.739999999991</v>
      </c>
      <c r="AU43" s="714">
        <f t="shared" si="12"/>
        <v>5249.6399999999994</v>
      </c>
      <c r="AV43" s="715">
        <f t="shared" si="13"/>
        <v>0</v>
      </c>
      <c r="AW43" s="713">
        <f>IF($B43=0,"",SUMIFS(INPUT_DATA!AS:AS,INPUT_DATA!$A:$A,$B43,INPUT_DATA!$C:$C,"S"))</f>
        <v>83181.740000000005</v>
      </c>
      <c r="AX43" s="714">
        <f>IF($B43=0,"",SUMIFS(INPUT_DATA!AT:AT,INPUT_DATA!$A:$A,$B43,INPUT_DATA!$C:$C,"S"))</f>
        <v>5249.6399999999994</v>
      </c>
      <c r="AY43" s="715">
        <f>IF($B43=0,"",SUMIFS(INPUT_DATA!AU:AU,INPUT_DATA!$A:$A,$B43,INPUT_DATA!$C:$C,"S"))</f>
        <v>0</v>
      </c>
      <c r="AZ43" s="713">
        <f t="shared" si="6"/>
        <v>-1.4551915228366852E-11</v>
      </c>
      <c r="BA43" s="714">
        <f t="shared" si="7"/>
        <v>0</v>
      </c>
      <c r="BB43" s="715">
        <f t="shared" si="8"/>
        <v>0</v>
      </c>
      <c r="BC43" s="150"/>
      <c r="BD43" s="702">
        <f>IF($B43=0,"",SUMIFS(INPUT_DATA!D:D,INPUT_DATA!$A:$A,$B43,INPUT_DATA!$C:$C,"D"))</f>
        <v>0</v>
      </c>
      <c r="BE43" s="296">
        <f>IF($B43=0,"",SUMIFS(INPUT_DATA!G:G,INPUT_DATA!$A:$A,$B43,INPUT_DATA!$C:$C,"D"))</f>
        <v>0</v>
      </c>
      <c r="BF43" s="296">
        <f>IF($B43=0,"",SUMIFS(INPUT_DATA!H:H,INPUT_DATA!$A:$A,$B43,INPUT_DATA!$C:$C,"D"))</f>
        <v>0</v>
      </c>
      <c r="BG43" s="296">
        <f>IF($B43=0,"",SUMIFS(INPUT_DATA!I:I,INPUT_DATA!$A:$A,$B43,INPUT_DATA!$C:$C,"D"))</f>
        <v>0</v>
      </c>
      <c r="BH43" s="296">
        <f>IF($B43=0,"",SUMIFS(INPUT_DATA!J:J,INPUT_DATA!$A:$A,$B43,INPUT_DATA!$C:$C,"D"))</f>
        <v>0</v>
      </c>
      <c r="BI43" s="296">
        <f>IF($B43=0,"",SUMIFS(INPUT_DATA!K:K,INPUT_DATA!$A:$A,$B43,INPUT_DATA!$C:$C,"D"))</f>
        <v>0</v>
      </c>
      <c r="BJ43" s="296">
        <f>IF($B43=0,"",SUMIFS(INPUT_DATA!L:L,INPUT_DATA!$A:$A,$B43,INPUT_DATA!$C:$C,"D"))</f>
        <v>0</v>
      </c>
      <c r="BK43" s="296">
        <f>IF($B43=0,"",SUMIFS(INPUT_DATA!M:M,INPUT_DATA!$A:$A,$B43,INPUT_DATA!$C:$C,"D"))</f>
        <v>0</v>
      </c>
      <c r="BL43" s="296">
        <f>IF($B43=0,"",SUMIFS(INPUT_DATA!N:N,INPUT_DATA!$A:$A,$B43,INPUT_DATA!$C:$C,"D"))</f>
        <v>0</v>
      </c>
      <c r="BM43" s="296">
        <f>IF($B43=0,"",SUMIFS(INPUT_DATA!O:O,INPUT_DATA!$A:$A,$B43,INPUT_DATA!$C:$C,"D"))</f>
        <v>0</v>
      </c>
      <c r="BN43" s="296">
        <f>IF($B43=0,"",SUMIFS(INPUT_DATA!P:P,INPUT_DATA!$A:$A,$B43,INPUT_DATA!$C:$C,"D"))</f>
        <v>0</v>
      </c>
      <c r="BO43" s="718">
        <f t="shared" si="9"/>
        <v>0</v>
      </c>
      <c r="BP43" s="990">
        <f>IF($B43=0,"",SUMIFS(INPUT_DATA!Q:Q,INPUT_DATA!$A:$A,$B43,INPUT_DATA!$C:$C,"D"))</f>
        <v>0</v>
      </c>
      <c r="BQ43" s="718">
        <f t="shared" si="10"/>
        <v>0</v>
      </c>
      <c r="BR43" s="702">
        <f>IF($B43=0,"",SUMIFS(INPUT_DATA!R:R,INPUT_DATA!$A:$A,$B43,INPUT_DATA!$C:$C,"D"))</f>
        <v>0</v>
      </c>
      <c r="BS43" s="724">
        <f>IF($B43=0,"",SUMIFS(INPUT_DATA!S:S,INPUT_DATA!$A:$A,$B43,INPUT_DATA!$C:$C,"D"))</f>
        <v>0</v>
      </c>
      <c r="BT43" s="724">
        <f>IF($B43=0,"",SUMIFS(INPUT_DATA!T:T,INPUT_DATA!$A:$A,$B43,INPUT_DATA!$C:$C,"D"))</f>
        <v>0</v>
      </c>
      <c r="BU43" s="296">
        <f>IF($B43=0,"",SUMIFS(INPUT_DATA!U:U,INPUT_DATA!$A:$A,$B43,INPUT_DATA!$C:$C,"D"))</f>
        <v>0</v>
      </c>
      <c r="BV43" s="296">
        <f>IF($B43=0,"",SUMIFS(INPUT_DATA!V:V,INPUT_DATA!$A:$A,$B43,INPUT_DATA!$C:$C,"D"))</f>
        <v>0</v>
      </c>
      <c r="BW43" s="296">
        <f>IF($B43=0,"",SUMIFS(INPUT_DATA!W:W,INPUT_DATA!$A:$A,$B43,INPUT_DATA!$C:$C,"D"))</f>
        <v>0</v>
      </c>
      <c r="BX43" s="296">
        <f>IF($B43=0,"",SUMIFS(INPUT_DATA!X:X,INPUT_DATA!$A:$A,$B43,INPUT_DATA!$C:$C,"D"))</f>
        <v>0</v>
      </c>
      <c r="BY43" s="296">
        <f>IF($B43=0,"",SUMIFS(INPUT_DATA!Y:Y,INPUT_DATA!$A:$A,$B43,INPUT_DATA!$C:$C,"D"))</f>
        <v>0</v>
      </c>
      <c r="BZ43" s="296">
        <f>IF($B43=0,"",SUMIFS(INPUT_DATA!Z:Z,INPUT_DATA!$A:$A,$B43,INPUT_DATA!$C:$C,"D"))</f>
        <v>0</v>
      </c>
      <c r="CA43" s="336">
        <f>IF($B43=0,"",SUMIFS(INPUT_DATA!AA:AA,INPUT_DATA!$A:$A,$B43,INPUT_DATA!$C:$C,"D"))</f>
        <v>0</v>
      </c>
      <c r="CB43" s="336">
        <f>IF($B43=0,"",SUMIFS(INPUT_DATA!AB:AB,INPUT_DATA!$A:$A,$B43,INPUT_DATA!$C:$C,"D"))</f>
        <v>0</v>
      </c>
      <c r="CC43" s="336">
        <f>IF($B43=0,"",SUMIFS(INPUT_DATA!AC:AC,INPUT_DATA!$A:$A,$B43,INPUT_DATA!$C:$C,"D"))</f>
        <v>0</v>
      </c>
      <c r="CD43" s="296">
        <f>IF($B43=0,"",SUMIFS(INPUT_DATA!AD:AD,INPUT_DATA!$A:$A,$B43,INPUT_DATA!$C:$C,"D"))</f>
        <v>0</v>
      </c>
      <c r="CE43" s="296">
        <f>IF($B43=0,"",SUMIFS(INPUT_DATA!AE:AE,INPUT_DATA!$A:$A,$B43,INPUT_DATA!$C:$C,"D"))</f>
        <v>0</v>
      </c>
      <c r="CF43" s="296">
        <f>IF($B43=0,"",SUMIFS(INPUT_DATA!AF:AF,INPUT_DATA!$A:$A,$B43,INPUT_DATA!$C:$C,"D"))</f>
        <v>0</v>
      </c>
      <c r="CG43" s="336">
        <f>IF($B43=0,"",SUMIFS(INPUT_DATA!AG:AG,INPUT_DATA!$A:$A,$B43,INPUT_DATA!$C:$C,"D"))</f>
        <v>0</v>
      </c>
      <c r="CH43" s="336">
        <f>IF($B43=0,"",SUMIFS(INPUT_DATA!AH:AH,INPUT_DATA!$A:$A,$B43,INPUT_DATA!$C:$C,"D"))</f>
        <v>0</v>
      </c>
      <c r="CI43" s="336">
        <f>IF($B43=0,"",SUMIFS(INPUT_DATA!AI:AI,INPUT_DATA!$A:$A,$B43,INPUT_DATA!$C:$C,"D"))</f>
        <v>0</v>
      </c>
      <c r="CJ43" s="153">
        <f>IF($B43=0,"",SUMIFS(INPUT_DATA!AJ:AJ,INPUT_DATA!$A:$A,$B43,INPUT_DATA!$C:$C,"D"))</f>
        <v>0</v>
      </c>
      <c r="CK43" s="153">
        <f>IF($B43=0,"",SUMIFS(INPUT_DATA!AK:AK,INPUT_DATA!$A:$A,$B43,INPUT_DATA!$C:$C,"D"))</f>
        <v>0</v>
      </c>
      <c r="CL43" s="153">
        <f>IF($B43=0,"",SUMIFS(INPUT_DATA!AL:AL,INPUT_DATA!$A:$A,$B43,INPUT_DATA!$C:$C,"D"))</f>
        <v>0</v>
      </c>
      <c r="CM43" s="153">
        <f>IF($B43=0,"",SUMIFS(INPUT_DATA!AM:AM,INPUT_DATA!$A:$A,$B43,INPUT_DATA!$C:$C,"D"))</f>
        <v>0</v>
      </c>
      <c r="CN43" s="153">
        <f>IF($B43=0,"",SUMIFS(INPUT_DATA!AN:AN,INPUT_DATA!$A:$A,$B43,INPUT_DATA!$C:$C,"D"))</f>
        <v>0</v>
      </c>
      <c r="CO43" s="153">
        <f>IF($B43=0,"",SUMIFS(INPUT_DATA!AO:AO,INPUT_DATA!$A:$A,$B43,INPUT_DATA!$C:$C,"D"))</f>
        <v>0</v>
      </c>
      <c r="CP43" s="153">
        <f>IF($B43=0,"",SUMIFS(INPUT_DATA!AP:AP,INPUT_DATA!$A:$A,$B43,INPUT_DATA!$C:$C,"D"))</f>
        <v>0</v>
      </c>
      <c r="CQ43" s="153">
        <f>IF($B43=0,"",SUMIFS(INPUT_DATA!AQ:AQ,INPUT_DATA!$A:$A,$B43,INPUT_DATA!$C:$C,"D"))</f>
        <v>0</v>
      </c>
      <c r="CR43" s="153">
        <f>IF($B43=0,"",SUMIFS(INPUT_DATA!AR:AR,INPUT_DATA!$A:$A,$B43,INPUT_DATA!$C:$C,"D"))</f>
        <v>0</v>
      </c>
      <c r="CS43" s="714">
        <f t="shared" si="14"/>
        <v>0</v>
      </c>
      <c r="CT43" s="714">
        <f t="shared" si="15"/>
        <v>0</v>
      </c>
      <c r="CU43" s="714">
        <f t="shared" si="16"/>
        <v>0</v>
      </c>
      <c r="CV43" s="703">
        <f>IF($B43=0,"",SUMIFS(INPUT_DATA!AS:AS,INPUT_DATA!$A:$A,$B43,INPUT_DATA!$C:$C,"D"))</f>
        <v>0</v>
      </c>
      <c r="CW43" s="703">
        <f>IF($B43=0,"",SUMIFS(INPUT_DATA!AT:AT,INPUT_DATA!$A:$A,$B43,INPUT_DATA!$C:$C,"D"))</f>
        <v>0</v>
      </c>
      <c r="CX43" s="703">
        <f>IF($B43=0,"",SUMIFS(INPUT_DATA!AU:AU,INPUT_DATA!$A:$A,$B43,INPUT_DATA!$C:$C,"D"))</f>
        <v>0</v>
      </c>
      <c r="CY43" s="703">
        <f t="shared" si="17"/>
        <v>0</v>
      </c>
      <c r="CZ43" s="714">
        <f t="shared" si="18"/>
        <v>0</v>
      </c>
      <c r="DA43" s="725">
        <f t="shared" si="19"/>
        <v>0</v>
      </c>
      <c r="DB43" s="150"/>
    </row>
    <row r="44" spans="1:106">
      <c r="B44" s="697">
        <f>INPUT_DATA!BR31</f>
        <v>45382</v>
      </c>
      <c r="C44" s="702">
        <f>IF($B44=0,"",SUMIFS(INPUT_DATA!D:D,INPUT_DATA!$A:$A,$B44,INPUT_DATA!$C:$C,"S"))</f>
        <v>724084667.10999954</v>
      </c>
      <c r="D44" s="703">
        <f>IF($B44=0,"",SUMIFS(INPUT_DATA!E:E,INPUT_DATA!$A:$A,$B44,INPUT_DATA!$C:$C,"S"))</f>
        <v>0</v>
      </c>
      <c r="E44" s="703">
        <f>IF($B44=0,"",SUMIFS(INPUT_DATA!F:F,INPUT_DATA!$A:$A,$B44,INPUT_DATA!$C:$C,"S"))</f>
        <v>0</v>
      </c>
      <c r="F44" s="704">
        <f>IF($B44=0,"",SUMIFS(INPUT_DATA!G:G,INPUT_DATA!$A:$A,$B44,INPUT_DATA!$C:$C,"S"))</f>
        <v>4929820.2499999972</v>
      </c>
      <c r="G44" s="704">
        <f>IF($B44=0,"",SUMIFS(INPUT_DATA!H:H,INPUT_DATA!$A:$A,$B44,INPUT_DATA!$C:$C,"S"))</f>
        <v>1371710.64</v>
      </c>
      <c r="H44" s="704">
        <f>IF($B44=0,"",SUMIFS(INPUT_DATA!I:I,INPUT_DATA!$A:$A,$B44,INPUT_DATA!$C:$C,"S"))</f>
        <v>0</v>
      </c>
      <c r="I44" s="704">
        <f>IF($B44=0,"",SUMIFS(INPUT_DATA!J:J,INPUT_DATA!$A:$A,$B44,INPUT_DATA!$C:$C,"S"))</f>
        <v>1268.2</v>
      </c>
      <c r="J44" s="704">
        <f>IF($B44=0,"",SUMIFS(INPUT_DATA!K:K,INPUT_DATA!$A:$A,$B44,INPUT_DATA!$C:$C,"S"))</f>
        <v>0</v>
      </c>
      <c r="K44" s="704">
        <f>IF($B44=0,"",SUMIFS(INPUT_DATA!L:L,INPUT_DATA!$A:$A,$B44,INPUT_DATA!$C:$C,"S"))</f>
        <v>0</v>
      </c>
      <c r="L44" s="704">
        <f>IF($B44=0,"",SUMIFS(INPUT_DATA!M:M,INPUT_DATA!$A:$A,$B44,INPUT_DATA!$C:$C,"S"))</f>
        <v>0</v>
      </c>
      <c r="M44" s="704">
        <f>IF($B44=0,"",SUMIFS(INPUT_DATA!N:N,INPUT_DATA!$A:$A,$B44,INPUT_DATA!$C:$C,"S"))</f>
        <v>0</v>
      </c>
      <c r="N44" s="704">
        <f>IF($B44=0,"",SUMIFS(INPUT_DATA!O:O,INPUT_DATA!$A:$A,$B44,INPUT_DATA!$C:$C,"S"))</f>
        <v>0</v>
      </c>
      <c r="O44" s="704">
        <f>IF($B44=0,"",SUMIFS(INPUT_DATA!P:P,INPUT_DATA!$A:$A,$B44,INPUT_DATA!$C:$C,"S"))</f>
        <v>0</v>
      </c>
      <c r="P44" s="705">
        <f t="shared" si="5"/>
        <v>717784404.4199996</v>
      </c>
      <c r="Q44" s="706">
        <f>IF($B44=0,"",SUMIFS(INPUT_DATA!Q:Q,INPUT_DATA!$A:$A,$B44,INPUT_DATA!$C:$C,"S"))</f>
        <v>717784404.41999996</v>
      </c>
      <c r="R44" s="706">
        <f t="shared" si="20"/>
        <v>-3.5762786865234375E-7</v>
      </c>
      <c r="S44" s="712">
        <f>IF($B44=0,"",SUMIFS(INPUT_DATA!R:R,INPUT_DATA!$A:$A,$B44,INPUT_DATA!$C:$C,"S"))</f>
        <v>86286.680000000022</v>
      </c>
      <c r="T44" s="712">
        <f>IF($B44=0,"",SUMIFS(INPUT_DATA!S:S,INPUT_DATA!$A:$A,$B44,INPUT_DATA!$C:$C,"S"))</f>
        <v>6989.1299999999992</v>
      </c>
      <c r="U44" s="712">
        <f>IF($B44=0,"",SUMIFS(INPUT_DATA!T:T,INPUT_DATA!$A:$A,$B44,INPUT_DATA!$C:$C,"S"))</f>
        <v>0</v>
      </c>
      <c r="V44" s="297">
        <f>IF($B44=0,"",SUMIFS(INPUT_DATA!U:U,INPUT_DATA!$A:$A,$B44,INPUT_DATA!$C:$C,"S"))</f>
        <v>70299.989999999962</v>
      </c>
      <c r="W44" s="297">
        <f>IF($B44=0,"",SUMIFS(INPUT_DATA!V:V,INPUT_DATA!$A:$A,$B44,INPUT_DATA!$C:$C,"S"))</f>
        <v>4775.9099999999989</v>
      </c>
      <c r="X44" s="297">
        <f>IF($B44=0,"",SUMIFS(INPUT_DATA!W:W,INPUT_DATA!$A:$A,$B44,INPUT_DATA!$C:$C,"S"))</f>
        <v>0</v>
      </c>
      <c r="Y44" s="297">
        <f>IF($B44=0,"",SUMIFS(INPUT_DATA!X:X,INPUT_DATA!$A:$A,$B44,INPUT_DATA!$C:$C,"S"))</f>
        <v>72540.579999999973</v>
      </c>
      <c r="Z44" s="297">
        <f>IF($B44=0,"",SUMIFS(INPUT_DATA!Y:Y,INPUT_DATA!$A:$A,$B44,INPUT_DATA!$C:$C,"S"))</f>
        <v>6105.58</v>
      </c>
      <c r="AA44" s="297">
        <f>IF($B44=0,"",SUMIFS(INPUT_DATA!Z:Z,INPUT_DATA!$A:$A,$B44,INPUT_DATA!$C:$C,"S"))</f>
        <v>0</v>
      </c>
      <c r="AB44" s="297">
        <f>IF($B44=0,"",SUMIFS(INPUT_DATA!AA:AA,INPUT_DATA!$A:$A,$B44,INPUT_DATA!$C:$C,"S"))</f>
        <v>0</v>
      </c>
      <c r="AC44" s="297">
        <f>IF($B44=0,"",SUMIFS(INPUT_DATA!AB:AB,INPUT_DATA!$A:$A,$B44,INPUT_DATA!$C:$C,"S"))</f>
        <v>0</v>
      </c>
      <c r="AD44" s="297">
        <f>IF($B44=0,"",SUMIFS(INPUT_DATA!AC:AC,INPUT_DATA!$A:$A,$B44,INPUT_DATA!$C:$C,"S"))</f>
        <v>0</v>
      </c>
      <c r="AE44" s="297">
        <f>IF($B44=0,"",SUMIFS(INPUT_DATA!AD:AD,INPUT_DATA!$A:$A,$B44,INPUT_DATA!$C:$C,"S"))</f>
        <v>0</v>
      </c>
      <c r="AF44" s="297">
        <f>IF($B44=0,"",SUMIFS(INPUT_DATA!AE:AE,INPUT_DATA!$A:$A,$B44,INPUT_DATA!$C:$C,"S"))</f>
        <v>0</v>
      </c>
      <c r="AG44" s="297">
        <f>IF($B44=0,"",SUMIFS(INPUT_DATA!AF:AF,INPUT_DATA!$A:$A,$B44,INPUT_DATA!$C:$C,"S"))</f>
        <v>0</v>
      </c>
      <c r="AH44" s="297">
        <f>IF($B44=0,"",SUMIFS(INPUT_DATA!AG:AG,INPUT_DATA!$A:$A,$B44,INPUT_DATA!$C:$C,"S"))</f>
        <v>0</v>
      </c>
      <c r="AI44" s="297">
        <f>IF($B44=0,"",SUMIFS(INPUT_DATA!AH:AH,INPUT_DATA!$A:$A,$B44,INPUT_DATA!$C:$C,"S"))</f>
        <v>0</v>
      </c>
      <c r="AJ44" s="297">
        <f>IF($B44=0,"",SUMIFS(INPUT_DATA!AI:AI,INPUT_DATA!$A:$A,$B44,INPUT_DATA!$C:$C,"S"))</f>
        <v>0</v>
      </c>
      <c r="AK44" s="297">
        <f>IF($B44=0,"",SUMIFS(INPUT_DATA!AJ:AJ,INPUT_DATA!$A:$A,$B44,INPUT_DATA!$C:$C,"S"))</f>
        <v>0</v>
      </c>
      <c r="AL44" s="297">
        <f>IF($B44=0,"",SUMIFS(INPUT_DATA!AK:AK,INPUT_DATA!$A:$A,$B44,INPUT_DATA!$C:$C,"S"))</f>
        <v>0</v>
      </c>
      <c r="AM44" s="297">
        <f>IF($B44=0,"",SUMIFS(INPUT_DATA!AL:AL,INPUT_DATA!$A:$A,$B44,INPUT_DATA!$C:$C,"S"))</f>
        <v>0</v>
      </c>
      <c r="AN44" s="297">
        <f>IF($B44=0,"",SUMIFS(INPUT_DATA!AM:AM,INPUT_DATA!$A:$A,$B44,INPUT_DATA!$C:$C,"S"))</f>
        <v>0</v>
      </c>
      <c r="AO44" s="297">
        <f>IF($B44=0,"",SUMIFS(INPUT_DATA!AN:AN,INPUT_DATA!$A:$A,$B44,INPUT_DATA!$C:$C,"S"))</f>
        <v>0</v>
      </c>
      <c r="AP44" s="297">
        <f>IF($B44=0,"",SUMIFS(INPUT_DATA!AO:AO,INPUT_DATA!$A:$A,$B44,INPUT_DATA!$C:$C,"S"))</f>
        <v>0</v>
      </c>
      <c r="AQ44" s="297">
        <f>IF($B44=0,"",SUMIFS(INPUT_DATA!AP:AP,INPUT_DATA!$A:$A,$B44,INPUT_DATA!$C:$C,"S"))</f>
        <v>0</v>
      </c>
      <c r="AR44" s="297">
        <f>IF($B44=0,"",SUMIFS(INPUT_DATA!AQ:AQ,INPUT_DATA!$A:$A,$B44,INPUT_DATA!$C:$C,"S"))</f>
        <v>0</v>
      </c>
      <c r="AS44" s="297">
        <f>IF($B44=0,"",SUMIFS(INPUT_DATA!AR:AR,INPUT_DATA!$A:$A,$B44,INPUT_DATA!$C:$C,"S"))</f>
        <v>0</v>
      </c>
      <c r="AT44" s="713">
        <f t="shared" si="11"/>
        <v>84046.090000000011</v>
      </c>
      <c r="AU44" s="714">
        <f t="shared" si="12"/>
        <v>5659.4599999999973</v>
      </c>
      <c r="AV44" s="715">
        <f t="shared" si="13"/>
        <v>0</v>
      </c>
      <c r="AW44" s="713">
        <f>IF($B44=0,"",SUMIFS(INPUT_DATA!AS:AS,INPUT_DATA!$A:$A,$B44,INPUT_DATA!$C:$C,"S"))</f>
        <v>84046.089999999967</v>
      </c>
      <c r="AX44" s="714">
        <f>IF($B44=0,"",SUMIFS(INPUT_DATA!AT:AT,INPUT_DATA!$A:$A,$B44,INPUT_DATA!$C:$C,"S"))</f>
        <v>5659.4600000000009</v>
      </c>
      <c r="AY44" s="715">
        <f>IF($B44=0,"",SUMIFS(INPUT_DATA!AU:AU,INPUT_DATA!$A:$A,$B44,INPUT_DATA!$C:$C,"S"))</f>
        <v>0</v>
      </c>
      <c r="AZ44" s="713">
        <f t="shared" si="6"/>
        <v>4.3655745685100555E-11</v>
      </c>
      <c r="BA44" s="714">
        <f t="shared" si="7"/>
        <v>-3.637978807091713E-12</v>
      </c>
      <c r="BB44" s="715">
        <f t="shared" si="8"/>
        <v>0</v>
      </c>
      <c r="BC44" s="150"/>
      <c r="BD44" s="702">
        <f>IF($B44=0,"",SUMIFS(INPUT_DATA!D:D,INPUT_DATA!$A:$A,$B44,INPUT_DATA!$C:$C,"D"))</f>
        <v>0</v>
      </c>
      <c r="BE44" s="296">
        <f>IF($B44=0,"",SUMIFS(INPUT_DATA!G:G,INPUT_DATA!$A:$A,$B44,INPUT_DATA!$C:$C,"D"))</f>
        <v>0</v>
      </c>
      <c r="BF44" s="296">
        <f>IF($B44=0,"",SUMIFS(INPUT_DATA!H:H,INPUT_DATA!$A:$A,$B44,INPUT_DATA!$C:$C,"D"))</f>
        <v>0</v>
      </c>
      <c r="BG44" s="296">
        <f>IF($B44=0,"",SUMIFS(INPUT_DATA!I:I,INPUT_DATA!$A:$A,$B44,INPUT_DATA!$C:$C,"D"))</f>
        <v>0</v>
      </c>
      <c r="BH44" s="296">
        <f>IF($B44=0,"",SUMIFS(INPUT_DATA!J:J,INPUT_DATA!$A:$A,$B44,INPUT_DATA!$C:$C,"D"))</f>
        <v>0</v>
      </c>
      <c r="BI44" s="296">
        <f>IF($B44=0,"",SUMIFS(INPUT_DATA!K:K,INPUT_DATA!$A:$A,$B44,INPUT_DATA!$C:$C,"D"))</f>
        <v>0</v>
      </c>
      <c r="BJ44" s="296">
        <f>IF($B44=0,"",SUMIFS(INPUT_DATA!L:L,INPUT_DATA!$A:$A,$B44,INPUT_DATA!$C:$C,"D"))</f>
        <v>0</v>
      </c>
      <c r="BK44" s="296">
        <f>IF($B44=0,"",SUMIFS(INPUT_DATA!M:M,INPUT_DATA!$A:$A,$B44,INPUT_DATA!$C:$C,"D"))</f>
        <v>0</v>
      </c>
      <c r="BL44" s="296">
        <f>IF($B44=0,"",SUMIFS(INPUT_DATA!N:N,INPUT_DATA!$A:$A,$B44,INPUT_DATA!$C:$C,"D"))</f>
        <v>0</v>
      </c>
      <c r="BM44" s="296">
        <f>IF($B44=0,"",SUMIFS(INPUT_DATA!O:O,INPUT_DATA!$A:$A,$B44,INPUT_DATA!$C:$C,"D"))</f>
        <v>0</v>
      </c>
      <c r="BN44" s="296">
        <f>IF($B44=0,"",SUMIFS(INPUT_DATA!P:P,INPUT_DATA!$A:$A,$B44,INPUT_DATA!$C:$C,"D"))</f>
        <v>0</v>
      </c>
      <c r="BO44" s="718">
        <f t="shared" si="9"/>
        <v>0</v>
      </c>
      <c r="BP44" s="990">
        <f>IF($B44=0,"",SUMIFS(INPUT_DATA!Q:Q,INPUT_DATA!$A:$A,$B44,INPUT_DATA!$C:$C,"D"))</f>
        <v>0</v>
      </c>
      <c r="BQ44" s="718">
        <f t="shared" si="10"/>
        <v>0</v>
      </c>
      <c r="BR44" s="702">
        <f>IF($B44=0,"",SUMIFS(INPUT_DATA!R:R,INPUT_DATA!$A:$A,$B44,INPUT_DATA!$C:$C,"D"))</f>
        <v>0</v>
      </c>
      <c r="BS44" s="724">
        <f>IF($B44=0,"",SUMIFS(INPUT_DATA!S:S,INPUT_DATA!$A:$A,$B44,INPUT_DATA!$C:$C,"D"))</f>
        <v>0</v>
      </c>
      <c r="BT44" s="724">
        <f>IF($B44=0,"",SUMIFS(INPUT_DATA!T:T,INPUT_DATA!$A:$A,$B44,INPUT_DATA!$C:$C,"D"))</f>
        <v>0</v>
      </c>
      <c r="BU44" s="296">
        <f>IF($B44=0,"",SUMIFS(INPUT_DATA!U:U,INPUT_DATA!$A:$A,$B44,INPUT_DATA!$C:$C,"D"))</f>
        <v>0</v>
      </c>
      <c r="BV44" s="296">
        <f>IF($B44=0,"",SUMIFS(INPUT_DATA!V:V,INPUT_DATA!$A:$A,$B44,INPUT_DATA!$C:$C,"D"))</f>
        <v>0</v>
      </c>
      <c r="BW44" s="296">
        <f>IF($B44=0,"",SUMIFS(INPUT_DATA!W:W,INPUT_DATA!$A:$A,$B44,INPUT_DATA!$C:$C,"D"))</f>
        <v>0</v>
      </c>
      <c r="BX44" s="296">
        <f>IF($B44=0,"",SUMIFS(INPUT_DATA!X:X,INPUT_DATA!$A:$A,$B44,INPUT_DATA!$C:$C,"D"))</f>
        <v>0</v>
      </c>
      <c r="BY44" s="296">
        <f>IF($B44=0,"",SUMIFS(INPUT_DATA!Y:Y,INPUT_DATA!$A:$A,$B44,INPUT_DATA!$C:$C,"D"))</f>
        <v>0</v>
      </c>
      <c r="BZ44" s="296">
        <f>IF($B44=0,"",SUMIFS(INPUT_DATA!Z:Z,INPUT_DATA!$A:$A,$B44,INPUT_DATA!$C:$C,"D"))</f>
        <v>0</v>
      </c>
      <c r="CA44" s="336">
        <f>IF($B44=0,"",SUMIFS(INPUT_DATA!AA:AA,INPUT_DATA!$A:$A,$B44,INPUT_DATA!$C:$C,"D"))</f>
        <v>0</v>
      </c>
      <c r="CB44" s="336">
        <f>IF($B44=0,"",SUMIFS(INPUT_DATA!AB:AB,INPUT_DATA!$A:$A,$B44,INPUT_DATA!$C:$C,"D"))</f>
        <v>0</v>
      </c>
      <c r="CC44" s="336">
        <f>IF($B44=0,"",SUMIFS(INPUT_DATA!AC:AC,INPUT_DATA!$A:$A,$B44,INPUT_DATA!$C:$C,"D"))</f>
        <v>0</v>
      </c>
      <c r="CD44" s="296">
        <f>IF($B44=0,"",SUMIFS(INPUT_DATA!AD:AD,INPUT_DATA!$A:$A,$B44,INPUT_DATA!$C:$C,"D"))</f>
        <v>0</v>
      </c>
      <c r="CE44" s="296">
        <f>IF($B44=0,"",SUMIFS(INPUT_DATA!AE:AE,INPUT_DATA!$A:$A,$B44,INPUT_DATA!$C:$C,"D"))</f>
        <v>0</v>
      </c>
      <c r="CF44" s="296">
        <f>IF($B44=0,"",SUMIFS(INPUT_DATA!AF:AF,INPUT_DATA!$A:$A,$B44,INPUT_DATA!$C:$C,"D"))</f>
        <v>0</v>
      </c>
      <c r="CG44" s="336">
        <f>IF($B44=0,"",SUMIFS(INPUT_DATA!AG:AG,INPUT_DATA!$A:$A,$B44,INPUT_DATA!$C:$C,"D"))</f>
        <v>0</v>
      </c>
      <c r="CH44" s="336">
        <f>IF($B44=0,"",SUMIFS(INPUT_DATA!AH:AH,INPUT_DATA!$A:$A,$B44,INPUT_DATA!$C:$C,"D"))</f>
        <v>0</v>
      </c>
      <c r="CI44" s="336">
        <f>IF($B44=0,"",SUMIFS(INPUT_DATA!AI:AI,INPUT_DATA!$A:$A,$B44,INPUT_DATA!$C:$C,"D"))</f>
        <v>0</v>
      </c>
      <c r="CJ44" s="153">
        <f>IF($B44=0,"",SUMIFS(INPUT_DATA!AJ:AJ,INPUT_DATA!$A:$A,$B44,INPUT_DATA!$C:$C,"D"))</f>
        <v>0</v>
      </c>
      <c r="CK44" s="153">
        <f>IF($B44=0,"",SUMIFS(INPUT_DATA!AK:AK,INPUT_DATA!$A:$A,$B44,INPUT_DATA!$C:$C,"D"))</f>
        <v>0</v>
      </c>
      <c r="CL44" s="153">
        <f>IF($B44=0,"",SUMIFS(INPUT_DATA!AL:AL,INPUT_DATA!$A:$A,$B44,INPUT_DATA!$C:$C,"D"))</f>
        <v>0</v>
      </c>
      <c r="CM44" s="153">
        <f>IF($B44=0,"",SUMIFS(INPUT_DATA!AM:AM,INPUT_DATA!$A:$A,$B44,INPUT_DATA!$C:$C,"D"))</f>
        <v>0</v>
      </c>
      <c r="CN44" s="153">
        <f>IF($B44=0,"",SUMIFS(INPUT_DATA!AN:AN,INPUT_DATA!$A:$A,$B44,INPUT_DATA!$C:$C,"D"))</f>
        <v>0</v>
      </c>
      <c r="CO44" s="153">
        <f>IF($B44=0,"",SUMIFS(INPUT_DATA!AO:AO,INPUT_DATA!$A:$A,$B44,INPUT_DATA!$C:$C,"D"))</f>
        <v>0</v>
      </c>
      <c r="CP44" s="153">
        <f>IF($B44=0,"",SUMIFS(INPUT_DATA!AP:AP,INPUT_DATA!$A:$A,$B44,INPUT_DATA!$C:$C,"D"))</f>
        <v>0</v>
      </c>
      <c r="CQ44" s="153">
        <f>IF($B44=0,"",SUMIFS(INPUT_DATA!AQ:AQ,INPUT_DATA!$A:$A,$B44,INPUT_DATA!$C:$C,"D"))</f>
        <v>0</v>
      </c>
      <c r="CR44" s="153">
        <f>IF($B44=0,"",SUMIFS(INPUT_DATA!AR:AR,INPUT_DATA!$A:$A,$B44,INPUT_DATA!$C:$C,"D"))</f>
        <v>0</v>
      </c>
      <c r="CS44" s="714">
        <f t="shared" si="14"/>
        <v>0</v>
      </c>
      <c r="CT44" s="714">
        <f t="shared" si="15"/>
        <v>0</v>
      </c>
      <c r="CU44" s="714">
        <f t="shared" si="16"/>
        <v>0</v>
      </c>
      <c r="CV44" s="703">
        <f>IF($B44=0,"",SUMIFS(INPUT_DATA!AS:AS,INPUT_DATA!$A:$A,$B44,INPUT_DATA!$C:$C,"D"))</f>
        <v>0</v>
      </c>
      <c r="CW44" s="703">
        <f>IF($B44=0,"",SUMIFS(INPUT_DATA!AT:AT,INPUT_DATA!$A:$A,$B44,INPUT_DATA!$C:$C,"D"))</f>
        <v>0</v>
      </c>
      <c r="CX44" s="703">
        <f>IF($B44=0,"",SUMIFS(INPUT_DATA!AU:AU,INPUT_DATA!$A:$A,$B44,INPUT_DATA!$C:$C,"D"))</f>
        <v>0</v>
      </c>
      <c r="CY44" s="703">
        <f t="shared" si="17"/>
        <v>0</v>
      </c>
      <c r="CZ44" s="714">
        <f t="shared" si="18"/>
        <v>0</v>
      </c>
      <c r="DA44" s="725">
        <f t="shared" si="19"/>
        <v>0</v>
      </c>
      <c r="DB44" s="150"/>
    </row>
    <row r="45" spans="1:106">
      <c r="B45" s="697">
        <f>INPUT_DATA!BR32</f>
        <v>45351</v>
      </c>
      <c r="C45" s="702">
        <f>IF($B45=0,"",SUMIFS(INPUT_DATA!D:D,INPUT_DATA!$A:$A,$B45,INPUT_DATA!$C:$C,"S"))</f>
        <v>732697498</v>
      </c>
      <c r="D45" s="703">
        <f>IF($B45=0,"",SUMIFS(INPUT_DATA!E:E,INPUT_DATA!$A:$A,$B45,INPUT_DATA!$C:$C,"S"))</f>
        <v>0</v>
      </c>
      <c r="E45" s="703">
        <f>IF($B45=0,"",SUMIFS(INPUT_DATA!F:F,INPUT_DATA!$A:$A,$B45,INPUT_DATA!$C:$C,"S"))</f>
        <v>0</v>
      </c>
      <c r="F45" s="704">
        <f>IF($B45=0,"",SUMIFS(INPUT_DATA!G:G,INPUT_DATA!$A:$A,$B45,INPUT_DATA!$C:$C,"S"))</f>
        <v>4937474.88</v>
      </c>
      <c r="G45" s="704">
        <f>IF($B45=0,"",SUMIFS(INPUT_DATA!H:H,INPUT_DATA!$A:$A,$B45,INPUT_DATA!$C:$C,"S"))</f>
        <v>3676512.91</v>
      </c>
      <c r="H45" s="704">
        <f>IF($B45=0,"",SUMIFS(INPUT_DATA!I:I,INPUT_DATA!$A:$A,$B45,INPUT_DATA!$C:$C,"S"))</f>
        <v>0</v>
      </c>
      <c r="I45" s="704">
        <f>IF($B45=0,"",SUMIFS(INPUT_DATA!J:J,INPUT_DATA!$A:$A,$B45,INPUT_DATA!$C:$C,"S"))</f>
        <v>1156.9000000000001</v>
      </c>
      <c r="J45" s="704">
        <f>IF($B45=0,"",SUMIFS(INPUT_DATA!K:K,INPUT_DATA!$A:$A,$B45,INPUT_DATA!$C:$C,"S"))</f>
        <v>0</v>
      </c>
      <c r="K45" s="704">
        <f>IF($B45=0,"",SUMIFS(INPUT_DATA!L:L,INPUT_DATA!$A:$A,$B45,INPUT_DATA!$C:$C,"S"))</f>
        <v>0</v>
      </c>
      <c r="L45" s="704">
        <f>IF($B45=0,"",SUMIFS(INPUT_DATA!M:M,INPUT_DATA!$A:$A,$B45,INPUT_DATA!$C:$C,"S"))</f>
        <v>0</v>
      </c>
      <c r="M45" s="704">
        <f>IF($B45=0,"",SUMIFS(INPUT_DATA!N:N,INPUT_DATA!$A:$A,$B45,INPUT_DATA!$C:$C,"S"))</f>
        <v>0</v>
      </c>
      <c r="N45" s="704">
        <f>IF($B45=0,"",SUMIFS(INPUT_DATA!O:O,INPUT_DATA!$A:$A,$B45,INPUT_DATA!$C:$C,"S"))</f>
        <v>0</v>
      </c>
      <c r="O45" s="704">
        <f>IF($B45=0,"",SUMIFS(INPUT_DATA!P:P,INPUT_DATA!$A:$A,$B45,INPUT_DATA!$C:$C,"S"))</f>
        <v>0</v>
      </c>
      <c r="P45" s="705">
        <f t="shared" si="5"/>
        <v>724084667.11000001</v>
      </c>
      <c r="Q45" s="706">
        <f>IF($B45=0,"",SUMIFS(INPUT_DATA!Q:Q,INPUT_DATA!$A:$A,$B45,INPUT_DATA!$C:$C,"S"))</f>
        <v>724084667.11000001</v>
      </c>
      <c r="R45" s="706">
        <f t="shared" si="20"/>
        <v>0</v>
      </c>
      <c r="S45" s="712">
        <f>IF($B45=0,"",SUMIFS(INPUT_DATA!R:R,INPUT_DATA!$A:$A,$B45,INPUT_DATA!$C:$C,"S"))</f>
        <v>75111.850000000006</v>
      </c>
      <c r="T45" s="712">
        <f>IF($B45=0,"",SUMIFS(INPUT_DATA!S:S,INPUT_DATA!$A:$A,$B45,INPUT_DATA!$C:$C,"S"))</f>
        <v>8781.85</v>
      </c>
      <c r="U45" s="712">
        <f>IF($B45=0,"",SUMIFS(INPUT_DATA!T:T,INPUT_DATA!$A:$A,$B45,INPUT_DATA!$C:$C,"S"))</f>
        <v>0</v>
      </c>
      <c r="V45" s="297">
        <f>IF($B45=0,"",SUMIFS(INPUT_DATA!U:U,INPUT_DATA!$A:$A,$B45,INPUT_DATA!$C:$C,"S"))</f>
        <v>75747.429999999993</v>
      </c>
      <c r="W45" s="297">
        <f>IF($B45=0,"",SUMIFS(INPUT_DATA!V:V,INPUT_DATA!$A:$A,$B45,INPUT_DATA!$C:$C,"S"))</f>
        <v>5365.94</v>
      </c>
      <c r="X45" s="297">
        <f>IF($B45=0,"",SUMIFS(INPUT_DATA!W:W,INPUT_DATA!$A:$A,$B45,INPUT_DATA!$C:$C,"S"))</f>
        <v>0</v>
      </c>
      <c r="Y45" s="297">
        <f>IF($B45=0,"",SUMIFS(INPUT_DATA!X:X,INPUT_DATA!$A:$A,$B45,INPUT_DATA!$C:$C,"S"))</f>
        <v>64572.6</v>
      </c>
      <c r="Z45" s="297">
        <f>IF($B45=0,"",SUMIFS(INPUT_DATA!Y:Y,INPUT_DATA!$A:$A,$B45,INPUT_DATA!$C:$C,"S"))</f>
        <v>7158.66</v>
      </c>
      <c r="AA45" s="297">
        <f>IF($B45=0,"",SUMIFS(INPUT_DATA!Z:Z,INPUT_DATA!$A:$A,$B45,INPUT_DATA!$C:$C,"S"))</f>
        <v>0</v>
      </c>
      <c r="AB45" s="297">
        <f>IF($B45=0,"",SUMIFS(INPUT_DATA!AA:AA,INPUT_DATA!$A:$A,$B45,INPUT_DATA!$C:$C,"S"))</f>
        <v>0</v>
      </c>
      <c r="AC45" s="297">
        <f>IF($B45=0,"",SUMIFS(INPUT_DATA!AB:AB,INPUT_DATA!$A:$A,$B45,INPUT_DATA!$C:$C,"S"))</f>
        <v>0</v>
      </c>
      <c r="AD45" s="297">
        <f>IF($B45=0,"",SUMIFS(INPUT_DATA!AC:AC,INPUT_DATA!$A:$A,$B45,INPUT_DATA!$C:$C,"S"))</f>
        <v>0</v>
      </c>
      <c r="AE45" s="297">
        <f>IF($B45=0,"",SUMIFS(INPUT_DATA!AD:AD,INPUT_DATA!$A:$A,$B45,INPUT_DATA!$C:$C,"S"))</f>
        <v>0</v>
      </c>
      <c r="AF45" s="297">
        <f>IF($B45=0,"",SUMIFS(INPUT_DATA!AE:AE,INPUT_DATA!$A:$A,$B45,INPUT_DATA!$C:$C,"S"))</f>
        <v>0</v>
      </c>
      <c r="AG45" s="297">
        <f>IF($B45=0,"",SUMIFS(INPUT_DATA!AF:AF,INPUT_DATA!$A:$A,$B45,INPUT_DATA!$C:$C,"S"))</f>
        <v>0</v>
      </c>
      <c r="AH45" s="297">
        <f>IF($B45=0,"",SUMIFS(INPUT_DATA!AG:AG,INPUT_DATA!$A:$A,$B45,INPUT_DATA!$C:$C,"S"))</f>
        <v>0</v>
      </c>
      <c r="AI45" s="297">
        <f>IF($B45=0,"",SUMIFS(INPUT_DATA!AH:AH,INPUT_DATA!$A:$A,$B45,INPUT_DATA!$C:$C,"S"))</f>
        <v>0</v>
      </c>
      <c r="AJ45" s="297">
        <f>IF($B45=0,"",SUMIFS(INPUT_DATA!AI:AI,INPUT_DATA!$A:$A,$B45,INPUT_DATA!$C:$C,"S"))</f>
        <v>0</v>
      </c>
      <c r="AK45" s="297">
        <f>IF($B45=0,"",SUMIFS(INPUT_DATA!AJ:AJ,INPUT_DATA!$A:$A,$B45,INPUT_DATA!$C:$C,"S"))</f>
        <v>0</v>
      </c>
      <c r="AL45" s="297">
        <f>IF($B45=0,"",SUMIFS(INPUT_DATA!AK:AK,INPUT_DATA!$A:$A,$B45,INPUT_DATA!$C:$C,"S"))</f>
        <v>0</v>
      </c>
      <c r="AM45" s="297">
        <f>IF($B45=0,"",SUMIFS(INPUT_DATA!AL:AL,INPUT_DATA!$A:$A,$B45,INPUT_DATA!$C:$C,"S"))</f>
        <v>0</v>
      </c>
      <c r="AN45" s="297">
        <f>IF($B45=0,"",SUMIFS(INPUT_DATA!AM:AM,INPUT_DATA!$A:$A,$B45,INPUT_DATA!$C:$C,"S"))</f>
        <v>0</v>
      </c>
      <c r="AO45" s="297">
        <f>IF($B45=0,"",SUMIFS(INPUT_DATA!AN:AN,INPUT_DATA!$A:$A,$B45,INPUT_DATA!$C:$C,"S"))</f>
        <v>0</v>
      </c>
      <c r="AP45" s="297">
        <f>IF($B45=0,"",SUMIFS(INPUT_DATA!AO:AO,INPUT_DATA!$A:$A,$B45,INPUT_DATA!$C:$C,"S"))</f>
        <v>0</v>
      </c>
      <c r="AQ45" s="297">
        <f>IF($B45=0,"",SUMIFS(INPUT_DATA!AP:AP,INPUT_DATA!$A:$A,$B45,INPUT_DATA!$C:$C,"S"))</f>
        <v>0</v>
      </c>
      <c r="AR45" s="297">
        <f>IF($B45=0,"",SUMIFS(INPUT_DATA!AQ:AQ,INPUT_DATA!$A:$A,$B45,INPUT_DATA!$C:$C,"S"))</f>
        <v>0</v>
      </c>
      <c r="AS45" s="297">
        <f>IF($B45=0,"",SUMIFS(INPUT_DATA!AR:AR,INPUT_DATA!$A:$A,$B45,INPUT_DATA!$C:$C,"S"))</f>
        <v>0</v>
      </c>
      <c r="AT45" s="713">
        <f t="shared" si="11"/>
        <v>86286.68</v>
      </c>
      <c r="AU45" s="714">
        <f t="shared" si="12"/>
        <v>6989.130000000001</v>
      </c>
      <c r="AV45" s="715">
        <f t="shared" si="13"/>
        <v>0</v>
      </c>
      <c r="AW45" s="713">
        <f>IF($B45=0,"",SUMIFS(INPUT_DATA!AS:AS,INPUT_DATA!$A:$A,$B45,INPUT_DATA!$C:$C,"S"))</f>
        <v>86286.68</v>
      </c>
      <c r="AX45" s="714">
        <f>IF($B45=0,"",SUMIFS(INPUT_DATA!AT:AT,INPUT_DATA!$A:$A,$B45,INPUT_DATA!$C:$C,"S"))</f>
        <v>6989.13</v>
      </c>
      <c r="AY45" s="715">
        <f>IF($B45=0,"",SUMIFS(INPUT_DATA!AU:AU,INPUT_DATA!$A:$A,$B45,INPUT_DATA!$C:$C,"S"))</f>
        <v>0</v>
      </c>
      <c r="AZ45" s="713">
        <f t="shared" si="6"/>
        <v>0</v>
      </c>
      <c r="BA45" s="714">
        <f t="shared" si="7"/>
        <v>9.0949470177292824E-13</v>
      </c>
      <c r="BB45" s="715">
        <f t="shared" si="8"/>
        <v>0</v>
      </c>
      <c r="BC45" s="150"/>
      <c r="BD45" s="702">
        <f>IF($B45=0,"",SUMIFS(INPUT_DATA!D:D,INPUT_DATA!$A:$A,$B45,INPUT_DATA!$C:$C,"D"))</f>
        <v>0</v>
      </c>
      <c r="BE45" s="296">
        <f>IF($B45=0,"",SUMIFS(INPUT_DATA!G:G,INPUT_DATA!$A:$A,$B45,INPUT_DATA!$C:$C,"D"))</f>
        <v>0</v>
      </c>
      <c r="BF45" s="296">
        <f>IF($B45=0,"",SUMIFS(INPUT_DATA!H:H,INPUT_DATA!$A:$A,$B45,INPUT_DATA!$C:$C,"D"))</f>
        <v>0</v>
      </c>
      <c r="BG45" s="296">
        <f>IF($B45=0,"",SUMIFS(INPUT_DATA!I:I,INPUT_DATA!$A:$A,$B45,INPUT_DATA!$C:$C,"D"))</f>
        <v>0</v>
      </c>
      <c r="BH45" s="296">
        <f>IF($B45=0,"",SUMIFS(INPUT_DATA!J:J,INPUT_DATA!$A:$A,$B45,INPUT_DATA!$C:$C,"D"))</f>
        <v>0</v>
      </c>
      <c r="BI45" s="296">
        <f>IF($B45=0,"",SUMIFS(INPUT_DATA!K:K,INPUT_DATA!$A:$A,$B45,INPUT_DATA!$C:$C,"D"))</f>
        <v>0</v>
      </c>
      <c r="BJ45" s="296">
        <f>IF($B45=0,"",SUMIFS(INPUT_DATA!L:L,INPUT_DATA!$A:$A,$B45,INPUT_DATA!$C:$C,"D"))</f>
        <v>0</v>
      </c>
      <c r="BK45" s="296">
        <f>IF($B45=0,"",SUMIFS(INPUT_DATA!M:M,INPUT_DATA!$A:$A,$B45,INPUT_DATA!$C:$C,"D"))</f>
        <v>0</v>
      </c>
      <c r="BL45" s="296">
        <f>IF($B45=0,"",SUMIFS(INPUT_DATA!N:N,INPUT_DATA!$A:$A,$B45,INPUT_DATA!$C:$C,"D"))</f>
        <v>0</v>
      </c>
      <c r="BM45" s="296">
        <f>IF($B45=0,"",SUMIFS(INPUT_DATA!O:O,INPUT_DATA!$A:$A,$B45,INPUT_DATA!$C:$C,"D"))</f>
        <v>0</v>
      </c>
      <c r="BN45" s="296">
        <f>IF($B45=0,"",SUMIFS(INPUT_DATA!P:P,INPUT_DATA!$A:$A,$B45,INPUT_DATA!$C:$C,"D"))</f>
        <v>0</v>
      </c>
      <c r="BO45" s="718">
        <f t="shared" si="9"/>
        <v>0</v>
      </c>
      <c r="BP45" s="990">
        <f>IF($B45=0,"",SUMIFS(INPUT_DATA!Q:Q,INPUT_DATA!$A:$A,$B45,INPUT_DATA!$C:$C,"D"))</f>
        <v>0</v>
      </c>
      <c r="BQ45" s="718">
        <f t="shared" si="10"/>
        <v>0</v>
      </c>
      <c r="BR45" s="702">
        <f>IF($B45=0,"",SUMIFS(INPUT_DATA!R:R,INPUT_DATA!$A:$A,$B45,INPUT_DATA!$C:$C,"D"))</f>
        <v>0</v>
      </c>
      <c r="BS45" s="724">
        <f>IF($B45=0,"",SUMIFS(INPUT_DATA!S:S,INPUT_DATA!$A:$A,$B45,INPUT_DATA!$C:$C,"D"))</f>
        <v>0</v>
      </c>
      <c r="BT45" s="724">
        <f>IF($B45=0,"",SUMIFS(INPUT_DATA!T:T,INPUT_DATA!$A:$A,$B45,INPUT_DATA!$C:$C,"D"))</f>
        <v>0</v>
      </c>
      <c r="BU45" s="296">
        <f>IF($B45=0,"",SUMIFS(INPUT_DATA!U:U,INPUT_DATA!$A:$A,$B45,INPUT_DATA!$C:$C,"D"))</f>
        <v>0</v>
      </c>
      <c r="BV45" s="296">
        <f>IF($B45=0,"",SUMIFS(INPUT_DATA!V:V,INPUT_DATA!$A:$A,$B45,INPUT_DATA!$C:$C,"D"))</f>
        <v>0</v>
      </c>
      <c r="BW45" s="296">
        <f>IF($B45=0,"",SUMIFS(INPUT_DATA!W:W,INPUT_DATA!$A:$A,$B45,INPUT_DATA!$C:$C,"D"))</f>
        <v>0</v>
      </c>
      <c r="BX45" s="296">
        <f>IF($B45=0,"",SUMIFS(INPUT_DATA!X:X,INPUT_DATA!$A:$A,$B45,INPUT_DATA!$C:$C,"D"))</f>
        <v>0</v>
      </c>
      <c r="BY45" s="296">
        <f>IF($B45=0,"",SUMIFS(INPUT_DATA!Y:Y,INPUT_DATA!$A:$A,$B45,INPUT_DATA!$C:$C,"D"))</f>
        <v>0</v>
      </c>
      <c r="BZ45" s="296">
        <f>IF($B45=0,"",SUMIFS(INPUT_DATA!Z:Z,INPUT_DATA!$A:$A,$B45,INPUT_DATA!$C:$C,"D"))</f>
        <v>0</v>
      </c>
      <c r="CA45" s="336">
        <f>IF($B45=0,"",SUMIFS(INPUT_DATA!AA:AA,INPUT_DATA!$A:$A,$B45,INPUT_DATA!$C:$C,"D"))</f>
        <v>0</v>
      </c>
      <c r="CB45" s="336">
        <f>IF($B45=0,"",SUMIFS(INPUT_DATA!AB:AB,INPUT_DATA!$A:$A,$B45,INPUT_DATA!$C:$C,"D"))</f>
        <v>0</v>
      </c>
      <c r="CC45" s="336">
        <f>IF($B45=0,"",SUMIFS(INPUT_DATA!AC:AC,INPUT_DATA!$A:$A,$B45,INPUT_DATA!$C:$C,"D"))</f>
        <v>0</v>
      </c>
      <c r="CD45" s="296">
        <f>IF($B45=0,"",SUMIFS(INPUT_DATA!AD:AD,INPUT_DATA!$A:$A,$B45,INPUT_DATA!$C:$C,"D"))</f>
        <v>0</v>
      </c>
      <c r="CE45" s="296">
        <f>IF($B45=0,"",SUMIFS(INPUT_DATA!AE:AE,INPUT_DATA!$A:$A,$B45,INPUT_DATA!$C:$C,"D"))</f>
        <v>0</v>
      </c>
      <c r="CF45" s="296">
        <f>IF($B45=0,"",SUMIFS(INPUT_DATA!AF:AF,INPUT_DATA!$A:$A,$B45,INPUT_DATA!$C:$C,"D"))</f>
        <v>0</v>
      </c>
      <c r="CG45" s="336">
        <f>IF($B45=0,"",SUMIFS(INPUT_DATA!AG:AG,INPUT_DATA!$A:$A,$B45,INPUT_DATA!$C:$C,"D"))</f>
        <v>0</v>
      </c>
      <c r="CH45" s="336">
        <f>IF($B45=0,"",SUMIFS(INPUT_DATA!AH:AH,INPUT_DATA!$A:$A,$B45,INPUT_DATA!$C:$C,"D"))</f>
        <v>0</v>
      </c>
      <c r="CI45" s="336">
        <f>IF($B45=0,"",SUMIFS(INPUT_DATA!AI:AI,INPUT_DATA!$A:$A,$B45,INPUT_DATA!$C:$C,"D"))</f>
        <v>0</v>
      </c>
      <c r="CJ45" s="153">
        <f>IF($B45=0,"",SUMIFS(INPUT_DATA!AJ:AJ,INPUT_DATA!$A:$A,$B45,INPUT_DATA!$C:$C,"D"))</f>
        <v>0</v>
      </c>
      <c r="CK45" s="153">
        <f>IF($B45=0,"",SUMIFS(INPUT_DATA!AK:AK,INPUT_DATA!$A:$A,$B45,INPUT_DATA!$C:$C,"D"))</f>
        <v>0</v>
      </c>
      <c r="CL45" s="153">
        <f>IF($B45=0,"",SUMIFS(INPUT_DATA!AL:AL,INPUT_DATA!$A:$A,$B45,INPUT_DATA!$C:$C,"D"))</f>
        <v>0</v>
      </c>
      <c r="CM45" s="153">
        <f>IF($B45=0,"",SUMIFS(INPUT_DATA!AM:AM,INPUT_DATA!$A:$A,$B45,INPUT_DATA!$C:$C,"D"))</f>
        <v>0</v>
      </c>
      <c r="CN45" s="153">
        <f>IF($B45=0,"",SUMIFS(INPUT_DATA!AN:AN,INPUT_DATA!$A:$A,$B45,INPUT_DATA!$C:$C,"D"))</f>
        <v>0</v>
      </c>
      <c r="CO45" s="153">
        <f>IF($B45=0,"",SUMIFS(INPUT_DATA!AO:AO,INPUT_DATA!$A:$A,$B45,INPUT_DATA!$C:$C,"D"))</f>
        <v>0</v>
      </c>
      <c r="CP45" s="153">
        <f>IF($B45=0,"",SUMIFS(INPUT_DATA!AP:AP,INPUT_DATA!$A:$A,$B45,INPUT_DATA!$C:$C,"D"))</f>
        <v>0</v>
      </c>
      <c r="CQ45" s="153">
        <f>IF($B45=0,"",SUMIFS(INPUT_DATA!AQ:AQ,INPUT_DATA!$A:$A,$B45,INPUT_DATA!$C:$C,"D"))</f>
        <v>0</v>
      </c>
      <c r="CR45" s="153">
        <f>IF($B45=0,"",SUMIFS(INPUT_DATA!AR:AR,INPUT_DATA!$A:$A,$B45,INPUT_DATA!$C:$C,"D"))</f>
        <v>0</v>
      </c>
      <c r="CS45" s="714">
        <f t="shared" si="14"/>
        <v>0</v>
      </c>
      <c r="CT45" s="714">
        <f t="shared" si="15"/>
        <v>0</v>
      </c>
      <c r="CU45" s="714">
        <f t="shared" si="16"/>
        <v>0</v>
      </c>
      <c r="CV45" s="703">
        <f>IF($B45=0,"",SUMIFS(INPUT_DATA!AS:AS,INPUT_DATA!$A:$A,$B45,INPUT_DATA!$C:$C,"D"))</f>
        <v>0</v>
      </c>
      <c r="CW45" s="703">
        <f>IF($B45=0,"",SUMIFS(INPUT_DATA!AT:AT,INPUT_DATA!$A:$A,$B45,INPUT_DATA!$C:$C,"D"))</f>
        <v>0</v>
      </c>
      <c r="CX45" s="703">
        <f>IF($B45=0,"",SUMIFS(INPUT_DATA!AU:AU,INPUT_DATA!$A:$A,$B45,INPUT_DATA!$C:$C,"D"))</f>
        <v>0</v>
      </c>
      <c r="CY45" s="703">
        <f t="shared" si="17"/>
        <v>0</v>
      </c>
      <c r="CZ45" s="714">
        <f t="shared" si="18"/>
        <v>0</v>
      </c>
      <c r="DA45" s="725">
        <f t="shared" si="19"/>
        <v>0</v>
      </c>
      <c r="DB45" s="150"/>
    </row>
    <row r="46" spans="1:106">
      <c r="B46" s="697">
        <f>INPUT_DATA!BR33</f>
        <v>45322</v>
      </c>
      <c r="C46" s="702">
        <f>IF($B46=0,"",SUMIFS(INPUT_DATA!D:D,INPUT_DATA!$A:$A,$B46,INPUT_DATA!$C:$C,"S"))</f>
        <v>739186357.27999997</v>
      </c>
      <c r="D46" s="703">
        <f>IF($B46=0,"",SUMIFS(INPUT_DATA!E:E,INPUT_DATA!$A:$A,$B46,INPUT_DATA!$C:$C,"S"))</f>
        <v>0</v>
      </c>
      <c r="E46" s="703">
        <f>IF($B46=0,"",SUMIFS(INPUT_DATA!F:F,INPUT_DATA!$A:$A,$B46,INPUT_DATA!$C:$C,"S"))</f>
        <v>0</v>
      </c>
      <c r="F46" s="704">
        <f>IF($B46=0,"",SUMIFS(INPUT_DATA!G:G,INPUT_DATA!$A:$A,$B46,INPUT_DATA!$C:$C,"S"))</f>
        <v>5002402.3099999996</v>
      </c>
      <c r="G46" s="704">
        <f>IF($B46=0,"",SUMIFS(INPUT_DATA!H:H,INPUT_DATA!$A:$A,$B46,INPUT_DATA!$C:$C,"S"))</f>
        <v>1486537.02</v>
      </c>
      <c r="H46" s="704">
        <f>IF($B46=0,"",SUMIFS(INPUT_DATA!I:I,INPUT_DATA!$A:$A,$B46,INPUT_DATA!$C:$C,"S"))</f>
        <v>0</v>
      </c>
      <c r="I46" s="704">
        <f>IF($B46=0,"",SUMIFS(INPUT_DATA!J:J,INPUT_DATA!$A:$A,$B46,INPUT_DATA!$C:$C,"S"))</f>
        <v>80.05</v>
      </c>
      <c r="J46" s="704">
        <f>IF($B46=0,"",SUMIFS(INPUT_DATA!K:K,INPUT_DATA!$A:$A,$B46,INPUT_DATA!$C:$C,"S"))</f>
        <v>0</v>
      </c>
      <c r="K46" s="704">
        <f>IF($B46=0,"",SUMIFS(INPUT_DATA!L:L,INPUT_DATA!$A:$A,$B46,INPUT_DATA!$C:$C,"S"))</f>
        <v>0</v>
      </c>
      <c r="L46" s="704">
        <f>IF($B46=0,"",SUMIFS(INPUT_DATA!M:M,INPUT_DATA!$A:$A,$B46,INPUT_DATA!$C:$C,"S"))</f>
        <v>0</v>
      </c>
      <c r="M46" s="704">
        <f>IF($B46=0,"",SUMIFS(INPUT_DATA!N:N,INPUT_DATA!$A:$A,$B46,INPUT_DATA!$C:$C,"S"))</f>
        <v>0</v>
      </c>
      <c r="N46" s="704">
        <f>IF($B46=0,"",SUMIFS(INPUT_DATA!O:O,INPUT_DATA!$A:$A,$B46,INPUT_DATA!$C:$C,"S"))</f>
        <v>0</v>
      </c>
      <c r="O46" s="704">
        <f>IF($B46=0,"",SUMIFS(INPUT_DATA!P:P,INPUT_DATA!$A:$A,$B46,INPUT_DATA!$C:$C,"S"))</f>
        <v>0</v>
      </c>
      <c r="P46" s="705">
        <f t="shared" si="5"/>
        <v>732697498</v>
      </c>
      <c r="Q46" s="706">
        <f>IF($B46=0,"",SUMIFS(INPUT_DATA!Q:Q,INPUT_DATA!$A:$A,$B46,INPUT_DATA!$C:$C,"S"))</f>
        <v>732697498</v>
      </c>
      <c r="R46" s="706">
        <f t="shared" si="20"/>
        <v>0</v>
      </c>
      <c r="S46" s="712">
        <f>IF($B46=0,"",SUMIFS(INPUT_DATA!R:R,INPUT_DATA!$A:$A,$B46,INPUT_DATA!$C:$C,"S"))</f>
        <v>92529.64</v>
      </c>
      <c r="T46" s="712">
        <f>IF($B46=0,"",SUMIFS(INPUT_DATA!S:S,INPUT_DATA!$A:$A,$B46,INPUT_DATA!$C:$C,"S"))</f>
        <v>10202.25</v>
      </c>
      <c r="U46" s="712">
        <f>IF($B46=0,"",SUMIFS(INPUT_DATA!T:T,INPUT_DATA!$A:$A,$B46,INPUT_DATA!$C:$C,"S"))</f>
        <v>0</v>
      </c>
      <c r="V46" s="297">
        <f>IF($B46=0,"",SUMIFS(INPUT_DATA!U:U,INPUT_DATA!$A:$A,$B46,INPUT_DATA!$C:$C,"S"))</f>
        <v>69781.22</v>
      </c>
      <c r="W46" s="297">
        <f>IF($B46=0,"",SUMIFS(INPUT_DATA!V:V,INPUT_DATA!$A:$A,$B46,INPUT_DATA!$C:$C,"S"))</f>
        <v>8565.07</v>
      </c>
      <c r="X46" s="297">
        <f>IF($B46=0,"",SUMIFS(INPUT_DATA!W:W,INPUT_DATA!$A:$A,$B46,INPUT_DATA!$C:$C,"S"))</f>
        <v>0</v>
      </c>
      <c r="Y46" s="297">
        <f>IF($B46=0,"",SUMIFS(INPUT_DATA!X:X,INPUT_DATA!$A:$A,$B46,INPUT_DATA!$C:$C,"S"))</f>
        <v>87199.01</v>
      </c>
      <c r="Z46" s="297">
        <f>IF($B46=0,"",SUMIFS(INPUT_DATA!Y:Y,INPUT_DATA!$A:$A,$B46,INPUT_DATA!$C:$C,"S"))</f>
        <v>9985.4699999999993</v>
      </c>
      <c r="AA46" s="297">
        <f>IF($B46=0,"",SUMIFS(INPUT_DATA!Z:Z,INPUT_DATA!$A:$A,$B46,INPUT_DATA!$C:$C,"S"))</f>
        <v>0</v>
      </c>
      <c r="AB46" s="297">
        <f>IF($B46=0,"",SUMIFS(INPUT_DATA!AA:AA,INPUT_DATA!$A:$A,$B46,INPUT_DATA!$C:$C,"S"))</f>
        <v>0</v>
      </c>
      <c r="AC46" s="297">
        <f>IF($B46=0,"",SUMIFS(INPUT_DATA!AB:AB,INPUT_DATA!$A:$A,$B46,INPUT_DATA!$C:$C,"S"))</f>
        <v>0</v>
      </c>
      <c r="AD46" s="297">
        <f>IF($B46=0,"",SUMIFS(INPUT_DATA!AC:AC,INPUT_DATA!$A:$A,$B46,INPUT_DATA!$C:$C,"S"))</f>
        <v>0</v>
      </c>
      <c r="AE46" s="297">
        <f>IF($B46=0,"",SUMIFS(INPUT_DATA!AD:AD,INPUT_DATA!$A:$A,$B46,INPUT_DATA!$C:$C,"S"))</f>
        <v>0</v>
      </c>
      <c r="AF46" s="297">
        <f>IF($B46=0,"",SUMIFS(INPUT_DATA!AE:AE,INPUT_DATA!$A:$A,$B46,INPUT_DATA!$C:$C,"S"))</f>
        <v>0</v>
      </c>
      <c r="AG46" s="297">
        <f>IF($B46=0,"",SUMIFS(INPUT_DATA!AF:AF,INPUT_DATA!$A:$A,$B46,INPUT_DATA!$C:$C,"S"))</f>
        <v>0</v>
      </c>
      <c r="AH46" s="297">
        <f>IF($B46=0,"",SUMIFS(INPUT_DATA!AG:AG,INPUT_DATA!$A:$A,$B46,INPUT_DATA!$C:$C,"S"))</f>
        <v>0</v>
      </c>
      <c r="AI46" s="297">
        <f>IF($B46=0,"",SUMIFS(INPUT_DATA!AH:AH,INPUT_DATA!$A:$A,$B46,INPUT_DATA!$C:$C,"S"))</f>
        <v>0</v>
      </c>
      <c r="AJ46" s="297">
        <f>IF($B46=0,"",SUMIFS(INPUT_DATA!AI:AI,INPUT_DATA!$A:$A,$B46,INPUT_DATA!$C:$C,"S"))</f>
        <v>0</v>
      </c>
      <c r="AK46" s="297">
        <f>IF($B46=0,"",SUMIFS(INPUT_DATA!AJ:AJ,INPUT_DATA!$A:$A,$B46,INPUT_DATA!$C:$C,"S"))</f>
        <v>0</v>
      </c>
      <c r="AL46" s="297">
        <f>IF($B46=0,"",SUMIFS(INPUT_DATA!AK:AK,INPUT_DATA!$A:$A,$B46,INPUT_DATA!$C:$C,"S"))</f>
        <v>0</v>
      </c>
      <c r="AM46" s="297">
        <f>IF($B46=0,"",SUMIFS(INPUT_DATA!AL:AL,INPUT_DATA!$A:$A,$B46,INPUT_DATA!$C:$C,"S"))</f>
        <v>0</v>
      </c>
      <c r="AN46" s="297">
        <f>IF($B46=0,"",SUMIFS(INPUT_DATA!AM:AM,INPUT_DATA!$A:$A,$B46,INPUT_DATA!$C:$C,"S"))</f>
        <v>0</v>
      </c>
      <c r="AO46" s="297">
        <f>IF($B46=0,"",SUMIFS(INPUT_DATA!AN:AN,INPUT_DATA!$A:$A,$B46,INPUT_DATA!$C:$C,"S"))</f>
        <v>0</v>
      </c>
      <c r="AP46" s="297">
        <f>IF($B46=0,"",SUMIFS(INPUT_DATA!AO:AO,INPUT_DATA!$A:$A,$B46,INPUT_DATA!$C:$C,"S"))</f>
        <v>0</v>
      </c>
      <c r="AQ46" s="297">
        <f>IF($B46=0,"",SUMIFS(INPUT_DATA!AP:AP,INPUT_DATA!$A:$A,$B46,INPUT_DATA!$C:$C,"S"))</f>
        <v>0</v>
      </c>
      <c r="AR46" s="297">
        <f>IF($B46=0,"",SUMIFS(INPUT_DATA!AQ:AQ,INPUT_DATA!$A:$A,$B46,INPUT_DATA!$C:$C,"S"))</f>
        <v>0</v>
      </c>
      <c r="AS46" s="297">
        <f>IF($B46=0,"",SUMIFS(INPUT_DATA!AR:AR,INPUT_DATA!$A:$A,$B46,INPUT_DATA!$C:$C,"S"))</f>
        <v>0</v>
      </c>
      <c r="AT46" s="713">
        <f t="shared" si="11"/>
        <v>75111.849999999991</v>
      </c>
      <c r="AU46" s="714">
        <f t="shared" si="12"/>
        <v>8781.85</v>
      </c>
      <c r="AV46" s="715">
        <f t="shared" si="13"/>
        <v>0</v>
      </c>
      <c r="AW46" s="713">
        <f>IF($B46=0,"",SUMIFS(INPUT_DATA!AS:AS,INPUT_DATA!$A:$A,$B46,INPUT_DATA!$C:$C,"S"))</f>
        <v>75111.850000000006</v>
      </c>
      <c r="AX46" s="714">
        <f>IF($B46=0,"",SUMIFS(INPUT_DATA!AT:AT,INPUT_DATA!$A:$A,$B46,INPUT_DATA!$C:$C,"S"))</f>
        <v>8781.85</v>
      </c>
      <c r="AY46" s="715">
        <f>IF($B46=0,"",SUMIFS(INPUT_DATA!AU:AU,INPUT_DATA!$A:$A,$B46,INPUT_DATA!$C:$C,"S"))</f>
        <v>0</v>
      </c>
      <c r="AZ46" s="713">
        <f t="shared" si="6"/>
        <v>-1.4551915228366852E-11</v>
      </c>
      <c r="BA46" s="714">
        <f t="shared" si="7"/>
        <v>0</v>
      </c>
      <c r="BB46" s="715">
        <f t="shared" si="8"/>
        <v>0</v>
      </c>
      <c r="BC46" s="150"/>
      <c r="BD46" s="702">
        <f>IF($B46=0,"",SUMIFS(INPUT_DATA!D:D,INPUT_DATA!$A:$A,$B46,INPUT_DATA!$C:$C,"D"))</f>
        <v>0</v>
      </c>
      <c r="BE46" s="296">
        <f>IF($B46=0,"",SUMIFS(INPUT_DATA!G:G,INPUT_DATA!$A:$A,$B46,INPUT_DATA!$C:$C,"D"))</f>
        <v>0</v>
      </c>
      <c r="BF46" s="296">
        <f>IF($B46=0,"",SUMIFS(INPUT_DATA!H:H,INPUT_DATA!$A:$A,$B46,INPUT_DATA!$C:$C,"D"))</f>
        <v>0</v>
      </c>
      <c r="BG46" s="296">
        <f>IF($B46=0,"",SUMIFS(INPUT_DATA!I:I,INPUT_DATA!$A:$A,$B46,INPUT_DATA!$C:$C,"D"))</f>
        <v>0</v>
      </c>
      <c r="BH46" s="296">
        <f>IF($B46=0,"",SUMIFS(INPUT_DATA!J:J,INPUT_DATA!$A:$A,$B46,INPUT_DATA!$C:$C,"D"))</f>
        <v>0</v>
      </c>
      <c r="BI46" s="296">
        <f>IF($B46=0,"",SUMIFS(INPUT_DATA!K:K,INPUT_DATA!$A:$A,$B46,INPUT_DATA!$C:$C,"D"))</f>
        <v>0</v>
      </c>
      <c r="BJ46" s="296">
        <f>IF($B46=0,"",SUMIFS(INPUT_DATA!L:L,INPUT_DATA!$A:$A,$B46,INPUT_DATA!$C:$C,"D"))</f>
        <v>0</v>
      </c>
      <c r="BK46" s="296">
        <f>IF($B46=0,"",SUMIFS(INPUT_DATA!M:M,INPUT_DATA!$A:$A,$B46,INPUT_DATA!$C:$C,"D"))</f>
        <v>0</v>
      </c>
      <c r="BL46" s="296">
        <f>IF($B46=0,"",SUMIFS(INPUT_DATA!N:N,INPUT_DATA!$A:$A,$B46,INPUT_DATA!$C:$C,"D"))</f>
        <v>0</v>
      </c>
      <c r="BM46" s="296">
        <f>IF($B46=0,"",SUMIFS(INPUT_DATA!O:O,INPUT_DATA!$A:$A,$B46,INPUT_DATA!$C:$C,"D"))</f>
        <v>0</v>
      </c>
      <c r="BN46" s="296">
        <f>IF($B46=0,"",SUMIFS(INPUT_DATA!P:P,INPUT_DATA!$A:$A,$B46,INPUT_DATA!$C:$C,"D"))</f>
        <v>0</v>
      </c>
      <c r="BO46" s="718">
        <f t="shared" si="9"/>
        <v>0</v>
      </c>
      <c r="BP46" s="990">
        <f>IF($B46=0,"",SUMIFS(INPUT_DATA!Q:Q,INPUT_DATA!$A:$A,$B46,INPUT_DATA!$C:$C,"D"))</f>
        <v>0</v>
      </c>
      <c r="BQ46" s="718">
        <f t="shared" si="10"/>
        <v>0</v>
      </c>
      <c r="BR46" s="702">
        <f>IF($B46=0,"",SUMIFS(INPUT_DATA!R:R,INPUT_DATA!$A:$A,$B46,INPUT_DATA!$C:$C,"D"))</f>
        <v>0</v>
      </c>
      <c r="BS46" s="724">
        <f>IF($B46=0,"",SUMIFS(INPUT_DATA!S:S,INPUT_DATA!$A:$A,$B46,INPUT_DATA!$C:$C,"D"))</f>
        <v>0</v>
      </c>
      <c r="BT46" s="724">
        <f>IF($B46=0,"",SUMIFS(INPUT_DATA!T:T,INPUT_DATA!$A:$A,$B46,INPUT_DATA!$C:$C,"D"))</f>
        <v>0</v>
      </c>
      <c r="BU46" s="296">
        <f>IF($B46=0,"",SUMIFS(INPUT_DATA!U:U,INPUT_DATA!$A:$A,$B46,INPUT_DATA!$C:$C,"D"))</f>
        <v>0</v>
      </c>
      <c r="BV46" s="296">
        <f>IF($B46=0,"",SUMIFS(INPUT_DATA!V:V,INPUT_DATA!$A:$A,$B46,INPUT_DATA!$C:$C,"D"))</f>
        <v>0</v>
      </c>
      <c r="BW46" s="296">
        <f>IF($B46=0,"",SUMIFS(INPUT_DATA!W:W,INPUT_DATA!$A:$A,$B46,INPUT_DATA!$C:$C,"D"))</f>
        <v>0</v>
      </c>
      <c r="BX46" s="296">
        <f>IF($B46=0,"",SUMIFS(INPUT_DATA!X:X,INPUT_DATA!$A:$A,$B46,INPUT_DATA!$C:$C,"D"))</f>
        <v>0</v>
      </c>
      <c r="BY46" s="296">
        <f>IF($B46=0,"",SUMIFS(INPUT_DATA!Y:Y,INPUT_DATA!$A:$A,$B46,INPUT_DATA!$C:$C,"D"))</f>
        <v>0</v>
      </c>
      <c r="BZ46" s="296">
        <f>IF($B46=0,"",SUMIFS(INPUT_DATA!Z:Z,INPUT_DATA!$A:$A,$B46,INPUT_DATA!$C:$C,"D"))</f>
        <v>0</v>
      </c>
      <c r="CA46" s="336">
        <f>IF($B46=0,"",SUMIFS(INPUT_DATA!AA:AA,INPUT_DATA!$A:$A,$B46,INPUT_DATA!$C:$C,"D"))</f>
        <v>0</v>
      </c>
      <c r="CB46" s="336">
        <f>IF($B46=0,"",SUMIFS(INPUT_DATA!AB:AB,INPUT_DATA!$A:$A,$B46,INPUT_DATA!$C:$C,"D"))</f>
        <v>0</v>
      </c>
      <c r="CC46" s="336">
        <f>IF($B46=0,"",SUMIFS(INPUT_DATA!AC:AC,INPUT_DATA!$A:$A,$B46,INPUT_DATA!$C:$C,"D"))</f>
        <v>0</v>
      </c>
      <c r="CD46" s="296">
        <f>IF($B46=0,"",SUMIFS(INPUT_DATA!AD:AD,INPUT_DATA!$A:$A,$B46,INPUT_DATA!$C:$C,"D"))</f>
        <v>0</v>
      </c>
      <c r="CE46" s="296">
        <f>IF($B46=0,"",SUMIFS(INPUT_DATA!AE:AE,INPUT_DATA!$A:$A,$B46,INPUT_DATA!$C:$C,"D"))</f>
        <v>0</v>
      </c>
      <c r="CF46" s="296">
        <f>IF($B46=0,"",SUMIFS(INPUT_DATA!AF:AF,INPUT_DATA!$A:$A,$B46,INPUT_DATA!$C:$C,"D"))</f>
        <v>0</v>
      </c>
      <c r="CG46" s="336">
        <f>IF($B46=0,"",SUMIFS(INPUT_DATA!AG:AG,INPUT_DATA!$A:$A,$B46,INPUT_DATA!$C:$C,"D"))</f>
        <v>0</v>
      </c>
      <c r="CH46" s="336">
        <f>IF($B46=0,"",SUMIFS(INPUT_DATA!AH:AH,INPUT_DATA!$A:$A,$B46,INPUT_DATA!$C:$C,"D"))</f>
        <v>0</v>
      </c>
      <c r="CI46" s="336">
        <f>IF($B46=0,"",SUMIFS(INPUT_DATA!AI:AI,INPUT_DATA!$A:$A,$B46,INPUT_DATA!$C:$C,"D"))</f>
        <v>0</v>
      </c>
      <c r="CJ46" s="153">
        <f>IF($B46=0,"",SUMIFS(INPUT_DATA!AJ:AJ,INPUT_DATA!$A:$A,$B46,INPUT_DATA!$C:$C,"D"))</f>
        <v>0</v>
      </c>
      <c r="CK46" s="153">
        <f>IF($B46=0,"",SUMIFS(INPUT_DATA!AK:AK,INPUT_DATA!$A:$A,$B46,INPUT_DATA!$C:$C,"D"))</f>
        <v>0</v>
      </c>
      <c r="CL46" s="153">
        <f>IF($B46=0,"",SUMIFS(INPUT_DATA!AL:AL,INPUT_DATA!$A:$A,$B46,INPUT_DATA!$C:$C,"D"))</f>
        <v>0</v>
      </c>
      <c r="CM46" s="153">
        <f>IF($B46=0,"",SUMIFS(INPUT_DATA!AM:AM,INPUT_DATA!$A:$A,$B46,INPUT_DATA!$C:$C,"D"))</f>
        <v>0</v>
      </c>
      <c r="CN46" s="153">
        <f>IF($B46=0,"",SUMIFS(INPUT_DATA!AN:AN,INPUT_DATA!$A:$A,$B46,INPUT_DATA!$C:$C,"D"))</f>
        <v>0</v>
      </c>
      <c r="CO46" s="153">
        <f>IF($B46=0,"",SUMIFS(INPUT_DATA!AO:AO,INPUT_DATA!$A:$A,$B46,INPUT_DATA!$C:$C,"D"))</f>
        <v>0</v>
      </c>
      <c r="CP46" s="153">
        <f>IF($B46=0,"",SUMIFS(INPUT_DATA!AP:AP,INPUT_DATA!$A:$A,$B46,INPUT_DATA!$C:$C,"D"))</f>
        <v>0</v>
      </c>
      <c r="CQ46" s="153">
        <f>IF($B46=0,"",SUMIFS(INPUT_DATA!AQ:AQ,INPUT_DATA!$A:$A,$B46,INPUT_DATA!$C:$C,"D"))</f>
        <v>0</v>
      </c>
      <c r="CR46" s="153">
        <f>IF($B46=0,"",SUMIFS(INPUT_DATA!AR:AR,INPUT_DATA!$A:$A,$B46,INPUT_DATA!$C:$C,"D"))</f>
        <v>0</v>
      </c>
      <c r="CS46" s="714">
        <f t="shared" si="14"/>
        <v>0</v>
      </c>
      <c r="CT46" s="714">
        <f t="shared" si="15"/>
        <v>0</v>
      </c>
      <c r="CU46" s="714">
        <f t="shared" si="16"/>
        <v>0</v>
      </c>
      <c r="CV46" s="703">
        <f>IF($B46=0,"",SUMIFS(INPUT_DATA!AS:AS,INPUT_DATA!$A:$A,$B46,INPUT_DATA!$C:$C,"D"))</f>
        <v>0</v>
      </c>
      <c r="CW46" s="703">
        <f>IF($B46=0,"",SUMIFS(INPUT_DATA!AT:AT,INPUT_DATA!$A:$A,$B46,INPUT_DATA!$C:$C,"D"))</f>
        <v>0</v>
      </c>
      <c r="CX46" s="703">
        <f>IF($B46=0,"",SUMIFS(INPUT_DATA!AU:AU,INPUT_DATA!$A:$A,$B46,INPUT_DATA!$C:$C,"D"))</f>
        <v>0</v>
      </c>
      <c r="CY46" s="703">
        <f t="shared" si="17"/>
        <v>0</v>
      </c>
      <c r="CZ46" s="714">
        <f t="shared" si="18"/>
        <v>0</v>
      </c>
      <c r="DA46" s="725">
        <f t="shared" si="19"/>
        <v>0</v>
      </c>
      <c r="DB46" s="150"/>
    </row>
    <row r="47" spans="1:106">
      <c r="B47" s="697">
        <f>INPUT_DATA!BR34</f>
        <v>45291</v>
      </c>
      <c r="C47" s="702">
        <f>IF($B47=0,"",SUMIFS(INPUT_DATA!D:D,INPUT_DATA!$A:$A,$B47,INPUT_DATA!$C:$C,"S"))</f>
        <v>744799789.46000004</v>
      </c>
      <c r="D47" s="703">
        <f>IF($B47=0,"",SUMIFS(INPUT_DATA!E:E,INPUT_DATA!$A:$A,$B47,INPUT_DATA!$C:$C,"S"))</f>
        <v>0</v>
      </c>
      <c r="E47" s="703">
        <f>IF($B47=0,"",SUMIFS(INPUT_DATA!F:F,INPUT_DATA!$A:$A,$B47,INPUT_DATA!$C:$C,"S"))</f>
        <v>0</v>
      </c>
      <c r="F47" s="704">
        <f>IF($B47=0,"",SUMIFS(INPUT_DATA!G:G,INPUT_DATA!$A:$A,$B47,INPUT_DATA!$C:$C,"S"))</f>
        <v>4997383.97</v>
      </c>
      <c r="G47" s="704">
        <f>IF($B47=0,"",SUMIFS(INPUT_DATA!H:H,INPUT_DATA!$A:$A,$B47,INPUT_DATA!$C:$C,"S"))</f>
        <v>616128.16</v>
      </c>
      <c r="H47" s="704">
        <f>IF($B47=0,"",SUMIFS(INPUT_DATA!I:I,INPUT_DATA!$A:$A,$B47,INPUT_DATA!$C:$C,"S"))</f>
        <v>0</v>
      </c>
      <c r="I47" s="704">
        <f>IF($B47=0,"",SUMIFS(INPUT_DATA!J:J,INPUT_DATA!$A:$A,$B47,INPUT_DATA!$C:$C,"S"))</f>
        <v>79.95</v>
      </c>
      <c r="J47" s="704">
        <f>IF($B47=0,"",SUMIFS(INPUT_DATA!K:K,INPUT_DATA!$A:$A,$B47,INPUT_DATA!$C:$C,"S"))</f>
        <v>0</v>
      </c>
      <c r="K47" s="704">
        <f>IF($B47=0,"",SUMIFS(INPUT_DATA!L:L,INPUT_DATA!$A:$A,$B47,INPUT_DATA!$C:$C,"S"))</f>
        <v>0</v>
      </c>
      <c r="L47" s="704">
        <f>IF($B47=0,"",SUMIFS(INPUT_DATA!M:M,INPUT_DATA!$A:$A,$B47,INPUT_DATA!$C:$C,"S"))</f>
        <v>0</v>
      </c>
      <c r="M47" s="704">
        <f>IF($B47=0,"",SUMIFS(INPUT_DATA!N:N,INPUT_DATA!$A:$A,$B47,INPUT_DATA!$C:$C,"S"))</f>
        <v>0</v>
      </c>
      <c r="N47" s="704">
        <f>IF($B47=0,"",SUMIFS(INPUT_DATA!O:O,INPUT_DATA!$A:$A,$B47,INPUT_DATA!$C:$C,"S"))</f>
        <v>0</v>
      </c>
      <c r="O47" s="704">
        <f>IF($B47=0,"",SUMIFS(INPUT_DATA!P:P,INPUT_DATA!$A:$A,$B47,INPUT_DATA!$C:$C,"S"))</f>
        <v>0</v>
      </c>
      <c r="P47" s="705">
        <f t="shared" si="5"/>
        <v>739186357.28000009</v>
      </c>
      <c r="Q47" s="706">
        <f>IF($B47=0,"",SUMIFS(INPUT_DATA!Q:Q,INPUT_DATA!$A:$A,$B47,INPUT_DATA!$C:$C,"S"))</f>
        <v>739186357.27999997</v>
      </c>
      <c r="R47" s="706">
        <f t="shared" si="20"/>
        <v>1.1920928955078125E-7</v>
      </c>
      <c r="S47" s="712">
        <f>IF($B47=0,"",SUMIFS(INPUT_DATA!R:R,INPUT_DATA!$A:$A,$B47,INPUT_DATA!$C:$C,"S"))</f>
        <v>66580.289999999994</v>
      </c>
      <c r="T47" s="712">
        <f>IF($B47=0,"",SUMIFS(INPUT_DATA!S:S,INPUT_DATA!$A:$A,$B47,INPUT_DATA!$C:$C,"S"))</f>
        <v>8602.0499999999993</v>
      </c>
      <c r="U47" s="712">
        <f>IF($B47=0,"",SUMIFS(INPUT_DATA!T:T,INPUT_DATA!$A:$A,$B47,INPUT_DATA!$C:$C,"S"))</f>
        <v>0</v>
      </c>
      <c r="V47" s="297">
        <f>IF($B47=0,"",SUMIFS(INPUT_DATA!U:U,INPUT_DATA!$A:$A,$B47,INPUT_DATA!$C:$C,"S"))</f>
        <v>85973.3</v>
      </c>
      <c r="W47" s="297">
        <f>IF($B47=0,"",SUMIFS(INPUT_DATA!V:V,INPUT_DATA!$A:$A,$B47,INPUT_DATA!$C:$C,"S"))</f>
        <v>9514.19</v>
      </c>
      <c r="X47" s="297">
        <f>IF($B47=0,"",SUMIFS(INPUT_DATA!W:W,INPUT_DATA!$A:$A,$B47,INPUT_DATA!$C:$C,"S"))</f>
        <v>0</v>
      </c>
      <c r="Y47" s="297">
        <f>IF($B47=0,"",SUMIFS(INPUT_DATA!X:X,INPUT_DATA!$A:$A,$B47,INPUT_DATA!$C:$C,"S"))</f>
        <v>60023.95</v>
      </c>
      <c r="Z47" s="297">
        <f>IF($B47=0,"",SUMIFS(INPUT_DATA!Y:Y,INPUT_DATA!$A:$A,$B47,INPUT_DATA!$C:$C,"S"))</f>
        <v>7913.99</v>
      </c>
      <c r="AA47" s="297">
        <f>IF($B47=0,"",SUMIFS(INPUT_DATA!Z:Z,INPUT_DATA!$A:$A,$B47,INPUT_DATA!$C:$C,"S"))</f>
        <v>0</v>
      </c>
      <c r="AB47" s="297">
        <f>IF($B47=0,"",SUMIFS(INPUT_DATA!AA:AA,INPUT_DATA!$A:$A,$B47,INPUT_DATA!$C:$C,"S"))</f>
        <v>0</v>
      </c>
      <c r="AC47" s="297">
        <f>IF($B47=0,"",SUMIFS(INPUT_DATA!AB:AB,INPUT_DATA!$A:$A,$B47,INPUT_DATA!$C:$C,"S"))</f>
        <v>0</v>
      </c>
      <c r="AD47" s="297">
        <f>IF($B47=0,"",SUMIFS(INPUT_DATA!AC:AC,INPUT_DATA!$A:$A,$B47,INPUT_DATA!$C:$C,"S"))</f>
        <v>0</v>
      </c>
      <c r="AE47" s="297">
        <f>IF($B47=0,"",SUMIFS(INPUT_DATA!AD:AD,INPUT_DATA!$A:$A,$B47,INPUT_DATA!$C:$C,"S"))</f>
        <v>0</v>
      </c>
      <c r="AF47" s="297">
        <f>IF($B47=0,"",SUMIFS(INPUT_DATA!AE:AE,INPUT_DATA!$A:$A,$B47,INPUT_DATA!$C:$C,"S"))</f>
        <v>0</v>
      </c>
      <c r="AG47" s="297">
        <f>IF($B47=0,"",SUMIFS(INPUT_DATA!AF:AF,INPUT_DATA!$A:$A,$B47,INPUT_DATA!$C:$C,"S"))</f>
        <v>0</v>
      </c>
      <c r="AH47" s="297">
        <f>IF($B47=0,"",SUMIFS(INPUT_DATA!AG:AG,INPUT_DATA!$A:$A,$B47,INPUT_DATA!$C:$C,"S"))</f>
        <v>0</v>
      </c>
      <c r="AI47" s="297">
        <f>IF($B47=0,"",SUMIFS(INPUT_DATA!AH:AH,INPUT_DATA!$A:$A,$B47,INPUT_DATA!$C:$C,"S"))</f>
        <v>0</v>
      </c>
      <c r="AJ47" s="297">
        <f>IF($B47=0,"",SUMIFS(INPUT_DATA!AI:AI,INPUT_DATA!$A:$A,$B47,INPUT_DATA!$C:$C,"S"))</f>
        <v>0</v>
      </c>
      <c r="AK47" s="297">
        <f>IF($B47=0,"",SUMIFS(INPUT_DATA!AJ:AJ,INPUT_DATA!$A:$A,$B47,INPUT_DATA!$C:$C,"S"))</f>
        <v>0</v>
      </c>
      <c r="AL47" s="297">
        <f>IF($B47=0,"",SUMIFS(INPUT_DATA!AK:AK,INPUT_DATA!$A:$A,$B47,INPUT_DATA!$C:$C,"S"))</f>
        <v>0</v>
      </c>
      <c r="AM47" s="297">
        <f>IF($B47=0,"",SUMIFS(INPUT_DATA!AL:AL,INPUT_DATA!$A:$A,$B47,INPUT_DATA!$C:$C,"S"))</f>
        <v>0</v>
      </c>
      <c r="AN47" s="297">
        <f>IF($B47=0,"",SUMIFS(INPUT_DATA!AM:AM,INPUT_DATA!$A:$A,$B47,INPUT_DATA!$C:$C,"S"))</f>
        <v>0</v>
      </c>
      <c r="AO47" s="297">
        <f>IF($B47=0,"",SUMIFS(INPUT_DATA!AN:AN,INPUT_DATA!$A:$A,$B47,INPUT_DATA!$C:$C,"S"))</f>
        <v>0</v>
      </c>
      <c r="AP47" s="297">
        <f>IF($B47=0,"",SUMIFS(INPUT_DATA!AO:AO,INPUT_DATA!$A:$A,$B47,INPUT_DATA!$C:$C,"S"))</f>
        <v>0</v>
      </c>
      <c r="AQ47" s="297">
        <f>IF($B47=0,"",SUMIFS(INPUT_DATA!AP:AP,INPUT_DATA!$A:$A,$B47,INPUT_DATA!$C:$C,"S"))</f>
        <v>0</v>
      </c>
      <c r="AR47" s="297">
        <f>IF($B47=0,"",SUMIFS(INPUT_DATA!AQ:AQ,INPUT_DATA!$A:$A,$B47,INPUT_DATA!$C:$C,"S"))</f>
        <v>0</v>
      </c>
      <c r="AS47" s="297">
        <f>IF($B47=0,"",SUMIFS(INPUT_DATA!AR:AR,INPUT_DATA!$A:$A,$B47,INPUT_DATA!$C:$C,"S"))</f>
        <v>0</v>
      </c>
      <c r="AT47" s="713">
        <f t="shared" si="11"/>
        <v>92529.64</v>
      </c>
      <c r="AU47" s="714">
        <f t="shared" si="12"/>
        <v>10202.249999999998</v>
      </c>
      <c r="AV47" s="715">
        <f t="shared" si="13"/>
        <v>0</v>
      </c>
      <c r="AW47" s="713">
        <f>IF($B47=0,"",SUMIFS(INPUT_DATA!AS:AS,INPUT_DATA!$A:$A,$B47,INPUT_DATA!$C:$C,"S"))</f>
        <v>92529.64</v>
      </c>
      <c r="AX47" s="714">
        <f>IF($B47=0,"",SUMIFS(INPUT_DATA!AT:AT,INPUT_DATA!$A:$A,$B47,INPUT_DATA!$C:$C,"S"))</f>
        <v>10202.25</v>
      </c>
      <c r="AY47" s="715">
        <f>IF($B47=0,"",SUMIFS(INPUT_DATA!AU:AU,INPUT_DATA!$A:$A,$B47,INPUT_DATA!$C:$C,"S"))</f>
        <v>0</v>
      </c>
      <c r="AZ47" s="713">
        <f t="shared" si="6"/>
        <v>0</v>
      </c>
      <c r="BA47" s="714">
        <f t="shared" si="7"/>
        <v>-1.8189894035458565E-12</v>
      </c>
      <c r="BB47" s="715">
        <f t="shared" si="8"/>
        <v>0</v>
      </c>
      <c r="BC47" s="150"/>
      <c r="BD47" s="702">
        <f>IF($B47=0,"",SUMIFS(INPUT_DATA!D:D,INPUT_DATA!$A:$A,$B47,INPUT_DATA!$C:$C,"D"))</f>
        <v>0</v>
      </c>
      <c r="BE47" s="296">
        <f>IF($B47=0,"",SUMIFS(INPUT_DATA!G:G,INPUT_DATA!$A:$A,$B47,INPUT_DATA!$C:$C,"D"))</f>
        <v>0</v>
      </c>
      <c r="BF47" s="296">
        <f>IF($B47=0,"",SUMIFS(INPUT_DATA!H:H,INPUT_DATA!$A:$A,$B47,INPUT_DATA!$C:$C,"D"))</f>
        <v>0</v>
      </c>
      <c r="BG47" s="296">
        <f>IF($B47=0,"",SUMIFS(INPUT_DATA!I:I,INPUT_DATA!$A:$A,$B47,INPUT_DATA!$C:$C,"D"))</f>
        <v>0</v>
      </c>
      <c r="BH47" s="296">
        <f>IF($B47=0,"",SUMIFS(INPUT_DATA!J:J,INPUT_DATA!$A:$A,$B47,INPUT_DATA!$C:$C,"D"))</f>
        <v>0</v>
      </c>
      <c r="BI47" s="296">
        <f>IF($B47=0,"",SUMIFS(INPUT_DATA!K:K,INPUT_DATA!$A:$A,$B47,INPUT_DATA!$C:$C,"D"))</f>
        <v>0</v>
      </c>
      <c r="BJ47" s="296">
        <f>IF($B47=0,"",SUMIFS(INPUT_DATA!L:L,INPUT_DATA!$A:$A,$B47,INPUT_DATA!$C:$C,"D"))</f>
        <v>0</v>
      </c>
      <c r="BK47" s="296">
        <f>IF($B47=0,"",SUMIFS(INPUT_DATA!M:M,INPUT_DATA!$A:$A,$B47,INPUT_DATA!$C:$C,"D"))</f>
        <v>0</v>
      </c>
      <c r="BL47" s="296">
        <f>IF($B47=0,"",SUMIFS(INPUT_DATA!N:N,INPUT_DATA!$A:$A,$B47,INPUT_DATA!$C:$C,"D"))</f>
        <v>0</v>
      </c>
      <c r="BM47" s="296">
        <f>IF($B47=0,"",SUMIFS(INPUT_DATA!O:O,INPUT_DATA!$A:$A,$B47,INPUT_DATA!$C:$C,"D"))</f>
        <v>0</v>
      </c>
      <c r="BN47" s="296">
        <f>IF($B47=0,"",SUMIFS(INPUT_DATA!P:P,INPUT_DATA!$A:$A,$B47,INPUT_DATA!$C:$C,"D"))</f>
        <v>0</v>
      </c>
      <c r="BO47" s="718">
        <f t="shared" si="9"/>
        <v>0</v>
      </c>
      <c r="BP47" s="990">
        <f>IF($B47=0,"",SUMIFS(INPUT_DATA!Q:Q,INPUT_DATA!$A:$A,$B47,INPUT_DATA!$C:$C,"D"))</f>
        <v>0</v>
      </c>
      <c r="BQ47" s="718">
        <f t="shared" si="10"/>
        <v>0</v>
      </c>
      <c r="BR47" s="702">
        <f>IF($B47=0,"",SUMIFS(INPUT_DATA!R:R,INPUT_DATA!$A:$A,$B47,INPUT_DATA!$C:$C,"D"))</f>
        <v>0</v>
      </c>
      <c r="BS47" s="724">
        <f>IF($B47=0,"",SUMIFS(INPUT_DATA!S:S,INPUT_DATA!$A:$A,$B47,INPUT_DATA!$C:$C,"D"))</f>
        <v>0</v>
      </c>
      <c r="BT47" s="724">
        <f>IF($B47=0,"",SUMIFS(INPUT_DATA!T:T,INPUT_DATA!$A:$A,$B47,INPUT_DATA!$C:$C,"D"))</f>
        <v>0</v>
      </c>
      <c r="BU47" s="296">
        <f>IF($B47=0,"",SUMIFS(INPUT_DATA!U:U,INPUT_DATA!$A:$A,$B47,INPUT_DATA!$C:$C,"D"))</f>
        <v>0</v>
      </c>
      <c r="BV47" s="296">
        <f>IF($B47=0,"",SUMIFS(INPUT_DATA!V:V,INPUT_DATA!$A:$A,$B47,INPUT_DATA!$C:$C,"D"))</f>
        <v>0</v>
      </c>
      <c r="BW47" s="296">
        <f>IF($B47=0,"",SUMIFS(INPUT_DATA!W:W,INPUT_DATA!$A:$A,$B47,INPUT_DATA!$C:$C,"D"))</f>
        <v>0</v>
      </c>
      <c r="BX47" s="296">
        <f>IF($B47=0,"",SUMIFS(INPUT_DATA!X:X,INPUT_DATA!$A:$A,$B47,INPUT_DATA!$C:$C,"D"))</f>
        <v>0</v>
      </c>
      <c r="BY47" s="296">
        <f>IF($B47=0,"",SUMIFS(INPUT_DATA!Y:Y,INPUT_DATA!$A:$A,$B47,INPUT_DATA!$C:$C,"D"))</f>
        <v>0</v>
      </c>
      <c r="BZ47" s="296">
        <f>IF($B47=0,"",SUMIFS(INPUT_DATA!Z:Z,INPUT_DATA!$A:$A,$B47,INPUT_DATA!$C:$C,"D"))</f>
        <v>0</v>
      </c>
      <c r="CA47" s="336">
        <f>IF($B47=0,"",SUMIFS(INPUT_DATA!AA:AA,INPUT_DATA!$A:$A,$B47,INPUT_DATA!$C:$C,"D"))</f>
        <v>0</v>
      </c>
      <c r="CB47" s="336">
        <f>IF($B47=0,"",SUMIFS(INPUT_DATA!AB:AB,INPUT_DATA!$A:$A,$B47,INPUT_DATA!$C:$C,"D"))</f>
        <v>0</v>
      </c>
      <c r="CC47" s="336">
        <f>IF($B47=0,"",SUMIFS(INPUT_DATA!AC:AC,INPUT_DATA!$A:$A,$B47,INPUT_DATA!$C:$C,"D"))</f>
        <v>0</v>
      </c>
      <c r="CD47" s="296">
        <f>IF($B47=0,"",SUMIFS(INPUT_DATA!AD:AD,INPUT_DATA!$A:$A,$B47,INPUT_DATA!$C:$C,"D"))</f>
        <v>0</v>
      </c>
      <c r="CE47" s="296">
        <f>IF($B47=0,"",SUMIFS(INPUT_DATA!AE:AE,INPUT_DATA!$A:$A,$B47,INPUT_DATA!$C:$C,"D"))</f>
        <v>0</v>
      </c>
      <c r="CF47" s="296">
        <f>IF($B47=0,"",SUMIFS(INPUT_DATA!AF:AF,INPUT_DATA!$A:$A,$B47,INPUT_DATA!$C:$C,"D"))</f>
        <v>0</v>
      </c>
      <c r="CG47" s="336">
        <f>IF($B47=0,"",SUMIFS(INPUT_DATA!AG:AG,INPUT_DATA!$A:$A,$B47,INPUT_DATA!$C:$C,"D"))</f>
        <v>0</v>
      </c>
      <c r="CH47" s="336">
        <f>IF($B47=0,"",SUMIFS(INPUT_DATA!AH:AH,INPUT_DATA!$A:$A,$B47,INPUT_DATA!$C:$C,"D"))</f>
        <v>0</v>
      </c>
      <c r="CI47" s="336">
        <f>IF($B47=0,"",SUMIFS(INPUT_DATA!AI:AI,INPUT_DATA!$A:$A,$B47,INPUT_DATA!$C:$C,"D"))</f>
        <v>0</v>
      </c>
      <c r="CJ47" s="153">
        <f>IF($B47=0,"",SUMIFS(INPUT_DATA!AJ:AJ,INPUT_DATA!$A:$A,$B47,INPUT_DATA!$C:$C,"D"))</f>
        <v>0</v>
      </c>
      <c r="CK47" s="153">
        <f>IF($B47=0,"",SUMIFS(INPUT_DATA!AK:AK,INPUT_DATA!$A:$A,$B47,INPUT_DATA!$C:$C,"D"))</f>
        <v>0</v>
      </c>
      <c r="CL47" s="153">
        <f>IF($B47=0,"",SUMIFS(INPUT_DATA!AL:AL,INPUT_DATA!$A:$A,$B47,INPUT_DATA!$C:$C,"D"))</f>
        <v>0</v>
      </c>
      <c r="CM47" s="153">
        <f>IF($B47=0,"",SUMIFS(INPUT_DATA!AM:AM,INPUT_DATA!$A:$A,$B47,INPUT_DATA!$C:$C,"D"))</f>
        <v>0</v>
      </c>
      <c r="CN47" s="153">
        <f>IF($B47=0,"",SUMIFS(INPUT_DATA!AN:AN,INPUT_DATA!$A:$A,$B47,INPUT_DATA!$C:$C,"D"))</f>
        <v>0</v>
      </c>
      <c r="CO47" s="153">
        <f>IF($B47=0,"",SUMIFS(INPUT_DATA!AO:AO,INPUT_DATA!$A:$A,$B47,INPUT_DATA!$C:$C,"D"))</f>
        <v>0</v>
      </c>
      <c r="CP47" s="153">
        <f>IF($B47=0,"",SUMIFS(INPUT_DATA!AP:AP,INPUT_DATA!$A:$A,$B47,INPUT_DATA!$C:$C,"D"))</f>
        <v>0</v>
      </c>
      <c r="CQ47" s="153">
        <f>IF($B47=0,"",SUMIFS(INPUT_DATA!AQ:AQ,INPUT_DATA!$A:$A,$B47,INPUT_DATA!$C:$C,"D"))</f>
        <v>0</v>
      </c>
      <c r="CR47" s="153">
        <f>IF($B47=0,"",SUMIFS(INPUT_DATA!AR:AR,INPUT_DATA!$A:$A,$B47,INPUT_DATA!$C:$C,"D"))</f>
        <v>0</v>
      </c>
      <c r="CS47" s="714">
        <f t="shared" si="14"/>
        <v>0</v>
      </c>
      <c r="CT47" s="714">
        <f t="shared" si="15"/>
        <v>0</v>
      </c>
      <c r="CU47" s="714">
        <f t="shared" si="16"/>
        <v>0</v>
      </c>
      <c r="CV47" s="703">
        <f>IF($B47=0,"",SUMIFS(INPUT_DATA!AS:AS,INPUT_DATA!$A:$A,$B47,INPUT_DATA!$C:$C,"D"))</f>
        <v>0</v>
      </c>
      <c r="CW47" s="703">
        <f>IF($B47=0,"",SUMIFS(INPUT_DATA!AT:AT,INPUT_DATA!$A:$A,$B47,INPUT_DATA!$C:$C,"D"))</f>
        <v>0</v>
      </c>
      <c r="CX47" s="703">
        <f>IF($B47=0,"",SUMIFS(INPUT_DATA!AU:AU,INPUT_DATA!$A:$A,$B47,INPUT_DATA!$C:$C,"D"))</f>
        <v>0</v>
      </c>
      <c r="CY47" s="703">
        <f t="shared" si="17"/>
        <v>0</v>
      </c>
      <c r="CZ47" s="714">
        <f t="shared" si="18"/>
        <v>0</v>
      </c>
      <c r="DA47" s="725">
        <f t="shared" si="19"/>
        <v>0</v>
      </c>
      <c r="DB47" s="150"/>
    </row>
    <row r="48" spans="1:106">
      <c r="A48" s="172">
        <f t="shared" ref="A48:A87" si="21">A47-1</f>
        <v>-1</v>
      </c>
      <c r="B48" s="697">
        <f>INPUT_DATA!BR35</f>
        <v>45260</v>
      </c>
      <c r="C48" s="702">
        <f>IF($B48=0,"",SUMIFS(INPUT_DATA!D:D,INPUT_DATA!$A:$A,$B48,INPUT_DATA!$C:$C,"S"))</f>
        <v>751085014.37</v>
      </c>
      <c r="D48" s="703">
        <f>IF($B48=0,"",SUMIFS(INPUT_DATA!E:E,INPUT_DATA!$A:$A,$B48,INPUT_DATA!$C:$C,"S"))</f>
        <v>0</v>
      </c>
      <c r="E48" s="703">
        <f>IF($B48=0,"",SUMIFS(INPUT_DATA!F:F,INPUT_DATA!$A:$A,$B48,INPUT_DATA!$C:$C,"S"))</f>
        <v>0</v>
      </c>
      <c r="F48" s="704">
        <f>IF($B48=0,"",SUMIFS(INPUT_DATA!G:G,INPUT_DATA!$A:$A,$B48,INPUT_DATA!$C:$C,"S"))</f>
        <v>4999969.28</v>
      </c>
      <c r="G48" s="704">
        <f>IF($B48=0,"",SUMIFS(INPUT_DATA!H:H,INPUT_DATA!$A:$A,$B48,INPUT_DATA!$C:$C,"S"))</f>
        <v>1285255.6299999999</v>
      </c>
      <c r="H48" s="704">
        <f>IF($B48=0,"",SUMIFS(INPUT_DATA!I:I,INPUT_DATA!$A:$A,$B48,INPUT_DATA!$C:$C,"S"))</f>
        <v>0</v>
      </c>
      <c r="I48" s="704">
        <f>IF($B48=0,"",SUMIFS(INPUT_DATA!J:J,INPUT_DATA!$A:$A,$B48,INPUT_DATA!$C:$C,"S"))</f>
        <v>0</v>
      </c>
      <c r="J48" s="704">
        <f>IF($B48=0,"",SUMIFS(INPUT_DATA!K:K,INPUT_DATA!$A:$A,$B48,INPUT_DATA!$C:$C,"S"))</f>
        <v>0</v>
      </c>
      <c r="K48" s="704">
        <f>IF($B48=0,"",SUMIFS(INPUT_DATA!L:L,INPUT_DATA!$A:$A,$B48,INPUT_DATA!$C:$C,"S"))</f>
        <v>0</v>
      </c>
      <c r="L48" s="704">
        <f>IF($B48=0,"",SUMIFS(INPUT_DATA!M:M,INPUT_DATA!$A:$A,$B48,INPUT_DATA!$C:$C,"S"))</f>
        <v>0</v>
      </c>
      <c r="M48" s="704">
        <f>IF($B48=0,"",SUMIFS(INPUT_DATA!N:N,INPUT_DATA!$A:$A,$B48,INPUT_DATA!$C:$C,"S"))</f>
        <v>0</v>
      </c>
      <c r="N48" s="704">
        <f>IF($B48=0,"",SUMIFS(INPUT_DATA!O:O,INPUT_DATA!$A:$A,$B48,INPUT_DATA!$C:$C,"S"))</f>
        <v>0</v>
      </c>
      <c r="O48" s="704">
        <f>IF($B48=0,"",SUMIFS(INPUT_DATA!P:P,INPUT_DATA!$A:$A,$B48,INPUT_DATA!$C:$C,"S"))</f>
        <v>0</v>
      </c>
      <c r="P48" s="705">
        <f t="shared" si="5"/>
        <v>744799789.46000004</v>
      </c>
      <c r="Q48" s="706">
        <f>IF($B48=0,"",SUMIFS(INPUT_DATA!Q:Q,INPUT_DATA!$A:$A,$B48,INPUT_DATA!$C:$C,"S"))</f>
        <v>744799789.46000004</v>
      </c>
      <c r="R48" s="706">
        <f t="shared" si="20"/>
        <v>0</v>
      </c>
      <c r="S48" s="712">
        <f>IF($B48=0,"",SUMIFS(INPUT_DATA!R:R,INPUT_DATA!$A:$A,$B48,INPUT_DATA!$C:$C,"S"))</f>
        <v>0</v>
      </c>
      <c r="T48" s="712">
        <f>IF($B48=0,"",SUMIFS(INPUT_DATA!S:S,INPUT_DATA!$A:$A,$B48,INPUT_DATA!$C:$C,"S"))</f>
        <v>0</v>
      </c>
      <c r="U48" s="712">
        <f>IF($B48=0,"",SUMIFS(INPUT_DATA!T:T,INPUT_DATA!$A:$A,$B48,INPUT_DATA!$C:$C,"S"))</f>
        <v>0</v>
      </c>
      <c r="V48" s="297">
        <f>IF($B48=0,"",SUMIFS(INPUT_DATA!U:U,INPUT_DATA!$A:$A,$B48,INPUT_DATA!$C:$C,"S"))</f>
        <v>66580.289999999994</v>
      </c>
      <c r="W48" s="297">
        <f>IF($B48=0,"",SUMIFS(INPUT_DATA!V:V,INPUT_DATA!$A:$A,$B48,INPUT_DATA!$C:$C,"S"))</f>
        <v>8602.0499999999993</v>
      </c>
      <c r="X48" s="297">
        <f>IF($B48=0,"",SUMIFS(INPUT_DATA!W:W,INPUT_DATA!$A:$A,$B48,INPUT_DATA!$C:$C,"S"))</f>
        <v>0</v>
      </c>
      <c r="Y48" s="297">
        <f>IF($B48=0,"",SUMIFS(INPUT_DATA!X:X,INPUT_DATA!$A:$A,$B48,INPUT_DATA!$C:$C,"S"))</f>
        <v>0</v>
      </c>
      <c r="Z48" s="297">
        <f>IF($B48=0,"",SUMIFS(INPUT_DATA!Y:Y,INPUT_DATA!$A:$A,$B48,INPUT_DATA!$C:$C,"S"))</f>
        <v>0</v>
      </c>
      <c r="AA48" s="297">
        <f>IF($B48=0,"",SUMIFS(INPUT_DATA!Z:Z,INPUT_DATA!$A:$A,$B48,INPUT_DATA!$C:$C,"S"))</f>
        <v>0</v>
      </c>
      <c r="AB48" s="297">
        <f>IF($B48=0,"",SUMIFS(INPUT_DATA!AA:AA,INPUT_DATA!$A:$A,$B48,INPUT_DATA!$C:$C,"S"))</f>
        <v>0</v>
      </c>
      <c r="AC48" s="297">
        <f>IF($B48=0,"",SUMIFS(INPUT_DATA!AB:AB,INPUT_DATA!$A:$A,$B48,INPUT_DATA!$C:$C,"S"))</f>
        <v>0</v>
      </c>
      <c r="AD48" s="297">
        <f>IF($B48=0,"",SUMIFS(INPUT_DATA!AC:AC,INPUT_DATA!$A:$A,$B48,INPUT_DATA!$C:$C,"S"))</f>
        <v>0</v>
      </c>
      <c r="AE48" s="297">
        <f>IF($B48=0,"",SUMIFS(INPUT_DATA!AD:AD,INPUT_DATA!$A:$A,$B48,INPUT_DATA!$C:$C,"S"))</f>
        <v>0</v>
      </c>
      <c r="AF48" s="297">
        <f>IF($B48=0,"",SUMIFS(INPUT_DATA!AE:AE,INPUT_DATA!$A:$A,$B48,INPUT_DATA!$C:$C,"S"))</f>
        <v>0</v>
      </c>
      <c r="AG48" s="297">
        <f>IF($B48=0,"",SUMIFS(INPUT_DATA!AF:AF,INPUT_DATA!$A:$A,$B48,INPUT_DATA!$C:$C,"S"))</f>
        <v>0</v>
      </c>
      <c r="AH48" s="297">
        <f>IF($B48=0,"",SUMIFS(INPUT_DATA!AG:AG,INPUT_DATA!$A:$A,$B48,INPUT_DATA!$C:$C,"S"))</f>
        <v>0</v>
      </c>
      <c r="AI48" s="297">
        <f>IF($B48=0,"",SUMIFS(INPUT_DATA!AH:AH,INPUT_DATA!$A:$A,$B48,INPUT_DATA!$C:$C,"S"))</f>
        <v>0</v>
      </c>
      <c r="AJ48" s="297">
        <f>IF($B48=0,"",SUMIFS(INPUT_DATA!AI:AI,INPUT_DATA!$A:$A,$B48,INPUT_DATA!$C:$C,"S"))</f>
        <v>0</v>
      </c>
      <c r="AK48" s="297">
        <f>IF($B48=0,"",SUMIFS(INPUT_DATA!AJ:AJ,INPUT_DATA!$A:$A,$B48,INPUT_DATA!$C:$C,"S"))</f>
        <v>0</v>
      </c>
      <c r="AL48" s="297">
        <f>IF($B48=0,"",SUMIFS(INPUT_DATA!AK:AK,INPUT_DATA!$A:$A,$B48,INPUT_DATA!$C:$C,"S"))</f>
        <v>0</v>
      </c>
      <c r="AM48" s="297">
        <f>IF($B48=0,"",SUMIFS(INPUT_DATA!AL:AL,INPUT_DATA!$A:$A,$B48,INPUT_DATA!$C:$C,"S"))</f>
        <v>0</v>
      </c>
      <c r="AN48" s="297">
        <f>IF($B48=0,"",SUMIFS(INPUT_DATA!AM:AM,INPUT_DATA!$A:$A,$B48,INPUT_DATA!$C:$C,"S"))</f>
        <v>0</v>
      </c>
      <c r="AO48" s="297">
        <f>IF($B48=0,"",SUMIFS(INPUT_DATA!AN:AN,INPUT_DATA!$A:$A,$B48,INPUT_DATA!$C:$C,"S"))</f>
        <v>0</v>
      </c>
      <c r="AP48" s="297">
        <f>IF($B48=0,"",SUMIFS(INPUT_DATA!AO:AO,INPUT_DATA!$A:$A,$B48,INPUT_DATA!$C:$C,"S"))</f>
        <v>0</v>
      </c>
      <c r="AQ48" s="297">
        <f>IF($B48=0,"",SUMIFS(INPUT_DATA!AP:AP,INPUT_DATA!$A:$A,$B48,INPUT_DATA!$C:$C,"S"))</f>
        <v>0</v>
      </c>
      <c r="AR48" s="297">
        <f>IF($B48=0,"",SUMIFS(INPUT_DATA!AQ:AQ,INPUT_DATA!$A:$A,$B48,INPUT_DATA!$C:$C,"S"))</f>
        <v>0</v>
      </c>
      <c r="AS48" s="297">
        <f>IF($B48=0,"",SUMIFS(INPUT_DATA!AR:AR,INPUT_DATA!$A:$A,$B48,INPUT_DATA!$C:$C,"S"))</f>
        <v>0</v>
      </c>
      <c r="AT48" s="713">
        <f t="shared" si="11"/>
        <v>66580.289999999994</v>
      </c>
      <c r="AU48" s="714">
        <f t="shared" si="12"/>
        <v>8602.0499999999993</v>
      </c>
      <c r="AV48" s="715">
        <f t="shared" si="13"/>
        <v>0</v>
      </c>
      <c r="AW48" s="713">
        <f>IF($B48=0,"",SUMIFS(INPUT_DATA!AS:AS,INPUT_DATA!$A:$A,$B48,INPUT_DATA!$C:$C,"S"))</f>
        <v>66580.289999999994</v>
      </c>
      <c r="AX48" s="714">
        <f>IF($B48=0,"",SUMIFS(INPUT_DATA!AT:AT,INPUT_DATA!$A:$A,$B48,INPUT_DATA!$C:$C,"S"))</f>
        <v>8602.0499999999993</v>
      </c>
      <c r="AY48" s="715">
        <f>IF($B48=0,"",SUMIFS(INPUT_DATA!AU:AU,INPUT_DATA!$A:$A,$B48,INPUT_DATA!$C:$C,"S"))</f>
        <v>0</v>
      </c>
      <c r="AZ48" s="713">
        <f t="shared" si="6"/>
        <v>0</v>
      </c>
      <c r="BA48" s="714">
        <f t="shared" si="7"/>
        <v>0</v>
      </c>
      <c r="BB48" s="715">
        <f t="shared" si="8"/>
        <v>0</v>
      </c>
      <c r="BC48" s="150"/>
      <c r="BD48" s="702">
        <f>IF($B48=0,"",SUMIFS(INPUT_DATA!D:D,INPUT_DATA!$A:$A,$B48,INPUT_DATA!$C:$C,"D"))</f>
        <v>0</v>
      </c>
      <c r="BE48" s="296">
        <f>IF($B48=0,"",SUMIFS(INPUT_DATA!G:G,INPUT_DATA!$A:$A,$B48,INPUT_DATA!$C:$C,"D"))</f>
        <v>0</v>
      </c>
      <c r="BF48" s="296">
        <f>IF($B48=0,"",SUMIFS(INPUT_DATA!H:H,INPUT_DATA!$A:$A,$B48,INPUT_DATA!$C:$C,"D"))</f>
        <v>0</v>
      </c>
      <c r="BG48" s="296">
        <f>IF($B48=0,"",SUMIFS(INPUT_DATA!I:I,INPUT_DATA!$A:$A,$B48,INPUT_DATA!$C:$C,"D"))</f>
        <v>0</v>
      </c>
      <c r="BH48" s="296">
        <f>IF($B48=0,"",SUMIFS(INPUT_DATA!J:J,INPUT_DATA!$A:$A,$B48,INPUT_DATA!$C:$C,"D"))</f>
        <v>0</v>
      </c>
      <c r="BI48" s="296">
        <f>IF($B48=0,"",SUMIFS(INPUT_DATA!K:K,INPUT_DATA!$A:$A,$B48,INPUT_DATA!$C:$C,"D"))</f>
        <v>0</v>
      </c>
      <c r="BJ48" s="296">
        <f>IF($B48=0,"",SUMIFS(INPUT_DATA!L:L,INPUT_DATA!$A:$A,$B48,INPUT_DATA!$C:$C,"D"))</f>
        <v>0</v>
      </c>
      <c r="BK48" s="296">
        <f>IF($B48=0,"",SUMIFS(INPUT_DATA!M:M,INPUT_DATA!$A:$A,$B48,INPUT_DATA!$C:$C,"D"))</f>
        <v>0</v>
      </c>
      <c r="BL48" s="296">
        <f>IF($B48=0,"",SUMIFS(INPUT_DATA!N:N,INPUT_DATA!$A:$A,$B48,INPUT_DATA!$C:$C,"D"))</f>
        <v>0</v>
      </c>
      <c r="BM48" s="296">
        <f>IF($B48=0,"",SUMIFS(INPUT_DATA!O:O,INPUT_DATA!$A:$A,$B48,INPUT_DATA!$C:$C,"D"))</f>
        <v>0</v>
      </c>
      <c r="BN48" s="296">
        <f>IF($B48=0,"",SUMIFS(INPUT_DATA!P:P,INPUT_DATA!$A:$A,$B48,INPUT_DATA!$C:$C,"D"))</f>
        <v>0</v>
      </c>
      <c r="BO48" s="718">
        <f t="shared" si="9"/>
        <v>0</v>
      </c>
      <c r="BP48" s="990">
        <f>IF($B48=0,"",SUMIFS(INPUT_DATA!Q:Q,INPUT_DATA!$A:$A,$B48,INPUT_DATA!$C:$C,"D"))</f>
        <v>0</v>
      </c>
      <c r="BQ48" s="718">
        <f t="shared" si="10"/>
        <v>0</v>
      </c>
      <c r="BR48" s="702">
        <f>IF($B48=0,"",SUMIFS(INPUT_DATA!R:R,INPUT_DATA!$A:$A,$B48,INPUT_DATA!$C:$C,"D"))</f>
        <v>0</v>
      </c>
      <c r="BS48" s="724">
        <f>IF($B48=0,"",SUMIFS(INPUT_DATA!S:S,INPUT_DATA!$A:$A,$B48,INPUT_DATA!$C:$C,"D"))</f>
        <v>0</v>
      </c>
      <c r="BT48" s="724">
        <f>IF($B48=0,"",SUMIFS(INPUT_DATA!T:T,INPUT_DATA!$A:$A,$B48,INPUT_DATA!$C:$C,"D"))</f>
        <v>0</v>
      </c>
      <c r="BU48" s="296">
        <f>IF($B48=0,"",SUMIFS(INPUT_DATA!U:U,INPUT_DATA!$A:$A,$B48,INPUT_DATA!$C:$C,"D"))</f>
        <v>0</v>
      </c>
      <c r="BV48" s="296">
        <f>IF($B48=0,"",SUMIFS(INPUT_DATA!V:V,INPUT_DATA!$A:$A,$B48,INPUT_DATA!$C:$C,"D"))</f>
        <v>0</v>
      </c>
      <c r="BW48" s="296">
        <f>IF($B48=0,"",SUMIFS(INPUT_DATA!W:W,INPUT_DATA!$A:$A,$B48,INPUT_DATA!$C:$C,"D"))</f>
        <v>0</v>
      </c>
      <c r="BX48" s="296">
        <f>IF($B48=0,"",SUMIFS(INPUT_DATA!X:X,INPUT_DATA!$A:$A,$B48,INPUT_DATA!$C:$C,"D"))</f>
        <v>0</v>
      </c>
      <c r="BY48" s="296">
        <f>IF($B48=0,"",SUMIFS(INPUT_DATA!Y:Y,INPUT_DATA!$A:$A,$B48,INPUT_DATA!$C:$C,"D"))</f>
        <v>0</v>
      </c>
      <c r="BZ48" s="296">
        <f>IF($B48=0,"",SUMIFS(INPUT_DATA!Z:Z,INPUT_DATA!$A:$A,$B48,INPUT_DATA!$C:$C,"D"))</f>
        <v>0</v>
      </c>
      <c r="CA48" s="336">
        <f>IF($B48=0,"",SUMIFS(INPUT_DATA!AA:AA,INPUT_DATA!$A:$A,$B48,INPUT_DATA!$C:$C,"D"))</f>
        <v>0</v>
      </c>
      <c r="CB48" s="336">
        <f>IF($B48=0,"",SUMIFS(INPUT_DATA!AB:AB,INPUT_DATA!$A:$A,$B48,INPUT_DATA!$C:$C,"D"))</f>
        <v>0</v>
      </c>
      <c r="CC48" s="336">
        <f>IF($B48=0,"",SUMIFS(INPUT_DATA!AC:AC,INPUT_DATA!$A:$A,$B48,INPUT_DATA!$C:$C,"D"))</f>
        <v>0</v>
      </c>
      <c r="CD48" s="296">
        <f>IF($B48=0,"",SUMIFS(INPUT_DATA!AD:AD,INPUT_DATA!$A:$A,$B48,INPUT_DATA!$C:$C,"D"))</f>
        <v>0</v>
      </c>
      <c r="CE48" s="296">
        <f>IF($B48=0,"",SUMIFS(INPUT_DATA!AE:AE,INPUT_DATA!$A:$A,$B48,INPUT_DATA!$C:$C,"D"))</f>
        <v>0</v>
      </c>
      <c r="CF48" s="296">
        <f>IF($B48=0,"",SUMIFS(INPUT_DATA!AF:AF,INPUT_DATA!$A:$A,$B48,INPUT_DATA!$C:$C,"D"))</f>
        <v>0</v>
      </c>
      <c r="CG48" s="336">
        <f>IF($B48=0,"",SUMIFS(INPUT_DATA!AG:AG,INPUT_DATA!$A:$A,$B48,INPUT_DATA!$C:$C,"D"))</f>
        <v>0</v>
      </c>
      <c r="CH48" s="336">
        <f>IF($B48=0,"",SUMIFS(INPUT_DATA!AH:AH,INPUT_DATA!$A:$A,$B48,INPUT_DATA!$C:$C,"D"))</f>
        <v>0</v>
      </c>
      <c r="CI48" s="336">
        <f>IF($B48=0,"",SUMIFS(INPUT_DATA!AI:AI,INPUT_DATA!$A:$A,$B48,INPUT_DATA!$C:$C,"D"))</f>
        <v>0</v>
      </c>
      <c r="CJ48" s="153">
        <f>IF($B48=0,"",SUMIFS(INPUT_DATA!AJ:AJ,INPUT_DATA!$A:$A,$B48,INPUT_DATA!$C:$C,"D"))</f>
        <v>0</v>
      </c>
      <c r="CK48" s="153">
        <f>IF($B48=0,"",SUMIFS(INPUT_DATA!AK:AK,INPUT_DATA!$A:$A,$B48,INPUT_DATA!$C:$C,"D"))</f>
        <v>0</v>
      </c>
      <c r="CL48" s="153">
        <f>IF($B48=0,"",SUMIFS(INPUT_DATA!AL:AL,INPUT_DATA!$A:$A,$B48,INPUT_DATA!$C:$C,"D"))</f>
        <v>0</v>
      </c>
      <c r="CM48" s="153">
        <f>IF($B48=0,"",SUMIFS(INPUT_DATA!AM:AM,INPUT_DATA!$A:$A,$B48,INPUT_DATA!$C:$C,"D"))</f>
        <v>0</v>
      </c>
      <c r="CN48" s="153">
        <f>IF($B48=0,"",SUMIFS(INPUT_DATA!AN:AN,INPUT_DATA!$A:$A,$B48,INPUT_DATA!$C:$C,"D"))</f>
        <v>0</v>
      </c>
      <c r="CO48" s="153">
        <f>IF($B48=0,"",SUMIFS(INPUT_DATA!AO:AO,INPUT_DATA!$A:$A,$B48,INPUT_DATA!$C:$C,"D"))</f>
        <v>0</v>
      </c>
      <c r="CP48" s="153">
        <f>IF($B48=0,"",SUMIFS(INPUT_DATA!AP:AP,INPUT_DATA!$A:$A,$B48,INPUT_DATA!$C:$C,"D"))</f>
        <v>0</v>
      </c>
      <c r="CQ48" s="153">
        <f>IF($B48=0,"",SUMIFS(INPUT_DATA!AQ:AQ,INPUT_DATA!$A:$A,$B48,INPUT_DATA!$C:$C,"D"))</f>
        <v>0</v>
      </c>
      <c r="CR48" s="153">
        <f>IF($B48=0,"",SUMIFS(INPUT_DATA!AR:AR,INPUT_DATA!$A:$A,$B48,INPUT_DATA!$C:$C,"D"))</f>
        <v>0</v>
      </c>
      <c r="CS48" s="714">
        <f t="shared" si="14"/>
        <v>0</v>
      </c>
      <c r="CT48" s="714">
        <f t="shared" si="15"/>
        <v>0</v>
      </c>
      <c r="CU48" s="714">
        <f t="shared" si="16"/>
        <v>0</v>
      </c>
      <c r="CV48" s="703">
        <f>IF($B48=0,"",SUMIFS(INPUT_DATA!AS:AS,INPUT_DATA!$A:$A,$B48,INPUT_DATA!$C:$C,"D"))</f>
        <v>0</v>
      </c>
      <c r="CW48" s="703">
        <f>IF($B48=0,"",SUMIFS(INPUT_DATA!AT:AT,INPUT_DATA!$A:$A,$B48,INPUT_DATA!$C:$C,"D"))</f>
        <v>0</v>
      </c>
      <c r="CX48" s="703">
        <f>IF($B48=0,"",SUMIFS(INPUT_DATA!AU:AU,INPUT_DATA!$A:$A,$B48,INPUT_DATA!$C:$C,"D"))</f>
        <v>0</v>
      </c>
      <c r="CY48" s="703">
        <f t="shared" si="17"/>
        <v>0</v>
      </c>
      <c r="CZ48" s="714">
        <f t="shared" si="18"/>
        <v>0</v>
      </c>
      <c r="DA48" s="725">
        <f t="shared" si="19"/>
        <v>0</v>
      </c>
      <c r="DB48" s="150"/>
    </row>
    <row r="49" spans="1:106">
      <c r="A49" s="172">
        <f t="shared" si="21"/>
        <v>-2</v>
      </c>
      <c r="B49" s="697">
        <f>INPUT_DATA!BR36</f>
        <v>45230</v>
      </c>
      <c r="C49" s="702">
        <f>IF($B49=0,"",SUMIFS(INPUT_DATA!D:D,INPUT_DATA!$A:$A,$B49,INPUT_DATA!$C:$C,"S"))</f>
        <v>0</v>
      </c>
      <c r="D49" s="703">
        <f>IF($B49=0,"",SUMIFS(INPUT_DATA!E:E,INPUT_DATA!$A:$A,$B49,INPUT_DATA!$C:$C,"S"))</f>
        <v>751085014.37</v>
      </c>
      <c r="E49" s="703">
        <f>IF($B49=0,"",SUMIFS(INPUT_DATA!F:F,INPUT_DATA!$A:$A,$B49,INPUT_DATA!$C:$C,"S"))</f>
        <v>0</v>
      </c>
      <c r="F49" s="704">
        <f>IF($B49=0,"",SUMIFS(INPUT_DATA!G:G,INPUT_DATA!$A:$A,$B49,INPUT_DATA!$C:$C,"S"))</f>
        <v>0</v>
      </c>
      <c r="G49" s="704">
        <f>IF($B49=0,"",SUMIFS(INPUT_DATA!H:H,INPUT_DATA!$A:$A,$B49,INPUT_DATA!$C:$C,"S"))</f>
        <v>0</v>
      </c>
      <c r="H49" s="704">
        <f>IF($B49=0,"",SUMIFS(INPUT_DATA!I:I,INPUT_DATA!$A:$A,$B49,INPUT_DATA!$C:$C,"S"))</f>
        <v>0</v>
      </c>
      <c r="I49" s="704">
        <f>IF($B49=0,"",SUMIFS(INPUT_DATA!J:J,INPUT_DATA!$A:$A,$B49,INPUT_DATA!$C:$C,"S"))</f>
        <v>0</v>
      </c>
      <c r="J49" s="704">
        <f>IF($B49=0,"",SUMIFS(INPUT_DATA!K:K,INPUT_DATA!$A:$A,$B49,INPUT_DATA!$C:$C,"S"))</f>
        <v>0</v>
      </c>
      <c r="K49" s="704">
        <f>IF($B49=0,"",SUMIFS(INPUT_DATA!L:L,INPUT_DATA!$A:$A,$B49,INPUT_DATA!$C:$C,"S"))</f>
        <v>0</v>
      </c>
      <c r="L49" s="704">
        <f>IF($B49=0,"",SUMIFS(INPUT_DATA!M:M,INPUT_DATA!$A:$A,$B49,INPUT_DATA!$C:$C,"S"))</f>
        <v>0</v>
      </c>
      <c r="M49" s="704">
        <f>IF($B49=0,"",SUMIFS(INPUT_DATA!N:N,INPUT_DATA!$A:$A,$B49,INPUT_DATA!$C:$C,"S"))</f>
        <v>0</v>
      </c>
      <c r="N49" s="704">
        <f>IF($B49=0,"",SUMIFS(INPUT_DATA!O:O,INPUT_DATA!$A:$A,$B49,INPUT_DATA!$C:$C,"S"))</f>
        <v>0</v>
      </c>
      <c r="O49" s="704">
        <f>IF($B49=0,"",SUMIFS(INPUT_DATA!P:P,INPUT_DATA!$A:$A,$B49,INPUT_DATA!$C:$C,"S"))</f>
        <v>0</v>
      </c>
      <c r="P49" s="705">
        <f t="shared" si="5"/>
        <v>751085014.37</v>
      </c>
      <c r="Q49" s="706">
        <f>IF($B49=0,"",SUMIFS(INPUT_DATA!Q:Q,INPUT_DATA!$A:$A,$B49,INPUT_DATA!$C:$C,"S"))</f>
        <v>751085014.37</v>
      </c>
      <c r="R49" s="706">
        <f t="shared" si="20"/>
        <v>0</v>
      </c>
      <c r="S49" s="712">
        <f>IF($B49=0,"",SUMIFS(INPUT_DATA!R:R,INPUT_DATA!$A:$A,$B49,INPUT_DATA!$C:$C,"S"))</f>
        <v>0</v>
      </c>
      <c r="T49" s="712">
        <f>IF($B49=0,"",SUMIFS(INPUT_DATA!S:S,INPUT_DATA!$A:$A,$B49,INPUT_DATA!$C:$C,"S"))</f>
        <v>0</v>
      </c>
      <c r="U49" s="712">
        <f>IF($B49=0,"",SUMIFS(INPUT_DATA!T:T,INPUT_DATA!$A:$A,$B49,INPUT_DATA!$C:$C,"S"))</f>
        <v>0</v>
      </c>
      <c r="V49" s="297">
        <f>IF($B49=0,"",SUMIFS(INPUT_DATA!U:U,INPUT_DATA!$A:$A,$B49,INPUT_DATA!$C:$C,"S"))</f>
        <v>0</v>
      </c>
      <c r="W49" s="297">
        <f>IF($B49=0,"",SUMIFS(INPUT_DATA!V:V,INPUT_DATA!$A:$A,$B49,INPUT_DATA!$C:$C,"S"))</f>
        <v>0</v>
      </c>
      <c r="X49" s="297">
        <f>IF($B49=0,"",SUMIFS(INPUT_DATA!W:W,INPUT_DATA!$A:$A,$B49,INPUT_DATA!$C:$C,"S"))</f>
        <v>0</v>
      </c>
      <c r="Y49" s="297">
        <f>IF($B49=0,"",SUMIFS(INPUT_DATA!X:X,INPUT_DATA!$A:$A,$B49,INPUT_DATA!$C:$C,"S"))</f>
        <v>0</v>
      </c>
      <c r="Z49" s="297">
        <f>IF($B49=0,"",SUMIFS(INPUT_DATA!Y:Y,INPUT_DATA!$A:$A,$B49,INPUT_DATA!$C:$C,"S"))</f>
        <v>0</v>
      </c>
      <c r="AA49" s="297">
        <f>IF($B49=0,"",SUMIFS(INPUT_DATA!Z:Z,INPUT_DATA!$A:$A,$B49,INPUT_DATA!$C:$C,"S"))</f>
        <v>0</v>
      </c>
      <c r="AB49" s="297">
        <f>IF($B49=0,"",SUMIFS(INPUT_DATA!AA:AA,INPUT_DATA!$A:$A,$B49,INPUT_DATA!$C:$C,"S"))</f>
        <v>0</v>
      </c>
      <c r="AC49" s="297">
        <f>IF($B49=0,"",SUMIFS(INPUT_DATA!AB:AB,INPUT_DATA!$A:$A,$B49,INPUT_DATA!$C:$C,"S"))</f>
        <v>0</v>
      </c>
      <c r="AD49" s="297">
        <f>IF($B49=0,"",SUMIFS(INPUT_DATA!AC:AC,INPUT_DATA!$A:$A,$B49,INPUT_DATA!$C:$C,"S"))</f>
        <v>0</v>
      </c>
      <c r="AE49" s="297">
        <f>IF($B49=0,"",SUMIFS(INPUT_DATA!AD:AD,INPUT_DATA!$A:$A,$B49,INPUT_DATA!$C:$C,"S"))</f>
        <v>0</v>
      </c>
      <c r="AF49" s="297">
        <f>IF($B49=0,"",SUMIFS(INPUT_DATA!AE:AE,INPUT_DATA!$A:$A,$B49,INPUT_DATA!$C:$C,"S"))</f>
        <v>0</v>
      </c>
      <c r="AG49" s="297">
        <f>IF($B49=0,"",SUMIFS(INPUT_DATA!AF:AF,INPUT_DATA!$A:$A,$B49,INPUT_DATA!$C:$C,"S"))</f>
        <v>0</v>
      </c>
      <c r="AH49" s="297">
        <f>IF($B49=0,"",SUMIFS(INPUT_DATA!AG:AG,INPUT_DATA!$A:$A,$B49,INPUT_DATA!$C:$C,"S"))</f>
        <v>0</v>
      </c>
      <c r="AI49" s="297">
        <f>IF($B49=0,"",SUMIFS(INPUT_DATA!AH:AH,INPUT_DATA!$A:$A,$B49,INPUT_DATA!$C:$C,"S"))</f>
        <v>0</v>
      </c>
      <c r="AJ49" s="297">
        <f>IF($B49=0,"",SUMIFS(INPUT_DATA!AI:AI,INPUT_DATA!$A:$A,$B49,INPUT_DATA!$C:$C,"S"))</f>
        <v>0</v>
      </c>
      <c r="AK49" s="297">
        <f>IF($B49=0,"",SUMIFS(INPUT_DATA!AJ:AJ,INPUT_DATA!$A:$A,$B49,INPUT_DATA!$C:$C,"S"))</f>
        <v>0</v>
      </c>
      <c r="AL49" s="297">
        <f>IF($B49=0,"",SUMIFS(INPUT_DATA!AK:AK,INPUT_DATA!$A:$A,$B49,INPUT_DATA!$C:$C,"S"))</f>
        <v>0</v>
      </c>
      <c r="AM49" s="297">
        <f>IF($B49=0,"",SUMIFS(INPUT_DATA!AL:AL,INPUT_DATA!$A:$A,$B49,INPUT_DATA!$C:$C,"S"))</f>
        <v>0</v>
      </c>
      <c r="AN49" s="297">
        <f>IF($B49=0,"",SUMIFS(INPUT_DATA!AM:AM,INPUT_DATA!$A:$A,$B49,INPUT_DATA!$C:$C,"S"))</f>
        <v>0</v>
      </c>
      <c r="AO49" s="297">
        <f>IF($B49=0,"",SUMIFS(INPUT_DATA!AN:AN,INPUT_DATA!$A:$A,$B49,INPUT_DATA!$C:$C,"S"))</f>
        <v>0</v>
      </c>
      <c r="AP49" s="297">
        <f>IF($B49=0,"",SUMIFS(INPUT_DATA!AO:AO,INPUT_DATA!$A:$A,$B49,INPUT_DATA!$C:$C,"S"))</f>
        <v>0</v>
      </c>
      <c r="AQ49" s="297">
        <f>IF($B49=0,"",SUMIFS(INPUT_DATA!AP:AP,INPUT_DATA!$A:$A,$B49,INPUT_DATA!$C:$C,"S"))</f>
        <v>0</v>
      </c>
      <c r="AR49" s="297">
        <f>IF($B49=0,"",SUMIFS(INPUT_DATA!AQ:AQ,INPUT_DATA!$A:$A,$B49,INPUT_DATA!$C:$C,"S"))</f>
        <v>0</v>
      </c>
      <c r="AS49" s="297">
        <f>IF($B49=0,"",SUMIFS(INPUT_DATA!AR:AR,INPUT_DATA!$A:$A,$B49,INPUT_DATA!$C:$C,"S"))</f>
        <v>0</v>
      </c>
      <c r="AT49" s="713">
        <f t="shared" si="11"/>
        <v>0</v>
      </c>
      <c r="AU49" s="714">
        <f t="shared" si="12"/>
        <v>0</v>
      </c>
      <c r="AV49" s="715">
        <f t="shared" si="13"/>
        <v>0</v>
      </c>
      <c r="AW49" s="713">
        <f>IF($B49=0,"",SUMIFS(INPUT_DATA!AS:AS,INPUT_DATA!$A:$A,$B49,INPUT_DATA!$C:$C,"S"))</f>
        <v>0</v>
      </c>
      <c r="AX49" s="714">
        <f>IF($B49=0,"",SUMIFS(INPUT_DATA!AT:AT,INPUT_DATA!$A:$A,$B49,INPUT_DATA!$C:$C,"S"))</f>
        <v>0</v>
      </c>
      <c r="AY49" s="715">
        <f>IF($B49=0,"",SUMIFS(INPUT_DATA!AU:AU,INPUT_DATA!$A:$A,$B49,INPUT_DATA!$C:$C,"S"))</f>
        <v>0</v>
      </c>
      <c r="AZ49" s="713">
        <f t="shared" si="6"/>
        <v>0</v>
      </c>
      <c r="BA49" s="714">
        <f t="shared" si="7"/>
        <v>0</v>
      </c>
      <c r="BB49" s="715">
        <f t="shared" si="8"/>
        <v>0</v>
      </c>
      <c r="BC49" s="150"/>
      <c r="BD49" s="702">
        <f>IF($B49=0,"",SUMIFS(INPUT_DATA!D:D,INPUT_DATA!$A:$A,$B49,INPUT_DATA!$C:$C,"D"))</f>
        <v>0</v>
      </c>
      <c r="BE49" s="296">
        <f>IF($B49=0,"",SUMIFS(INPUT_DATA!G:G,INPUT_DATA!$A:$A,$B49,INPUT_DATA!$C:$C,"D"))</f>
        <v>0</v>
      </c>
      <c r="BF49" s="296">
        <f>IF($B49=0,"",SUMIFS(INPUT_DATA!H:H,INPUT_DATA!$A:$A,$B49,INPUT_DATA!$C:$C,"D"))</f>
        <v>0</v>
      </c>
      <c r="BG49" s="296">
        <f>IF($B49=0,"",SUMIFS(INPUT_DATA!I:I,INPUT_DATA!$A:$A,$B49,INPUT_DATA!$C:$C,"D"))</f>
        <v>0</v>
      </c>
      <c r="BH49" s="296">
        <f>IF($B49=0,"",SUMIFS(INPUT_DATA!J:J,INPUT_DATA!$A:$A,$B49,INPUT_DATA!$C:$C,"D"))</f>
        <v>0</v>
      </c>
      <c r="BI49" s="296">
        <f>IF($B49=0,"",SUMIFS(INPUT_DATA!K:K,INPUT_DATA!$A:$A,$B49,INPUT_DATA!$C:$C,"D"))</f>
        <v>0</v>
      </c>
      <c r="BJ49" s="296">
        <f>IF($B49=0,"",SUMIFS(INPUT_DATA!L:L,INPUT_DATA!$A:$A,$B49,INPUT_DATA!$C:$C,"D"))</f>
        <v>0</v>
      </c>
      <c r="BK49" s="296">
        <f>IF($B49=0,"",SUMIFS(INPUT_DATA!M:M,INPUT_DATA!$A:$A,$B49,INPUT_DATA!$C:$C,"D"))</f>
        <v>0</v>
      </c>
      <c r="BL49" s="296">
        <f>IF($B49=0,"",SUMIFS(INPUT_DATA!N:N,INPUT_DATA!$A:$A,$B49,INPUT_DATA!$C:$C,"D"))</f>
        <v>0</v>
      </c>
      <c r="BM49" s="296">
        <f>IF($B49=0,"",SUMIFS(INPUT_DATA!O:O,INPUT_DATA!$A:$A,$B49,INPUT_DATA!$C:$C,"D"))</f>
        <v>0</v>
      </c>
      <c r="BN49" s="296">
        <f>IF($B49=0,"",SUMIFS(INPUT_DATA!P:P,INPUT_DATA!$A:$A,$B49,INPUT_DATA!$C:$C,"D"))</f>
        <v>0</v>
      </c>
      <c r="BO49" s="718">
        <f t="shared" si="9"/>
        <v>0</v>
      </c>
      <c r="BP49" s="990">
        <f>IF($B49=0,"",SUMIFS(INPUT_DATA!Q:Q,INPUT_DATA!$A:$A,$B49,INPUT_DATA!$C:$C,"D"))</f>
        <v>0</v>
      </c>
      <c r="BQ49" s="718">
        <f t="shared" si="10"/>
        <v>0</v>
      </c>
      <c r="BR49" s="702">
        <f>IF($B49=0,"",SUMIFS(INPUT_DATA!R:R,INPUT_DATA!$A:$A,$B49,INPUT_DATA!$C:$C,"D"))</f>
        <v>0</v>
      </c>
      <c r="BS49" s="724">
        <f>IF($B49=0,"",SUMIFS(INPUT_DATA!S:S,INPUT_DATA!$A:$A,$B49,INPUT_DATA!$C:$C,"D"))</f>
        <v>0</v>
      </c>
      <c r="BT49" s="724">
        <f>IF($B49=0,"",SUMIFS(INPUT_DATA!T:T,INPUT_DATA!$A:$A,$B49,INPUT_DATA!$C:$C,"D"))</f>
        <v>0</v>
      </c>
      <c r="BU49" s="296">
        <f>IF($B49=0,"",SUMIFS(INPUT_DATA!U:U,INPUT_DATA!$A:$A,$B49,INPUT_DATA!$C:$C,"D"))</f>
        <v>0</v>
      </c>
      <c r="BV49" s="296">
        <f>IF($B49=0,"",SUMIFS(INPUT_DATA!V:V,INPUT_DATA!$A:$A,$B49,INPUT_DATA!$C:$C,"D"))</f>
        <v>0</v>
      </c>
      <c r="BW49" s="296">
        <f>IF($B49=0,"",SUMIFS(INPUT_DATA!W:W,INPUT_DATA!$A:$A,$B49,INPUT_DATA!$C:$C,"D"))</f>
        <v>0</v>
      </c>
      <c r="BX49" s="296">
        <f>IF($B49=0,"",SUMIFS(INPUT_DATA!X:X,INPUT_DATA!$A:$A,$B49,INPUT_DATA!$C:$C,"D"))</f>
        <v>0</v>
      </c>
      <c r="BY49" s="296">
        <f>IF($B49=0,"",SUMIFS(INPUT_DATA!Y:Y,INPUT_DATA!$A:$A,$B49,INPUT_DATA!$C:$C,"D"))</f>
        <v>0</v>
      </c>
      <c r="BZ49" s="296">
        <f>IF($B49=0,"",SUMIFS(INPUT_DATA!Z:Z,INPUT_DATA!$A:$A,$B49,INPUT_DATA!$C:$C,"D"))</f>
        <v>0</v>
      </c>
      <c r="CA49" s="336">
        <f>IF($B49=0,"",SUMIFS(INPUT_DATA!AA:AA,INPUT_DATA!$A:$A,$B49,INPUT_DATA!$C:$C,"D"))</f>
        <v>0</v>
      </c>
      <c r="CB49" s="336">
        <f>IF($B49=0,"",SUMIFS(INPUT_DATA!AB:AB,INPUT_DATA!$A:$A,$B49,INPUT_DATA!$C:$C,"D"))</f>
        <v>0</v>
      </c>
      <c r="CC49" s="336">
        <f>IF($B49=0,"",SUMIFS(INPUT_DATA!AC:AC,INPUT_DATA!$A:$A,$B49,INPUT_DATA!$C:$C,"D"))</f>
        <v>0</v>
      </c>
      <c r="CD49" s="296">
        <f>IF($B49=0,"",SUMIFS(INPUT_DATA!AD:AD,INPUT_DATA!$A:$A,$B49,INPUT_DATA!$C:$C,"D"))</f>
        <v>0</v>
      </c>
      <c r="CE49" s="296">
        <f>IF($B49=0,"",SUMIFS(INPUT_DATA!AE:AE,INPUT_DATA!$A:$A,$B49,INPUT_DATA!$C:$C,"D"))</f>
        <v>0</v>
      </c>
      <c r="CF49" s="296">
        <f>IF($B49=0,"",SUMIFS(INPUT_DATA!AF:AF,INPUT_DATA!$A:$A,$B49,INPUT_DATA!$C:$C,"D"))</f>
        <v>0</v>
      </c>
      <c r="CG49" s="336">
        <f>IF($B49=0,"",SUMIFS(INPUT_DATA!AG:AG,INPUT_DATA!$A:$A,$B49,INPUT_DATA!$C:$C,"D"))</f>
        <v>0</v>
      </c>
      <c r="CH49" s="336">
        <f>IF($B49=0,"",SUMIFS(INPUT_DATA!AH:AH,INPUT_DATA!$A:$A,$B49,INPUT_DATA!$C:$C,"D"))</f>
        <v>0</v>
      </c>
      <c r="CI49" s="336">
        <f>IF($B49=0,"",SUMIFS(INPUT_DATA!AI:AI,INPUT_DATA!$A:$A,$B49,INPUT_DATA!$C:$C,"D"))</f>
        <v>0</v>
      </c>
      <c r="CJ49" s="153">
        <f>IF($B49=0,"",SUMIFS(INPUT_DATA!AJ:AJ,INPUT_DATA!$A:$A,$B49,INPUT_DATA!$C:$C,"D"))</f>
        <v>0</v>
      </c>
      <c r="CK49" s="153">
        <f>IF($B49=0,"",SUMIFS(INPUT_DATA!AK:AK,INPUT_DATA!$A:$A,$B49,INPUT_DATA!$C:$C,"D"))</f>
        <v>0</v>
      </c>
      <c r="CL49" s="153">
        <f>IF($B49=0,"",SUMIFS(INPUT_DATA!AL:AL,INPUT_DATA!$A:$A,$B49,INPUT_DATA!$C:$C,"D"))</f>
        <v>0</v>
      </c>
      <c r="CM49" s="153">
        <f>IF($B49=0,"",SUMIFS(INPUT_DATA!AM:AM,INPUT_DATA!$A:$A,$B49,INPUT_DATA!$C:$C,"D"))</f>
        <v>0</v>
      </c>
      <c r="CN49" s="153">
        <f>IF($B49=0,"",SUMIFS(INPUT_DATA!AN:AN,INPUT_DATA!$A:$A,$B49,INPUT_DATA!$C:$C,"D"))</f>
        <v>0</v>
      </c>
      <c r="CO49" s="153">
        <f>IF($B49=0,"",SUMIFS(INPUT_DATA!AO:AO,INPUT_DATA!$A:$A,$B49,INPUT_DATA!$C:$C,"D"))</f>
        <v>0</v>
      </c>
      <c r="CP49" s="153">
        <f>IF($B49=0,"",SUMIFS(INPUT_DATA!AP:AP,INPUT_DATA!$A:$A,$B49,INPUT_DATA!$C:$C,"D"))</f>
        <v>0</v>
      </c>
      <c r="CQ49" s="153">
        <f>IF($B49=0,"",SUMIFS(INPUT_DATA!AQ:AQ,INPUT_DATA!$A:$A,$B49,INPUT_DATA!$C:$C,"D"))</f>
        <v>0</v>
      </c>
      <c r="CR49" s="153">
        <f>IF($B49=0,"",SUMIFS(INPUT_DATA!AR:AR,INPUT_DATA!$A:$A,$B49,INPUT_DATA!$C:$C,"D"))</f>
        <v>0</v>
      </c>
      <c r="CS49" s="714">
        <f t="shared" si="14"/>
        <v>0</v>
      </c>
      <c r="CT49" s="714">
        <f t="shared" si="15"/>
        <v>0</v>
      </c>
      <c r="CU49" s="714">
        <f t="shared" si="16"/>
        <v>0</v>
      </c>
      <c r="CV49" s="703">
        <f>IF($B49=0,"",SUMIFS(INPUT_DATA!AS:AS,INPUT_DATA!$A:$A,$B49,INPUT_DATA!$C:$C,"D"))</f>
        <v>0</v>
      </c>
      <c r="CW49" s="703">
        <f>IF($B49=0,"",SUMIFS(INPUT_DATA!AT:AT,INPUT_DATA!$A:$A,$B49,INPUT_DATA!$C:$C,"D"))</f>
        <v>0</v>
      </c>
      <c r="CX49" s="703">
        <f>IF($B49=0,"",SUMIFS(INPUT_DATA!AU:AU,INPUT_DATA!$A:$A,$B49,INPUT_DATA!$C:$C,"D"))</f>
        <v>0</v>
      </c>
      <c r="CY49" s="703">
        <f t="shared" si="17"/>
        <v>0</v>
      </c>
      <c r="CZ49" s="714">
        <f t="shared" si="18"/>
        <v>0</v>
      </c>
      <c r="DA49" s="725">
        <f t="shared" si="19"/>
        <v>0</v>
      </c>
      <c r="DB49" s="150"/>
    </row>
    <row r="50" spans="1:106">
      <c r="A50" s="172">
        <f t="shared" si="21"/>
        <v>-3</v>
      </c>
      <c r="B50" s="697">
        <f>INPUT_DATA!BR37</f>
        <v>0</v>
      </c>
      <c r="C50" s="702" t="str">
        <f>IF($B50=0,"",SUMIFS(INPUT_DATA!D:D,INPUT_DATA!$A:$A,$B50,INPUT_DATA!$C:$C,"S"))</f>
        <v/>
      </c>
      <c r="D50" s="703" t="str">
        <f>IF($B50=0,"",SUMIFS(INPUT_DATA!E:E,INPUT_DATA!$A:$A,$B50,INPUT_DATA!$C:$C,"S"))</f>
        <v/>
      </c>
      <c r="E50" s="703" t="str">
        <f>IF($B50=0,"",SUMIFS(INPUT_DATA!F:F,INPUT_DATA!$A:$A,$B50,INPUT_DATA!$C:$C,"S"))</f>
        <v/>
      </c>
      <c r="F50" s="704" t="str">
        <f>IF($B50=0,"",SUMIFS(INPUT_DATA!G:G,INPUT_DATA!$A:$A,$B50,INPUT_DATA!$C:$C,"S"))</f>
        <v/>
      </c>
      <c r="G50" s="704" t="str">
        <f>IF($B50=0,"",SUMIFS(INPUT_DATA!H:H,INPUT_DATA!$A:$A,$B50,INPUT_DATA!$C:$C,"S"))</f>
        <v/>
      </c>
      <c r="H50" s="704" t="str">
        <f>IF($B50=0,"",SUMIFS(INPUT_DATA!I:I,INPUT_DATA!$A:$A,$B50,INPUT_DATA!$C:$C,"S"))</f>
        <v/>
      </c>
      <c r="I50" s="704" t="str">
        <f>IF($B50=0,"",SUMIFS(INPUT_DATA!J:J,INPUT_DATA!$A:$A,$B50,INPUT_DATA!$C:$C,"S"))</f>
        <v/>
      </c>
      <c r="J50" s="704" t="str">
        <f>IF($B50=0,"",SUMIFS(INPUT_DATA!K:K,INPUT_DATA!$A:$A,$B50,INPUT_DATA!$C:$C,"S"))</f>
        <v/>
      </c>
      <c r="K50" s="704" t="str">
        <f>IF($B50=0,"",SUMIFS(INPUT_DATA!L:L,INPUT_DATA!$A:$A,$B50,INPUT_DATA!$C:$C,"S"))</f>
        <v/>
      </c>
      <c r="L50" s="704" t="str">
        <f>IF($B50=0,"",SUMIFS(INPUT_DATA!M:M,INPUT_DATA!$A:$A,$B50,INPUT_DATA!$C:$C,"S"))</f>
        <v/>
      </c>
      <c r="M50" s="704" t="str">
        <f>IF($B50=0,"",SUMIFS(INPUT_DATA!N:N,INPUT_DATA!$A:$A,$B50,INPUT_DATA!$C:$C,"S"))</f>
        <v/>
      </c>
      <c r="N50" s="704" t="str">
        <f>IF($B50=0,"",SUMIFS(INPUT_DATA!O:O,INPUT_DATA!$A:$A,$B50,INPUT_DATA!$C:$C,"S"))</f>
        <v/>
      </c>
      <c r="O50" s="704" t="str">
        <f>IF($B50=0,"",SUMIFS(INPUT_DATA!P:P,INPUT_DATA!$A:$A,$B50,INPUT_DATA!$C:$C,"S"))</f>
        <v/>
      </c>
      <c r="P50" s="705" t="str">
        <f t="shared" si="5"/>
        <v/>
      </c>
      <c r="Q50" s="706" t="str">
        <f>IF($B50=0,"",SUMIFS(INPUT_DATA!Q:Q,INPUT_DATA!$A:$A,$B50,INPUT_DATA!$C:$C,"S"))</f>
        <v/>
      </c>
      <c r="R50" s="706" t="str">
        <f t="shared" si="20"/>
        <v/>
      </c>
      <c r="S50" s="712" t="str">
        <f>IF($B50=0,"",SUMIFS(INPUT_DATA!R:R,INPUT_DATA!$A:$A,$B50,INPUT_DATA!$C:$C,"S"))</f>
        <v/>
      </c>
      <c r="T50" s="712" t="str">
        <f>IF($B50=0,"",SUMIFS(INPUT_DATA!S:S,INPUT_DATA!$A:$A,$B50,INPUT_DATA!$C:$C,"S"))</f>
        <v/>
      </c>
      <c r="U50" s="712"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297" t="str">
        <f>IF($B50=0,"",SUMIFS(INPUT_DATA!AR:AR,INPUT_DATA!$A:$A,$B50,INPUT_DATA!$C:$C,"S"))</f>
        <v/>
      </c>
      <c r="AT50" s="713" t="str">
        <f t="shared" si="11"/>
        <v/>
      </c>
      <c r="AU50" s="714" t="str">
        <f t="shared" si="12"/>
        <v/>
      </c>
      <c r="AV50" s="715" t="str">
        <f t="shared" si="13"/>
        <v/>
      </c>
      <c r="AW50" s="713" t="str">
        <f>IF($B50=0,"",SUMIFS(INPUT_DATA!AS:AS,INPUT_DATA!$A:$A,$B50,INPUT_DATA!$C:$C,"S"))</f>
        <v/>
      </c>
      <c r="AX50" s="714" t="str">
        <f>IF($B50=0,"",SUMIFS(INPUT_DATA!AT:AT,INPUT_DATA!$A:$A,$B50,INPUT_DATA!$C:$C,"S"))</f>
        <v/>
      </c>
      <c r="AY50" s="715" t="str">
        <f>IF($B50=0,"",SUMIFS(INPUT_DATA!AU:AU,INPUT_DATA!$A:$A,$B50,INPUT_DATA!$C:$C,"S"))</f>
        <v/>
      </c>
      <c r="AZ50" s="713" t="str">
        <f t="shared" si="6"/>
        <v/>
      </c>
      <c r="BA50" s="714" t="str">
        <f t="shared" si="7"/>
        <v/>
      </c>
      <c r="BB50" s="715" t="str">
        <f t="shared" si="8"/>
        <v/>
      </c>
      <c r="BC50" s="150"/>
      <c r="BD50" s="702" t="str">
        <f>IF($B50=0,"",SUMIFS(INPUT_DATA!D:D,INPUT_DATA!$A:$A,$B50,INPUT_DATA!$C:$C,"D"))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296" t="str">
        <f>IF($B50=0,"",SUMIFS(INPUT_DATA!P:P,INPUT_DATA!$A:$A,$B50,INPUT_DATA!$C:$C,"D"))</f>
        <v/>
      </c>
      <c r="BO50" s="718" t="str">
        <f t="shared" si="9"/>
        <v/>
      </c>
      <c r="BP50" s="990" t="str">
        <f>IF($B50=0,"",SUMIFS(INPUT_DATA!Q:Q,INPUT_DATA!$A:$A,$B50,INPUT_DATA!$C:$C,"D"))</f>
        <v/>
      </c>
      <c r="BQ50" s="718" t="str">
        <f t="shared" si="10"/>
        <v/>
      </c>
      <c r="BR50" s="702" t="str">
        <f>IF($B50=0,"",SUMIFS(INPUT_DATA!R:R,INPUT_DATA!$A:$A,$B50,INPUT_DATA!$C:$C,"D"))</f>
        <v/>
      </c>
      <c r="BS50" s="724" t="str">
        <f>IF($B50=0,"",SUMIFS(INPUT_DATA!S:S,INPUT_DATA!$A:$A,$B50,INPUT_DATA!$C:$C,"D"))</f>
        <v/>
      </c>
      <c r="BT50" s="724"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296" t="str">
        <f>IF($B50=0,"",SUMIFS(INPUT_DATA!Z:Z,INPUT_DATA!$A:$A,$B50,INPUT_DATA!$C:$C,"D"))</f>
        <v/>
      </c>
      <c r="CA50" s="336" t="str">
        <f>IF($B50=0,"",SUMIFS(INPUT_DATA!AA:AA,INPUT_DATA!$A:$A,$B50,INPUT_DATA!$C:$C,"D"))</f>
        <v/>
      </c>
      <c r="CB50" s="336" t="str">
        <f>IF($B50=0,"",SUMIFS(INPUT_DATA!AB:AB,INPUT_DATA!$A:$A,$B50,INPUT_DATA!$C:$C,"D"))</f>
        <v/>
      </c>
      <c r="CC50" s="336" t="str">
        <f>IF($B50=0,"",SUMIFS(INPUT_DATA!AC:AC,INPUT_DATA!$A:$A,$B50,INPUT_DATA!$C:$C,"D"))</f>
        <v/>
      </c>
      <c r="CD50" s="296" t="str">
        <f>IF($B50=0,"",SUMIFS(INPUT_DATA!AD:AD,INPUT_DATA!$A:$A,$B50,INPUT_DATA!$C:$C,"D"))</f>
        <v/>
      </c>
      <c r="CE50" s="296" t="str">
        <f>IF($B50=0,"",SUMIFS(INPUT_DATA!AE:AE,INPUT_DATA!$A:$A,$B50,INPUT_DATA!$C:$C,"D"))</f>
        <v/>
      </c>
      <c r="CF50" s="296" t="str">
        <f>IF($B50=0,"",SUMIFS(INPUT_DATA!AF:AF,INPUT_DATA!$A:$A,$B50,INPUT_DATA!$C:$C,"D"))</f>
        <v/>
      </c>
      <c r="CG50" s="336" t="str">
        <f>IF($B50=0,"",SUMIFS(INPUT_DATA!AG:AG,INPUT_DATA!$A:$A,$B50,INPUT_DATA!$C:$C,"D"))</f>
        <v/>
      </c>
      <c r="CH50" s="336" t="str">
        <f>IF($B50=0,"",SUMIFS(INPUT_DATA!AH:AH,INPUT_DATA!$A:$A,$B50,INPUT_DATA!$C:$C,"D"))</f>
        <v/>
      </c>
      <c r="CI50" s="336"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153" t="str">
        <f>IF($B50=0,"",SUMIFS(INPUT_DATA!AR:AR,INPUT_DATA!$A:$A,$B50,INPUT_DATA!$C:$C,"D"))</f>
        <v/>
      </c>
      <c r="CS50" s="714" t="str">
        <f t="shared" si="14"/>
        <v/>
      </c>
      <c r="CT50" s="714" t="str">
        <f t="shared" si="15"/>
        <v/>
      </c>
      <c r="CU50" s="714" t="str">
        <f t="shared" si="16"/>
        <v/>
      </c>
      <c r="CV50" s="703" t="str">
        <f>IF($B50=0,"",SUMIFS(INPUT_DATA!AS:AS,INPUT_DATA!$A:$A,$B50,INPUT_DATA!$C:$C,"D"))</f>
        <v/>
      </c>
      <c r="CW50" s="703" t="str">
        <f>IF($B50=0,"",SUMIFS(INPUT_DATA!AT:AT,INPUT_DATA!$A:$A,$B50,INPUT_DATA!$C:$C,"D"))</f>
        <v/>
      </c>
      <c r="CX50" s="703" t="str">
        <f>IF($B50=0,"",SUMIFS(INPUT_DATA!AU:AU,INPUT_DATA!$A:$A,$B50,INPUT_DATA!$C:$C,"D"))</f>
        <v/>
      </c>
      <c r="CY50" s="703" t="str">
        <f t="shared" si="17"/>
        <v/>
      </c>
      <c r="CZ50" s="714" t="str">
        <f t="shared" si="18"/>
        <v/>
      </c>
      <c r="DA50" s="725" t="str">
        <f t="shared" si="19"/>
        <v/>
      </c>
      <c r="DB50" s="150"/>
    </row>
    <row r="51" spans="1:106">
      <c r="A51" s="172">
        <f t="shared" si="21"/>
        <v>-4</v>
      </c>
      <c r="B51" s="697">
        <f>INPUT_DATA!BR38</f>
        <v>0</v>
      </c>
      <c r="C51" s="702" t="str">
        <f>IF($B51=0,"",SUMIFS(INPUT_DATA!D:D,INPUT_DATA!$A:$A,$B51,INPUT_DATA!$C:$C,"S"))</f>
        <v/>
      </c>
      <c r="D51" s="703" t="str">
        <f>IF($B51=0,"",SUMIFS(INPUT_DATA!E:E,INPUT_DATA!$A:$A,$B51,INPUT_DATA!$C:$C,"S"))</f>
        <v/>
      </c>
      <c r="E51" s="703" t="str">
        <f>IF($B51=0,"",SUMIFS(INPUT_DATA!F:F,INPUT_DATA!$A:$A,$B51,INPUT_DATA!$C:$C,"S"))</f>
        <v/>
      </c>
      <c r="F51" s="704" t="str">
        <f>IF($B51=0,"",SUMIFS(INPUT_DATA!G:G,INPUT_DATA!$A:$A,$B51,INPUT_DATA!$C:$C,"S"))</f>
        <v/>
      </c>
      <c r="G51" s="704" t="str">
        <f>IF($B51=0,"",SUMIFS(INPUT_DATA!H:H,INPUT_DATA!$A:$A,$B51,INPUT_DATA!$C:$C,"S"))</f>
        <v/>
      </c>
      <c r="H51" s="704" t="str">
        <f>IF($B51=0,"",SUMIFS(INPUT_DATA!I:I,INPUT_DATA!$A:$A,$B51,INPUT_DATA!$C:$C,"S"))</f>
        <v/>
      </c>
      <c r="I51" s="704" t="str">
        <f>IF($B51=0,"",SUMIFS(INPUT_DATA!J:J,INPUT_DATA!$A:$A,$B51,INPUT_DATA!$C:$C,"S"))</f>
        <v/>
      </c>
      <c r="J51" s="704" t="str">
        <f>IF($B51=0,"",SUMIFS(INPUT_DATA!K:K,INPUT_DATA!$A:$A,$B51,INPUT_DATA!$C:$C,"S"))</f>
        <v/>
      </c>
      <c r="K51" s="704" t="str">
        <f>IF($B51=0,"",SUMIFS(INPUT_DATA!L:L,INPUT_DATA!$A:$A,$B51,INPUT_DATA!$C:$C,"S"))</f>
        <v/>
      </c>
      <c r="L51" s="704" t="str">
        <f>IF($B51=0,"",SUMIFS(INPUT_DATA!M:M,INPUT_DATA!$A:$A,$B51,INPUT_DATA!$C:$C,"S"))</f>
        <v/>
      </c>
      <c r="M51" s="704" t="str">
        <f>IF($B51=0,"",SUMIFS(INPUT_DATA!N:N,INPUT_DATA!$A:$A,$B51,INPUT_DATA!$C:$C,"S"))</f>
        <v/>
      </c>
      <c r="N51" s="704" t="str">
        <f>IF($B51=0,"",SUMIFS(INPUT_DATA!O:O,INPUT_DATA!$A:$A,$B51,INPUT_DATA!$C:$C,"S"))</f>
        <v/>
      </c>
      <c r="O51" s="704" t="str">
        <f>IF($B51=0,"",SUMIFS(INPUT_DATA!P:P,INPUT_DATA!$A:$A,$B51,INPUT_DATA!$C:$C,"S"))</f>
        <v/>
      </c>
      <c r="P51" s="705" t="str">
        <f t="shared" si="5"/>
        <v/>
      </c>
      <c r="Q51" s="706" t="str">
        <f>IF($B51=0,"",SUMIFS(INPUT_DATA!Q:Q,INPUT_DATA!$A:$A,$B51,INPUT_DATA!$C:$C,"S"))</f>
        <v/>
      </c>
      <c r="R51" s="706" t="str">
        <f t="shared" si="20"/>
        <v/>
      </c>
      <c r="S51" s="712" t="str">
        <f>IF($B51=0,"",SUMIFS(INPUT_DATA!R:R,INPUT_DATA!$A:$A,$B51,INPUT_DATA!$C:$C,"S"))</f>
        <v/>
      </c>
      <c r="T51" s="712" t="str">
        <f>IF($B51=0,"",SUMIFS(INPUT_DATA!S:S,INPUT_DATA!$A:$A,$B51,INPUT_DATA!$C:$C,"S"))</f>
        <v/>
      </c>
      <c r="U51" s="712"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297" t="str">
        <f>IF($B51=0,"",SUMIFS(INPUT_DATA!AR:AR,INPUT_DATA!$A:$A,$B51,INPUT_DATA!$C:$C,"S"))</f>
        <v/>
      </c>
      <c r="AT51" s="713" t="str">
        <f t="shared" si="11"/>
        <v/>
      </c>
      <c r="AU51" s="714" t="str">
        <f t="shared" si="12"/>
        <v/>
      </c>
      <c r="AV51" s="715" t="str">
        <f t="shared" si="13"/>
        <v/>
      </c>
      <c r="AW51" s="713" t="str">
        <f>IF($B51=0,"",SUMIFS(INPUT_DATA!AS:AS,INPUT_DATA!$A:$A,$B51,INPUT_DATA!$C:$C,"S"))</f>
        <v/>
      </c>
      <c r="AX51" s="714" t="str">
        <f>IF($B51=0,"",SUMIFS(INPUT_DATA!AT:AT,INPUT_DATA!$A:$A,$B51,INPUT_DATA!$C:$C,"S"))</f>
        <v/>
      </c>
      <c r="AY51" s="715" t="str">
        <f>IF($B51=0,"",SUMIFS(INPUT_DATA!AU:AU,INPUT_DATA!$A:$A,$B51,INPUT_DATA!$C:$C,"S"))</f>
        <v/>
      </c>
      <c r="AZ51" s="713" t="str">
        <f t="shared" si="6"/>
        <v/>
      </c>
      <c r="BA51" s="714" t="str">
        <f t="shared" si="7"/>
        <v/>
      </c>
      <c r="BB51" s="715" t="str">
        <f t="shared" si="8"/>
        <v/>
      </c>
      <c r="BC51" s="150"/>
      <c r="BD51" s="702" t="str">
        <f>IF($B51=0,"",SUMIFS(INPUT_DATA!D:D,INPUT_DATA!$A:$A,$B51,INPUT_DATA!$C:$C,"D"))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296" t="str">
        <f>IF($B51=0,"",SUMIFS(INPUT_DATA!P:P,INPUT_DATA!$A:$A,$B51,INPUT_DATA!$C:$C,"D"))</f>
        <v/>
      </c>
      <c r="BO51" s="718" t="str">
        <f t="shared" si="9"/>
        <v/>
      </c>
      <c r="BP51" s="990" t="str">
        <f>IF($B51=0,"",SUMIFS(INPUT_DATA!Q:Q,INPUT_DATA!$A:$A,$B51,INPUT_DATA!$C:$C,"D"))</f>
        <v/>
      </c>
      <c r="BQ51" s="718" t="str">
        <f t="shared" si="10"/>
        <v/>
      </c>
      <c r="BR51" s="702" t="str">
        <f>IF($B51=0,"",SUMIFS(INPUT_DATA!R:R,INPUT_DATA!$A:$A,$B51,INPUT_DATA!$C:$C,"D"))</f>
        <v/>
      </c>
      <c r="BS51" s="724" t="str">
        <f>IF($B51=0,"",SUMIFS(INPUT_DATA!S:S,INPUT_DATA!$A:$A,$B51,INPUT_DATA!$C:$C,"D"))</f>
        <v/>
      </c>
      <c r="BT51" s="724"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296" t="str">
        <f>IF($B51=0,"",SUMIFS(INPUT_DATA!Z:Z,INPUT_DATA!$A:$A,$B51,INPUT_DATA!$C:$C,"D"))</f>
        <v/>
      </c>
      <c r="CA51" s="336" t="str">
        <f>IF($B51=0,"",SUMIFS(INPUT_DATA!AA:AA,INPUT_DATA!$A:$A,$B51,INPUT_DATA!$C:$C,"D"))</f>
        <v/>
      </c>
      <c r="CB51" s="336" t="str">
        <f>IF($B51=0,"",SUMIFS(INPUT_DATA!AB:AB,INPUT_DATA!$A:$A,$B51,INPUT_DATA!$C:$C,"D"))</f>
        <v/>
      </c>
      <c r="CC51" s="336" t="str">
        <f>IF($B51=0,"",SUMIFS(INPUT_DATA!AC:AC,INPUT_DATA!$A:$A,$B51,INPUT_DATA!$C:$C,"D"))</f>
        <v/>
      </c>
      <c r="CD51" s="296" t="str">
        <f>IF($B51=0,"",SUMIFS(INPUT_DATA!AD:AD,INPUT_DATA!$A:$A,$B51,INPUT_DATA!$C:$C,"D"))</f>
        <v/>
      </c>
      <c r="CE51" s="296" t="str">
        <f>IF($B51=0,"",SUMIFS(INPUT_DATA!AE:AE,INPUT_DATA!$A:$A,$B51,INPUT_DATA!$C:$C,"D"))</f>
        <v/>
      </c>
      <c r="CF51" s="296" t="str">
        <f>IF($B51=0,"",SUMIFS(INPUT_DATA!AF:AF,INPUT_DATA!$A:$A,$B51,INPUT_DATA!$C:$C,"D"))</f>
        <v/>
      </c>
      <c r="CG51" s="336" t="str">
        <f>IF($B51=0,"",SUMIFS(INPUT_DATA!AG:AG,INPUT_DATA!$A:$A,$B51,INPUT_DATA!$C:$C,"D"))</f>
        <v/>
      </c>
      <c r="CH51" s="336" t="str">
        <f>IF($B51=0,"",SUMIFS(INPUT_DATA!AH:AH,INPUT_DATA!$A:$A,$B51,INPUT_DATA!$C:$C,"D"))</f>
        <v/>
      </c>
      <c r="CI51" s="336"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153" t="str">
        <f>IF($B51=0,"",SUMIFS(INPUT_DATA!AR:AR,INPUT_DATA!$A:$A,$B51,INPUT_DATA!$C:$C,"D"))</f>
        <v/>
      </c>
      <c r="CS51" s="714" t="str">
        <f t="shared" si="14"/>
        <v/>
      </c>
      <c r="CT51" s="714" t="str">
        <f t="shared" si="15"/>
        <v/>
      </c>
      <c r="CU51" s="714" t="str">
        <f t="shared" si="16"/>
        <v/>
      </c>
      <c r="CV51" s="703" t="str">
        <f>IF($B51=0,"",SUMIFS(INPUT_DATA!AS:AS,INPUT_DATA!$A:$A,$B51,INPUT_DATA!$C:$C,"D"))</f>
        <v/>
      </c>
      <c r="CW51" s="703" t="str">
        <f>IF($B51=0,"",SUMIFS(INPUT_DATA!AT:AT,INPUT_DATA!$A:$A,$B51,INPUT_DATA!$C:$C,"D"))</f>
        <v/>
      </c>
      <c r="CX51" s="703" t="str">
        <f>IF($B51=0,"",SUMIFS(INPUT_DATA!AU:AU,INPUT_DATA!$A:$A,$B51,INPUT_DATA!$C:$C,"D"))</f>
        <v/>
      </c>
      <c r="CY51" s="703" t="str">
        <f t="shared" si="17"/>
        <v/>
      </c>
      <c r="CZ51" s="714" t="str">
        <f t="shared" si="18"/>
        <v/>
      </c>
      <c r="DA51" s="725" t="str">
        <f t="shared" si="19"/>
        <v/>
      </c>
      <c r="DB51" s="150"/>
    </row>
    <row r="52" spans="1:106">
      <c r="A52" s="172">
        <f t="shared" si="21"/>
        <v>-5</v>
      </c>
      <c r="B52" s="697">
        <f>INPUT_DATA!BR39</f>
        <v>0</v>
      </c>
      <c r="C52" s="702" t="str">
        <f>IF($B52=0,"",SUMIFS(INPUT_DATA!D:D,INPUT_DATA!$A:$A,$B52,INPUT_DATA!$C:$C,"S"))</f>
        <v/>
      </c>
      <c r="D52" s="703" t="str">
        <f>IF($B52=0,"",SUMIFS(INPUT_DATA!E:E,INPUT_DATA!$A:$A,$B52,INPUT_DATA!$C:$C,"S"))</f>
        <v/>
      </c>
      <c r="E52" s="703" t="str">
        <f>IF($B52=0,"",SUMIFS(INPUT_DATA!F:F,INPUT_DATA!$A:$A,$B52,INPUT_DATA!$C:$C,"S"))</f>
        <v/>
      </c>
      <c r="F52" s="704" t="str">
        <f>IF($B52=0,"",SUMIFS(INPUT_DATA!G:G,INPUT_DATA!$A:$A,$B52,INPUT_DATA!$C:$C,"S"))</f>
        <v/>
      </c>
      <c r="G52" s="704" t="str">
        <f>IF($B52=0,"",SUMIFS(INPUT_DATA!H:H,INPUT_DATA!$A:$A,$B52,INPUT_DATA!$C:$C,"S"))</f>
        <v/>
      </c>
      <c r="H52" s="704" t="str">
        <f>IF($B52=0,"",SUMIFS(INPUT_DATA!I:I,INPUT_DATA!$A:$A,$B52,INPUT_DATA!$C:$C,"S"))</f>
        <v/>
      </c>
      <c r="I52" s="704" t="str">
        <f>IF($B52=0,"",SUMIFS(INPUT_DATA!J:J,INPUT_DATA!$A:$A,$B52,INPUT_DATA!$C:$C,"S"))</f>
        <v/>
      </c>
      <c r="J52" s="704" t="str">
        <f>IF($B52=0,"",SUMIFS(INPUT_DATA!K:K,INPUT_DATA!$A:$A,$B52,INPUT_DATA!$C:$C,"S"))</f>
        <v/>
      </c>
      <c r="K52" s="704" t="str">
        <f>IF($B52=0,"",SUMIFS(INPUT_DATA!L:L,INPUT_DATA!$A:$A,$B52,INPUT_DATA!$C:$C,"S"))</f>
        <v/>
      </c>
      <c r="L52" s="704" t="str">
        <f>IF($B52=0,"",SUMIFS(INPUT_DATA!M:M,INPUT_DATA!$A:$A,$B52,INPUT_DATA!$C:$C,"S"))</f>
        <v/>
      </c>
      <c r="M52" s="704" t="str">
        <f>IF($B52=0,"",SUMIFS(INPUT_DATA!N:N,INPUT_DATA!$A:$A,$B52,INPUT_DATA!$C:$C,"S"))</f>
        <v/>
      </c>
      <c r="N52" s="704" t="str">
        <f>IF($B52=0,"",SUMIFS(INPUT_DATA!O:O,INPUT_DATA!$A:$A,$B52,INPUT_DATA!$C:$C,"S"))</f>
        <v/>
      </c>
      <c r="O52" s="704" t="str">
        <f>IF($B52=0,"",SUMIFS(INPUT_DATA!P:P,INPUT_DATA!$A:$A,$B52,INPUT_DATA!$C:$C,"S"))</f>
        <v/>
      </c>
      <c r="P52" s="705" t="str">
        <f t="shared" si="5"/>
        <v/>
      </c>
      <c r="Q52" s="706" t="str">
        <f>IF($B52=0,"",SUMIFS(INPUT_DATA!Q:Q,INPUT_DATA!$A:$A,$B52,INPUT_DATA!$C:$C,"S"))</f>
        <v/>
      </c>
      <c r="R52" s="706" t="str">
        <f t="shared" si="20"/>
        <v/>
      </c>
      <c r="S52" s="712" t="str">
        <f>IF($B52=0,"",SUMIFS(INPUT_DATA!R:R,INPUT_DATA!$A:$A,$B52,INPUT_DATA!$C:$C,"S"))</f>
        <v/>
      </c>
      <c r="T52" s="712" t="str">
        <f>IF($B52=0,"",SUMIFS(INPUT_DATA!S:S,INPUT_DATA!$A:$A,$B52,INPUT_DATA!$C:$C,"S"))</f>
        <v/>
      </c>
      <c r="U52" s="712"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297" t="str">
        <f>IF($B52=0,"",SUMIFS(INPUT_DATA!AR:AR,INPUT_DATA!$A:$A,$B52,INPUT_DATA!$C:$C,"S"))</f>
        <v/>
      </c>
      <c r="AT52" s="713" t="str">
        <f t="shared" si="11"/>
        <v/>
      </c>
      <c r="AU52" s="714" t="str">
        <f t="shared" si="12"/>
        <v/>
      </c>
      <c r="AV52" s="715" t="str">
        <f t="shared" si="13"/>
        <v/>
      </c>
      <c r="AW52" s="713" t="str">
        <f>IF($B52=0,"",SUMIFS(INPUT_DATA!AS:AS,INPUT_DATA!$A:$A,$B52,INPUT_DATA!$C:$C,"S"))</f>
        <v/>
      </c>
      <c r="AX52" s="714" t="str">
        <f>IF($B52=0,"",SUMIFS(INPUT_DATA!AT:AT,INPUT_DATA!$A:$A,$B52,INPUT_DATA!$C:$C,"S"))</f>
        <v/>
      </c>
      <c r="AY52" s="715" t="str">
        <f>IF($B52=0,"",SUMIFS(INPUT_DATA!AU:AU,INPUT_DATA!$A:$A,$B52,INPUT_DATA!$C:$C,"S"))</f>
        <v/>
      </c>
      <c r="AZ52" s="713" t="str">
        <f t="shared" si="6"/>
        <v/>
      </c>
      <c r="BA52" s="714" t="str">
        <f t="shared" si="7"/>
        <v/>
      </c>
      <c r="BB52" s="715" t="str">
        <f t="shared" si="8"/>
        <v/>
      </c>
      <c r="BC52" s="150"/>
      <c r="BD52" s="702" t="str">
        <f>IF($B52=0,"",SUMIFS(INPUT_DATA!D:D,INPUT_DATA!$A:$A,$B52,INPUT_DATA!$C:$C,"D"))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296" t="str">
        <f>IF($B52=0,"",SUMIFS(INPUT_DATA!P:P,INPUT_DATA!$A:$A,$B52,INPUT_DATA!$C:$C,"D"))</f>
        <v/>
      </c>
      <c r="BO52" s="718" t="str">
        <f t="shared" si="9"/>
        <v/>
      </c>
      <c r="BP52" s="990" t="str">
        <f>IF($B52=0,"",SUMIFS(INPUT_DATA!Q:Q,INPUT_DATA!$A:$A,$B52,INPUT_DATA!$C:$C,"D"))</f>
        <v/>
      </c>
      <c r="BQ52" s="718" t="str">
        <f t="shared" si="10"/>
        <v/>
      </c>
      <c r="BR52" s="702" t="str">
        <f>IF($B52=0,"",SUMIFS(INPUT_DATA!R:R,INPUT_DATA!$A:$A,$B52,INPUT_DATA!$C:$C,"D"))</f>
        <v/>
      </c>
      <c r="BS52" s="724" t="str">
        <f>IF($B52=0,"",SUMIFS(INPUT_DATA!S:S,INPUT_DATA!$A:$A,$B52,INPUT_DATA!$C:$C,"D"))</f>
        <v/>
      </c>
      <c r="BT52" s="724"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296" t="str">
        <f>IF($B52=0,"",SUMIFS(INPUT_DATA!Z:Z,INPUT_DATA!$A:$A,$B52,INPUT_DATA!$C:$C,"D"))</f>
        <v/>
      </c>
      <c r="CA52" s="336" t="str">
        <f>IF($B52=0,"",SUMIFS(INPUT_DATA!AA:AA,INPUT_DATA!$A:$A,$B52,INPUT_DATA!$C:$C,"D"))</f>
        <v/>
      </c>
      <c r="CB52" s="336" t="str">
        <f>IF($B52=0,"",SUMIFS(INPUT_DATA!AB:AB,INPUT_DATA!$A:$A,$B52,INPUT_DATA!$C:$C,"D"))</f>
        <v/>
      </c>
      <c r="CC52" s="336" t="str">
        <f>IF($B52=0,"",SUMIFS(INPUT_DATA!AC:AC,INPUT_DATA!$A:$A,$B52,INPUT_DATA!$C:$C,"D"))</f>
        <v/>
      </c>
      <c r="CD52" s="296" t="str">
        <f>IF($B52=0,"",SUMIFS(INPUT_DATA!AD:AD,INPUT_DATA!$A:$A,$B52,INPUT_DATA!$C:$C,"D"))</f>
        <v/>
      </c>
      <c r="CE52" s="296" t="str">
        <f>IF($B52=0,"",SUMIFS(INPUT_DATA!AE:AE,INPUT_DATA!$A:$A,$B52,INPUT_DATA!$C:$C,"D"))</f>
        <v/>
      </c>
      <c r="CF52" s="296" t="str">
        <f>IF($B52=0,"",SUMIFS(INPUT_DATA!AF:AF,INPUT_DATA!$A:$A,$B52,INPUT_DATA!$C:$C,"D"))</f>
        <v/>
      </c>
      <c r="CG52" s="336" t="str">
        <f>IF($B52=0,"",SUMIFS(INPUT_DATA!AG:AG,INPUT_DATA!$A:$A,$B52,INPUT_DATA!$C:$C,"D"))</f>
        <v/>
      </c>
      <c r="CH52" s="336" t="str">
        <f>IF($B52=0,"",SUMIFS(INPUT_DATA!AH:AH,INPUT_DATA!$A:$A,$B52,INPUT_DATA!$C:$C,"D"))</f>
        <v/>
      </c>
      <c r="CI52" s="336"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153" t="str">
        <f>IF($B52=0,"",SUMIFS(INPUT_DATA!AR:AR,INPUT_DATA!$A:$A,$B52,INPUT_DATA!$C:$C,"D"))</f>
        <v/>
      </c>
      <c r="CS52" s="714" t="str">
        <f t="shared" si="14"/>
        <v/>
      </c>
      <c r="CT52" s="714" t="str">
        <f t="shared" si="15"/>
        <v/>
      </c>
      <c r="CU52" s="714" t="str">
        <f t="shared" si="16"/>
        <v/>
      </c>
      <c r="CV52" s="703" t="str">
        <f>IF($B52=0,"",SUMIFS(INPUT_DATA!AS:AS,INPUT_DATA!$A:$A,$B52,INPUT_DATA!$C:$C,"D"))</f>
        <v/>
      </c>
      <c r="CW52" s="703" t="str">
        <f>IF($B52=0,"",SUMIFS(INPUT_DATA!AT:AT,INPUT_DATA!$A:$A,$B52,INPUT_DATA!$C:$C,"D"))</f>
        <v/>
      </c>
      <c r="CX52" s="703" t="str">
        <f>IF($B52=0,"",SUMIFS(INPUT_DATA!AU:AU,INPUT_DATA!$A:$A,$B52,INPUT_DATA!$C:$C,"D"))</f>
        <v/>
      </c>
      <c r="CY52" s="703" t="str">
        <f t="shared" si="17"/>
        <v/>
      </c>
      <c r="CZ52" s="714" t="str">
        <f t="shared" si="18"/>
        <v/>
      </c>
      <c r="DA52" s="725" t="str">
        <f t="shared" si="19"/>
        <v/>
      </c>
      <c r="DB52" s="150"/>
    </row>
    <row r="53" spans="1:106">
      <c r="A53" s="172">
        <f t="shared" si="21"/>
        <v>-6</v>
      </c>
      <c r="B53" s="697">
        <f>INPUT_DATA!BR40</f>
        <v>0</v>
      </c>
      <c r="C53" s="702" t="str">
        <f>IF($B53=0,"",SUMIFS(INPUT_DATA!D:D,INPUT_DATA!$A:$A,$B53,INPUT_DATA!$C:$C,"S"))</f>
        <v/>
      </c>
      <c r="D53" s="703" t="str">
        <f>IF($B53=0,"",SUMIFS(INPUT_DATA!E:E,INPUT_DATA!$A:$A,$B53,INPUT_DATA!$C:$C,"S"))</f>
        <v/>
      </c>
      <c r="E53" s="703" t="str">
        <f>IF($B53=0,"",SUMIFS(INPUT_DATA!F:F,INPUT_DATA!$A:$A,$B53,INPUT_DATA!$C:$C,"S"))</f>
        <v/>
      </c>
      <c r="F53" s="704" t="str">
        <f>IF($B53=0,"",SUMIFS(INPUT_DATA!G:G,INPUT_DATA!$A:$A,$B53,INPUT_DATA!$C:$C,"S"))</f>
        <v/>
      </c>
      <c r="G53" s="704" t="str">
        <f>IF($B53=0,"",SUMIFS(INPUT_DATA!H:H,INPUT_DATA!$A:$A,$B53,INPUT_DATA!$C:$C,"S"))</f>
        <v/>
      </c>
      <c r="H53" s="704" t="str">
        <f>IF($B53=0,"",SUMIFS(INPUT_DATA!I:I,INPUT_DATA!$A:$A,$B53,INPUT_DATA!$C:$C,"S"))</f>
        <v/>
      </c>
      <c r="I53" s="704" t="str">
        <f>IF($B53=0,"",SUMIFS(INPUT_DATA!J:J,INPUT_DATA!$A:$A,$B53,INPUT_DATA!$C:$C,"S"))</f>
        <v/>
      </c>
      <c r="J53" s="704" t="str">
        <f>IF($B53=0,"",SUMIFS(INPUT_DATA!K:K,INPUT_DATA!$A:$A,$B53,INPUT_DATA!$C:$C,"S"))</f>
        <v/>
      </c>
      <c r="K53" s="704" t="str">
        <f>IF($B53=0,"",SUMIFS(INPUT_DATA!L:L,INPUT_DATA!$A:$A,$B53,INPUT_DATA!$C:$C,"S"))</f>
        <v/>
      </c>
      <c r="L53" s="704" t="str">
        <f>IF($B53=0,"",SUMIFS(INPUT_DATA!M:M,INPUT_DATA!$A:$A,$B53,INPUT_DATA!$C:$C,"S"))</f>
        <v/>
      </c>
      <c r="M53" s="704" t="str">
        <f>IF($B53=0,"",SUMIFS(INPUT_DATA!N:N,INPUT_DATA!$A:$A,$B53,INPUT_DATA!$C:$C,"S"))</f>
        <v/>
      </c>
      <c r="N53" s="704" t="str">
        <f>IF($B53=0,"",SUMIFS(INPUT_DATA!O:O,INPUT_DATA!$A:$A,$B53,INPUT_DATA!$C:$C,"S"))</f>
        <v/>
      </c>
      <c r="O53" s="704" t="str">
        <f>IF($B53=0,"",SUMIFS(INPUT_DATA!P:P,INPUT_DATA!$A:$A,$B53,INPUT_DATA!$C:$C,"S"))</f>
        <v/>
      </c>
      <c r="P53" s="705" t="str">
        <f t="shared" si="5"/>
        <v/>
      </c>
      <c r="Q53" s="706" t="str">
        <f>IF($B53=0,"",SUMIFS(INPUT_DATA!Q:Q,INPUT_DATA!$A:$A,$B53,INPUT_DATA!$C:$C,"S"))</f>
        <v/>
      </c>
      <c r="R53" s="706" t="str">
        <f t="shared" si="20"/>
        <v/>
      </c>
      <c r="S53" s="712" t="str">
        <f>IF($B53=0,"",SUMIFS(INPUT_DATA!R:R,INPUT_DATA!$A:$A,$B53,INPUT_DATA!$C:$C,"S"))</f>
        <v/>
      </c>
      <c r="T53" s="712" t="str">
        <f>IF($B53=0,"",SUMIFS(INPUT_DATA!S:S,INPUT_DATA!$A:$A,$B53,INPUT_DATA!$C:$C,"S"))</f>
        <v/>
      </c>
      <c r="U53" s="712"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297" t="str">
        <f>IF($B53=0,"",SUMIFS(INPUT_DATA!AR:AR,INPUT_DATA!$A:$A,$B53,INPUT_DATA!$C:$C,"S"))</f>
        <v/>
      </c>
      <c r="AT53" s="713" t="str">
        <f t="shared" si="11"/>
        <v/>
      </c>
      <c r="AU53" s="714" t="str">
        <f t="shared" si="12"/>
        <v/>
      </c>
      <c r="AV53" s="715" t="str">
        <f t="shared" si="13"/>
        <v/>
      </c>
      <c r="AW53" s="713" t="str">
        <f>IF($B53=0,"",SUMIFS(INPUT_DATA!AS:AS,INPUT_DATA!$A:$A,$B53,INPUT_DATA!$C:$C,"S"))</f>
        <v/>
      </c>
      <c r="AX53" s="714" t="str">
        <f>IF($B53=0,"",SUMIFS(INPUT_DATA!AT:AT,INPUT_DATA!$A:$A,$B53,INPUT_DATA!$C:$C,"S"))</f>
        <v/>
      </c>
      <c r="AY53" s="715" t="str">
        <f>IF($B53=0,"",SUMIFS(INPUT_DATA!AU:AU,INPUT_DATA!$A:$A,$B53,INPUT_DATA!$C:$C,"S"))</f>
        <v/>
      </c>
      <c r="AZ53" s="713" t="str">
        <f t="shared" si="6"/>
        <v/>
      </c>
      <c r="BA53" s="714" t="str">
        <f t="shared" si="7"/>
        <v/>
      </c>
      <c r="BB53" s="715" t="str">
        <f t="shared" si="8"/>
        <v/>
      </c>
      <c r="BC53" s="150"/>
      <c r="BD53" s="702" t="str">
        <f>IF($B53=0,"",SUMIFS(INPUT_DATA!D:D,INPUT_DATA!$A:$A,$B53,INPUT_DATA!$C:$C,"D"))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296" t="str">
        <f>IF($B53=0,"",SUMIFS(INPUT_DATA!P:P,INPUT_DATA!$A:$A,$B53,INPUT_DATA!$C:$C,"D"))</f>
        <v/>
      </c>
      <c r="BO53" s="718" t="str">
        <f t="shared" si="9"/>
        <v/>
      </c>
      <c r="BP53" s="990" t="str">
        <f>IF($B53=0,"",SUMIFS(INPUT_DATA!Q:Q,INPUT_DATA!$A:$A,$B53,INPUT_DATA!$C:$C,"D"))</f>
        <v/>
      </c>
      <c r="BQ53" s="718" t="str">
        <f t="shared" si="10"/>
        <v/>
      </c>
      <c r="BR53" s="702" t="str">
        <f>IF($B53=0,"",SUMIFS(INPUT_DATA!R:R,INPUT_DATA!$A:$A,$B53,INPUT_DATA!$C:$C,"D"))</f>
        <v/>
      </c>
      <c r="BS53" s="724" t="str">
        <f>IF($B53=0,"",SUMIFS(INPUT_DATA!S:S,INPUT_DATA!$A:$A,$B53,INPUT_DATA!$C:$C,"D"))</f>
        <v/>
      </c>
      <c r="BT53" s="724"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296" t="str">
        <f>IF($B53=0,"",SUMIFS(INPUT_DATA!Z:Z,INPUT_DATA!$A:$A,$B53,INPUT_DATA!$C:$C,"D"))</f>
        <v/>
      </c>
      <c r="CA53" s="336" t="str">
        <f>IF($B53=0,"",SUMIFS(INPUT_DATA!AA:AA,INPUT_DATA!$A:$A,$B53,INPUT_DATA!$C:$C,"D"))</f>
        <v/>
      </c>
      <c r="CB53" s="336" t="str">
        <f>IF($B53=0,"",SUMIFS(INPUT_DATA!AB:AB,INPUT_DATA!$A:$A,$B53,INPUT_DATA!$C:$C,"D"))</f>
        <v/>
      </c>
      <c r="CC53" s="336" t="str">
        <f>IF($B53=0,"",SUMIFS(INPUT_DATA!AC:AC,INPUT_DATA!$A:$A,$B53,INPUT_DATA!$C:$C,"D"))</f>
        <v/>
      </c>
      <c r="CD53" s="296" t="str">
        <f>IF($B53=0,"",SUMIFS(INPUT_DATA!AD:AD,INPUT_DATA!$A:$A,$B53,INPUT_DATA!$C:$C,"D"))</f>
        <v/>
      </c>
      <c r="CE53" s="296" t="str">
        <f>IF($B53=0,"",SUMIFS(INPUT_DATA!AE:AE,INPUT_DATA!$A:$A,$B53,INPUT_DATA!$C:$C,"D"))</f>
        <v/>
      </c>
      <c r="CF53" s="296" t="str">
        <f>IF($B53=0,"",SUMIFS(INPUT_DATA!AF:AF,INPUT_DATA!$A:$A,$B53,INPUT_DATA!$C:$C,"D"))</f>
        <v/>
      </c>
      <c r="CG53" s="336" t="str">
        <f>IF($B53=0,"",SUMIFS(INPUT_DATA!AG:AG,INPUT_DATA!$A:$A,$B53,INPUT_DATA!$C:$C,"D"))</f>
        <v/>
      </c>
      <c r="CH53" s="336" t="str">
        <f>IF($B53=0,"",SUMIFS(INPUT_DATA!AH:AH,INPUT_DATA!$A:$A,$B53,INPUT_DATA!$C:$C,"D"))</f>
        <v/>
      </c>
      <c r="CI53" s="336"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153" t="str">
        <f>IF($B53=0,"",SUMIFS(INPUT_DATA!AR:AR,INPUT_DATA!$A:$A,$B53,INPUT_DATA!$C:$C,"D"))</f>
        <v/>
      </c>
      <c r="CS53" s="714" t="str">
        <f t="shared" si="14"/>
        <v/>
      </c>
      <c r="CT53" s="714" t="str">
        <f t="shared" si="15"/>
        <v/>
      </c>
      <c r="CU53" s="714" t="str">
        <f t="shared" si="16"/>
        <v/>
      </c>
      <c r="CV53" s="703" t="str">
        <f>IF($B53=0,"",SUMIFS(INPUT_DATA!AS:AS,INPUT_DATA!$A:$A,$B53,INPUT_DATA!$C:$C,"D"))</f>
        <v/>
      </c>
      <c r="CW53" s="703" t="str">
        <f>IF($B53=0,"",SUMIFS(INPUT_DATA!AT:AT,INPUT_DATA!$A:$A,$B53,INPUT_DATA!$C:$C,"D"))</f>
        <v/>
      </c>
      <c r="CX53" s="703" t="str">
        <f>IF($B53=0,"",SUMIFS(INPUT_DATA!AU:AU,INPUT_DATA!$A:$A,$B53,INPUT_DATA!$C:$C,"D"))</f>
        <v/>
      </c>
      <c r="CY53" s="703" t="str">
        <f t="shared" si="17"/>
        <v/>
      </c>
      <c r="CZ53" s="714" t="str">
        <f t="shared" si="18"/>
        <v/>
      </c>
      <c r="DA53" s="725" t="str">
        <f t="shared" si="19"/>
        <v/>
      </c>
      <c r="DB53" s="150"/>
    </row>
    <row r="54" spans="1:106">
      <c r="A54" s="172">
        <f t="shared" si="21"/>
        <v>-7</v>
      </c>
      <c r="B54" s="697">
        <f>INPUT_DATA!BR41</f>
        <v>0</v>
      </c>
      <c r="C54" s="702" t="str">
        <f>IF($B54=0,"",SUMIFS(INPUT_DATA!D:D,INPUT_DATA!$A:$A,$B54,INPUT_DATA!$C:$C,"S"))</f>
        <v/>
      </c>
      <c r="D54" s="703" t="str">
        <f>IF($B54=0,"",SUMIFS(INPUT_DATA!E:E,INPUT_DATA!$A:$A,$B54,INPUT_DATA!$C:$C,"S"))</f>
        <v/>
      </c>
      <c r="E54" s="703" t="str">
        <f>IF($B54=0,"",SUMIFS(INPUT_DATA!F:F,INPUT_DATA!$A:$A,$B54,INPUT_DATA!$C:$C,"S"))</f>
        <v/>
      </c>
      <c r="F54" s="704" t="str">
        <f>IF($B54=0,"",SUMIFS(INPUT_DATA!G:G,INPUT_DATA!$A:$A,$B54,INPUT_DATA!$C:$C,"S"))</f>
        <v/>
      </c>
      <c r="G54" s="704" t="str">
        <f>IF($B54=0,"",SUMIFS(INPUT_DATA!H:H,INPUT_DATA!$A:$A,$B54,INPUT_DATA!$C:$C,"S"))</f>
        <v/>
      </c>
      <c r="H54" s="704" t="str">
        <f>IF($B54=0,"",SUMIFS(INPUT_DATA!I:I,INPUT_DATA!$A:$A,$B54,INPUT_DATA!$C:$C,"S"))</f>
        <v/>
      </c>
      <c r="I54" s="704" t="str">
        <f>IF($B54=0,"",SUMIFS(INPUT_DATA!J:J,INPUT_DATA!$A:$A,$B54,INPUT_DATA!$C:$C,"S"))</f>
        <v/>
      </c>
      <c r="J54" s="704" t="str">
        <f>IF($B54=0,"",SUMIFS(INPUT_DATA!K:K,INPUT_DATA!$A:$A,$B54,INPUT_DATA!$C:$C,"S"))</f>
        <v/>
      </c>
      <c r="K54" s="704" t="str">
        <f>IF($B54=0,"",SUMIFS(INPUT_DATA!L:L,INPUT_DATA!$A:$A,$B54,INPUT_DATA!$C:$C,"S"))</f>
        <v/>
      </c>
      <c r="L54" s="704" t="str">
        <f>IF($B54=0,"",SUMIFS(INPUT_DATA!M:M,INPUT_DATA!$A:$A,$B54,INPUT_DATA!$C:$C,"S"))</f>
        <v/>
      </c>
      <c r="M54" s="704" t="str">
        <f>IF($B54=0,"",SUMIFS(INPUT_DATA!N:N,INPUT_DATA!$A:$A,$B54,INPUT_DATA!$C:$C,"S"))</f>
        <v/>
      </c>
      <c r="N54" s="704" t="str">
        <f>IF($B54=0,"",SUMIFS(INPUT_DATA!O:O,INPUT_DATA!$A:$A,$B54,INPUT_DATA!$C:$C,"S"))</f>
        <v/>
      </c>
      <c r="O54" s="704" t="str">
        <f>IF($B54=0,"",SUMIFS(INPUT_DATA!P:P,INPUT_DATA!$A:$A,$B54,INPUT_DATA!$C:$C,"S"))</f>
        <v/>
      </c>
      <c r="P54" s="705" t="str">
        <f t="shared" si="5"/>
        <v/>
      </c>
      <c r="Q54" s="706" t="str">
        <f>IF($B54=0,"",SUMIFS(INPUT_DATA!Q:Q,INPUT_DATA!$A:$A,$B54,INPUT_DATA!$C:$C,"S"))</f>
        <v/>
      </c>
      <c r="R54" s="706" t="str">
        <f t="shared" si="20"/>
        <v/>
      </c>
      <c r="S54" s="712" t="str">
        <f>IF($B54=0,"",SUMIFS(INPUT_DATA!R:R,INPUT_DATA!$A:$A,$B54,INPUT_DATA!$C:$C,"S"))</f>
        <v/>
      </c>
      <c r="T54" s="712" t="str">
        <f>IF($B54=0,"",SUMIFS(INPUT_DATA!S:S,INPUT_DATA!$A:$A,$B54,INPUT_DATA!$C:$C,"S"))</f>
        <v/>
      </c>
      <c r="U54" s="712"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297" t="str">
        <f>IF($B54=0,"",SUMIFS(INPUT_DATA!AR:AR,INPUT_DATA!$A:$A,$B54,INPUT_DATA!$C:$C,"S"))</f>
        <v/>
      </c>
      <c r="AT54" s="713" t="str">
        <f t="shared" si="11"/>
        <v/>
      </c>
      <c r="AU54" s="714" t="str">
        <f t="shared" si="12"/>
        <v/>
      </c>
      <c r="AV54" s="715" t="str">
        <f t="shared" si="13"/>
        <v/>
      </c>
      <c r="AW54" s="713" t="str">
        <f>IF($B54=0,"",SUMIFS(INPUT_DATA!AS:AS,INPUT_DATA!$A:$A,$B54,INPUT_DATA!$C:$C,"S"))</f>
        <v/>
      </c>
      <c r="AX54" s="714" t="str">
        <f>IF($B54=0,"",SUMIFS(INPUT_DATA!AT:AT,INPUT_DATA!$A:$A,$B54,INPUT_DATA!$C:$C,"S"))</f>
        <v/>
      </c>
      <c r="AY54" s="715" t="str">
        <f>IF($B54=0,"",SUMIFS(INPUT_DATA!AU:AU,INPUT_DATA!$A:$A,$B54,INPUT_DATA!$C:$C,"S"))</f>
        <v/>
      </c>
      <c r="AZ54" s="713" t="str">
        <f t="shared" si="6"/>
        <v/>
      </c>
      <c r="BA54" s="714" t="str">
        <f t="shared" si="7"/>
        <v/>
      </c>
      <c r="BB54" s="715" t="str">
        <f t="shared" si="8"/>
        <v/>
      </c>
      <c r="BC54" s="150"/>
      <c r="BD54" s="702" t="str">
        <f>IF($B54=0,"",SUMIFS(INPUT_DATA!D:D,INPUT_DATA!$A:$A,$B54,INPUT_DATA!$C:$C,"D"))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296" t="str">
        <f>IF($B54=0,"",SUMIFS(INPUT_DATA!P:P,INPUT_DATA!$A:$A,$B54,INPUT_DATA!$C:$C,"D"))</f>
        <v/>
      </c>
      <c r="BO54" s="718" t="str">
        <f t="shared" si="9"/>
        <v/>
      </c>
      <c r="BP54" s="990" t="str">
        <f>IF($B54=0,"",SUMIFS(INPUT_DATA!Q:Q,INPUT_DATA!$A:$A,$B54,INPUT_DATA!$C:$C,"D"))</f>
        <v/>
      </c>
      <c r="BQ54" s="718" t="str">
        <f t="shared" si="10"/>
        <v/>
      </c>
      <c r="BR54" s="702" t="str">
        <f>IF($B54=0,"",SUMIFS(INPUT_DATA!R:R,INPUT_DATA!$A:$A,$B54,INPUT_DATA!$C:$C,"D"))</f>
        <v/>
      </c>
      <c r="BS54" s="724" t="str">
        <f>IF($B54=0,"",SUMIFS(INPUT_DATA!S:S,INPUT_DATA!$A:$A,$B54,INPUT_DATA!$C:$C,"D"))</f>
        <v/>
      </c>
      <c r="BT54" s="724"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296" t="str">
        <f>IF($B54=0,"",SUMIFS(INPUT_DATA!Z:Z,INPUT_DATA!$A:$A,$B54,INPUT_DATA!$C:$C,"D"))</f>
        <v/>
      </c>
      <c r="CA54" s="336" t="str">
        <f>IF($B54=0,"",SUMIFS(INPUT_DATA!AA:AA,INPUT_DATA!$A:$A,$B54,INPUT_DATA!$C:$C,"D"))</f>
        <v/>
      </c>
      <c r="CB54" s="336" t="str">
        <f>IF($B54=0,"",SUMIFS(INPUT_DATA!AB:AB,INPUT_DATA!$A:$A,$B54,INPUT_DATA!$C:$C,"D"))</f>
        <v/>
      </c>
      <c r="CC54" s="336" t="str">
        <f>IF($B54=0,"",SUMIFS(INPUT_DATA!AC:AC,INPUT_DATA!$A:$A,$B54,INPUT_DATA!$C:$C,"D"))</f>
        <v/>
      </c>
      <c r="CD54" s="296" t="str">
        <f>IF($B54=0,"",SUMIFS(INPUT_DATA!AD:AD,INPUT_DATA!$A:$A,$B54,INPUT_DATA!$C:$C,"D"))</f>
        <v/>
      </c>
      <c r="CE54" s="296" t="str">
        <f>IF($B54=0,"",SUMIFS(INPUT_DATA!AE:AE,INPUT_DATA!$A:$A,$B54,INPUT_DATA!$C:$C,"D"))</f>
        <v/>
      </c>
      <c r="CF54" s="296" t="str">
        <f>IF($B54=0,"",SUMIFS(INPUT_DATA!AF:AF,INPUT_DATA!$A:$A,$B54,INPUT_DATA!$C:$C,"D"))</f>
        <v/>
      </c>
      <c r="CG54" s="336" t="str">
        <f>IF($B54=0,"",SUMIFS(INPUT_DATA!AG:AG,INPUT_DATA!$A:$A,$B54,INPUT_DATA!$C:$C,"D"))</f>
        <v/>
      </c>
      <c r="CH54" s="336" t="str">
        <f>IF($B54=0,"",SUMIFS(INPUT_DATA!AH:AH,INPUT_DATA!$A:$A,$B54,INPUT_DATA!$C:$C,"D"))</f>
        <v/>
      </c>
      <c r="CI54" s="336"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153" t="str">
        <f>IF($B54=0,"",SUMIFS(INPUT_DATA!AR:AR,INPUT_DATA!$A:$A,$B54,INPUT_DATA!$C:$C,"D"))</f>
        <v/>
      </c>
      <c r="CS54" s="714" t="str">
        <f t="shared" si="14"/>
        <v/>
      </c>
      <c r="CT54" s="714" t="str">
        <f t="shared" si="15"/>
        <v/>
      </c>
      <c r="CU54" s="714" t="str">
        <f t="shared" si="16"/>
        <v/>
      </c>
      <c r="CV54" s="703" t="str">
        <f>IF($B54=0,"",SUMIFS(INPUT_DATA!AS:AS,INPUT_DATA!$A:$A,$B54,INPUT_DATA!$C:$C,"D"))</f>
        <v/>
      </c>
      <c r="CW54" s="703" t="str">
        <f>IF($B54=0,"",SUMIFS(INPUT_DATA!AT:AT,INPUT_DATA!$A:$A,$B54,INPUT_DATA!$C:$C,"D"))</f>
        <v/>
      </c>
      <c r="CX54" s="703" t="str">
        <f>IF($B54=0,"",SUMIFS(INPUT_DATA!AU:AU,INPUT_DATA!$A:$A,$B54,INPUT_DATA!$C:$C,"D"))</f>
        <v/>
      </c>
      <c r="CY54" s="703" t="str">
        <f t="shared" si="17"/>
        <v/>
      </c>
      <c r="CZ54" s="714" t="str">
        <f t="shared" si="18"/>
        <v/>
      </c>
      <c r="DA54" s="725" t="str">
        <f t="shared" si="19"/>
        <v/>
      </c>
      <c r="DB54" s="150"/>
    </row>
    <row r="55" spans="1:106">
      <c r="A55" s="172">
        <f t="shared" si="21"/>
        <v>-8</v>
      </c>
      <c r="B55" s="697">
        <f>INPUT_DATA!BR42</f>
        <v>0</v>
      </c>
      <c r="C55" s="702" t="str">
        <f>IF($B55=0,"",SUMIFS(INPUT_DATA!D:D,INPUT_DATA!$A:$A,$B55,INPUT_DATA!$C:$C,"S"))</f>
        <v/>
      </c>
      <c r="D55" s="703" t="str">
        <f>IF($B55=0,"",SUMIFS(INPUT_DATA!E:E,INPUT_DATA!$A:$A,$B55,INPUT_DATA!$C:$C,"S"))</f>
        <v/>
      </c>
      <c r="E55" s="703" t="str">
        <f>IF($B55=0,"",SUMIFS(INPUT_DATA!F:F,INPUT_DATA!$A:$A,$B55,INPUT_DATA!$C:$C,"S"))</f>
        <v/>
      </c>
      <c r="F55" s="704" t="str">
        <f>IF($B55=0,"",SUMIFS(INPUT_DATA!G:G,INPUT_DATA!$A:$A,$B55,INPUT_DATA!$C:$C,"S"))</f>
        <v/>
      </c>
      <c r="G55" s="704" t="str">
        <f>IF($B55=0,"",SUMIFS(INPUT_DATA!H:H,INPUT_DATA!$A:$A,$B55,INPUT_DATA!$C:$C,"S"))</f>
        <v/>
      </c>
      <c r="H55" s="704" t="str">
        <f>IF($B55=0,"",SUMIFS(INPUT_DATA!I:I,INPUT_DATA!$A:$A,$B55,INPUT_DATA!$C:$C,"S"))</f>
        <v/>
      </c>
      <c r="I55" s="704" t="str">
        <f>IF($B55=0,"",SUMIFS(INPUT_DATA!J:J,INPUT_DATA!$A:$A,$B55,INPUT_DATA!$C:$C,"S"))</f>
        <v/>
      </c>
      <c r="J55" s="704" t="str">
        <f>IF($B55=0,"",SUMIFS(INPUT_DATA!K:K,INPUT_DATA!$A:$A,$B55,INPUT_DATA!$C:$C,"S"))</f>
        <v/>
      </c>
      <c r="K55" s="704" t="str">
        <f>IF($B55=0,"",SUMIFS(INPUT_DATA!L:L,INPUT_DATA!$A:$A,$B55,INPUT_DATA!$C:$C,"S"))</f>
        <v/>
      </c>
      <c r="L55" s="704" t="str">
        <f>IF($B55=0,"",SUMIFS(INPUT_DATA!M:M,INPUT_DATA!$A:$A,$B55,INPUT_DATA!$C:$C,"S"))</f>
        <v/>
      </c>
      <c r="M55" s="704" t="str">
        <f>IF($B55=0,"",SUMIFS(INPUT_DATA!N:N,INPUT_DATA!$A:$A,$B55,INPUT_DATA!$C:$C,"S"))</f>
        <v/>
      </c>
      <c r="N55" s="704" t="str">
        <f>IF($B55=0,"",SUMIFS(INPUT_DATA!O:O,INPUT_DATA!$A:$A,$B55,INPUT_DATA!$C:$C,"S"))</f>
        <v/>
      </c>
      <c r="O55" s="704" t="str">
        <f>IF($B55=0,"",SUMIFS(INPUT_DATA!P:P,INPUT_DATA!$A:$A,$B55,INPUT_DATA!$C:$C,"S"))</f>
        <v/>
      </c>
      <c r="P55" s="705" t="str">
        <f t="shared" si="5"/>
        <v/>
      </c>
      <c r="Q55" s="706" t="str">
        <f>IF($B55=0,"",SUMIFS(INPUT_DATA!Q:Q,INPUT_DATA!$A:$A,$B55,INPUT_DATA!$C:$C,"S"))</f>
        <v/>
      </c>
      <c r="R55" s="706" t="str">
        <f t="shared" si="20"/>
        <v/>
      </c>
      <c r="S55" s="712" t="str">
        <f>IF($B55=0,"",SUMIFS(INPUT_DATA!R:R,INPUT_DATA!$A:$A,$B55,INPUT_DATA!$C:$C,"S"))</f>
        <v/>
      </c>
      <c r="T55" s="712" t="str">
        <f>IF($B55=0,"",SUMIFS(INPUT_DATA!S:S,INPUT_DATA!$A:$A,$B55,INPUT_DATA!$C:$C,"S"))</f>
        <v/>
      </c>
      <c r="U55" s="712"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297" t="str">
        <f>IF($B55=0,"",SUMIFS(INPUT_DATA!AR:AR,INPUT_DATA!$A:$A,$B55,INPUT_DATA!$C:$C,"S"))</f>
        <v/>
      </c>
      <c r="AT55" s="713" t="str">
        <f t="shared" si="11"/>
        <v/>
      </c>
      <c r="AU55" s="714" t="str">
        <f t="shared" si="12"/>
        <v/>
      </c>
      <c r="AV55" s="715" t="str">
        <f t="shared" si="13"/>
        <v/>
      </c>
      <c r="AW55" s="713" t="str">
        <f>IF($B55=0,"",SUMIFS(INPUT_DATA!AS:AS,INPUT_DATA!$A:$A,$B55,INPUT_DATA!$C:$C,"S"))</f>
        <v/>
      </c>
      <c r="AX55" s="714" t="str">
        <f>IF($B55=0,"",SUMIFS(INPUT_DATA!AT:AT,INPUT_DATA!$A:$A,$B55,INPUT_DATA!$C:$C,"S"))</f>
        <v/>
      </c>
      <c r="AY55" s="715" t="str">
        <f>IF($B55=0,"",SUMIFS(INPUT_DATA!AU:AU,INPUT_DATA!$A:$A,$B55,INPUT_DATA!$C:$C,"S"))</f>
        <v/>
      </c>
      <c r="AZ55" s="713" t="str">
        <f t="shared" si="6"/>
        <v/>
      </c>
      <c r="BA55" s="714" t="str">
        <f t="shared" si="7"/>
        <v/>
      </c>
      <c r="BB55" s="715" t="str">
        <f t="shared" si="8"/>
        <v/>
      </c>
      <c r="BC55" s="150"/>
      <c r="BD55" s="702" t="str">
        <f>IF($B55=0,"",SUMIFS(INPUT_DATA!D:D,INPUT_DATA!$A:$A,$B55,INPUT_DATA!$C:$C,"D"))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296" t="str">
        <f>IF($B55=0,"",SUMIFS(INPUT_DATA!P:P,INPUT_DATA!$A:$A,$B55,INPUT_DATA!$C:$C,"D"))</f>
        <v/>
      </c>
      <c r="BO55" s="718" t="str">
        <f t="shared" si="9"/>
        <v/>
      </c>
      <c r="BP55" s="990" t="str">
        <f>IF($B55=0,"",SUMIFS(INPUT_DATA!Q:Q,INPUT_DATA!$A:$A,$B55,INPUT_DATA!$C:$C,"D"))</f>
        <v/>
      </c>
      <c r="BQ55" s="718" t="str">
        <f t="shared" si="10"/>
        <v/>
      </c>
      <c r="BR55" s="702" t="str">
        <f>IF($B55=0,"",SUMIFS(INPUT_DATA!R:R,INPUT_DATA!$A:$A,$B55,INPUT_DATA!$C:$C,"D"))</f>
        <v/>
      </c>
      <c r="BS55" s="724" t="str">
        <f>IF($B55=0,"",SUMIFS(INPUT_DATA!S:S,INPUT_DATA!$A:$A,$B55,INPUT_DATA!$C:$C,"D"))</f>
        <v/>
      </c>
      <c r="BT55" s="724"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296" t="str">
        <f>IF($B55=0,"",SUMIFS(INPUT_DATA!Z:Z,INPUT_DATA!$A:$A,$B55,INPUT_DATA!$C:$C,"D"))</f>
        <v/>
      </c>
      <c r="CA55" s="336" t="str">
        <f>IF($B55=0,"",SUMIFS(INPUT_DATA!AA:AA,INPUT_DATA!$A:$A,$B55,INPUT_DATA!$C:$C,"D"))</f>
        <v/>
      </c>
      <c r="CB55" s="336" t="str">
        <f>IF($B55=0,"",SUMIFS(INPUT_DATA!AB:AB,INPUT_DATA!$A:$A,$B55,INPUT_DATA!$C:$C,"D"))</f>
        <v/>
      </c>
      <c r="CC55" s="336" t="str">
        <f>IF($B55=0,"",SUMIFS(INPUT_DATA!AC:AC,INPUT_DATA!$A:$A,$B55,INPUT_DATA!$C:$C,"D"))</f>
        <v/>
      </c>
      <c r="CD55" s="296" t="str">
        <f>IF($B55=0,"",SUMIFS(INPUT_DATA!AD:AD,INPUT_DATA!$A:$A,$B55,INPUT_DATA!$C:$C,"D"))</f>
        <v/>
      </c>
      <c r="CE55" s="296" t="str">
        <f>IF($B55=0,"",SUMIFS(INPUT_DATA!AE:AE,INPUT_DATA!$A:$A,$B55,INPUT_DATA!$C:$C,"D"))</f>
        <v/>
      </c>
      <c r="CF55" s="296" t="str">
        <f>IF($B55=0,"",SUMIFS(INPUT_DATA!AF:AF,INPUT_DATA!$A:$A,$B55,INPUT_DATA!$C:$C,"D"))</f>
        <v/>
      </c>
      <c r="CG55" s="336" t="str">
        <f>IF($B55=0,"",SUMIFS(INPUT_DATA!AG:AG,INPUT_DATA!$A:$A,$B55,INPUT_DATA!$C:$C,"D"))</f>
        <v/>
      </c>
      <c r="CH55" s="336" t="str">
        <f>IF($B55=0,"",SUMIFS(INPUT_DATA!AH:AH,INPUT_DATA!$A:$A,$B55,INPUT_DATA!$C:$C,"D"))</f>
        <v/>
      </c>
      <c r="CI55" s="336"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153" t="str">
        <f>IF($B55=0,"",SUMIFS(INPUT_DATA!AR:AR,INPUT_DATA!$A:$A,$B55,INPUT_DATA!$C:$C,"D"))</f>
        <v/>
      </c>
      <c r="CS55" s="714" t="str">
        <f t="shared" si="14"/>
        <v/>
      </c>
      <c r="CT55" s="714" t="str">
        <f t="shared" si="15"/>
        <v/>
      </c>
      <c r="CU55" s="714" t="str">
        <f t="shared" si="16"/>
        <v/>
      </c>
      <c r="CV55" s="703" t="str">
        <f>IF($B55=0,"",SUMIFS(INPUT_DATA!AS:AS,INPUT_DATA!$A:$A,$B55,INPUT_DATA!$C:$C,"D"))</f>
        <v/>
      </c>
      <c r="CW55" s="703" t="str">
        <f>IF($B55=0,"",SUMIFS(INPUT_DATA!AT:AT,INPUT_DATA!$A:$A,$B55,INPUT_DATA!$C:$C,"D"))</f>
        <v/>
      </c>
      <c r="CX55" s="703" t="str">
        <f>IF($B55=0,"",SUMIFS(INPUT_DATA!AU:AU,INPUT_DATA!$A:$A,$B55,INPUT_DATA!$C:$C,"D"))</f>
        <v/>
      </c>
      <c r="CY55" s="703" t="str">
        <f t="shared" si="17"/>
        <v/>
      </c>
      <c r="CZ55" s="714" t="str">
        <f t="shared" si="18"/>
        <v/>
      </c>
      <c r="DA55" s="725" t="str">
        <f t="shared" si="19"/>
        <v/>
      </c>
      <c r="DB55" s="150"/>
    </row>
    <row r="56" spans="1:106">
      <c r="A56" s="172">
        <f t="shared" si="21"/>
        <v>-9</v>
      </c>
      <c r="B56" s="697">
        <f>INPUT_DATA!BR43</f>
        <v>0</v>
      </c>
      <c r="C56" s="702" t="str">
        <f>IF($B56=0,"",SUMIFS(INPUT_DATA!D:D,INPUT_DATA!$A:$A,$B56,INPUT_DATA!$C:$C,"S"))</f>
        <v/>
      </c>
      <c r="D56" s="703" t="str">
        <f>IF($B56=0,"",SUMIFS(INPUT_DATA!E:E,INPUT_DATA!$A:$A,$B56,INPUT_DATA!$C:$C,"S"))</f>
        <v/>
      </c>
      <c r="E56" s="703" t="str">
        <f>IF($B56=0,"",SUMIFS(INPUT_DATA!F:F,INPUT_DATA!$A:$A,$B56,INPUT_DATA!$C:$C,"S"))</f>
        <v/>
      </c>
      <c r="F56" s="704" t="str">
        <f>IF($B56=0,"",SUMIFS(INPUT_DATA!G:G,INPUT_DATA!$A:$A,$B56,INPUT_DATA!$C:$C,"S"))</f>
        <v/>
      </c>
      <c r="G56" s="704" t="str">
        <f>IF($B56=0,"",SUMIFS(INPUT_DATA!H:H,INPUT_DATA!$A:$A,$B56,INPUT_DATA!$C:$C,"S"))</f>
        <v/>
      </c>
      <c r="H56" s="704" t="str">
        <f>IF($B56=0,"",SUMIFS(INPUT_DATA!I:I,INPUT_DATA!$A:$A,$B56,INPUT_DATA!$C:$C,"S"))</f>
        <v/>
      </c>
      <c r="I56" s="704" t="str">
        <f>IF($B56=0,"",SUMIFS(INPUT_DATA!J:J,INPUT_DATA!$A:$A,$B56,INPUT_DATA!$C:$C,"S"))</f>
        <v/>
      </c>
      <c r="J56" s="704" t="str">
        <f>IF($B56=0,"",SUMIFS(INPUT_DATA!K:K,INPUT_DATA!$A:$A,$B56,INPUT_DATA!$C:$C,"S"))</f>
        <v/>
      </c>
      <c r="K56" s="704" t="str">
        <f>IF($B56=0,"",SUMIFS(INPUT_DATA!L:L,INPUT_DATA!$A:$A,$B56,INPUT_DATA!$C:$C,"S"))</f>
        <v/>
      </c>
      <c r="L56" s="704" t="str">
        <f>IF($B56=0,"",SUMIFS(INPUT_DATA!M:M,INPUT_DATA!$A:$A,$B56,INPUT_DATA!$C:$C,"S"))</f>
        <v/>
      </c>
      <c r="M56" s="704" t="str">
        <f>IF($B56=0,"",SUMIFS(INPUT_DATA!N:N,INPUT_DATA!$A:$A,$B56,INPUT_DATA!$C:$C,"S"))</f>
        <v/>
      </c>
      <c r="N56" s="704" t="str">
        <f>IF($B56=0,"",SUMIFS(INPUT_DATA!O:O,INPUT_DATA!$A:$A,$B56,INPUT_DATA!$C:$C,"S"))</f>
        <v/>
      </c>
      <c r="O56" s="704" t="str">
        <f>IF($B56=0,"",SUMIFS(INPUT_DATA!P:P,INPUT_DATA!$A:$A,$B56,INPUT_DATA!$C:$C,"S"))</f>
        <v/>
      </c>
      <c r="P56" s="705" t="str">
        <f t="shared" si="5"/>
        <v/>
      </c>
      <c r="Q56" s="706" t="str">
        <f>IF($B56=0,"",SUMIFS(INPUT_DATA!Q:Q,INPUT_DATA!$A:$A,$B56,INPUT_DATA!$C:$C,"S"))</f>
        <v/>
      </c>
      <c r="R56" s="706" t="str">
        <f t="shared" si="20"/>
        <v/>
      </c>
      <c r="S56" s="712" t="str">
        <f>IF($B56=0,"",SUMIFS(INPUT_DATA!R:R,INPUT_DATA!$A:$A,$B56,INPUT_DATA!$C:$C,"S"))</f>
        <v/>
      </c>
      <c r="T56" s="712" t="str">
        <f>IF($B56=0,"",SUMIFS(INPUT_DATA!S:S,INPUT_DATA!$A:$A,$B56,INPUT_DATA!$C:$C,"S"))</f>
        <v/>
      </c>
      <c r="U56" s="712"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297" t="str">
        <f>IF($B56=0,"",SUMIFS(INPUT_DATA!AR:AR,INPUT_DATA!$A:$A,$B56,INPUT_DATA!$C:$C,"S"))</f>
        <v/>
      </c>
      <c r="AT56" s="713" t="str">
        <f t="shared" si="11"/>
        <v/>
      </c>
      <c r="AU56" s="714" t="str">
        <f t="shared" si="12"/>
        <v/>
      </c>
      <c r="AV56" s="715" t="str">
        <f t="shared" si="13"/>
        <v/>
      </c>
      <c r="AW56" s="713" t="str">
        <f>IF($B56=0,"",SUMIFS(INPUT_DATA!AS:AS,INPUT_DATA!$A:$A,$B56,INPUT_DATA!$C:$C,"S"))</f>
        <v/>
      </c>
      <c r="AX56" s="714" t="str">
        <f>IF($B56=0,"",SUMIFS(INPUT_DATA!AT:AT,INPUT_DATA!$A:$A,$B56,INPUT_DATA!$C:$C,"S"))</f>
        <v/>
      </c>
      <c r="AY56" s="715" t="str">
        <f>IF($B56=0,"",SUMIFS(INPUT_DATA!AU:AU,INPUT_DATA!$A:$A,$B56,INPUT_DATA!$C:$C,"S"))</f>
        <v/>
      </c>
      <c r="AZ56" s="713" t="str">
        <f t="shared" si="6"/>
        <v/>
      </c>
      <c r="BA56" s="714" t="str">
        <f t="shared" si="7"/>
        <v/>
      </c>
      <c r="BB56" s="715" t="str">
        <f t="shared" si="8"/>
        <v/>
      </c>
      <c r="BC56" s="150"/>
      <c r="BD56" s="702" t="str">
        <f>IF($B56=0,"",SUMIFS(INPUT_DATA!D:D,INPUT_DATA!$A:$A,$B56,INPUT_DATA!$C:$C,"D"))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296" t="str">
        <f>IF($B56=0,"",SUMIFS(INPUT_DATA!P:P,INPUT_DATA!$A:$A,$B56,INPUT_DATA!$C:$C,"D"))</f>
        <v/>
      </c>
      <c r="BO56" s="718" t="str">
        <f t="shared" si="9"/>
        <v/>
      </c>
      <c r="BP56" s="990" t="str">
        <f>IF($B56=0,"",SUMIFS(INPUT_DATA!Q:Q,INPUT_DATA!$A:$A,$B56,INPUT_DATA!$C:$C,"D"))</f>
        <v/>
      </c>
      <c r="BQ56" s="718" t="str">
        <f t="shared" si="10"/>
        <v/>
      </c>
      <c r="BR56" s="702" t="str">
        <f>IF($B56=0,"",SUMIFS(INPUT_DATA!R:R,INPUT_DATA!$A:$A,$B56,INPUT_DATA!$C:$C,"D"))</f>
        <v/>
      </c>
      <c r="BS56" s="724" t="str">
        <f>IF($B56=0,"",SUMIFS(INPUT_DATA!S:S,INPUT_DATA!$A:$A,$B56,INPUT_DATA!$C:$C,"D"))</f>
        <v/>
      </c>
      <c r="BT56" s="724"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296" t="str">
        <f>IF($B56=0,"",SUMIFS(INPUT_DATA!Z:Z,INPUT_DATA!$A:$A,$B56,INPUT_DATA!$C:$C,"D"))</f>
        <v/>
      </c>
      <c r="CA56" s="336" t="str">
        <f>IF($B56=0,"",SUMIFS(INPUT_DATA!AA:AA,INPUT_DATA!$A:$A,$B56,INPUT_DATA!$C:$C,"D"))</f>
        <v/>
      </c>
      <c r="CB56" s="336" t="str">
        <f>IF($B56=0,"",SUMIFS(INPUT_DATA!AB:AB,INPUT_DATA!$A:$A,$B56,INPUT_DATA!$C:$C,"D"))</f>
        <v/>
      </c>
      <c r="CC56" s="336" t="str">
        <f>IF($B56=0,"",SUMIFS(INPUT_DATA!AC:AC,INPUT_DATA!$A:$A,$B56,INPUT_DATA!$C:$C,"D"))</f>
        <v/>
      </c>
      <c r="CD56" s="296" t="str">
        <f>IF($B56=0,"",SUMIFS(INPUT_DATA!AD:AD,INPUT_DATA!$A:$A,$B56,INPUT_DATA!$C:$C,"D"))</f>
        <v/>
      </c>
      <c r="CE56" s="296" t="str">
        <f>IF($B56=0,"",SUMIFS(INPUT_DATA!AE:AE,INPUT_DATA!$A:$A,$B56,INPUT_DATA!$C:$C,"D"))</f>
        <v/>
      </c>
      <c r="CF56" s="296" t="str">
        <f>IF($B56=0,"",SUMIFS(INPUT_DATA!AF:AF,INPUT_DATA!$A:$A,$B56,INPUT_DATA!$C:$C,"D"))</f>
        <v/>
      </c>
      <c r="CG56" s="336" t="str">
        <f>IF($B56=0,"",SUMIFS(INPUT_DATA!AG:AG,INPUT_DATA!$A:$A,$B56,INPUT_DATA!$C:$C,"D"))</f>
        <v/>
      </c>
      <c r="CH56" s="336" t="str">
        <f>IF($B56=0,"",SUMIFS(INPUT_DATA!AH:AH,INPUT_DATA!$A:$A,$B56,INPUT_DATA!$C:$C,"D"))</f>
        <v/>
      </c>
      <c r="CI56" s="336"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153" t="str">
        <f>IF($B56=0,"",SUMIFS(INPUT_DATA!AR:AR,INPUT_DATA!$A:$A,$B56,INPUT_DATA!$C:$C,"D"))</f>
        <v/>
      </c>
      <c r="CS56" s="714" t="str">
        <f t="shared" si="14"/>
        <v/>
      </c>
      <c r="CT56" s="714" t="str">
        <f t="shared" si="15"/>
        <v/>
      </c>
      <c r="CU56" s="714" t="str">
        <f t="shared" si="16"/>
        <v/>
      </c>
      <c r="CV56" s="703" t="str">
        <f>IF($B56=0,"",SUMIFS(INPUT_DATA!AS:AS,INPUT_DATA!$A:$A,$B56,INPUT_DATA!$C:$C,"D"))</f>
        <v/>
      </c>
      <c r="CW56" s="703" t="str">
        <f>IF($B56=0,"",SUMIFS(INPUT_DATA!AT:AT,INPUT_DATA!$A:$A,$B56,INPUT_DATA!$C:$C,"D"))</f>
        <v/>
      </c>
      <c r="CX56" s="703" t="str">
        <f>IF($B56=0,"",SUMIFS(INPUT_DATA!AU:AU,INPUT_DATA!$A:$A,$B56,INPUT_DATA!$C:$C,"D"))</f>
        <v/>
      </c>
      <c r="CY56" s="703" t="str">
        <f t="shared" si="17"/>
        <v/>
      </c>
      <c r="CZ56" s="714" t="str">
        <f t="shared" si="18"/>
        <v/>
      </c>
      <c r="DA56" s="725" t="str">
        <f t="shared" si="19"/>
        <v/>
      </c>
      <c r="DB56" s="150"/>
    </row>
    <row r="57" spans="1:106">
      <c r="A57" s="172">
        <f t="shared" si="21"/>
        <v>-10</v>
      </c>
      <c r="B57" s="697">
        <f>INPUT_DATA!BR44</f>
        <v>0</v>
      </c>
      <c r="C57" s="702" t="str">
        <f>IF($B57=0,"",SUMIFS(INPUT_DATA!D:D,INPUT_DATA!$A:$A,$B57,INPUT_DATA!$C:$C,"S"))</f>
        <v/>
      </c>
      <c r="D57" s="703" t="str">
        <f>IF($B57=0,"",SUMIFS(INPUT_DATA!E:E,INPUT_DATA!$A:$A,$B57,INPUT_DATA!$C:$C,"S"))</f>
        <v/>
      </c>
      <c r="E57" s="703" t="str">
        <f>IF($B57=0,"",SUMIFS(INPUT_DATA!F:F,INPUT_DATA!$A:$A,$B57,INPUT_DATA!$C:$C,"S"))</f>
        <v/>
      </c>
      <c r="F57" s="704" t="str">
        <f>IF($B57=0,"",SUMIFS(INPUT_DATA!G:G,INPUT_DATA!$A:$A,$B57,INPUT_DATA!$C:$C,"S"))</f>
        <v/>
      </c>
      <c r="G57" s="704" t="str">
        <f>IF($B57=0,"",SUMIFS(INPUT_DATA!H:H,INPUT_DATA!$A:$A,$B57,INPUT_DATA!$C:$C,"S"))</f>
        <v/>
      </c>
      <c r="H57" s="704" t="str">
        <f>IF($B57=0,"",SUMIFS(INPUT_DATA!I:I,INPUT_DATA!$A:$A,$B57,INPUT_DATA!$C:$C,"S"))</f>
        <v/>
      </c>
      <c r="I57" s="704" t="str">
        <f>IF($B57=0,"",SUMIFS(INPUT_DATA!J:J,INPUT_DATA!$A:$A,$B57,INPUT_DATA!$C:$C,"S"))</f>
        <v/>
      </c>
      <c r="J57" s="704" t="str">
        <f>IF($B57=0,"",SUMIFS(INPUT_DATA!K:K,INPUT_DATA!$A:$A,$B57,INPUT_DATA!$C:$C,"S"))</f>
        <v/>
      </c>
      <c r="K57" s="704" t="str">
        <f>IF($B57=0,"",SUMIFS(INPUT_DATA!L:L,INPUT_DATA!$A:$A,$B57,INPUT_DATA!$C:$C,"S"))</f>
        <v/>
      </c>
      <c r="L57" s="704" t="str">
        <f>IF($B57=0,"",SUMIFS(INPUT_DATA!M:M,INPUT_DATA!$A:$A,$B57,INPUT_DATA!$C:$C,"S"))</f>
        <v/>
      </c>
      <c r="M57" s="704" t="str">
        <f>IF($B57=0,"",SUMIFS(INPUT_DATA!N:N,INPUT_DATA!$A:$A,$B57,INPUT_DATA!$C:$C,"S"))</f>
        <v/>
      </c>
      <c r="N57" s="704" t="str">
        <f>IF($B57=0,"",SUMIFS(INPUT_DATA!O:O,INPUT_DATA!$A:$A,$B57,INPUT_DATA!$C:$C,"S"))</f>
        <v/>
      </c>
      <c r="O57" s="704" t="str">
        <f>IF($B57=0,"",SUMIFS(INPUT_DATA!P:P,INPUT_DATA!$A:$A,$B57,INPUT_DATA!$C:$C,"S"))</f>
        <v/>
      </c>
      <c r="P57" s="705" t="str">
        <f t="shared" si="5"/>
        <v/>
      </c>
      <c r="Q57" s="706" t="str">
        <f>IF($B57=0,"",SUMIFS(INPUT_DATA!Q:Q,INPUT_DATA!$A:$A,$B57,INPUT_DATA!$C:$C,"S"))</f>
        <v/>
      </c>
      <c r="R57" s="706" t="str">
        <f t="shared" si="20"/>
        <v/>
      </c>
      <c r="S57" s="712" t="str">
        <f>IF($B57=0,"",SUMIFS(INPUT_DATA!R:R,INPUT_DATA!$A:$A,$B57,INPUT_DATA!$C:$C,"S"))</f>
        <v/>
      </c>
      <c r="T57" s="712" t="str">
        <f>IF($B57=0,"",SUMIFS(INPUT_DATA!S:S,INPUT_DATA!$A:$A,$B57,INPUT_DATA!$C:$C,"S"))</f>
        <v/>
      </c>
      <c r="U57" s="712"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297" t="str">
        <f>IF($B57=0,"",SUMIFS(INPUT_DATA!AR:AR,INPUT_DATA!$A:$A,$B57,INPUT_DATA!$C:$C,"S"))</f>
        <v/>
      </c>
      <c r="AT57" s="713" t="str">
        <f t="shared" si="11"/>
        <v/>
      </c>
      <c r="AU57" s="714" t="str">
        <f t="shared" si="12"/>
        <v/>
      </c>
      <c r="AV57" s="715" t="str">
        <f t="shared" si="13"/>
        <v/>
      </c>
      <c r="AW57" s="713" t="str">
        <f>IF($B57=0,"",SUMIFS(INPUT_DATA!AS:AS,INPUT_DATA!$A:$A,$B57,INPUT_DATA!$C:$C,"S"))</f>
        <v/>
      </c>
      <c r="AX57" s="714" t="str">
        <f>IF($B57=0,"",SUMIFS(INPUT_DATA!AT:AT,INPUT_DATA!$A:$A,$B57,INPUT_DATA!$C:$C,"S"))</f>
        <v/>
      </c>
      <c r="AY57" s="715" t="str">
        <f>IF($B57=0,"",SUMIFS(INPUT_DATA!AU:AU,INPUT_DATA!$A:$A,$B57,INPUT_DATA!$C:$C,"S"))</f>
        <v/>
      </c>
      <c r="AZ57" s="713" t="str">
        <f t="shared" si="6"/>
        <v/>
      </c>
      <c r="BA57" s="714" t="str">
        <f t="shared" si="7"/>
        <v/>
      </c>
      <c r="BB57" s="715" t="str">
        <f t="shared" si="8"/>
        <v/>
      </c>
      <c r="BC57" s="150"/>
      <c r="BD57" s="702" t="str">
        <f>IF($B57=0,"",SUMIFS(INPUT_DATA!D:D,INPUT_DATA!$A:$A,$B57,INPUT_DATA!$C:$C,"D"))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296" t="str">
        <f>IF($B57=0,"",SUMIFS(INPUT_DATA!P:P,INPUT_DATA!$A:$A,$B57,INPUT_DATA!$C:$C,"D"))</f>
        <v/>
      </c>
      <c r="BO57" s="718" t="str">
        <f t="shared" si="9"/>
        <v/>
      </c>
      <c r="BP57" s="990" t="str">
        <f>IF($B57=0,"",SUMIFS(INPUT_DATA!Q:Q,INPUT_DATA!$A:$A,$B57,INPUT_DATA!$C:$C,"D"))</f>
        <v/>
      </c>
      <c r="BQ57" s="718" t="str">
        <f t="shared" si="10"/>
        <v/>
      </c>
      <c r="BR57" s="702" t="str">
        <f>IF($B57=0,"",SUMIFS(INPUT_DATA!R:R,INPUT_DATA!$A:$A,$B57,INPUT_DATA!$C:$C,"D"))</f>
        <v/>
      </c>
      <c r="BS57" s="724" t="str">
        <f>IF($B57=0,"",SUMIFS(INPUT_DATA!S:S,INPUT_DATA!$A:$A,$B57,INPUT_DATA!$C:$C,"D"))</f>
        <v/>
      </c>
      <c r="BT57" s="724"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296" t="str">
        <f>IF($B57=0,"",SUMIFS(INPUT_DATA!Z:Z,INPUT_DATA!$A:$A,$B57,INPUT_DATA!$C:$C,"D"))</f>
        <v/>
      </c>
      <c r="CA57" s="336" t="str">
        <f>IF($B57=0,"",SUMIFS(INPUT_DATA!AA:AA,INPUT_DATA!$A:$A,$B57,INPUT_DATA!$C:$C,"D"))</f>
        <v/>
      </c>
      <c r="CB57" s="336" t="str">
        <f>IF($B57=0,"",SUMIFS(INPUT_DATA!AB:AB,INPUT_DATA!$A:$A,$B57,INPUT_DATA!$C:$C,"D"))</f>
        <v/>
      </c>
      <c r="CC57" s="336" t="str">
        <f>IF($B57=0,"",SUMIFS(INPUT_DATA!AC:AC,INPUT_DATA!$A:$A,$B57,INPUT_DATA!$C:$C,"D"))</f>
        <v/>
      </c>
      <c r="CD57" s="296" t="str">
        <f>IF($B57=0,"",SUMIFS(INPUT_DATA!AD:AD,INPUT_DATA!$A:$A,$B57,INPUT_DATA!$C:$C,"D"))</f>
        <v/>
      </c>
      <c r="CE57" s="296" t="str">
        <f>IF($B57=0,"",SUMIFS(INPUT_DATA!AE:AE,INPUT_DATA!$A:$A,$B57,INPUT_DATA!$C:$C,"D"))</f>
        <v/>
      </c>
      <c r="CF57" s="296" t="str">
        <f>IF($B57=0,"",SUMIFS(INPUT_DATA!AF:AF,INPUT_DATA!$A:$A,$B57,INPUT_DATA!$C:$C,"D"))</f>
        <v/>
      </c>
      <c r="CG57" s="336" t="str">
        <f>IF($B57=0,"",SUMIFS(INPUT_DATA!AG:AG,INPUT_DATA!$A:$A,$B57,INPUT_DATA!$C:$C,"D"))</f>
        <v/>
      </c>
      <c r="CH57" s="336" t="str">
        <f>IF($B57=0,"",SUMIFS(INPUT_DATA!AH:AH,INPUT_DATA!$A:$A,$B57,INPUT_DATA!$C:$C,"D"))</f>
        <v/>
      </c>
      <c r="CI57" s="336"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153" t="str">
        <f>IF($B57=0,"",SUMIFS(INPUT_DATA!AR:AR,INPUT_DATA!$A:$A,$B57,INPUT_DATA!$C:$C,"D"))</f>
        <v/>
      </c>
      <c r="CS57" s="714" t="str">
        <f t="shared" si="14"/>
        <v/>
      </c>
      <c r="CT57" s="714" t="str">
        <f t="shared" si="15"/>
        <v/>
      </c>
      <c r="CU57" s="714" t="str">
        <f t="shared" si="16"/>
        <v/>
      </c>
      <c r="CV57" s="703" t="str">
        <f>IF($B57=0,"",SUMIFS(INPUT_DATA!AS:AS,INPUT_DATA!$A:$A,$B57,INPUT_DATA!$C:$C,"D"))</f>
        <v/>
      </c>
      <c r="CW57" s="703" t="str">
        <f>IF($B57=0,"",SUMIFS(INPUT_DATA!AT:AT,INPUT_DATA!$A:$A,$B57,INPUT_DATA!$C:$C,"D"))</f>
        <v/>
      </c>
      <c r="CX57" s="703" t="str">
        <f>IF($B57=0,"",SUMIFS(INPUT_DATA!AU:AU,INPUT_DATA!$A:$A,$B57,INPUT_DATA!$C:$C,"D"))</f>
        <v/>
      </c>
      <c r="CY57" s="703" t="str">
        <f t="shared" si="17"/>
        <v/>
      </c>
      <c r="CZ57" s="714" t="str">
        <f t="shared" si="18"/>
        <v/>
      </c>
      <c r="DA57" s="725" t="str">
        <f t="shared" si="19"/>
        <v/>
      </c>
      <c r="DB57" s="150"/>
    </row>
    <row r="58" spans="1:106">
      <c r="A58" s="172">
        <f t="shared" si="21"/>
        <v>-11</v>
      </c>
      <c r="B58" s="697">
        <f>INPUT_DATA!BR45</f>
        <v>0</v>
      </c>
      <c r="C58" s="702" t="str">
        <f>IF($B58=0,"",SUMIFS(INPUT_DATA!D:D,INPUT_DATA!$A:$A,$B58,INPUT_DATA!$C:$C,"S"))</f>
        <v/>
      </c>
      <c r="D58" s="703" t="str">
        <f>IF($B58=0,"",SUMIFS(INPUT_DATA!E:E,INPUT_DATA!$A:$A,$B58,INPUT_DATA!$C:$C,"S"))</f>
        <v/>
      </c>
      <c r="E58" s="703" t="str">
        <f>IF($B58=0,"",SUMIFS(INPUT_DATA!F:F,INPUT_DATA!$A:$A,$B58,INPUT_DATA!$C:$C,"S"))</f>
        <v/>
      </c>
      <c r="F58" s="704" t="str">
        <f>IF($B58=0,"",SUMIFS(INPUT_DATA!G:G,INPUT_DATA!$A:$A,$B58,INPUT_DATA!$C:$C,"S"))</f>
        <v/>
      </c>
      <c r="G58" s="704" t="str">
        <f>IF($B58=0,"",SUMIFS(INPUT_DATA!H:H,INPUT_DATA!$A:$A,$B58,INPUT_DATA!$C:$C,"S"))</f>
        <v/>
      </c>
      <c r="H58" s="704" t="str">
        <f>IF($B58=0,"",SUMIFS(INPUT_DATA!I:I,INPUT_DATA!$A:$A,$B58,INPUT_DATA!$C:$C,"S"))</f>
        <v/>
      </c>
      <c r="I58" s="704" t="str">
        <f>IF($B58=0,"",SUMIFS(INPUT_DATA!J:J,INPUT_DATA!$A:$A,$B58,INPUT_DATA!$C:$C,"S"))</f>
        <v/>
      </c>
      <c r="J58" s="704" t="str">
        <f>IF($B58=0,"",SUMIFS(INPUT_DATA!K:K,INPUT_DATA!$A:$A,$B58,INPUT_DATA!$C:$C,"S"))</f>
        <v/>
      </c>
      <c r="K58" s="704" t="str">
        <f>IF($B58=0,"",SUMIFS(INPUT_DATA!L:L,INPUT_DATA!$A:$A,$B58,INPUT_DATA!$C:$C,"S"))</f>
        <v/>
      </c>
      <c r="L58" s="704" t="str">
        <f>IF($B58=0,"",SUMIFS(INPUT_DATA!M:M,INPUT_DATA!$A:$A,$B58,INPUT_DATA!$C:$C,"S"))</f>
        <v/>
      </c>
      <c r="M58" s="704" t="str">
        <f>IF($B58=0,"",SUMIFS(INPUT_DATA!N:N,INPUT_DATA!$A:$A,$B58,INPUT_DATA!$C:$C,"S"))</f>
        <v/>
      </c>
      <c r="N58" s="704" t="str">
        <f>IF($B58=0,"",SUMIFS(INPUT_DATA!O:O,INPUT_DATA!$A:$A,$B58,INPUT_DATA!$C:$C,"S"))</f>
        <v/>
      </c>
      <c r="O58" s="704" t="str">
        <f>IF($B58=0,"",SUMIFS(INPUT_DATA!P:P,INPUT_DATA!$A:$A,$B58,INPUT_DATA!$C:$C,"S"))</f>
        <v/>
      </c>
      <c r="P58" s="705" t="str">
        <f t="shared" si="5"/>
        <v/>
      </c>
      <c r="Q58" s="706" t="str">
        <f>IF($B58=0,"",SUMIFS(INPUT_DATA!Q:Q,INPUT_DATA!$A:$A,$B58,INPUT_DATA!$C:$C,"S"))</f>
        <v/>
      </c>
      <c r="R58" s="706" t="str">
        <f t="shared" si="20"/>
        <v/>
      </c>
      <c r="S58" s="712" t="str">
        <f>IF($B58=0,"",SUMIFS(INPUT_DATA!R:R,INPUT_DATA!$A:$A,$B58,INPUT_DATA!$C:$C,"S"))</f>
        <v/>
      </c>
      <c r="T58" s="712" t="str">
        <f>IF($B58=0,"",SUMIFS(INPUT_DATA!S:S,INPUT_DATA!$A:$A,$B58,INPUT_DATA!$C:$C,"S"))</f>
        <v/>
      </c>
      <c r="U58" s="712"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297" t="str">
        <f>IF($B58=0,"",SUMIFS(INPUT_DATA!AR:AR,INPUT_DATA!$A:$A,$B58,INPUT_DATA!$C:$C,"S"))</f>
        <v/>
      </c>
      <c r="AT58" s="713" t="str">
        <f t="shared" si="11"/>
        <v/>
      </c>
      <c r="AU58" s="714" t="str">
        <f t="shared" si="12"/>
        <v/>
      </c>
      <c r="AV58" s="715" t="str">
        <f t="shared" si="13"/>
        <v/>
      </c>
      <c r="AW58" s="713" t="str">
        <f>IF($B58=0,"",SUMIFS(INPUT_DATA!AS:AS,INPUT_DATA!$A:$A,$B58,INPUT_DATA!$C:$C,"S"))</f>
        <v/>
      </c>
      <c r="AX58" s="714" t="str">
        <f>IF($B58=0,"",SUMIFS(INPUT_DATA!AT:AT,INPUT_DATA!$A:$A,$B58,INPUT_DATA!$C:$C,"S"))</f>
        <v/>
      </c>
      <c r="AY58" s="715" t="str">
        <f>IF($B58=0,"",SUMIFS(INPUT_DATA!AU:AU,INPUT_DATA!$A:$A,$B58,INPUT_DATA!$C:$C,"S"))</f>
        <v/>
      </c>
      <c r="AZ58" s="713" t="str">
        <f t="shared" si="6"/>
        <v/>
      </c>
      <c r="BA58" s="714" t="str">
        <f t="shared" si="7"/>
        <v/>
      </c>
      <c r="BB58" s="715" t="str">
        <f t="shared" si="8"/>
        <v/>
      </c>
      <c r="BC58" s="150"/>
      <c r="BD58" s="702" t="str">
        <f>IF($B58=0,"",SUMIFS(INPUT_DATA!D:D,INPUT_DATA!$A:$A,$B58,INPUT_DATA!$C:$C,"D"))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296" t="str">
        <f>IF($B58=0,"",SUMIFS(INPUT_DATA!P:P,INPUT_DATA!$A:$A,$B58,INPUT_DATA!$C:$C,"D"))</f>
        <v/>
      </c>
      <c r="BO58" s="718" t="str">
        <f t="shared" si="9"/>
        <v/>
      </c>
      <c r="BP58" s="990" t="str">
        <f>IF($B58=0,"",SUMIFS(INPUT_DATA!Q:Q,INPUT_DATA!$A:$A,$B58,INPUT_DATA!$C:$C,"D"))</f>
        <v/>
      </c>
      <c r="BQ58" s="718" t="str">
        <f t="shared" si="10"/>
        <v/>
      </c>
      <c r="BR58" s="702" t="str">
        <f>IF($B58=0,"",SUMIFS(INPUT_DATA!R:R,INPUT_DATA!$A:$A,$B58,INPUT_DATA!$C:$C,"D"))</f>
        <v/>
      </c>
      <c r="BS58" s="724" t="str">
        <f>IF($B58=0,"",SUMIFS(INPUT_DATA!S:S,INPUT_DATA!$A:$A,$B58,INPUT_DATA!$C:$C,"D"))</f>
        <v/>
      </c>
      <c r="BT58" s="724"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296" t="str">
        <f>IF($B58=0,"",SUMIFS(INPUT_DATA!Z:Z,INPUT_DATA!$A:$A,$B58,INPUT_DATA!$C:$C,"D"))</f>
        <v/>
      </c>
      <c r="CA58" s="336" t="str">
        <f>IF($B58=0,"",SUMIFS(INPUT_DATA!AA:AA,INPUT_DATA!$A:$A,$B58,INPUT_DATA!$C:$C,"D"))</f>
        <v/>
      </c>
      <c r="CB58" s="336" t="str">
        <f>IF($B58=0,"",SUMIFS(INPUT_DATA!AB:AB,INPUT_DATA!$A:$A,$B58,INPUT_DATA!$C:$C,"D"))</f>
        <v/>
      </c>
      <c r="CC58" s="336" t="str">
        <f>IF($B58=0,"",SUMIFS(INPUT_DATA!AC:AC,INPUT_DATA!$A:$A,$B58,INPUT_DATA!$C:$C,"D"))</f>
        <v/>
      </c>
      <c r="CD58" s="296" t="str">
        <f>IF($B58=0,"",SUMIFS(INPUT_DATA!AD:AD,INPUT_DATA!$A:$A,$B58,INPUT_DATA!$C:$C,"D"))</f>
        <v/>
      </c>
      <c r="CE58" s="296" t="str">
        <f>IF($B58=0,"",SUMIFS(INPUT_DATA!AE:AE,INPUT_DATA!$A:$A,$B58,INPUT_DATA!$C:$C,"D"))</f>
        <v/>
      </c>
      <c r="CF58" s="296" t="str">
        <f>IF($B58=0,"",SUMIFS(INPUT_DATA!AF:AF,INPUT_DATA!$A:$A,$B58,INPUT_DATA!$C:$C,"D"))</f>
        <v/>
      </c>
      <c r="CG58" s="336" t="str">
        <f>IF($B58=0,"",SUMIFS(INPUT_DATA!AG:AG,INPUT_DATA!$A:$A,$B58,INPUT_DATA!$C:$C,"D"))</f>
        <v/>
      </c>
      <c r="CH58" s="336" t="str">
        <f>IF($B58=0,"",SUMIFS(INPUT_DATA!AH:AH,INPUT_DATA!$A:$A,$B58,INPUT_DATA!$C:$C,"D"))</f>
        <v/>
      </c>
      <c r="CI58" s="336"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153" t="str">
        <f>IF($B58=0,"",SUMIFS(INPUT_DATA!AR:AR,INPUT_DATA!$A:$A,$B58,INPUT_DATA!$C:$C,"D"))</f>
        <v/>
      </c>
      <c r="CS58" s="714" t="str">
        <f t="shared" si="14"/>
        <v/>
      </c>
      <c r="CT58" s="714" t="str">
        <f t="shared" si="15"/>
        <v/>
      </c>
      <c r="CU58" s="714" t="str">
        <f t="shared" si="16"/>
        <v/>
      </c>
      <c r="CV58" s="703" t="str">
        <f>IF($B58=0,"",SUMIFS(INPUT_DATA!AS:AS,INPUT_DATA!$A:$A,$B58,INPUT_DATA!$C:$C,"D"))</f>
        <v/>
      </c>
      <c r="CW58" s="703" t="str">
        <f>IF($B58=0,"",SUMIFS(INPUT_DATA!AT:AT,INPUT_DATA!$A:$A,$B58,INPUT_DATA!$C:$C,"D"))</f>
        <v/>
      </c>
      <c r="CX58" s="703" t="str">
        <f>IF($B58=0,"",SUMIFS(INPUT_DATA!AU:AU,INPUT_DATA!$A:$A,$B58,INPUT_DATA!$C:$C,"D"))</f>
        <v/>
      </c>
      <c r="CY58" s="703" t="str">
        <f t="shared" si="17"/>
        <v/>
      </c>
      <c r="CZ58" s="714" t="str">
        <f t="shared" si="18"/>
        <v/>
      </c>
      <c r="DA58" s="725" t="str">
        <f t="shared" si="19"/>
        <v/>
      </c>
      <c r="DB58" s="150"/>
    </row>
    <row r="59" spans="1:106">
      <c r="A59" s="172">
        <f t="shared" si="21"/>
        <v>-12</v>
      </c>
      <c r="B59" s="697">
        <f>INPUT_DATA!BR46</f>
        <v>0</v>
      </c>
      <c r="C59" s="702" t="str">
        <f>IF($B59=0,"",SUMIFS(INPUT_DATA!D:D,INPUT_DATA!$A:$A,$B59,INPUT_DATA!$C:$C,"S"))</f>
        <v/>
      </c>
      <c r="D59" s="703" t="str">
        <f>IF($B59=0,"",SUMIFS(INPUT_DATA!E:E,INPUT_DATA!$A:$A,$B59,INPUT_DATA!$C:$C,"S"))</f>
        <v/>
      </c>
      <c r="E59" s="703" t="str">
        <f>IF($B59=0,"",SUMIFS(INPUT_DATA!F:F,INPUT_DATA!$A:$A,$B59,INPUT_DATA!$C:$C,"S"))</f>
        <v/>
      </c>
      <c r="F59" s="704" t="str">
        <f>IF($B59=0,"",SUMIFS(INPUT_DATA!G:G,INPUT_DATA!$A:$A,$B59,INPUT_DATA!$C:$C,"S"))</f>
        <v/>
      </c>
      <c r="G59" s="704" t="str">
        <f>IF($B59=0,"",SUMIFS(INPUT_DATA!H:H,INPUT_DATA!$A:$A,$B59,INPUT_DATA!$C:$C,"S"))</f>
        <v/>
      </c>
      <c r="H59" s="704" t="str">
        <f>IF($B59=0,"",SUMIFS(INPUT_DATA!I:I,INPUT_DATA!$A:$A,$B59,INPUT_DATA!$C:$C,"S"))</f>
        <v/>
      </c>
      <c r="I59" s="704" t="str">
        <f>IF($B59=0,"",SUMIFS(INPUT_DATA!J:J,INPUT_DATA!$A:$A,$B59,INPUT_DATA!$C:$C,"S"))</f>
        <v/>
      </c>
      <c r="J59" s="704" t="str">
        <f>IF($B59=0,"",SUMIFS(INPUT_DATA!K:K,INPUT_DATA!$A:$A,$B59,INPUT_DATA!$C:$C,"S"))</f>
        <v/>
      </c>
      <c r="K59" s="704" t="str">
        <f>IF($B59=0,"",SUMIFS(INPUT_DATA!L:L,INPUT_DATA!$A:$A,$B59,INPUT_DATA!$C:$C,"S"))</f>
        <v/>
      </c>
      <c r="L59" s="704" t="str">
        <f>IF($B59=0,"",SUMIFS(INPUT_DATA!M:M,INPUT_DATA!$A:$A,$B59,INPUT_DATA!$C:$C,"S"))</f>
        <v/>
      </c>
      <c r="M59" s="704" t="str">
        <f>IF($B59=0,"",SUMIFS(INPUT_DATA!N:N,INPUT_DATA!$A:$A,$B59,INPUT_DATA!$C:$C,"S"))</f>
        <v/>
      </c>
      <c r="N59" s="704" t="str">
        <f>IF($B59=0,"",SUMIFS(INPUT_DATA!O:O,INPUT_DATA!$A:$A,$B59,INPUT_DATA!$C:$C,"S"))</f>
        <v/>
      </c>
      <c r="O59" s="704" t="str">
        <f>IF($B59=0,"",SUMIFS(INPUT_DATA!P:P,INPUT_DATA!$A:$A,$B59,INPUT_DATA!$C:$C,"S"))</f>
        <v/>
      </c>
      <c r="P59" s="705" t="str">
        <f t="shared" si="5"/>
        <v/>
      </c>
      <c r="Q59" s="706" t="str">
        <f>IF($B59=0,"",SUMIFS(INPUT_DATA!Q:Q,INPUT_DATA!$A:$A,$B59,INPUT_DATA!$C:$C,"S"))</f>
        <v/>
      </c>
      <c r="R59" s="706" t="str">
        <f t="shared" si="20"/>
        <v/>
      </c>
      <c r="S59" s="712" t="str">
        <f>IF($B59=0,"",SUMIFS(INPUT_DATA!R:R,INPUT_DATA!$A:$A,$B59,INPUT_DATA!$C:$C,"S"))</f>
        <v/>
      </c>
      <c r="T59" s="712" t="str">
        <f>IF($B59=0,"",SUMIFS(INPUT_DATA!S:S,INPUT_DATA!$A:$A,$B59,INPUT_DATA!$C:$C,"S"))</f>
        <v/>
      </c>
      <c r="U59" s="712"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297" t="str">
        <f>IF($B59=0,"",SUMIFS(INPUT_DATA!AR:AR,INPUT_DATA!$A:$A,$B59,INPUT_DATA!$C:$C,"S"))</f>
        <v/>
      </c>
      <c r="AT59" s="713" t="str">
        <f t="shared" si="11"/>
        <v/>
      </c>
      <c r="AU59" s="714" t="str">
        <f t="shared" si="12"/>
        <v/>
      </c>
      <c r="AV59" s="715" t="str">
        <f t="shared" si="13"/>
        <v/>
      </c>
      <c r="AW59" s="713" t="str">
        <f>IF($B59=0,"",SUMIFS(INPUT_DATA!AS:AS,INPUT_DATA!$A:$A,$B59,INPUT_DATA!$C:$C,"S"))</f>
        <v/>
      </c>
      <c r="AX59" s="714" t="str">
        <f>IF($B59=0,"",SUMIFS(INPUT_DATA!AT:AT,INPUT_DATA!$A:$A,$B59,INPUT_DATA!$C:$C,"S"))</f>
        <v/>
      </c>
      <c r="AY59" s="715" t="str">
        <f>IF($B59=0,"",SUMIFS(INPUT_DATA!AU:AU,INPUT_DATA!$A:$A,$B59,INPUT_DATA!$C:$C,"S"))</f>
        <v/>
      </c>
      <c r="AZ59" s="713" t="str">
        <f t="shared" si="6"/>
        <v/>
      </c>
      <c r="BA59" s="714" t="str">
        <f t="shared" si="7"/>
        <v/>
      </c>
      <c r="BB59" s="715" t="str">
        <f t="shared" si="8"/>
        <v/>
      </c>
      <c r="BC59" s="150"/>
      <c r="BD59" s="702" t="str">
        <f>IF($B59=0,"",SUMIFS(INPUT_DATA!D:D,INPUT_DATA!$A:$A,$B59,INPUT_DATA!$C:$C,"D"))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296" t="str">
        <f>IF($B59=0,"",SUMIFS(INPUT_DATA!P:P,INPUT_DATA!$A:$A,$B59,INPUT_DATA!$C:$C,"D"))</f>
        <v/>
      </c>
      <c r="BO59" s="718" t="str">
        <f t="shared" si="9"/>
        <v/>
      </c>
      <c r="BP59" s="990" t="str">
        <f>IF($B59=0,"",SUMIFS(INPUT_DATA!Q:Q,INPUT_DATA!$A:$A,$B59,INPUT_DATA!$C:$C,"D"))</f>
        <v/>
      </c>
      <c r="BQ59" s="718" t="str">
        <f t="shared" si="10"/>
        <v/>
      </c>
      <c r="BR59" s="702" t="str">
        <f>IF($B59=0,"",SUMIFS(INPUT_DATA!R:R,INPUT_DATA!$A:$A,$B59,INPUT_DATA!$C:$C,"D"))</f>
        <v/>
      </c>
      <c r="BS59" s="724" t="str">
        <f>IF($B59=0,"",SUMIFS(INPUT_DATA!S:S,INPUT_DATA!$A:$A,$B59,INPUT_DATA!$C:$C,"D"))</f>
        <v/>
      </c>
      <c r="BT59" s="724"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296" t="str">
        <f>IF($B59=0,"",SUMIFS(INPUT_DATA!Z:Z,INPUT_DATA!$A:$A,$B59,INPUT_DATA!$C:$C,"D"))</f>
        <v/>
      </c>
      <c r="CA59" s="336" t="str">
        <f>IF($B59=0,"",SUMIFS(INPUT_DATA!AA:AA,INPUT_DATA!$A:$A,$B59,INPUT_DATA!$C:$C,"D"))</f>
        <v/>
      </c>
      <c r="CB59" s="336" t="str">
        <f>IF($B59=0,"",SUMIFS(INPUT_DATA!AB:AB,INPUT_DATA!$A:$A,$B59,INPUT_DATA!$C:$C,"D"))</f>
        <v/>
      </c>
      <c r="CC59" s="336" t="str">
        <f>IF($B59=0,"",SUMIFS(INPUT_DATA!AC:AC,INPUT_DATA!$A:$A,$B59,INPUT_DATA!$C:$C,"D"))</f>
        <v/>
      </c>
      <c r="CD59" s="296" t="str">
        <f>IF($B59=0,"",SUMIFS(INPUT_DATA!AD:AD,INPUT_DATA!$A:$A,$B59,INPUT_DATA!$C:$C,"D"))</f>
        <v/>
      </c>
      <c r="CE59" s="296" t="str">
        <f>IF($B59=0,"",SUMIFS(INPUT_DATA!AE:AE,INPUT_DATA!$A:$A,$B59,INPUT_DATA!$C:$C,"D"))</f>
        <v/>
      </c>
      <c r="CF59" s="296" t="str">
        <f>IF($B59=0,"",SUMIFS(INPUT_DATA!AF:AF,INPUT_DATA!$A:$A,$B59,INPUT_DATA!$C:$C,"D"))</f>
        <v/>
      </c>
      <c r="CG59" s="336" t="str">
        <f>IF($B59=0,"",SUMIFS(INPUT_DATA!AG:AG,INPUT_DATA!$A:$A,$B59,INPUT_DATA!$C:$C,"D"))</f>
        <v/>
      </c>
      <c r="CH59" s="336" t="str">
        <f>IF($B59=0,"",SUMIFS(INPUT_DATA!AH:AH,INPUT_DATA!$A:$A,$B59,INPUT_DATA!$C:$C,"D"))</f>
        <v/>
      </c>
      <c r="CI59" s="336"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153" t="str">
        <f>IF($B59=0,"",SUMIFS(INPUT_DATA!AR:AR,INPUT_DATA!$A:$A,$B59,INPUT_DATA!$C:$C,"D"))</f>
        <v/>
      </c>
      <c r="CS59" s="714" t="str">
        <f t="shared" si="14"/>
        <v/>
      </c>
      <c r="CT59" s="714" t="str">
        <f t="shared" si="15"/>
        <v/>
      </c>
      <c r="CU59" s="714" t="str">
        <f t="shared" si="16"/>
        <v/>
      </c>
      <c r="CV59" s="703" t="str">
        <f>IF($B59=0,"",SUMIFS(INPUT_DATA!AS:AS,INPUT_DATA!$A:$A,$B59,INPUT_DATA!$C:$C,"D"))</f>
        <v/>
      </c>
      <c r="CW59" s="703" t="str">
        <f>IF($B59=0,"",SUMIFS(INPUT_DATA!AT:AT,INPUT_DATA!$A:$A,$B59,INPUT_DATA!$C:$C,"D"))</f>
        <v/>
      </c>
      <c r="CX59" s="703" t="str">
        <f>IF($B59=0,"",SUMIFS(INPUT_DATA!AU:AU,INPUT_DATA!$A:$A,$B59,INPUT_DATA!$C:$C,"D"))</f>
        <v/>
      </c>
      <c r="CY59" s="703" t="str">
        <f t="shared" si="17"/>
        <v/>
      </c>
      <c r="CZ59" s="714" t="str">
        <f t="shared" si="18"/>
        <v/>
      </c>
      <c r="DA59" s="725" t="str">
        <f t="shared" si="19"/>
        <v/>
      </c>
      <c r="DB59" s="150"/>
    </row>
    <row r="60" spans="1:106">
      <c r="A60" s="172">
        <f t="shared" si="21"/>
        <v>-13</v>
      </c>
      <c r="B60" s="697">
        <f>INPUT_DATA!BR47</f>
        <v>0</v>
      </c>
      <c r="C60" s="702" t="str">
        <f>IF($B60=0,"",SUMIFS(INPUT_DATA!D:D,INPUT_DATA!$A:$A,$B60,INPUT_DATA!$C:$C,"S"))</f>
        <v/>
      </c>
      <c r="D60" s="703" t="str">
        <f>IF($B60=0,"",SUMIFS(INPUT_DATA!E:E,INPUT_DATA!$A:$A,$B60,INPUT_DATA!$C:$C,"S"))</f>
        <v/>
      </c>
      <c r="E60" s="703" t="str">
        <f>IF($B60=0,"",SUMIFS(INPUT_DATA!F:F,INPUT_DATA!$A:$A,$B60,INPUT_DATA!$C:$C,"S"))</f>
        <v/>
      </c>
      <c r="F60" s="704" t="str">
        <f>IF($B60=0,"",SUMIFS(INPUT_DATA!G:G,INPUT_DATA!$A:$A,$B60,INPUT_DATA!$C:$C,"S"))</f>
        <v/>
      </c>
      <c r="G60" s="704" t="str">
        <f>IF($B60=0,"",SUMIFS(INPUT_DATA!H:H,INPUT_DATA!$A:$A,$B60,INPUT_DATA!$C:$C,"S"))</f>
        <v/>
      </c>
      <c r="H60" s="704" t="str">
        <f>IF($B60=0,"",SUMIFS(INPUT_DATA!I:I,INPUT_DATA!$A:$A,$B60,INPUT_DATA!$C:$C,"S"))</f>
        <v/>
      </c>
      <c r="I60" s="704" t="str">
        <f>IF($B60=0,"",SUMIFS(INPUT_DATA!J:J,INPUT_DATA!$A:$A,$B60,INPUT_DATA!$C:$C,"S"))</f>
        <v/>
      </c>
      <c r="J60" s="704" t="str">
        <f>IF($B60=0,"",SUMIFS(INPUT_DATA!K:K,INPUT_DATA!$A:$A,$B60,INPUT_DATA!$C:$C,"S"))</f>
        <v/>
      </c>
      <c r="K60" s="704" t="str">
        <f>IF($B60=0,"",SUMIFS(INPUT_DATA!L:L,INPUT_DATA!$A:$A,$B60,INPUT_DATA!$C:$C,"S"))</f>
        <v/>
      </c>
      <c r="L60" s="704" t="str">
        <f>IF($B60=0,"",SUMIFS(INPUT_DATA!M:M,INPUT_DATA!$A:$A,$B60,INPUT_DATA!$C:$C,"S"))</f>
        <v/>
      </c>
      <c r="M60" s="704" t="str">
        <f>IF($B60=0,"",SUMIFS(INPUT_DATA!N:N,INPUT_DATA!$A:$A,$B60,INPUT_DATA!$C:$C,"S"))</f>
        <v/>
      </c>
      <c r="N60" s="704" t="str">
        <f>IF($B60=0,"",SUMIFS(INPUT_DATA!O:O,INPUT_DATA!$A:$A,$B60,INPUT_DATA!$C:$C,"S"))</f>
        <v/>
      </c>
      <c r="O60" s="704" t="str">
        <f>IF($B60=0,"",SUMIFS(INPUT_DATA!P:P,INPUT_DATA!$A:$A,$B60,INPUT_DATA!$C:$C,"S"))</f>
        <v/>
      </c>
      <c r="P60" s="705" t="str">
        <f t="shared" si="5"/>
        <v/>
      </c>
      <c r="Q60" s="706" t="str">
        <f>IF($B60=0,"",SUMIFS(INPUT_DATA!Q:Q,INPUT_DATA!$A:$A,$B60,INPUT_DATA!$C:$C,"S"))</f>
        <v/>
      </c>
      <c r="R60" s="706" t="str">
        <f t="shared" si="20"/>
        <v/>
      </c>
      <c r="S60" s="712" t="str">
        <f>IF($B60=0,"",SUMIFS(INPUT_DATA!R:R,INPUT_DATA!$A:$A,$B60,INPUT_DATA!$C:$C,"S"))</f>
        <v/>
      </c>
      <c r="T60" s="712" t="str">
        <f>IF($B60=0,"",SUMIFS(INPUT_DATA!S:S,INPUT_DATA!$A:$A,$B60,INPUT_DATA!$C:$C,"S"))</f>
        <v/>
      </c>
      <c r="U60" s="712"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297" t="str">
        <f>IF($B60=0,"",SUMIFS(INPUT_DATA!AR:AR,INPUT_DATA!$A:$A,$B60,INPUT_DATA!$C:$C,"S"))</f>
        <v/>
      </c>
      <c r="AT60" s="713" t="str">
        <f t="shared" si="11"/>
        <v/>
      </c>
      <c r="AU60" s="714" t="str">
        <f t="shared" si="12"/>
        <v/>
      </c>
      <c r="AV60" s="715" t="str">
        <f t="shared" si="13"/>
        <v/>
      </c>
      <c r="AW60" s="713" t="str">
        <f>IF($B60=0,"",SUMIFS(INPUT_DATA!AS:AS,INPUT_DATA!$A:$A,$B60,INPUT_DATA!$C:$C,"S"))</f>
        <v/>
      </c>
      <c r="AX60" s="714" t="str">
        <f>IF($B60=0,"",SUMIFS(INPUT_DATA!AT:AT,INPUT_DATA!$A:$A,$B60,INPUT_DATA!$C:$C,"S"))</f>
        <v/>
      </c>
      <c r="AY60" s="715" t="str">
        <f>IF($B60=0,"",SUMIFS(INPUT_DATA!AU:AU,INPUT_DATA!$A:$A,$B60,INPUT_DATA!$C:$C,"S"))</f>
        <v/>
      </c>
      <c r="AZ60" s="713" t="str">
        <f t="shared" si="6"/>
        <v/>
      </c>
      <c r="BA60" s="714" t="str">
        <f t="shared" si="7"/>
        <v/>
      </c>
      <c r="BB60" s="715" t="str">
        <f t="shared" si="8"/>
        <v/>
      </c>
      <c r="BC60" s="150"/>
      <c r="BD60" s="702" t="str">
        <f>IF($B60=0,"",SUMIFS(INPUT_DATA!D:D,INPUT_DATA!$A:$A,$B60,INPUT_DATA!$C:$C,"D"))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296" t="str">
        <f>IF($B60=0,"",SUMIFS(INPUT_DATA!P:P,INPUT_DATA!$A:$A,$B60,INPUT_DATA!$C:$C,"D"))</f>
        <v/>
      </c>
      <c r="BO60" s="718" t="str">
        <f t="shared" si="9"/>
        <v/>
      </c>
      <c r="BP60" s="990" t="str">
        <f>IF($B60=0,"",SUMIFS(INPUT_DATA!Q:Q,INPUT_DATA!$A:$A,$B60,INPUT_DATA!$C:$C,"D"))</f>
        <v/>
      </c>
      <c r="BQ60" s="718" t="str">
        <f t="shared" si="10"/>
        <v/>
      </c>
      <c r="BR60" s="702" t="str">
        <f>IF($B60=0,"",SUMIFS(INPUT_DATA!R:R,INPUT_DATA!$A:$A,$B60,INPUT_DATA!$C:$C,"D"))</f>
        <v/>
      </c>
      <c r="BS60" s="724" t="str">
        <f>IF($B60=0,"",SUMIFS(INPUT_DATA!S:S,INPUT_DATA!$A:$A,$B60,INPUT_DATA!$C:$C,"D"))</f>
        <v/>
      </c>
      <c r="BT60" s="724"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296" t="str">
        <f>IF($B60=0,"",SUMIFS(INPUT_DATA!Z:Z,INPUT_DATA!$A:$A,$B60,INPUT_DATA!$C:$C,"D"))</f>
        <v/>
      </c>
      <c r="CA60" s="336" t="str">
        <f>IF($B60=0,"",SUMIFS(INPUT_DATA!AA:AA,INPUT_DATA!$A:$A,$B60,INPUT_DATA!$C:$C,"D"))</f>
        <v/>
      </c>
      <c r="CB60" s="336" t="str">
        <f>IF($B60=0,"",SUMIFS(INPUT_DATA!AB:AB,INPUT_DATA!$A:$A,$B60,INPUT_DATA!$C:$C,"D"))</f>
        <v/>
      </c>
      <c r="CC60" s="336" t="str">
        <f>IF($B60=0,"",SUMIFS(INPUT_DATA!AC:AC,INPUT_DATA!$A:$A,$B60,INPUT_DATA!$C:$C,"D"))</f>
        <v/>
      </c>
      <c r="CD60" s="296" t="str">
        <f>IF($B60=0,"",SUMIFS(INPUT_DATA!AD:AD,INPUT_DATA!$A:$A,$B60,INPUT_DATA!$C:$C,"D"))</f>
        <v/>
      </c>
      <c r="CE60" s="296" t="str">
        <f>IF($B60=0,"",SUMIFS(INPUT_DATA!AE:AE,INPUT_DATA!$A:$A,$B60,INPUT_DATA!$C:$C,"D"))</f>
        <v/>
      </c>
      <c r="CF60" s="296" t="str">
        <f>IF($B60=0,"",SUMIFS(INPUT_DATA!AF:AF,INPUT_DATA!$A:$A,$B60,INPUT_DATA!$C:$C,"D"))</f>
        <v/>
      </c>
      <c r="CG60" s="336" t="str">
        <f>IF($B60=0,"",SUMIFS(INPUT_DATA!AG:AG,INPUT_DATA!$A:$A,$B60,INPUT_DATA!$C:$C,"D"))</f>
        <v/>
      </c>
      <c r="CH60" s="336" t="str">
        <f>IF($B60=0,"",SUMIFS(INPUT_DATA!AH:AH,INPUT_DATA!$A:$A,$B60,INPUT_DATA!$C:$C,"D"))</f>
        <v/>
      </c>
      <c r="CI60" s="336"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153" t="str">
        <f>IF($B60=0,"",SUMIFS(INPUT_DATA!AR:AR,INPUT_DATA!$A:$A,$B60,INPUT_DATA!$C:$C,"D"))</f>
        <v/>
      </c>
      <c r="CS60" s="714" t="str">
        <f t="shared" si="14"/>
        <v/>
      </c>
      <c r="CT60" s="714" t="str">
        <f t="shared" si="15"/>
        <v/>
      </c>
      <c r="CU60" s="714" t="str">
        <f t="shared" si="16"/>
        <v/>
      </c>
      <c r="CV60" s="703" t="str">
        <f>IF($B60=0,"",SUMIFS(INPUT_DATA!AS:AS,INPUT_DATA!$A:$A,$B60,INPUT_DATA!$C:$C,"D"))</f>
        <v/>
      </c>
      <c r="CW60" s="703" t="str">
        <f>IF($B60=0,"",SUMIFS(INPUT_DATA!AT:AT,INPUT_DATA!$A:$A,$B60,INPUT_DATA!$C:$C,"D"))</f>
        <v/>
      </c>
      <c r="CX60" s="703" t="str">
        <f>IF($B60=0,"",SUMIFS(INPUT_DATA!AU:AU,INPUT_DATA!$A:$A,$B60,INPUT_DATA!$C:$C,"D"))</f>
        <v/>
      </c>
      <c r="CY60" s="703" t="str">
        <f t="shared" si="17"/>
        <v/>
      </c>
      <c r="CZ60" s="714" t="str">
        <f t="shared" si="18"/>
        <v/>
      </c>
      <c r="DA60" s="725" t="str">
        <f t="shared" si="19"/>
        <v/>
      </c>
      <c r="DB60" s="150"/>
    </row>
    <row r="61" spans="1:106">
      <c r="A61" s="172">
        <f t="shared" si="21"/>
        <v>-14</v>
      </c>
      <c r="B61" s="697">
        <f>INPUT_DATA!BR48</f>
        <v>0</v>
      </c>
      <c r="C61" s="702" t="str">
        <f>IF($B61=0,"",SUMIFS(INPUT_DATA!D:D,INPUT_DATA!$A:$A,$B61,INPUT_DATA!$C:$C,"S"))</f>
        <v/>
      </c>
      <c r="D61" s="703" t="str">
        <f>IF($B61=0,"",SUMIFS(INPUT_DATA!E:E,INPUT_DATA!$A:$A,$B61,INPUT_DATA!$C:$C,"S"))</f>
        <v/>
      </c>
      <c r="E61" s="703" t="str">
        <f>IF($B61=0,"",SUMIFS(INPUT_DATA!F:F,INPUT_DATA!$A:$A,$B61,INPUT_DATA!$C:$C,"S"))</f>
        <v/>
      </c>
      <c r="F61" s="704" t="str">
        <f>IF($B61=0,"",SUMIFS(INPUT_DATA!G:G,INPUT_DATA!$A:$A,$B61,INPUT_DATA!$C:$C,"S"))</f>
        <v/>
      </c>
      <c r="G61" s="704" t="str">
        <f>IF($B61=0,"",SUMIFS(INPUT_DATA!H:H,INPUT_DATA!$A:$A,$B61,INPUT_DATA!$C:$C,"S"))</f>
        <v/>
      </c>
      <c r="H61" s="704" t="str">
        <f>IF($B61=0,"",SUMIFS(INPUT_DATA!I:I,INPUT_DATA!$A:$A,$B61,INPUT_DATA!$C:$C,"S"))</f>
        <v/>
      </c>
      <c r="I61" s="704" t="str">
        <f>IF($B61=0,"",SUMIFS(INPUT_DATA!J:J,INPUT_DATA!$A:$A,$B61,INPUT_DATA!$C:$C,"S"))</f>
        <v/>
      </c>
      <c r="J61" s="704" t="str">
        <f>IF($B61=0,"",SUMIFS(INPUT_DATA!K:K,INPUT_DATA!$A:$A,$B61,INPUT_DATA!$C:$C,"S"))</f>
        <v/>
      </c>
      <c r="K61" s="704" t="str">
        <f>IF($B61=0,"",SUMIFS(INPUT_DATA!L:L,INPUT_DATA!$A:$A,$B61,INPUT_DATA!$C:$C,"S"))</f>
        <v/>
      </c>
      <c r="L61" s="704" t="str">
        <f>IF($B61=0,"",SUMIFS(INPUT_DATA!M:M,INPUT_DATA!$A:$A,$B61,INPUT_DATA!$C:$C,"S"))</f>
        <v/>
      </c>
      <c r="M61" s="704" t="str">
        <f>IF($B61=0,"",SUMIFS(INPUT_DATA!N:N,INPUT_DATA!$A:$A,$B61,INPUT_DATA!$C:$C,"S"))</f>
        <v/>
      </c>
      <c r="N61" s="704" t="str">
        <f>IF($B61=0,"",SUMIFS(INPUT_DATA!O:O,INPUT_DATA!$A:$A,$B61,INPUT_DATA!$C:$C,"S"))</f>
        <v/>
      </c>
      <c r="O61" s="704" t="str">
        <f>IF($B61=0,"",SUMIFS(INPUT_DATA!P:P,INPUT_DATA!$A:$A,$B61,INPUT_DATA!$C:$C,"S"))</f>
        <v/>
      </c>
      <c r="P61" s="705" t="str">
        <f t="shared" si="5"/>
        <v/>
      </c>
      <c r="Q61" s="706" t="str">
        <f>IF($B61=0,"",SUMIFS(INPUT_DATA!Q:Q,INPUT_DATA!$A:$A,$B61,INPUT_DATA!$C:$C,"S"))</f>
        <v/>
      </c>
      <c r="R61" s="706" t="str">
        <f t="shared" si="20"/>
        <v/>
      </c>
      <c r="S61" s="712" t="str">
        <f>IF($B61=0,"",SUMIFS(INPUT_DATA!R:R,INPUT_DATA!$A:$A,$B61,INPUT_DATA!$C:$C,"S"))</f>
        <v/>
      </c>
      <c r="T61" s="712" t="str">
        <f>IF($B61=0,"",SUMIFS(INPUT_DATA!S:S,INPUT_DATA!$A:$A,$B61,INPUT_DATA!$C:$C,"S"))</f>
        <v/>
      </c>
      <c r="U61" s="712"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297" t="str">
        <f>IF($B61=0,"",SUMIFS(INPUT_DATA!AR:AR,INPUT_DATA!$A:$A,$B61,INPUT_DATA!$C:$C,"S"))</f>
        <v/>
      </c>
      <c r="AT61" s="713" t="str">
        <f t="shared" si="11"/>
        <v/>
      </c>
      <c r="AU61" s="714" t="str">
        <f t="shared" si="12"/>
        <v/>
      </c>
      <c r="AV61" s="715" t="str">
        <f t="shared" si="13"/>
        <v/>
      </c>
      <c r="AW61" s="713" t="str">
        <f>IF($B61=0,"",SUMIFS(INPUT_DATA!AS:AS,INPUT_DATA!$A:$A,$B61,INPUT_DATA!$C:$C,"S"))</f>
        <v/>
      </c>
      <c r="AX61" s="714" t="str">
        <f>IF($B61=0,"",SUMIFS(INPUT_DATA!AT:AT,INPUT_DATA!$A:$A,$B61,INPUT_DATA!$C:$C,"S"))</f>
        <v/>
      </c>
      <c r="AY61" s="715" t="str">
        <f>IF($B61=0,"",SUMIFS(INPUT_DATA!AU:AU,INPUT_DATA!$A:$A,$B61,INPUT_DATA!$C:$C,"S"))</f>
        <v/>
      </c>
      <c r="AZ61" s="713" t="str">
        <f t="shared" si="6"/>
        <v/>
      </c>
      <c r="BA61" s="714" t="str">
        <f t="shared" si="7"/>
        <v/>
      </c>
      <c r="BB61" s="715" t="str">
        <f t="shared" si="8"/>
        <v/>
      </c>
      <c r="BC61" s="150"/>
      <c r="BD61" s="702" t="str">
        <f>IF($B61=0,"",SUMIFS(INPUT_DATA!D:D,INPUT_DATA!$A:$A,$B61,INPUT_DATA!$C:$C,"D"))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296" t="str">
        <f>IF($B61=0,"",SUMIFS(INPUT_DATA!P:P,INPUT_DATA!$A:$A,$B61,INPUT_DATA!$C:$C,"D"))</f>
        <v/>
      </c>
      <c r="BO61" s="718" t="str">
        <f t="shared" si="9"/>
        <v/>
      </c>
      <c r="BP61" s="990" t="str">
        <f>IF($B61=0,"",SUMIFS(INPUT_DATA!Q:Q,INPUT_DATA!$A:$A,$B61,INPUT_DATA!$C:$C,"D"))</f>
        <v/>
      </c>
      <c r="BQ61" s="718" t="str">
        <f t="shared" si="10"/>
        <v/>
      </c>
      <c r="BR61" s="702" t="str">
        <f>IF($B61=0,"",SUMIFS(INPUT_DATA!R:R,INPUT_DATA!$A:$A,$B61,INPUT_DATA!$C:$C,"D"))</f>
        <v/>
      </c>
      <c r="BS61" s="724" t="str">
        <f>IF($B61=0,"",SUMIFS(INPUT_DATA!S:S,INPUT_DATA!$A:$A,$B61,INPUT_DATA!$C:$C,"D"))</f>
        <v/>
      </c>
      <c r="BT61" s="724"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296" t="str">
        <f>IF($B61=0,"",SUMIFS(INPUT_DATA!Z:Z,INPUT_DATA!$A:$A,$B61,INPUT_DATA!$C:$C,"D"))</f>
        <v/>
      </c>
      <c r="CA61" s="336" t="str">
        <f>IF($B61=0,"",SUMIFS(INPUT_DATA!AA:AA,INPUT_DATA!$A:$A,$B61,INPUT_DATA!$C:$C,"D"))</f>
        <v/>
      </c>
      <c r="CB61" s="336" t="str">
        <f>IF($B61=0,"",SUMIFS(INPUT_DATA!AB:AB,INPUT_DATA!$A:$A,$B61,INPUT_DATA!$C:$C,"D"))</f>
        <v/>
      </c>
      <c r="CC61" s="336" t="str">
        <f>IF($B61=0,"",SUMIFS(INPUT_DATA!AC:AC,INPUT_DATA!$A:$A,$B61,INPUT_DATA!$C:$C,"D"))</f>
        <v/>
      </c>
      <c r="CD61" s="296" t="str">
        <f>IF($B61=0,"",SUMIFS(INPUT_DATA!AD:AD,INPUT_DATA!$A:$A,$B61,INPUT_DATA!$C:$C,"D"))</f>
        <v/>
      </c>
      <c r="CE61" s="296" t="str">
        <f>IF($B61=0,"",SUMIFS(INPUT_DATA!AE:AE,INPUT_DATA!$A:$A,$B61,INPUT_DATA!$C:$C,"D"))</f>
        <v/>
      </c>
      <c r="CF61" s="296" t="str">
        <f>IF($B61=0,"",SUMIFS(INPUT_DATA!AF:AF,INPUT_DATA!$A:$A,$B61,INPUT_DATA!$C:$C,"D"))</f>
        <v/>
      </c>
      <c r="CG61" s="336" t="str">
        <f>IF($B61=0,"",SUMIFS(INPUT_DATA!AG:AG,INPUT_DATA!$A:$A,$B61,INPUT_DATA!$C:$C,"D"))</f>
        <v/>
      </c>
      <c r="CH61" s="336" t="str">
        <f>IF($B61=0,"",SUMIFS(INPUT_DATA!AH:AH,INPUT_DATA!$A:$A,$B61,INPUT_DATA!$C:$C,"D"))</f>
        <v/>
      </c>
      <c r="CI61" s="336"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153" t="str">
        <f>IF($B61=0,"",SUMIFS(INPUT_DATA!AR:AR,INPUT_DATA!$A:$A,$B61,INPUT_DATA!$C:$C,"D"))</f>
        <v/>
      </c>
      <c r="CS61" s="714" t="str">
        <f t="shared" si="14"/>
        <v/>
      </c>
      <c r="CT61" s="714" t="str">
        <f t="shared" si="15"/>
        <v/>
      </c>
      <c r="CU61" s="714" t="str">
        <f t="shared" si="16"/>
        <v/>
      </c>
      <c r="CV61" s="703" t="str">
        <f>IF($B61=0,"",SUMIFS(INPUT_DATA!AS:AS,INPUT_DATA!$A:$A,$B61,INPUT_DATA!$C:$C,"D"))</f>
        <v/>
      </c>
      <c r="CW61" s="703" t="str">
        <f>IF($B61=0,"",SUMIFS(INPUT_DATA!AT:AT,INPUT_DATA!$A:$A,$B61,INPUT_DATA!$C:$C,"D"))</f>
        <v/>
      </c>
      <c r="CX61" s="703" t="str">
        <f>IF($B61=0,"",SUMIFS(INPUT_DATA!AU:AU,INPUT_DATA!$A:$A,$B61,INPUT_DATA!$C:$C,"D"))</f>
        <v/>
      </c>
      <c r="CY61" s="703" t="str">
        <f t="shared" si="17"/>
        <v/>
      </c>
      <c r="CZ61" s="714" t="str">
        <f t="shared" si="18"/>
        <v/>
      </c>
      <c r="DA61" s="725" t="str">
        <f t="shared" si="19"/>
        <v/>
      </c>
      <c r="DB61" s="150"/>
    </row>
    <row r="62" spans="1:106">
      <c r="A62" s="172">
        <f t="shared" si="21"/>
        <v>-15</v>
      </c>
      <c r="B62" s="697">
        <f>INPUT_DATA!BR49</f>
        <v>0</v>
      </c>
      <c r="C62" s="702" t="str">
        <f>IF($B62=0,"",SUMIFS(INPUT_DATA!D:D,INPUT_DATA!$A:$A,$B62,INPUT_DATA!$C:$C,"S"))</f>
        <v/>
      </c>
      <c r="D62" s="703" t="str">
        <f>IF($B62=0,"",SUMIFS(INPUT_DATA!E:E,INPUT_DATA!$A:$A,$B62,INPUT_DATA!$C:$C,"S"))</f>
        <v/>
      </c>
      <c r="E62" s="703" t="str">
        <f>IF($B62=0,"",SUMIFS(INPUT_DATA!F:F,INPUT_DATA!$A:$A,$B62,INPUT_DATA!$C:$C,"S"))</f>
        <v/>
      </c>
      <c r="F62" s="704" t="str">
        <f>IF($B62=0,"",SUMIFS(INPUT_DATA!G:G,INPUT_DATA!$A:$A,$B62,INPUT_DATA!$C:$C,"S"))</f>
        <v/>
      </c>
      <c r="G62" s="704" t="str">
        <f>IF($B62=0,"",SUMIFS(INPUT_DATA!H:H,INPUT_DATA!$A:$A,$B62,INPUT_DATA!$C:$C,"S"))</f>
        <v/>
      </c>
      <c r="H62" s="704" t="str">
        <f>IF($B62=0,"",SUMIFS(INPUT_DATA!I:I,INPUT_DATA!$A:$A,$B62,INPUT_DATA!$C:$C,"S"))</f>
        <v/>
      </c>
      <c r="I62" s="704" t="str">
        <f>IF($B62=0,"",SUMIFS(INPUT_DATA!J:J,INPUT_DATA!$A:$A,$B62,INPUT_DATA!$C:$C,"S"))</f>
        <v/>
      </c>
      <c r="J62" s="704" t="str">
        <f>IF($B62=0,"",SUMIFS(INPUT_DATA!K:K,INPUT_DATA!$A:$A,$B62,INPUT_DATA!$C:$C,"S"))</f>
        <v/>
      </c>
      <c r="K62" s="704" t="str">
        <f>IF($B62=0,"",SUMIFS(INPUT_DATA!L:L,INPUT_DATA!$A:$A,$B62,INPUT_DATA!$C:$C,"S"))</f>
        <v/>
      </c>
      <c r="L62" s="704" t="str">
        <f>IF($B62=0,"",SUMIFS(INPUT_DATA!M:M,INPUT_DATA!$A:$A,$B62,INPUT_DATA!$C:$C,"S"))</f>
        <v/>
      </c>
      <c r="M62" s="704" t="str">
        <f>IF($B62=0,"",SUMIFS(INPUT_DATA!N:N,INPUT_DATA!$A:$A,$B62,INPUT_DATA!$C:$C,"S"))</f>
        <v/>
      </c>
      <c r="N62" s="704" t="str">
        <f>IF($B62=0,"",SUMIFS(INPUT_DATA!O:O,INPUT_DATA!$A:$A,$B62,INPUT_DATA!$C:$C,"S"))</f>
        <v/>
      </c>
      <c r="O62" s="704" t="str">
        <f>IF($B62=0,"",SUMIFS(INPUT_DATA!P:P,INPUT_DATA!$A:$A,$B62,INPUT_DATA!$C:$C,"S"))</f>
        <v/>
      </c>
      <c r="P62" s="705" t="str">
        <f t="shared" si="5"/>
        <v/>
      </c>
      <c r="Q62" s="706" t="str">
        <f>IF($B62=0,"",SUMIFS(INPUT_DATA!Q:Q,INPUT_DATA!$A:$A,$B62,INPUT_DATA!$C:$C,"S"))</f>
        <v/>
      </c>
      <c r="R62" s="706" t="str">
        <f t="shared" si="20"/>
        <v/>
      </c>
      <c r="S62" s="712" t="str">
        <f>IF($B62=0,"",SUMIFS(INPUT_DATA!R:R,INPUT_DATA!$A:$A,$B62,INPUT_DATA!$C:$C,"S"))</f>
        <v/>
      </c>
      <c r="T62" s="712" t="str">
        <f>IF($B62=0,"",SUMIFS(INPUT_DATA!S:S,INPUT_DATA!$A:$A,$B62,INPUT_DATA!$C:$C,"S"))</f>
        <v/>
      </c>
      <c r="U62" s="712"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297" t="str">
        <f>IF($B62=0,"",SUMIFS(INPUT_DATA!AR:AR,INPUT_DATA!$A:$A,$B62,INPUT_DATA!$C:$C,"S"))</f>
        <v/>
      </c>
      <c r="AT62" s="713" t="str">
        <f t="shared" si="11"/>
        <v/>
      </c>
      <c r="AU62" s="714" t="str">
        <f t="shared" si="12"/>
        <v/>
      </c>
      <c r="AV62" s="715" t="str">
        <f t="shared" si="13"/>
        <v/>
      </c>
      <c r="AW62" s="713" t="str">
        <f>IF($B62=0,"",SUMIFS(INPUT_DATA!AS:AS,INPUT_DATA!$A:$A,$B62,INPUT_DATA!$C:$C,"S"))</f>
        <v/>
      </c>
      <c r="AX62" s="714" t="str">
        <f>IF($B62=0,"",SUMIFS(INPUT_DATA!AT:AT,INPUT_DATA!$A:$A,$B62,INPUT_DATA!$C:$C,"S"))</f>
        <v/>
      </c>
      <c r="AY62" s="715" t="str">
        <f>IF($B62=0,"",SUMIFS(INPUT_DATA!AU:AU,INPUT_DATA!$A:$A,$B62,INPUT_DATA!$C:$C,"S"))</f>
        <v/>
      </c>
      <c r="AZ62" s="713" t="str">
        <f t="shared" si="6"/>
        <v/>
      </c>
      <c r="BA62" s="714" t="str">
        <f t="shared" si="7"/>
        <v/>
      </c>
      <c r="BB62" s="715" t="str">
        <f t="shared" si="8"/>
        <v/>
      </c>
      <c r="BC62" s="150"/>
      <c r="BD62" s="702" t="str">
        <f>IF($B62=0,"",SUMIFS(INPUT_DATA!D:D,INPUT_DATA!$A:$A,$B62,INPUT_DATA!$C:$C,"D"))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296" t="str">
        <f>IF($B62=0,"",SUMIFS(INPUT_DATA!P:P,INPUT_DATA!$A:$A,$B62,INPUT_DATA!$C:$C,"D"))</f>
        <v/>
      </c>
      <c r="BO62" s="718" t="str">
        <f t="shared" si="9"/>
        <v/>
      </c>
      <c r="BP62" s="990" t="str">
        <f>IF($B62=0,"",SUMIFS(INPUT_DATA!Q:Q,INPUT_DATA!$A:$A,$B62,INPUT_DATA!$C:$C,"D"))</f>
        <v/>
      </c>
      <c r="BQ62" s="718" t="str">
        <f t="shared" si="10"/>
        <v/>
      </c>
      <c r="BR62" s="702" t="str">
        <f>IF($B62=0,"",SUMIFS(INPUT_DATA!R:R,INPUT_DATA!$A:$A,$B62,INPUT_DATA!$C:$C,"D"))</f>
        <v/>
      </c>
      <c r="BS62" s="724" t="str">
        <f>IF($B62=0,"",SUMIFS(INPUT_DATA!S:S,INPUT_DATA!$A:$A,$B62,INPUT_DATA!$C:$C,"D"))</f>
        <v/>
      </c>
      <c r="BT62" s="724"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296" t="str">
        <f>IF($B62=0,"",SUMIFS(INPUT_DATA!Z:Z,INPUT_DATA!$A:$A,$B62,INPUT_DATA!$C:$C,"D"))</f>
        <v/>
      </c>
      <c r="CA62" s="336" t="str">
        <f>IF($B62=0,"",SUMIFS(INPUT_DATA!AA:AA,INPUT_DATA!$A:$A,$B62,INPUT_DATA!$C:$C,"D"))</f>
        <v/>
      </c>
      <c r="CB62" s="336" t="str">
        <f>IF($B62=0,"",SUMIFS(INPUT_DATA!AB:AB,INPUT_DATA!$A:$A,$B62,INPUT_DATA!$C:$C,"D"))</f>
        <v/>
      </c>
      <c r="CC62" s="336" t="str">
        <f>IF($B62=0,"",SUMIFS(INPUT_DATA!AC:AC,INPUT_DATA!$A:$A,$B62,INPUT_DATA!$C:$C,"D"))</f>
        <v/>
      </c>
      <c r="CD62" s="296" t="str">
        <f>IF($B62=0,"",SUMIFS(INPUT_DATA!AD:AD,INPUT_DATA!$A:$A,$B62,INPUT_DATA!$C:$C,"D"))</f>
        <v/>
      </c>
      <c r="CE62" s="296" t="str">
        <f>IF($B62=0,"",SUMIFS(INPUT_DATA!AE:AE,INPUT_DATA!$A:$A,$B62,INPUT_DATA!$C:$C,"D"))</f>
        <v/>
      </c>
      <c r="CF62" s="296" t="str">
        <f>IF($B62=0,"",SUMIFS(INPUT_DATA!AF:AF,INPUT_DATA!$A:$A,$B62,INPUT_DATA!$C:$C,"D"))</f>
        <v/>
      </c>
      <c r="CG62" s="336" t="str">
        <f>IF($B62=0,"",SUMIFS(INPUT_DATA!AG:AG,INPUT_DATA!$A:$A,$B62,INPUT_DATA!$C:$C,"D"))</f>
        <v/>
      </c>
      <c r="CH62" s="336" t="str">
        <f>IF($B62=0,"",SUMIFS(INPUT_DATA!AH:AH,INPUT_DATA!$A:$A,$B62,INPUT_DATA!$C:$C,"D"))</f>
        <v/>
      </c>
      <c r="CI62" s="336"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153" t="str">
        <f>IF($B62=0,"",SUMIFS(INPUT_DATA!AR:AR,INPUT_DATA!$A:$A,$B62,INPUT_DATA!$C:$C,"D"))</f>
        <v/>
      </c>
      <c r="CS62" s="714" t="str">
        <f t="shared" si="14"/>
        <v/>
      </c>
      <c r="CT62" s="714" t="str">
        <f t="shared" si="15"/>
        <v/>
      </c>
      <c r="CU62" s="714" t="str">
        <f t="shared" si="16"/>
        <v/>
      </c>
      <c r="CV62" s="703" t="str">
        <f>IF($B62=0,"",SUMIFS(INPUT_DATA!AS:AS,INPUT_DATA!$A:$A,$B62,INPUT_DATA!$C:$C,"D"))</f>
        <v/>
      </c>
      <c r="CW62" s="703" t="str">
        <f>IF($B62=0,"",SUMIFS(INPUT_DATA!AT:AT,INPUT_DATA!$A:$A,$B62,INPUT_DATA!$C:$C,"D"))</f>
        <v/>
      </c>
      <c r="CX62" s="703" t="str">
        <f>IF($B62=0,"",SUMIFS(INPUT_DATA!AU:AU,INPUT_DATA!$A:$A,$B62,INPUT_DATA!$C:$C,"D"))</f>
        <v/>
      </c>
      <c r="CY62" s="703" t="str">
        <f t="shared" si="17"/>
        <v/>
      </c>
      <c r="CZ62" s="714" t="str">
        <f t="shared" si="18"/>
        <v/>
      </c>
      <c r="DA62" s="725" t="str">
        <f t="shared" si="19"/>
        <v/>
      </c>
      <c r="DB62" s="150"/>
    </row>
    <row r="63" spans="1:106">
      <c r="A63" s="172">
        <f t="shared" si="21"/>
        <v>-16</v>
      </c>
      <c r="B63" s="697">
        <f>INPUT_DATA!BR50</f>
        <v>0</v>
      </c>
      <c r="C63" s="702" t="str">
        <f>IF($B63=0,"",SUMIFS(INPUT_DATA!D:D,INPUT_DATA!$A:$A,$B63,INPUT_DATA!$C:$C,"S"))</f>
        <v/>
      </c>
      <c r="D63" s="703" t="str">
        <f>IF($B63=0,"",SUMIFS(INPUT_DATA!E:E,INPUT_DATA!$A:$A,$B63,INPUT_DATA!$C:$C,"S"))</f>
        <v/>
      </c>
      <c r="E63" s="703" t="str">
        <f>IF($B63=0,"",SUMIFS(INPUT_DATA!F:F,INPUT_DATA!$A:$A,$B63,INPUT_DATA!$C:$C,"S"))</f>
        <v/>
      </c>
      <c r="F63" s="704" t="str">
        <f>IF($B63=0,"",SUMIFS(INPUT_DATA!G:G,INPUT_DATA!$A:$A,$B63,INPUT_DATA!$C:$C,"S"))</f>
        <v/>
      </c>
      <c r="G63" s="704" t="str">
        <f>IF($B63=0,"",SUMIFS(INPUT_DATA!H:H,INPUT_DATA!$A:$A,$B63,INPUT_DATA!$C:$C,"S"))</f>
        <v/>
      </c>
      <c r="H63" s="704" t="str">
        <f>IF($B63=0,"",SUMIFS(INPUT_DATA!I:I,INPUT_DATA!$A:$A,$B63,INPUT_DATA!$C:$C,"S"))</f>
        <v/>
      </c>
      <c r="I63" s="704" t="str">
        <f>IF($B63=0,"",SUMIFS(INPUT_DATA!J:J,INPUT_DATA!$A:$A,$B63,INPUT_DATA!$C:$C,"S"))</f>
        <v/>
      </c>
      <c r="J63" s="704" t="str">
        <f>IF($B63=0,"",SUMIFS(INPUT_DATA!K:K,INPUT_DATA!$A:$A,$B63,INPUT_DATA!$C:$C,"S"))</f>
        <v/>
      </c>
      <c r="K63" s="704" t="str">
        <f>IF($B63=0,"",SUMIFS(INPUT_DATA!L:L,INPUT_DATA!$A:$A,$B63,INPUT_DATA!$C:$C,"S"))</f>
        <v/>
      </c>
      <c r="L63" s="704" t="str">
        <f>IF($B63=0,"",SUMIFS(INPUT_DATA!M:M,INPUT_DATA!$A:$A,$B63,INPUT_DATA!$C:$C,"S"))</f>
        <v/>
      </c>
      <c r="M63" s="704" t="str">
        <f>IF($B63=0,"",SUMIFS(INPUT_DATA!N:N,INPUT_DATA!$A:$A,$B63,INPUT_DATA!$C:$C,"S"))</f>
        <v/>
      </c>
      <c r="N63" s="704" t="str">
        <f>IF($B63=0,"",SUMIFS(INPUT_DATA!O:O,INPUT_DATA!$A:$A,$B63,INPUT_DATA!$C:$C,"S"))</f>
        <v/>
      </c>
      <c r="O63" s="704" t="str">
        <f>IF($B63=0,"",SUMIFS(INPUT_DATA!P:P,INPUT_DATA!$A:$A,$B63,INPUT_DATA!$C:$C,"S"))</f>
        <v/>
      </c>
      <c r="P63" s="705" t="str">
        <f t="shared" si="5"/>
        <v/>
      </c>
      <c r="Q63" s="706" t="str">
        <f>IF($B63=0,"",SUMIFS(INPUT_DATA!Q:Q,INPUT_DATA!$A:$A,$B63,INPUT_DATA!$C:$C,"S"))</f>
        <v/>
      </c>
      <c r="R63" s="706" t="str">
        <f t="shared" si="20"/>
        <v/>
      </c>
      <c r="S63" s="712" t="str">
        <f>IF($B63=0,"",SUMIFS(INPUT_DATA!R:R,INPUT_DATA!$A:$A,$B63,INPUT_DATA!$C:$C,"S"))</f>
        <v/>
      </c>
      <c r="T63" s="712" t="str">
        <f>IF($B63=0,"",SUMIFS(INPUT_DATA!S:S,INPUT_DATA!$A:$A,$B63,INPUT_DATA!$C:$C,"S"))</f>
        <v/>
      </c>
      <c r="U63" s="712"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297" t="str">
        <f>IF($B63=0,"",SUMIFS(INPUT_DATA!AR:AR,INPUT_DATA!$A:$A,$B63,INPUT_DATA!$C:$C,"S"))</f>
        <v/>
      </c>
      <c r="AT63" s="713" t="str">
        <f t="shared" si="11"/>
        <v/>
      </c>
      <c r="AU63" s="714" t="str">
        <f t="shared" si="12"/>
        <v/>
      </c>
      <c r="AV63" s="715" t="str">
        <f t="shared" si="13"/>
        <v/>
      </c>
      <c r="AW63" s="713" t="str">
        <f>IF($B63=0,"",SUMIFS(INPUT_DATA!AS:AS,INPUT_DATA!$A:$A,$B63,INPUT_DATA!$C:$C,"S"))</f>
        <v/>
      </c>
      <c r="AX63" s="714" t="str">
        <f>IF($B63=0,"",SUMIFS(INPUT_DATA!AT:AT,INPUT_DATA!$A:$A,$B63,INPUT_DATA!$C:$C,"S"))</f>
        <v/>
      </c>
      <c r="AY63" s="715" t="str">
        <f>IF($B63=0,"",SUMIFS(INPUT_DATA!AU:AU,INPUT_DATA!$A:$A,$B63,INPUT_DATA!$C:$C,"S"))</f>
        <v/>
      </c>
      <c r="AZ63" s="713" t="str">
        <f t="shared" si="6"/>
        <v/>
      </c>
      <c r="BA63" s="714" t="str">
        <f t="shared" si="7"/>
        <v/>
      </c>
      <c r="BB63" s="715" t="str">
        <f t="shared" si="8"/>
        <v/>
      </c>
      <c r="BC63" s="150"/>
      <c r="BD63" s="702" t="str">
        <f>IF($B63=0,"",SUMIFS(INPUT_DATA!D:D,INPUT_DATA!$A:$A,$B63,INPUT_DATA!$C:$C,"D"))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296" t="str">
        <f>IF($B63=0,"",SUMIFS(INPUT_DATA!P:P,INPUT_DATA!$A:$A,$B63,INPUT_DATA!$C:$C,"D"))</f>
        <v/>
      </c>
      <c r="BO63" s="718" t="str">
        <f t="shared" si="9"/>
        <v/>
      </c>
      <c r="BP63" s="990" t="str">
        <f>IF($B63=0,"",SUMIFS(INPUT_DATA!Q:Q,INPUT_DATA!$A:$A,$B63,INPUT_DATA!$C:$C,"D"))</f>
        <v/>
      </c>
      <c r="BQ63" s="718" t="str">
        <f t="shared" si="10"/>
        <v/>
      </c>
      <c r="BR63" s="702" t="str">
        <f>IF($B63=0,"",SUMIFS(INPUT_DATA!R:R,INPUT_DATA!$A:$A,$B63,INPUT_DATA!$C:$C,"D"))</f>
        <v/>
      </c>
      <c r="BS63" s="724" t="str">
        <f>IF($B63=0,"",SUMIFS(INPUT_DATA!S:S,INPUT_DATA!$A:$A,$B63,INPUT_DATA!$C:$C,"D"))</f>
        <v/>
      </c>
      <c r="BT63" s="724"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296" t="str">
        <f>IF($B63=0,"",SUMIFS(INPUT_DATA!Z:Z,INPUT_DATA!$A:$A,$B63,INPUT_DATA!$C:$C,"D"))</f>
        <v/>
      </c>
      <c r="CA63" s="336" t="str">
        <f>IF($B63=0,"",SUMIFS(INPUT_DATA!AA:AA,INPUT_DATA!$A:$A,$B63,INPUT_DATA!$C:$C,"D"))</f>
        <v/>
      </c>
      <c r="CB63" s="336" t="str">
        <f>IF($B63=0,"",SUMIFS(INPUT_DATA!AB:AB,INPUT_DATA!$A:$A,$B63,INPUT_DATA!$C:$C,"D"))</f>
        <v/>
      </c>
      <c r="CC63" s="336" t="str">
        <f>IF($B63=0,"",SUMIFS(INPUT_DATA!AC:AC,INPUT_DATA!$A:$A,$B63,INPUT_DATA!$C:$C,"D"))</f>
        <v/>
      </c>
      <c r="CD63" s="296" t="str">
        <f>IF($B63=0,"",SUMIFS(INPUT_DATA!AD:AD,INPUT_DATA!$A:$A,$B63,INPUT_DATA!$C:$C,"D"))</f>
        <v/>
      </c>
      <c r="CE63" s="296" t="str">
        <f>IF($B63=0,"",SUMIFS(INPUT_DATA!AE:AE,INPUT_DATA!$A:$A,$B63,INPUT_DATA!$C:$C,"D"))</f>
        <v/>
      </c>
      <c r="CF63" s="296" t="str">
        <f>IF($B63=0,"",SUMIFS(INPUT_DATA!AF:AF,INPUT_DATA!$A:$A,$B63,INPUT_DATA!$C:$C,"D"))</f>
        <v/>
      </c>
      <c r="CG63" s="336" t="str">
        <f>IF($B63=0,"",SUMIFS(INPUT_DATA!AG:AG,INPUT_DATA!$A:$A,$B63,INPUT_DATA!$C:$C,"D"))</f>
        <v/>
      </c>
      <c r="CH63" s="336" t="str">
        <f>IF($B63=0,"",SUMIFS(INPUT_DATA!AH:AH,INPUT_DATA!$A:$A,$B63,INPUT_DATA!$C:$C,"D"))</f>
        <v/>
      </c>
      <c r="CI63" s="336"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153" t="str">
        <f>IF($B63=0,"",SUMIFS(INPUT_DATA!AR:AR,INPUT_DATA!$A:$A,$B63,INPUT_DATA!$C:$C,"D"))</f>
        <v/>
      </c>
      <c r="CS63" s="714" t="str">
        <f t="shared" si="14"/>
        <v/>
      </c>
      <c r="CT63" s="714" t="str">
        <f t="shared" si="15"/>
        <v/>
      </c>
      <c r="CU63" s="714" t="str">
        <f t="shared" si="16"/>
        <v/>
      </c>
      <c r="CV63" s="703" t="str">
        <f>IF($B63=0,"",SUMIFS(INPUT_DATA!AS:AS,INPUT_DATA!$A:$A,$B63,INPUT_DATA!$C:$C,"D"))</f>
        <v/>
      </c>
      <c r="CW63" s="703" t="str">
        <f>IF($B63=0,"",SUMIFS(INPUT_DATA!AT:AT,INPUT_DATA!$A:$A,$B63,INPUT_DATA!$C:$C,"D"))</f>
        <v/>
      </c>
      <c r="CX63" s="703" t="str">
        <f>IF($B63=0,"",SUMIFS(INPUT_DATA!AU:AU,INPUT_DATA!$A:$A,$B63,INPUT_DATA!$C:$C,"D"))</f>
        <v/>
      </c>
      <c r="CY63" s="703" t="str">
        <f t="shared" si="17"/>
        <v/>
      </c>
      <c r="CZ63" s="714" t="str">
        <f t="shared" si="18"/>
        <v/>
      </c>
      <c r="DA63" s="725" t="str">
        <f t="shared" si="19"/>
        <v/>
      </c>
      <c r="DB63" s="150"/>
    </row>
    <row r="64" spans="1:106">
      <c r="A64" s="172">
        <f t="shared" si="21"/>
        <v>-17</v>
      </c>
      <c r="B64" s="697">
        <f>INPUT_DATA!BR51</f>
        <v>0</v>
      </c>
      <c r="C64" s="702" t="str">
        <f>IF($B64=0,"",SUMIFS(INPUT_DATA!D:D,INPUT_DATA!$A:$A,$B64,INPUT_DATA!$C:$C,"S"))</f>
        <v/>
      </c>
      <c r="D64" s="703" t="str">
        <f>IF($B64=0,"",SUMIFS(INPUT_DATA!E:E,INPUT_DATA!$A:$A,$B64,INPUT_DATA!$C:$C,"S"))</f>
        <v/>
      </c>
      <c r="E64" s="703" t="str">
        <f>IF($B64=0,"",SUMIFS(INPUT_DATA!F:F,INPUT_DATA!$A:$A,$B64,INPUT_DATA!$C:$C,"S"))</f>
        <v/>
      </c>
      <c r="F64" s="704" t="str">
        <f>IF($B64=0,"",SUMIFS(INPUT_DATA!G:G,INPUT_DATA!$A:$A,$B64,INPUT_DATA!$C:$C,"S"))</f>
        <v/>
      </c>
      <c r="G64" s="704" t="str">
        <f>IF($B64=0,"",SUMIFS(INPUT_DATA!H:H,INPUT_DATA!$A:$A,$B64,INPUT_DATA!$C:$C,"S"))</f>
        <v/>
      </c>
      <c r="H64" s="704" t="str">
        <f>IF($B64=0,"",SUMIFS(INPUT_DATA!I:I,INPUT_DATA!$A:$A,$B64,INPUT_DATA!$C:$C,"S"))</f>
        <v/>
      </c>
      <c r="I64" s="704" t="str">
        <f>IF($B64=0,"",SUMIFS(INPUT_DATA!J:J,INPUT_DATA!$A:$A,$B64,INPUT_DATA!$C:$C,"S"))</f>
        <v/>
      </c>
      <c r="J64" s="704" t="str">
        <f>IF($B64=0,"",SUMIFS(INPUT_DATA!K:K,INPUT_DATA!$A:$A,$B64,INPUT_DATA!$C:$C,"S"))</f>
        <v/>
      </c>
      <c r="K64" s="704" t="str">
        <f>IF($B64=0,"",SUMIFS(INPUT_DATA!L:L,INPUT_DATA!$A:$A,$B64,INPUT_DATA!$C:$C,"S"))</f>
        <v/>
      </c>
      <c r="L64" s="704" t="str">
        <f>IF($B64=0,"",SUMIFS(INPUT_DATA!M:M,INPUT_DATA!$A:$A,$B64,INPUT_DATA!$C:$C,"S"))</f>
        <v/>
      </c>
      <c r="M64" s="704" t="str">
        <f>IF($B64=0,"",SUMIFS(INPUT_DATA!N:N,INPUT_DATA!$A:$A,$B64,INPUT_DATA!$C:$C,"S"))</f>
        <v/>
      </c>
      <c r="N64" s="704" t="str">
        <f>IF($B64=0,"",SUMIFS(INPUT_DATA!O:O,INPUT_DATA!$A:$A,$B64,INPUT_DATA!$C:$C,"S"))</f>
        <v/>
      </c>
      <c r="O64" s="704" t="str">
        <f>IF($B64=0,"",SUMIFS(INPUT_DATA!P:P,INPUT_DATA!$A:$A,$B64,INPUT_DATA!$C:$C,"S"))</f>
        <v/>
      </c>
      <c r="P64" s="705" t="str">
        <f t="shared" si="5"/>
        <v/>
      </c>
      <c r="Q64" s="706" t="str">
        <f>IF($B64=0,"",SUMIFS(INPUT_DATA!Q:Q,INPUT_DATA!$A:$A,$B64,INPUT_DATA!$C:$C,"S"))</f>
        <v/>
      </c>
      <c r="R64" s="706" t="str">
        <f t="shared" si="20"/>
        <v/>
      </c>
      <c r="S64" s="712" t="str">
        <f>IF($B64=0,"",SUMIFS(INPUT_DATA!R:R,INPUT_DATA!$A:$A,$B64,INPUT_DATA!$C:$C,"S"))</f>
        <v/>
      </c>
      <c r="T64" s="712" t="str">
        <f>IF($B64=0,"",SUMIFS(INPUT_DATA!S:S,INPUT_DATA!$A:$A,$B64,INPUT_DATA!$C:$C,"S"))</f>
        <v/>
      </c>
      <c r="U64" s="712"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297" t="str">
        <f>IF($B64=0,"",SUMIFS(INPUT_DATA!AR:AR,INPUT_DATA!$A:$A,$B64,INPUT_DATA!$C:$C,"S"))</f>
        <v/>
      </c>
      <c r="AT64" s="713" t="str">
        <f t="shared" si="11"/>
        <v/>
      </c>
      <c r="AU64" s="714" t="str">
        <f t="shared" si="12"/>
        <v/>
      </c>
      <c r="AV64" s="715" t="str">
        <f t="shared" si="13"/>
        <v/>
      </c>
      <c r="AW64" s="713" t="str">
        <f>IF($B64=0,"",SUMIFS(INPUT_DATA!AS:AS,INPUT_DATA!$A:$A,$B64,INPUT_DATA!$C:$C,"S"))</f>
        <v/>
      </c>
      <c r="AX64" s="714" t="str">
        <f>IF($B64=0,"",SUMIFS(INPUT_DATA!AT:AT,INPUT_DATA!$A:$A,$B64,INPUT_DATA!$C:$C,"S"))</f>
        <v/>
      </c>
      <c r="AY64" s="715" t="str">
        <f>IF($B64=0,"",SUMIFS(INPUT_DATA!AU:AU,INPUT_DATA!$A:$A,$B64,INPUT_DATA!$C:$C,"S"))</f>
        <v/>
      </c>
      <c r="AZ64" s="713" t="str">
        <f t="shared" si="6"/>
        <v/>
      </c>
      <c r="BA64" s="714" t="str">
        <f t="shared" si="7"/>
        <v/>
      </c>
      <c r="BB64" s="715" t="str">
        <f t="shared" si="8"/>
        <v/>
      </c>
      <c r="BC64" s="150"/>
      <c r="BD64" s="702" t="str">
        <f>IF($B64=0,"",SUMIFS(INPUT_DATA!D:D,INPUT_DATA!$A:$A,$B64,INPUT_DATA!$C:$C,"D"))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296" t="str">
        <f>IF($B64=0,"",SUMIFS(INPUT_DATA!P:P,INPUT_DATA!$A:$A,$B64,INPUT_DATA!$C:$C,"D"))</f>
        <v/>
      </c>
      <c r="BO64" s="718" t="str">
        <f t="shared" si="9"/>
        <v/>
      </c>
      <c r="BP64" s="990" t="str">
        <f>IF($B64=0,"",SUMIFS(INPUT_DATA!Q:Q,INPUT_DATA!$A:$A,$B64,INPUT_DATA!$C:$C,"D"))</f>
        <v/>
      </c>
      <c r="BQ64" s="718" t="str">
        <f t="shared" si="10"/>
        <v/>
      </c>
      <c r="BR64" s="702" t="str">
        <f>IF($B64=0,"",SUMIFS(INPUT_DATA!R:R,INPUT_DATA!$A:$A,$B64,INPUT_DATA!$C:$C,"D"))</f>
        <v/>
      </c>
      <c r="BS64" s="724" t="str">
        <f>IF($B64=0,"",SUMIFS(INPUT_DATA!S:S,INPUT_DATA!$A:$A,$B64,INPUT_DATA!$C:$C,"D"))</f>
        <v/>
      </c>
      <c r="BT64" s="724"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296" t="str">
        <f>IF($B64=0,"",SUMIFS(INPUT_DATA!Z:Z,INPUT_DATA!$A:$A,$B64,INPUT_DATA!$C:$C,"D"))</f>
        <v/>
      </c>
      <c r="CA64" s="336" t="str">
        <f>IF($B64=0,"",SUMIFS(INPUT_DATA!AA:AA,INPUT_DATA!$A:$A,$B64,INPUT_DATA!$C:$C,"D"))</f>
        <v/>
      </c>
      <c r="CB64" s="336" t="str">
        <f>IF($B64=0,"",SUMIFS(INPUT_DATA!AB:AB,INPUT_DATA!$A:$A,$B64,INPUT_DATA!$C:$C,"D"))</f>
        <v/>
      </c>
      <c r="CC64" s="336" t="str">
        <f>IF($B64=0,"",SUMIFS(INPUT_DATA!AC:AC,INPUT_DATA!$A:$A,$B64,INPUT_DATA!$C:$C,"D"))</f>
        <v/>
      </c>
      <c r="CD64" s="296" t="str">
        <f>IF($B64=0,"",SUMIFS(INPUT_DATA!AD:AD,INPUT_DATA!$A:$A,$B64,INPUT_DATA!$C:$C,"D"))</f>
        <v/>
      </c>
      <c r="CE64" s="296" t="str">
        <f>IF($B64=0,"",SUMIFS(INPUT_DATA!AE:AE,INPUT_DATA!$A:$A,$B64,INPUT_DATA!$C:$C,"D"))</f>
        <v/>
      </c>
      <c r="CF64" s="296" t="str">
        <f>IF($B64=0,"",SUMIFS(INPUT_DATA!AF:AF,INPUT_DATA!$A:$A,$B64,INPUT_DATA!$C:$C,"D"))</f>
        <v/>
      </c>
      <c r="CG64" s="336" t="str">
        <f>IF($B64=0,"",SUMIFS(INPUT_DATA!AG:AG,INPUT_DATA!$A:$A,$B64,INPUT_DATA!$C:$C,"D"))</f>
        <v/>
      </c>
      <c r="CH64" s="336" t="str">
        <f>IF($B64=0,"",SUMIFS(INPUT_DATA!AH:AH,INPUT_DATA!$A:$A,$B64,INPUT_DATA!$C:$C,"D"))</f>
        <v/>
      </c>
      <c r="CI64" s="336"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153" t="str">
        <f>IF($B64=0,"",SUMIFS(INPUT_DATA!AR:AR,INPUT_DATA!$A:$A,$B64,INPUT_DATA!$C:$C,"D"))</f>
        <v/>
      </c>
      <c r="CS64" s="714" t="str">
        <f t="shared" si="14"/>
        <v/>
      </c>
      <c r="CT64" s="714" t="str">
        <f t="shared" si="15"/>
        <v/>
      </c>
      <c r="CU64" s="714" t="str">
        <f t="shared" si="16"/>
        <v/>
      </c>
      <c r="CV64" s="703" t="str">
        <f>IF($B64=0,"",SUMIFS(INPUT_DATA!AS:AS,INPUT_DATA!$A:$A,$B64,INPUT_DATA!$C:$C,"D"))</f>
        <v/>
      </c>
      <c r="CW64" s="703" t="str">
        <f>IF($B64=0,"",SUMIFS(INPUT_DATA!AT:AT,INPUT_DATA!$A:$A,$B64,INPUT_DATA!$C:$C,"D"))</f>
        <v/>
      </c>
      <c r="CX64" s="703" t="str">
        <f>IF($B64=0,"",SUMIFS(INPUT_DATA!AU:AU,INPUT_DATA!$A:$A,$B64,INPUT_DATA!$C:$C,"D"))</f>
        <v/>
      </c>
      <c r="CY64" s="703" t="str">
        <f t="shared" si="17"/>
        <v/>
      </c>
      <c r="CZ64" s="714" t="str">
        <f t="shared" si="18"/>
        <v/>
      </c>
      <c r="DA64" s="725" t="str">
        <f t="shared" si="19"/>
        <v/>
      </c>
      <c r="DB64" s="150"/>
    </row>
    <row r="65" spans="1:106">
      <c r="A65" s="172">
        <f t="shared" si="21"/>
        <v>-18</v>
      </c>
      <c r="B65" s="697">
        <f>INPUT_DATA!BR52</f>
        <v>0</v>
      </c>
      <c r="C65" s="702" t="str">
        <f>IF($B65=0,"",SUMIFS(INPUT_DATA!D:D,INPUT_DATA!$A:$A,$B65,INPUT_DATA!$C:$C,"S"))</f>
        <v/>
      </c>
      <c r="D65" s="703" t="str">
        <f>IF($B65=0,"",SUMIFS(INPUT_DATA!E:E,INPUT_DATA!$A:$A,$B65,INPUT_DATA!$C:$C,"S"))</f>
        <v/>
      </c>
      <c r="E65" s="703" t="str">
        <f>IF($B65=0,"",SUMIFS(INPUT_DATA!F:F,INPUT_DATA!$A:$A,$B65,INPUT_DATA!$C:$C,"S"))</f>
        <v/>
      </c>
      <c r="F65" s="704" t="str">
        <f>IF($B65=0,"",SUMIFS(INPUT_DATA!G:G,INPUT_DATA!$A:$A,$B65,INPUT_DATA!$C:$C,"S"))</f>
        <v/>
      </c>
      <c r="G65" s="704" t="str">
        <f>IF($B65=0,"",SUMIFS(INPUT_DATA!H:H,INPUT_DATA!$A:$A,$B65,INPUT_DATA!$C:$C,"S"))</f>
        <v/>
      </c>
      <c r="H65" s="704" t="str">
        <f>IF($B65=0,"",SUMIFS(INPUT_DATA!I:I,INPUT_DATA!$A:$A,$B65,INPUT_DATA!$C:$C,"S"))</f>
        <v/>
      </c>
      <c r="I65" s="704" t="str">
        <f>IF($B65=0,"",SUMIFS(INPUT_DATA!J:J,INPUT_DATA!$A:$A,$B65,INPUT_DATA!$C:$C,"S"))</f>
        <v/>
      </c>
      <c r="J65" s="704" t="str">
        <f>IF($B65=0,"",SUMIFS(INPUT_DATA!K:K,INPUT_DATA!$A:$A,$B65,INPUT_DATA!$C:$C,"S"))</f>
        <v/>
      </c>
      <c r="K65" s="704" t="str">
        <f>IF($B65=0,"",SUMIFS(INPUT_DATA!L:L,INPUT_DATA!$A:$A,$B65,INPUT_DATA!$C:$C,"S"))</f>
        <v/>
      </c>
      <c r="L65" s="704" t="str">
        <f>IF($B65=0,"",SUMIFS(INPUT_DATA!M:M,INPUT_DATA!$A:$A,$B65,INPUT_DATA!$C:$C,"S"))</f>
        <v/>
      </c>
      <c r="M65" s="704" t="str">
        <f>IF($B65=0,"",SUMIFS(INPUT_DATA!N:N,INPUT_DATA!$A:$A,$B65,INPUT_DATA!$C:$C,"S"))</f>
        <v/>
      </c>
      <c r="N65" s="704" t="str">
        <f>IF($B65=0,"",SUMIFS(INPUT_DATA!O:O,INPUT_DATA!$A:$A,$B65,INPUT_DATA!$C:$C,"S"))</f>
        <v/>
      </c>
      <c r="O65" s="704" t="str">
        <f>IF($B65=0,"",SUMIFS(INPUT_DATA!P:P,INPUT_DATA!$A:$A,$B65,INPUT_DATA!$C:$C,"S"))</f>
        <v/>
      </c>
      <c r="P65" s="705" t="str">
        <f t="shared" si="5"/>
        <v/>
      </c>
      <c r="Q65" s="706" t="str">
        <f>IF($B65=0,"",SUMIFS(INPUT_DATA!Q:Q,INPUT_DATA!$A:$A,$B65,INPUT_DATA!$C:$C,"S"))</f>
        <v/>
      </c>
      <c r="R65" s="706" t="str">
        <f t="shared" si="20"/>
        <v/>
      </c>
      <c r="S65" s="712" t="str">
        <f>IF($B65=0,"",SUMIFS(INPUT_DATA!R:R,INPUT_DATA!$A:$A,$B65,INPUT_DATA!$C:$C,"S"))</f>
        <v/>
      </c>
      <c r="T65" s="712" t="str">
        <f>IF($B65=0,"",SUMIFS(INPUT_DATA!S:S,INPUT_DATA!$A:$A,$B65,INPUT_DATA!$C:$C,"S"))</f>
        <v/>
      </c>
      <c r="U65" s="712"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297" t="str">
        <f>IF($B65=0,"",SUMIFS(INPUT_DATA!AR:AR,INPUT_DATA!$A:$A,$B65,INPUT_DATA!$C:$C,"S"))</f>
        <v/>
      </c>
      <c r="AT65" s="713" t="str">
        <f t="shared" si="11"/>
        <v/>
      </c>
      <c r="AU65" s="714" t="str">
        <f t="shared" si="12"/>
        <v/>
      </c>
      <c r="AV65" s="715" t="str">
        <f t="shared" si="13"/>
        <v/>
      </c>
      <c r="AW65" s="713" t="str">
        <f>IF($B65=0,"",SUMIFS(INPUT_DATA!AS:AS,INPUT_DATA!$A:$A,$B65,INPUT_DATA!$C:$C,"S"))</f>
        <v/>
      </c>
      <c r="AX65" s="714" t="str">
        <f>IF($B65=0,"",SUMIFS(INPUT_DATA!AT:AT,INPUT_DATA!$A:$A,$B65,INPUT_DATA!$C:$C,"S"))</f>
        <v/>
      </c>
      <c r="AY65" s="715" t="str">
        <f>IF($B65=0,"",SUMIFS(INPUT_DATA!AU:AU,INPUT_DATA!$A:$A,$B65,INPUT_DATA!$C:$C,"S"))</f>
        <v/>
      </c>
      <c r="AZ65" s="713" t="str">
        <f t="shared" si="6"/>
        <v/>
      </c>
      <c r="BA65" s="714" t="str">
        <f t="shared" si="7"/>
        <v/>
      </c>
      <c r="BB65" s="715" t="str">
        <f t="shared" si="8"/>
        <v/>
      </c>
      <c r="BC65" s="150"/>
      <c r="BD65" s="702" t="str">
        <f>IF($B65=0,"",SUMIFS(INPUT_DATA!D:D,INPUT_DATA!$A:$A,$B65,INPUT_DATA!$C:$C,"D"))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296" t="str">
        <f>IF($B65=0,"",SUMIFS(INPUT_DATA!P:P,INPUT_DATA!$A:$A,$B65,INPUT_DATA!$C:$C,"D"))</f>
        <v/>
      </c>
      <c r="BO65" s="718" t="str">
        <f t="shared" si="9"/>
        <v/>
      </c>
      <c r="BP65" s="990" t="str">
        <f>IF($B65=0,"",SUMIFS(INPUT_DATA!Q:Q,INPUT_DATA!$A:$A,$B65,INPUT_DATA!$C:$C,"D"))</f>
        <v/>
      </c>
      <c r="BQ65" s="718" t="str">
        <f t="shared" si="10"/>
        <v/>
      </c>
      <c r="BR65" s="702" t="str">
        <f>IF($B65=0,"",SUMIFS(INPUT_DATA!R:R,INPUT_DATA!$A:$A,$B65,INPUT_DATA!$C:$C,"D"))</f>
        <v/>
      </c>
      <c r="BS65" s="724" t="str">
        <f>IF($B65=0,"",SUMIFS(INPUT_DATA!S:S,INPUT_DATA!$A:$A,$B65,INPUT_DATA!$C:$C,"D"))</f>
        <v/>
      </c>
      <c r="BT65" s="724"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296" t="str">
        <f>IF($B65=0,"",SUMIFS(INPUT_DATA!Z:Z,INPUT_DATA!$A:$A,$B65,INPUT_DATA!$C:$C,"D"))</f>
        <v/>
      </c>
      <c r="CA65" s="336" t="str">
        <f>IF($B65=0,"",SUMIFS(INPUT_DATA!AA:AA,INPUT_DATA!$A:$A,$B65,INPUT_DATA!$C:$C,"D"))</f>
        <v/>
      </c>
      <c r="CB65" s="336" t="str">
        <f>IF($B65=0,"",SUMIFS(INPUT_DATA!AB:AB,INPUT_DATA!$A:$A,$B65,INPUT_DATA!$C:$C,"D"))</f>
        <v/>
      </c>
      <c r="CC65" s="336" t="str">
        <f>IF($B65=0,"",SUMIFS(INPUT_DATA!AC:AC,INPUT_DATA!$A:$A,$B65,INPUT_DATA!$C:$C,"D"))</f>
        <v/>
      </c>
      <c r="CD65" s="296" t="str">
        <f>IF($B65=0,"",SUMIFS(INPUT_DATA!AD:AD,INPUT_DATA!$A:$A,$B65,INPUT_DATA!$C:$C,"D"))</f>
        <v/>
      </c>
      <c r="CE65" s="296" t="str">
        <f>IF($B65=0,"",SUMIFS(INPUT_DATA!AE:AE,INPUT_DATA!$A:$A,$B65,INPUT_DATA!$C:$C,"D"))</f>
        <v/>
      </c>
      <c r="CF65" s="296" t="str">
        <f>IF($B65=0,"",SUMIFS(INPUT_DATA!AF:AF,INPUT_DATA!$A:$A,$B65,INPUT_DATA!$C:$C,"D"))</f>
        <v/>
      </c>
      <c r="CG65" s="336" t="str">
        <f>IF($B65=0,"",SUMIFS(INPUT_DATA!AG:AG,INPUT_DATA!$A:$A,$B65,INPUT_DATA!$C:$C,"D"))</f>
        <v/>
      </c>
      <c r="CH65" s="336" t="str">
        <f>IF($B65=0,"",SUMIFS(INPUT_DATA!AH:AH,INPUT_DATA!$A:$A,$B65,INPUT_DATA!$C:$C,"D"))</f>
        <v/>
      </c>
      <c r="CI65" s="336"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153" t="str">
        <f>IF($B65=0,"",SUMIFS(INPUT_DATA!AR:AR,INPUT_DATA!$A:$A,$B65,INPUT_DATA!$C:$C,"D"))</f>
        <v/>
      </c>
      <c r="CS65" s="714" t="str">
        <f t="shared" si="14"/>
        <v/>
      </c>
      <c r="CT65" s="714" t="str">
        <f t="shared" si="15"/>
        <v/>
      </c>
      <c r="CU65" s="714" t="str">
        <f t="shared" si="16"/>
        <v/>
      </c>
      <c r="CV65" s="703" t="str">
        <f>IF($B65=0,"",SUMIFS(INPUT_DATA!AS:AS,INPUT_DATA!$A:$A,$B65,INPUT_DATA!$C:$C,"D"))</f>
        <v/>
      </c>
      <c r="CW65" s="703" t="str">
        <f>IF($B65=0,"",SUMIFS(INPUT_DATA!AT:AT,INPUT_DATA!$A:$A,$B65,INPUT_DATA!$C:$C,"D"))</f>
        <v/>
      </c>
      <c r="CX65" s="703" t="str">
        <f>IF($B65=0,"",SUMIFS(INPUT_DATA!AU:AU,INPUT_DATA!$A:$A,$B65,INPUT_DATA!$C:$C,"D"))</f>
        <v/>
      </c>
      <c r="CY65" s="703" t="str">
        <f t="shared" si="17"/>
        <v/>
      </c>
      <c r="CZ65" s="714" t="str">
        <f t="shared" si="18"/>
        <v/>
      </c>
      <c r="DA65" s="725" t="str">
        <f t="shared" si="19"/>
        <v/>
      </c>
      <c r="DB65" s="150"/>
    </row>
    <row r="66" spans="1:106">
      <c r="A66" s="172">
        <f t="shared" si="21"/>
        <v>-19</v>
      </c>
      <c r="B66" s="697">
        <f>INPUT_DATA!BR53</f>
        <v>0</v>
      </c>
      <c r="C66" s="702" t="str">
        <f>IF($B66=0,"",SUMIFS(INPUT_DATA!D:D,INPUT_DATA!$A:$A,$B66,INPUT_DATA!$C:$C,"S"))</f>
        <v/>
      </c>
      <c r="D66" s="703" t="str">
        <f>IF($B66=0,"",SUMIFS(INPUT_DATA!E:E,INPUT_DATA!$A:$A,$B66,INPUT_DATA!$C:$C,"S"))</f>
        <v/>
      </c>
      <c r="E66" s="703" t="str">
        <f>IF($B66=0,"",SUMIFS(INPUT_DATA!F:F,INPUT_DATA!$A:$A,$B66,INPUT_DATA!$C:$C,"S"))</f>
        <v/>
      </c>
      <c r="F66" s="704" t="str">
        <f>IF($B66=0,"",SUMIFS(INPUT_DATA!G:G,INPUT_DATA!$A:$A,$B66,INPUT_DATA!$C:$C,"S"))</f>
        <v/>
      </c>
      <c r="G66" s="704" t="str">
        <f>IF($B66=0,"",SUMIFS(INPUT_DATA!H:H,INPUT_DATA!$A:$A,$B66,INPUT_DATA!$C:$C,"S"))</f>
        <v/>
      </c>
      <c r="H66" s="704" t="str">
        <f>IF($B66=0,"",SUMIFS(INPUT_DATA!I:I,INPUT_DATA!$A:$A,$B66,INPUT_DATA!$C:$C,"S"))</f>
        <v/>
      </c>
      <c r="I66" s="704" t="str">
        <f>IF($B66=0,"",SUMIFS(INPUT_DATA!J:J,INPUT_DATA!$A:$A,$B66,INPUT_DATA!$C:$C,"S"))</f>
        <v/>
      </c>
      <c r="J66" s="704" t="str">
        <f>IF($B66=0,"",SUMIFS(INPUT_DATA!K:K,INPUT_DATA!$A:$A,$B66,INPUT_DATA!$C:$C,"S"))</f>
        <v/>
      </c>
      <c r="K66" s="704" t="str">
        <f>IF($B66=0,"",SUMIFS(INPUT_DATA!L:L,INPUT_DATA!$A:$A,$B66,INPUT_DATA!$C:$C,"S"))</f>
        <v/>
      </c>
      <c r="L66" s="704" t="str">
        <f>IF($B66=0,"",SUMIFS(INPUT_DATA!M:M,INPUT_DATA!$A:$A,$B66,INPUT_DATA!$C:$C,"S"))</f>
        <v/>
      </c>
      <c r="M66" s="704" t="str">
        <f>IF($B66=0,"",SUMIFS(INPUT_DATA!N:N,INPUT_DATA!$A:$A,$B66,INPUT_DATA!$C:$C,"S"))</f>
        <v/>
      </c>
      <c r="N66" s="704" t="str">
        <f>IF($B66=0,"",SUMIFS(INPUT_DATA!O:O,INPUT_DATA!$A:$A,$B66,INPUT_DATA!$C:$C,"S"))</f>
        <v/>
      </c>
      <c r="O66" s="704" t="str">
        <f>IF($B66=0,"",SUMIFS(INPUT_DATA!P:P,INPUT_DATA!$A:$A,$B66,INPUT_DATA!$C:$C,"S"))</f>
        <v/>
      </c>
      <c r="P66" s="705" t="str">
        <f t="shared" si="5"/>
        <v/>
      </c>
      <c r="Q66" s="706" t="str">
        <f>IF($B66=0,"",SUMIFS(INPUT_DATA!Q:Q,INPUT_DATA!$A:$A,$B66,INPUT_DATA!$C:$C,"S"))</f>
        <v/>
      </c>
      <c r="R66" s="706" t="str">
        <f t="shared" si="20"/>
        <v/>
      </c>
      <c r="S66" s="712" t="str">
        <f>IF($B66=0,"",SUMIFS(INPUT_DATA!R:R,INPUT_DATA!$A:$A,$B66,INPUT_DATA!$C:$C,"S"))</f>
        <v/>
      </c>
      <c r="T66" s="712" t="str">
        <f>IF($B66=0,"",SUMIFS(INPUT_DATA!S:S,INPUT_DATA!$A:$A,$B66,INPUT_DATA!$C:$C,"S"))</f>
        <v/>
      </c>
      <c r="U66" s="712"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297" t="str">
        <f>IF($B66=0,"",SUMIFS(INPUT_DATA!AR:AR,INPUT_DATA!$A:$A,$B66,INPUT_DATA!$C:$C,"S"))</f>
        <v/>
      </c>
      <c r="AT66" s="713" t="str">
        <f t="shared" si="11"/>
        <v/>
      </c>
      <c r="AU66" s="714" t="str">
        <f t="shared" si="12"/>
        <v/>
      </c>
      <c r="AV66" s="715" t="str">
        <f t="shared" si="13"/>
        <v/>
      </c>
      <c r="AW66" s="713" t="str">
        <f>IF($B66=0,"",SUMIFS(INPUT_DATA!AS:AS,INPUT_DATA!$A:$A,$B66,INPUT_DATA!$C:$C,"S"))</f>
        <v/>
      </c>
      <c r="AX66" s="714" t="str">
        <f>IF($B66=0,"",SUMIFS(INPUT_DATA!AT:AT,INPUT_DATA!$A:$A,$B66,INPUT_DATA!$C:$C,"S"))</f>
        <v/>
      </c>
      <c r="AY66" s="715" t="str">
        <f>IF($B66=0,"",SUMIFS(INPUT_DATA!AU:AU,INPUT_DATA!$A:$A,$B66,INPUT_DATA!$C:$C,"S"))</f>
        <v/>
      </c>
      <c r="AZ66" s="713" t="str">
        <f t="shared" si="6"/>
        <v/>
      </c>
      <c r="BA66" s="714" t="str">
        <f t="shared" si="7"/>
        <v/>
      </c>
      <c r="BB66" s="715" t="str">
        <f t="shared" si="8"/>
        <v/>
      </c>
      <c r="BC66" s="150"/>
      <c r="BD66" s="702" t="str">
        <f>IF($B66=0,"",SUMIFS(INPUT_DATA!D:D,INPUT_DATA!$A:$A,$B66,INPUT_DATA!$C:$C,"D"))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296" t="str">
        <f>IF($B66=0,"",SUMIFS(INPUT_DATA!P:P,INPUT_DATA!$A:$A,$B66,INPUT_DATA!$C:$C,"D"))</f>
        <v/>
      </c>
      <c r="BO66" s="718" t="str">
        <f t="shared" si="9"/>
        <v/>
      </c>
      <c r="BP66" s="990" t="str">
        <f>IF($B66=0,"",SUMIFS(INPUT_DATA!Q:Q,INPUT_DATA!$A:$A,$B66,INPUT_DATA!$C:$C,"D"))</f>
        <v/>
      </c>
      <c r="BQ66" s="718" t="str">
        <f t="shared" si="10"/>
        <v/>
      </c>
      <c r="BR66" s="702" t="str">
        <f>IF($B66=0,"",SUMIFS(INPUT_DATA!R:R,INPUT_DATA!$A:$A,$B66,INPUT_DATA!$C:$C,"D"))</f>
        <v/>
      </c>
      <c r="BS66" s="724" t="str">
        <f>IF($B66=0,"",SUMIFS(INPUT_DATA!S:S,INPUT_DATA!$A:$A,$B66,INPUT_DATA!$C:$C,"D"))</f>
        <v/>
      </c>
      <c r="BT66" s="724"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296" t="str">
        <f>IF($B66=0,"",SUMIFS(INPUT_DATA!Z:Z,INPUT_DATA!$A:$A,$B66,INPUT_DATA!$C:$C,"D"))</f>
        <v/>
      </c>
      <c r="CA66" s="336" t="str">
        <f>IF($B66=0,"",SUMIFS(INPUT_DATA!AA:AA,INPUT_DATA!$A:$A,$B66,INPUT_DATA!$C:$C,"D"))</f>
        <v/>
      </c>
      <c r="CB66" s="336" t="str">
        <f>IF($B66=0,"",SUMIFS(INPUT_DATA!AB:AB,INPUT_DATA!$A:$A,$B66,INPUT_DATA!$C:$C,"D"))</f>
        <v/>
      </c>
      <c r="CC66" s="336" t="str">
        <f>IF($B66=0,"",SUMIFS(INPUT_DATA!AC:AC,INPUT_DATA!$A:$A,$B66,INPUT_DATA!$C:$C,"D"))</f>
        <v/>
      </c>
      <c r="CD66" s="296" t="str">
        <f>IF($B66=0,"",SUMIFS(INPUT_DATA!AD:AD,INPUT_DATA!$A:$A,$B66,INPUT_DATA!$C:$C,"D"))</f>
        <v/>
      </c>
      <c r="CE66" s="296" t="str">
        <f>IF($B66=0,"",SUMIFS(INPUT_DATA!AE:AE,INPUT_DATA!$A:$A,$B66,INPUT_DATA!$C:$C,"D"))</f>
        <v/>
      </c>
      <c r="CF66" s="296" t="str">
        <f>IF($B66=0,"",SUMIFS(INPUT_DATA!AF:AF,INPUT_DATA!$A:$A,$B66,INPUT_DATA!$C:$C,"D"))</f>
        <v/>
      </c>
      <c r="CG66" s="336" t="str">
        <f>IF($B66=0,"",SUMIFS(INPUT_DATA!AG:AG,INPUT_DATA!$A:$A,$B66,INPUT_DATA!$C:$C,"D"))</f>
        <v/>
      </c>
      <c r="CH66" s="336" t="str">
        <f>IF($B66=0,"",SUMIFS(INPUT_DATA!AH:AH,INPUT_DATA!$A:$A,$B66,INPUT_DATA!$C:$C,"D"))</f>
        <v/>
      </c>
      <c r="CI66" s="336"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153" t="str">
        <f>IF($B66=0,"",SUMIFS(INPUT_DATA!AR:AR,INPUT_DATA!$A:$A,$B66,INPUT_DATA!$C:$C,"D"))</f>
        <v/>
      </c>
      <c r="CS66" s="714" t="str">
        <f t="shared" si="14"/>
        <v/>
      </c>
      <c r="CT66" s="714" t="str">
        <f t="shared" si="15"/>
        <v/>
      </c>
      <c r="CU66" s="714" t="str">
        <f t="shared" si="16"/>
        <v/>
      </c>
      <c r="CV66" s="703" t="str">
        <f>IF($B66=0,"",SUMIFS(INPUT_DATA!AS:AS,INPUT_DATA!$A:$A,$B66,INPUT_DATA!$C:$C,"D"))</f>
        <v/>
      </c>
      <c r="CW66" s="703" t="str">
        <f>IF($B66=0,"",SUMIFS(INPUT_DATA!AT:AT,INPUT_DATA!$A:$A,$B66,INPUT_DATA!$C:$C,"D"))</f>
        <v/>
      </c>
      <c r="CX66" s="703" t="str">
        <f>IF($B66=0,"",SUMIFS(INPUT_DATA!AU:AU,INPUT_DATA!$A:$A,$B66,INPUT_DATA!$C:$C,"D"))</f>
        <v/>
      </c>
      <c r="CY66" s="703" t="str">
        <f t="shared" si="17"/>
        <v/>
      </c>
      <c r="CZ66" s="714" t="str">
        <f t="shared" si="18"/>
        <v/>
      </c>
      <c r="DA66" s="725" t="str">
        <f t="shared" si="19"/>
        <v/>
      </c>
      <c r="DB66" s="150"/>
    </row>
    <row r="67" spans="1:106">
      <c r="A67" s="172">
        <f t="shared" si="21"/>
        <v>-20</v>
      </c>
      <c r="B67" s="697">
        <f>INPUT_DATA!BR54</f>
        <v>0</v>
      </c>
      <c r="C67" s="702" t="str">
        <f>IF($B67=0,"",SUMIFS(INPUT_DATA!D:D,INPUT_DATA!$A:$A,$B67,INPUT_DATA!$C:$C,"S"))</f>
        <v/>
      </c>
      <c r="D67" s="703" t="str">
        <f>IF($B67=0,"",SUMIFS(INPUT_DATA!E:E,INPUT_DATA!$A:$A,$B67,INPUT_DATA!$C:$C,"S"))</f>
        <v/>
      </c>
      <c r="E67" s="703" t="str">
        <f>IF($B67=0,"",SUMIFS(INPUT_DATA!F:F,INPUT_DATA!$A:$A,$B67,INPUT_DATA!$C:$C,"S"))</f>
        <v/>
      </c>
      <c r="F67" s="704" t="str">
        <f>IF($B67=0,"",SUMIFS(INPUT_DATA!G:G,INPUT_DATA!$A:$A,$B67,INPUT_DATA!$C:$C,"S"))</f>
        <v/>
      </c>
      <c r="G67" s="704" t="str">
        <f>IF($B67=0,"",SUMIFS(INPUT_DATA!H:H,INPUT_DATA!$A:$A,$B67,INPUT_DATA!$C:$C,"S"))</f>
        <v/>
      </c>
      <c r="H67" s="704" t="str">
        <f>IF($B67=0,"",SUMIFS(INPUT_DATA!I:I,INPUT_DATA!$A:$A,$B67,INPUT_DATA!$C:$C,"S"))</f>
        <v/>
      </c>
      <c r="I67" s="704" t="str">
        <f>IF($B67=0,"",SUMIFS(INPUT_DATA!J:J,INPUT_DATA!$A:$A,$B67,INPUT_DATA!$C:$C,"S"))</f>
        <v/>
      </c>
      <c r="J67" s="704" t="str">
        <f>IF($B67=0,"",SUMIFS(INPUT_DATA!K:K,INPUT_DATA!$A:$A,$B67,INPUT_DATA!$C:$C,"S"))</f>
        <v/>
      </c>
      <c r="K67" s="704" t="str">
        <f>IF($B67=0,"",SUMIFS(INPUT_DATA!L:L,INPUT_DATA!$A:$A,$B67,INPUT_DATA!$C:$C,"S"))</f>
        <v/>
      </c>
      <c r="L67" s="704" t="str">
        <f>IF($B67=0,"",SUMIFS(INPUT_DATA!M:M,INPUT_DATA!$A:$A,$B67,INPUT_DATA!$C:$C,"S"))</f>
        <v/>
      </c>
      <c r="M67" s="704" t="str">
        <f>IF($B67=0,"",SUMIFS(INPUT_DATA!N:N,INPUT_DATA!$A:$A,$B67,INPUT_DATA!$C:$C,"S"))</f>
        <v/>
      </c>
      <c r="N67" s="704" t="str">
        <f>IF($B67=0,"",SUMIFS(INPUT_DATA!O:O,INPUT_DATA!$A:$A,$B67,INPUT_DATA!$C:$C,"S"))</f>
        <v/>
      </c>
      <c r="O67" s="704" t="str">
        <f>IF($B67=0,"",SUMIFS(INPUT_DATA!P:P,INPUT_DATA!$A:$A,$B67,INPUT_DATA!$C:$C,"S"))</f>
        <v/>
      </c>
      <c r="P67" s="705" t="str">
        <f t="shared" si="5"/>
        <v/>
      </c>
      <c r="Q67" s="706" t="str">
        <f>IF($B67=0,"",SUMIFS(INPUT_DATA!Q:Q,INPUT_DATA!$A:$A,$B67,INPUT_DATA!$C:$C,"S"))</f>
        <v/>
      </c>
      <c r="R67" s="706" t="str">
        <f t="shared" si="20"/>
        <v/>
      </c>
      <c r="S67" s="712" t="str">
        <f>IF($B67=0,"",SUMIFS(INPUT_DATA!R:R,INPUT_DATA!$A:$A,$B67,INPUT_DATA!$C:$C,"S"))</f>
        <v/>
      </c>
      <c r="T67" s="712" t="str">
        <f>IF($B67=0,"",SUMIFS(INPUT_DATA!S:S,INPUT_DATA!$A:$A,$B67,INPUT_DATA!$C:$C,"S"))</f>
        <v/>
      </c>
      <c r="U67" s="712"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297" t="str">
        <f>IF($B67=0,"",SUMIFS(INPUT_DATA!AR:AR,INPUT_DATA!$A:$A,$B67,INPUT_DATA!$C:$C,"S"))</f>
        <v/>
      </c>
      <c r="AT67" s="713" t="str">
        <f t="shared" si="11"/>
        <v/>
      </c>
      <c r="AU67" s="714" t="str">
        <f t="shared" si="12"/>
        <v/>
      </c>
      <c r="AV67" s="715" t="str">
        <f t="shared" si="13"/>
        <v/>
      </c>
      <c r="AW67" s="713" t="str">
        <f>IF($B67=0,"",SUMIFS(INPUT_DATA!AS:AS,INPUT_DATA!$A:$A,$B67,INPUT_DATA!$C:$C,"S"))</f>
        <v/>
      </c>
      <c r="AX67" s="714" t="str">
        <f>IF($B67=0,"",SUMIFS(INPUT_DATA!AT:AT,INPUT_DATA!$A:$A,$B67,INPUT_DATA!$C:$C,"S"))</f>
        <v/>
      </c>
      <c r="AY67" s="715" t="str">
        <f>IF($B67=0,"",SUMIFS(INPUT_DATA!AU:AU,INPUT_DATA!$A:$A,$B67,INPUT_DATA!$C:$C,"S"))</f>
        <v/>
      </c>
      <c r="AZ67" s="713" t="str">
        <f t="shared" si="6"/>
        <v/>
      </c>
      <c r="BA67" s="714" t="str">
        <f t="shared" si="7"/>
        <v/>
      </c>
      <c r="BB67" s="715" t="str">
        <f t="shared" si="8"/>
        <v/>
      </c>
      <c r="BC67" s="150"/>
      <c r="BD67" s="702" t="str">
        <f>IF($B67=0,"",SUMIFS(INPUT_DATA!D:D,INPUT_DATA!$A:$A,$B67,INPUT_DATA!$C:$C,"D"))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296" t="str">
        <f>IF($B67=0,"",SUMIFS(INPUT_DATA!P:P,INPUT_DATA!$A:$A,$B67,INPUT_DATA!$C:$C,"D"))</f>
        <v/>
      </c>
      <c r="BO67" s="718" t="str">
        <f t="shared" si="9"/>
        <v/>
      </c>
      <c r="BP67" s="990" t="str">
        <f>IF($B67=0,"",SUMIFS(INPUT_DATA!Q:Q,INPUT_DATA!$A:$A,$B67,INPUT_DATA!$C:$C,"D"))</f>
        <v/>
      </c>
      <c r="BQ67" s="718" t="str">
        <f t="shared" si="10"/>
        <v/>
      </c>
      <c r="BR67" s="702" t="str">
        <f>IF($B67=0,"",SUMIFS(INPUT_DATA!R:R,INPUT_DATA!$A:$A,$B67,INPUT_DATA!$C:$C,"D"))</f>
        <v/>
      </c>
      <c r="BS67" s="724" t="str">
        <f>IF($B67=0,"",SUMIFS(INPUT_DATA!S:S,INPUT_DATA!$A:$A,$B67,INPUT_DATA!$C:$C,"D"))</f>
        <v/>
      </c>
      <c r="BT67" s="724"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296" t="str">
        <f>IF($B67=0,"",SUMIFS(INPUT_DATA!Z:Z,INPUT_DATA!$A:$A,$B67,INPUT_DATA!$C:$C,"D"))</f>
        <v/>
      </c>
      <c r="CA67" s="336" t="str">
        <f>IF($B67=0,"",SUMIFS(INPUT_DATA!AA:AA,INPUT_DATA!$A:$A,$B67,INPUT_DATA!$C:$C,"D"))</f>
        <v/>
      </c>
      <c r="CB67" s="336" t="str">
        <f>IF($B67=0,"",SUMIFS(INPUT_DATA!AB:AB,INPUT_DATA!$A:$A,$B67,INPUT_DATA!$C:$C,"D"))</f>
        <v/>
      </c>
      <c r="CC67" s="336" t="str">
        <f>IF($B67=0,"",SUMIFS(INPUT_DATA!AC:AC,INPUT_DATA!$A:$A,$B67,INPUT_DATA!$C:$C,"D"))</f>
        <v/>
      </c>
      <c r="CD67" s="296" t="str">
        <f>IF($B67=0,"",SUMIFS(INPUT_DATA!AD:AD,INPUT_DATA!$A:$A,$B67,INPUT_DATA!$C:$C,"D"))</f>
        <v/>
      </c>
      <c r="CE67" s="296" t="str">
        <f>IF($B67=0,"",SUMIFS(INPUT_DATA!AE:AE,INPUT_DATA!$A:$A,$B67,INPUT_DATA!$C:$C,"D"))</f>
        <v/>
      </c>
      <c r="CF67" s="296" t="str">
        <f>IF($B67=0,"",SUMIFS(INPUT_DATA!AF:AF,INPUT_DATA!$A:$A,$B67,INPUT_DATA!$C:$C,"D"))</f>
        <v/>
      </c>
      <c r="CG67" s="336" t="str">
        <f>IF($B67=0,"",SUMIFS(INPUT_DATA!AG:AG,INPUT_DATA!$A:$A,$B67,INPUT_DATA!$C:$C,"D"))</f>
        <v/>
      </c>
      <c r="CH67" s="336" t="str">
        <f>IF($B67=0,"",SUMIFS(INPUT_DATA!AH:AH,INPUT_DATA!$A:$A,$B67,INPUT_DATA!$C:$C,"D"))</f>
        <v/>
      </c>
      <c r="CI67" s="336"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153" t="str">
        <f>IF($B67=0,"",SUMIFS(INPUT_DATA!AR:AR,INPUT_DATA!$A:$A,$B67,INPUT_DATA!$C:$C,"D"))</f>
        <v/>
      </c>
      <c r="CS67" s="714" t="str">
        <f t="shared" si="14"/>
        <v/>
      </c>
      <c r="CT67" s="714" t="str">
        <f t="shared" si="15"/>
        <v/>
      </c>
      <c r="CU67" s="714" t="str">
        <f t="shared" si="16"/>
        <v/>
      </c>
      <c r="CV67" s="703" t="str">
        <f>IF($B67=0,"",SUMIFS(INPUT_DATA!AS:AS,INPUT_DATA!$A:$A,$B67,INPUT_DATA!$C:$C,"D"))</f>
        <v/>
      </c>
      <c r="CW67" s="703" t="str">
        <f>IF($B67=0,"",SUMIFS(INPUT_DATA!AT:AT,INPUT_DATA!$A:$A,$B67,INPUT_DATA!$C:$C,"D"))</f>
        <v/>
      </c>
      <c r="CX67" s="703" t="str">
        <f>IF($B67=0,"",SUMIFS(INPUT_DATA!AU:AU,INPUT_DATA!$A:$A,$B67,INPUT_DATA!$C:$C,"D"))</f>
        <v/>
      </c>
      <c r="CY67" s="703" t="str">
        <f t="shared" si="17"/>
        <v/>
      </c>
      <c r="CZ67" s="714" t="str">
        <f t="shared" si="18"/>
        <v/>
      </c>
      <c r="DA67" s="725" t="str">
        <f t="shared" si="19"/>
        <v/>
      </c>
      <c r="DB67" s="150"/>
    </row>
    <row r="68" spans="1:106">
      <c r="A68" s="172">
        <f t="shared" si="21"/>
        <v>-21</v>
      </c>
      <c r="B68" s="697">
        <f>INPUT_DATA!BR55</f>
        <v>0</v>
      </c>
      <c r="C68" s="702" t="str">
        <f>IF($B68=0,"",SUMIFS(INPUT_DATA!D:D,INPUT_DATA!$A:$A,$B68,INPUT_DATA!$C:$C,"S"))</f>
        <v/>
      </c>
      <c r="D68" s="703" t="str">
        <f>IF($B68=0,"",SUMIFS(INPUT_DATA!E:E,INPUT_DATA!$A:$A,$B68,INPUT_DATA!$C:$C,"S"))</f>
        <v/>
      </c>
      <c r="E68" s="703" t="str">
        <f>IF($B68=0,"",SUMIFS(INPUT_DATA!F:F,INPUT_DATA!$A:$A,$B68,INPUT_DATA!$C:$C,"S"))</f>
        <v/>
      </c>
      <c r="F68" s="704" t="str">
        <f>IF($B68=0,"",SUMIFS(INPUT_DATA!G:G,INPUT_DATA!$A:$A,$B68,INPUT_DATA!$C:$C,"S"))</f>
        <v/>
      </c>
      <c r="G68" s="704" t="str">
        <f>IF($B68=0,"",SUMIFS(INPUT_DATA!H:H,INPUT_DATA!$A:$A,$B68,INPUT_DATA!$C:$C,"S"))</f>
        <v/>
      </c>
      <c r="H68" s="704" t="str">
        <f>IF($B68=0,"",SUMIFS(INPUT_DATA!I:I,INPUT_DATA!$A:$A,$B68,INPUT_DATA!$C:$C,"S"))</f>
        <v/>
      </c>
      <c r="I68" s="704" t="str">
        <f>IF($B68=0,"",SUMIFS(INPUT_DATA!J:J,INPUT_DATA!$A:$A,$B68,INPUT_DATA!$C:$C,"S"))</f>
        <v/>
      </c>
      <c r="J68" s="704" t="str">
        <f>IF($B68=0,"",SUMIFS(INPUT_DATA!K:K,INPUT_DATA!$A:$A,$B68,INPUT_DATA!$C:$C,"S"))</f>
        <v/>
      </c>
      <c r="K68" s="704" t="str">
        <f>IF($B68=0,"",SUMIFS(INPUT_DATA!L:L,INPUT_DATA!$A:$A,$B68,INPUT_DATA!$C:$C,"S"))</f>
        <v/>
      </c>
      <c r="L68" s="704" t="str">
        <f>IF($B68=0,"",SUMIFS(INPUT_DATA!M:M,INPUT_DATA!$A:$A,$B68,INPUT_DATA!$C:$C,"S"))</f>
        <v/>
      </c>
      <c r="M68" s="704" t="str">
        <f>IF($B68=0,"",SUMIFS(INPUT_DATA!N:N,INPUT_DATA!$A:$A,$B68,INPUT_DATA!$C:$C,"S"))</f>
        <v/>
      </c>
      <c r="N68" s="704" t="str">
        <f>IF($B68=0,"",SUMIFS(INPUT_DATA!O:O,INPUT_DATA!$A:$A,$B68,INPUT_DATA!$C:$C,"S"))</f>
        <v/>
      </c>
      <c r="O68" s="704" t="str">
        <f>IF($B68=0,"",SUMIFS(INPUT_DATA!P:P,INPUT_DATA!$A:$A,$B68,INPUT_DATA!$C:$C,"S"))</f>
        <v/>
      </c>
      <c r="P68" s="705" t="str">
        <f t="shared" si="5"/>
        <v/>
      </c>
      <c r="Q68" s="706" t="str">
        <f>IF($B68=0,"",SUMIFS(INPUT_DATA!Q:Q,INPUT_DATA!$A:$A,$B68,INPUT_DATA!$C:$C,"S"))</f>
        <v/>
      </c>
      <c r="R68" s="706" t="str">
        <f t="shared" si="20"/>
        <v/>
      </c>
      <c r="S68" s="712" t="str">
        <f>IF($B68=0,"",SUMIFS(INPUT_DATA!R:R,INPUT_DATA!$A:$A,$B68,INPUT_DATA!$C:$C,"S"))</f>
        <v/>
      </c>
      <c r="T68" s="712" t="str">
        <f>IF($B68=0,"",SUMIFS(INPUT_DATA!S:S,INPUT_DATA!$A:$A,$B68,INPUT_DATA!$C:$C,"S"))</f>
        <v/>
      </c>
      <c r="U68" s="712"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297" t="str">
        <f>IF($B68=0,"",SUMIFS(INPUT_DATA!AR:AR,INPUT_DATA!$A:$A,$B68,INPUT_DATA!$C:$C,"S"))</f>
        <v/>
      </c>
      <c r="AT68" s="713" t="str">
        <f t="shared" si="11"/>
        <v/>
      </c>
      <c r="AU68" s="714" t="str">
        <f t="shared" si="12"/>
        <v/>
      </c>
      <c r="AV68" s="715" t="str">
        <f t="shared" si="13"/>
        <v/>
      </c>
      <c r="AW68" s="713" t="str">
        <f>IF($B68=0,"",SUMIFS(INPUT_DATA!AS:AS,INPUT_DATA!$A:$A,$B68,INPUT_DATA!$C:$C,"S"))</f>
        <v/>
      </c>
      <c r="AX68" s="714" t="str">
        <f>IF($B68=0,"",SUMIFS(INPUT_DATA!AT:AT,INPUT_DATA!$A:$A,$B68,INPUT_DATA!$C:$C,"S"))</f>
        <v/>
      </c>
      <c r="AY68" s="715" t="str">
        <f>IF($B68=0,"",SUMIFS(INPUT_DATA!AU:AU,INPUT_DATA!$A:$A,$B68,INPUT_DATA!$C:$C,"S"))</f>
        <v/>
      </c>
      <c r="AZ68" s="713" t="str">
        <f t="shared" si="6"/>
        <v/>
      </c>
      <c r="BA68" s="714" t="str">
        <f t="shared" si="7"/>
        <v/>
      </c>
      <c r="BB68" s="715" t="str">
        <f t="shared" si="8"/>
        <v/>
      </c>
      <c r="BC68" s="150"/>
      <c r="BD68" s="702" t="str">
        <f>IF($B68=0,"",SUMIFS(INPUT_DATA!D:D,INPUT_DATA!$A:$A,$B68,INPUT_DATA!$C:$C,"D"))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296" t="str">
        <f>IF($B68=0,"",SUMIFS(INPUT_DATA!P:P,INPUT_DATA!$A:$A,$B68,INPUT_DATA!$C:$C,"D"))</f>
        <v/>
      </c>
      <c r="BO68" s="718" t="str">
        <f t="shared" si="9"/>
        <v/>
      </c>
      <c r="BP68" s="990" t="str">
        <f>IF($B68=0,"",SUMIFS(INPUT_DATA!Q:Q,INPUT_DATA!$A:$A,$B68,INPUT_DATA!$C:$C,"D"))</f>
        <v/>
      </c>
      <c r="BQ68" s="718" t="str">
        <f t="shared" si="10"/>
        <v/>
      </c>
      <c r="BR68" s="702" t="str">
        <f>IF($B68=0,"",SUMIFS(INPUT_DATA!R:R,INPUT_DATA!$A:$A,$B68,INPUT_DATA!$C:$C,"D"))</f>
        <v/>
      </c>
      <c r="BS68" s="724" t="str">
        <f>IF($B68=0,"",SUMIFS(INPUT_DATA!S:S,INPUT_DATA!$A:$A,$B68,INPUT_DATA!$C:$C,"D"))</f>
        <v/>
      </c>
      <c r="BT68" s="724"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296" t="str">
        <f>IF($B68=0,"",SUMIFS(INPUT_DATA!Z:Z,INPUT_DATA!$A:$A,$B68,INPUT_DATA!$C:$C,"D"))</f>
        <v/>
      </c>
      <c r="CA68" s="336" t="str">
        <f>IF($B68=0,"",SUMIFS(INPUT_DATA!AA:AA,INPUT_DATA!$A:$A,$B68,INPUT_DATA!$C:$C,"D"))</f>
        <v/>
      </c>
      <c r="CB68" s="336" t="str">
        <f>IF($B68=0,"",SUMIFS(INPUT_DATA!AB:AB,INPUT_DATA!$A:$A,$B68,INPUT_DATA!$C:$C,"D"))</f>
        <v/>
      </c>
      <c r="CC68" s="336" t="str">
        <f>IF($B68=0,"",SUMIFS(INPUT_DATA!AC:AC,INPUT_DATA!$A:$A,$B68,INPUT_DATA!$C:$C,"D"))</f>
        <v/>
      </c>
      <c r="CD68" s="296" t="str">
        <f>IF($B68=0,"",SUMIFS(INPUT_DATA!AD:AD,INPUT_DATA!$A:$A,$B68,INPUT_DATA!$C:$C,"D"))</f>
        <v/>
      </c>
      <c r="CE68" s="296" t="str">
        <f>IF($B68=0,"",SUMIFS(INPUT_DATA!AE:AE,INPUT_DATA!$A:$A,$B68,INPUT_DATA!$C:$C,"D"))</f>
        <v/>
      </c>
      <c r="CF68" s="296" t="str">
        <f>IF($B68=0,"",SUMIFS(INPUT_DATA!AF:AF,INPUT_DATA!$A:$A,$B68,INPUT_DATA!$C:$C,"D"))</f>
        <v/>
      </c>
      <c r="CG68" s="336" t="str">
        <f>IF($B68=0,"",SUMIFS(INPUT_DATA!AG:AG,INPUT_DATA!$A:$A,$B68,INPUT_DATA!$C:$C,"D"))</f>
        <v/>
      </c>
      <c r="CH68" s="336" t="str">
        <f>IF($B68=0,"",SUMIFS(INPUT_DATA!AH:AH,INPUT_DATA!$A:$A,$B68,INPUT_DATA!$C:$C,"D"))</f>
        <v/>
      </c>
      <c r="CI68" s="336"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153" t="str">
        <f>IF($B68=0,"",SUMIFS(INPUT_DATA!AR:AR,INPUT_DATA!$A:$A,$B68,INPUT_DATA!$C:$C,"D"))</f>
        <v/>
      </c>
      <c r="CS68" s="714" t="str">
        <f t="shared" si="14"/>
        <v/>
      </c>
      <c r="CT68" s="714" t="str">
        <f t="shared" si="15"/>
        <v/>
      </c>
      <c r="CU68" s="714" t="str">
        <f t="shared" si="16"/>
        <v/>
      </c>
      <c r="CV68" s="703" t="str">
        <f>IF($B68=0,"",SUMIFS(INPUT_DATA!AS:AS,INPUT_DATA!$A:$A,$B68,INPUT_DATA!$C:$C,"D"))</f>
        <v/>
      </c>
      <c r="CW68" s="703" t="str">
        <f>IF($B68=0,"",SUMIFS(INPUT_DATA!AT:AT,INPUT_DATA!$A:$A,$B68,INPUT_DATA!$C:$C,"D"))</f>
        <v/>
      </c>
      <c r="CX68" s="703" t="str">
        <f>IF($B68=0,"",SUMIFS(INPUT_DATA!AU:AU,INPUT_DATA!$A:$A,$B68,INPUT_DATA!$C:$C,"D"))</f>
        <v/>
      </c>
      <c r="CY68" s="703" t="str">
        <f t="shared" si="17"/>
        <v/>
      </c>
      <c r="CZ68" s="714" t="str">
        <f t="shared" si="18"/>
        <v/>
      </c>
      <c r="DA68" s="725" t="str">
        <f t="shared" si="19"/>
        <v/>
      </c>
      <c r="DB68" s="150"/>
    </row>
    <row r="69" spans="1:106">
      <c r="A69" s="172">
        <f t="shared" si="21"/>
        <v>-22</v>
      </c>
      <c r="B69" s="697">
        <f>INPUT_DATA!BR56</f>
        <v>0</v>
      </c>
      <c r="C69" s="702" t="str">
        <f>IF($B69=0,"",SUMIFS(INPUT_DATA!D:D,INPUT_DATA!$A:$A,$B69,INPUT_DATA!$C:$C,"S"))</f>
        <v/>
      </c>
      <c r="D69" s="703" t="str">
        <f>IF($B69=0,"",SUMIFS(INPUT_DATA!E:E,INPUT_DATA!$A:$A,$B69,INPUT_DATA!$C:$C,"S"))</f>
        <v/>
      </c>
      <c r="E69" s="703" t="str">
        <f>IF($B69=0,"",SUMIFS(INPUT_DATA!F:F,INPUT_DATA!$A:$A,$B69,INPUT_DATA!$C:$C,"S"))</f>
        <v/>
      </c>
      <c r="F69" s="704" t="str">
        <f>IF($B69=0,"",SUMIFS(INPUT_DATA!G:G,INPUT_DATA!$A:$A,$B69,INPUT_DATA!$C:$C,"S"))</f>
        <v/>
      </c>
      <c r="G69" s="704" t="str">
        <f>IF($B69=0,"",SUMIFS(INPUT_DATA!H:H,INPUT_DATA!$A:$A,$B69,INPUT_DATA!$C:$C,"S"))</f>
        <v/>
      </c>
      <c r="H69" s="704" t="str">
        <f>IF($B69=0,"",SUMIFS(INPUT_DATA!I:I,INPUT_DATA!$A:$A,$B69,INPUT_DATA!$C:$C,"S"))</f>
        <v/>
      </c>
      <c r="I69" s="704" t="str">
        <f>IF($B69=0,"",SUMIFS(INPUT_DATA!J:J,INPUT_DATA!$A:$A,$B69,INPUT_DATA!$C:$C,"S"))</f>
        <v/>
      </c>
      <c r="J69" s="704" t="str">
        <f>IF($B69=0,"",SUMIFS(INPUT_DATA!K:K,INPUT_DATA!$A:$A,$B69,INPUT_DATA!$C:$C,"S"))</f>
        <v/>
      </c>
      <c r="K69" s="704" t="str">
        <f>IF($B69=0,"",SUMIFS(INPUT_DATA!L:L,INPUT_DATA!$A:$A,$B69,INPUT_DATA!$C:$C,"S"))</f>
        <v/>
      </c>
      <c r="L69" s="704" t="str">
        <f>IF($B69=0,"",SUMIFS(INPUT_DATA!M:M,INPUT_DATA!$A:$A,$B69,INPUT_DATA!$C:$C,"S"))</f>
        <v/>
      </c>
      <c r="M69" s="704" t="str">
        <f>IF($B69=0,"",SUMIFS(INPUT_DATA!N:N,INPUT_DATA!$A:$A,$B69,INPUT_DATA!$C:$C,"S"))</f>
        <v/>
      </c>
      <c r="N69" s="704" t="str">
        <f>IF($B69=0,"",SUMIFS(INPUT_DATA!O:O,INPUT_DATA!$A:$A,$B69,INPUT_DATA!$C:$C,"S"))</f>
        <v/>
      </c>
      <c r="O69" s="704" t="str">
        <f>IF($B69=0,"",SUMIFS(INPUT_DATA!P:P,INPUT_DATA!$A:$A,$B69,INPUT_DATA!$C:$C,"S"))</f>
        <v/>
      </c>
      <c r="P69" s="705" t="str">
        <f t="shared" si="5"/>
        <v/>
      </c>
      <c r="Q69" s="706" t="str">
        <f>IF($B69=0,"",SUMIFS(INPUT_DATA!Q:Q,INPUT_DATA!$A:$A,$B69,INPUT_DATA!$C:$C,"S"))</f>
        <v/>
      </c>
      <c r="R69" s="706" t="str">
        <f t="shared" si="20"/>
        <v/>
      </c>
      <c r="S69" s="712" t="str">
        <f>IF($B69=0,"",SUMIFS(INPUT_DATA!R:R,INPUT_DATA!$A:$A,$B69,INPUT_DATA!$C:$C,"S"))</f>
        <v/>
      </c>
      <c r="T69" s="712" t="str">
        <f>IF($B69=0,"",SUMIFS(INPUT_DATA!S:S,INPUT_DATA!$A:$A,$B69,INPUT_DATA!$C:$C,"S"))</f>
        <v/>
      </c>
      <c r="U69" s="712"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297" t="str">
        <f>IF($B69=0,"",SUMIFS(INPUT_DATA!AR:AR,INPUT_DATA!$A:$A,$B69,INPUT_DATA!$C:$C,"S"))</f>
        <v/>
      </c>
      <c r="AT69" s="713" t="str">
        <f t="shared" si="11"/>
        <v/>
      </c>
      <c r="AU69" s="714" t="str">
        <f t="shared" si="12"/>
        <v/>
      </c>
      <c r="AV69" s="715" t="str">
        <f t="shared" si="13"/>
        <v/>
      </c>
      <c r="AW69" s="713" t="str">
        <f>IF($B69=0,"",SUMIFS(INPUT_DATA!AS:AS,INPUT_DATA!$A:$A,$B69,INPUT_DATA!$C:$C,"S"))</f>
        <v/>
      </c>
      <c r="AX69" s="714" t="str">
        <f>IF($B69=0,"",SUMIFS(INPUT_DATA!AT:AT,INPUT_DATA!$A:$A,$B69,INPUT_DATA!$C:$C,"S"))</f>
        <v/>
      </c>
      <c r="AY69" s="715" t="str">
        <f>IF($B69=0,"",SUMIFS(INPUT_DATA!AU:AU,INPUT_DATA!$A:$A,$B69,INPUT_DATA!$C:$C,"S"))</f>
        <v/>
      </c>
      <c r="AZ69" s="713" t="str">
        <f t="shared" si="6"/>
        <v/>
      </c>
      <c r="BA69" s="714" t="str">
        <f t="shared" si="7"/>
        <v/>
      </c>
      <c r="BB69" s="715" t="str">
        <f t="shared" si="8"/>
        <v/>
      </c>
      <c r="BC69" s="150"/>
      <c r="BD69" s="702" t="str">
        <f>IF($B69=0,"",SUMIFS(INPUT_DATA!D:D,INPUT_DATA!$A:$A,$B69,INPUT_DATA!$C:$C,"D"))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296" t="str">
        <f>IF($B69=0,"",SUMIFS(INPUT_DATA!P:P,INPUT_DATA!$A:$A,$B69,INPUT_DATA!$C:$C,"D"))</f>
        <v/>
      </c>
      <c r="BO69" s="718" t="str">
        <f t="shared" si="9"/>
        <v/>
      </c>
      <c r="BP69" s="990" t="str">
        <f>IF($B69=0,"",SUMIFS(INPUT_DATA!Q:Q,INPUT_DATA!$A:$A,$B69,INPUT_DATA!$C:$C,"D"))</f>
        <v/>
      </c>
      <c r="BQ69" s="718" t="str">
        <f t="shared" si="10"/>
        <v/>
      </c>
      <c r="BR69" s="702" t="str">
        <f>IF($B69=0,"",SUMIFS(INPUT_DATA!R:R,INPUT_DATA!$A:$A,$B69,INPUT_DATA!$C:$C,"D"))</f>
        <v/>
      </c>
      <c r="BS69" s="724" t="str">
        <f>IF($B69=0,"",SUMIFS(INPUT_DATA!S:S,INPUT_DATA!$A:$A,$B69,INPUT_DATA!$C:$C,"D"))</f>
        <v/>
      </c>
      <c r="BT69" s="724"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296" t="str">
        <f>IF($B69=0,"",SUMIFS(INPUT_DATA!Z:Z,INPUT_DATA!$A:$A,$B69,INPUT_DATA!$C:$C,"D"))</f>
        <v/>
      </c>
      <c r="CA69" s="336" t="str">
        <f>IF($B69=0,"",SUMIFS(INPUT_DATA!AA:AA,INPUT_DATA!$A:$A,$B69,INPUT_DATA!$C:$C,"D"))</f>
        <v/>
      </c>
      <c r="CB69" s="336" t="str">
        <f>IF($B69=0,"",SUMIFS(INPUT_DATA!AB:AB,INPUT_DATA!$A:$A,$B69,INPUT_DATA!$C:$C,"D"))</f>
        <v/>
      </c>
      <c r="CC69" s="336" t="str">
        <f>IF($B69=0,"",SUMIFS(INPUT_DATA!AC:AC,INPUT_DATA!$A:$A,$B69,INPUT_DATA!$C:$C,"D"))</f>
        <v/>
      </c>
      <c r="CD69" s="296" t="str">
        <f>IF($B69=0,"",SUMIFS(INPUT_DATA!AD:AD,INPUT_DATA!$A:$A,$B69,INPUT_DATA!$C:$C,"D"))</f>
        <v/>
      </c>
      <c r="CE69" s="296" t="str">
        <f>IF($B69=0,"",SUMIFS(INPUT_DATA!AE:AE,INPUT_DATA!$A:$A,$B69,INPUT_DATA!$C:$C,"D"))</f>
        <v/>
      </c>
      <c r="CF69" s="296" t="str">
        <f>IF($B69=0,"",SUMIFS(INPUT_DATA!AF:AF,INPUT_DATA!$A:$A,$B69,INPUT_DATA!$C:$C,"D"))</f>
        <v/>
      </c>
      <c r="CG69" s="336" t="str">
        <f>IF($B69=0,"",SUMIFS(INPUT_DATA!AG:AG,INPUT_DATA!$A:$A,$B69,INPUT_DATA!$C:$C,"D"))</f>
        <v/>
      </c>
      <c r="CH69" s="336" t="str">
        <f>IF($B69=0,"",SUMIFS(INPUT_DATA!AH:AH,INPUT_DATA!$A:$A,$B69,INPUT_DATA!$C:$C,"D"))</f>
        <v/>
      </c>
      <c r="CI69" s="336"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153" t="str">
        <f>IF($B69=0,"",SUMIFS(INPUT_DATA!AR:AR,INPUT_DATA!$A:$A,$B69,INPUT_DATA!$C:$C,"D"))</f>
        <v/>
      </c>
      <c r="CS69" s="714" t="str">
        <f t="shared" si="14"/>
        <v/>
      </c>
      <c r="CT69" s="714" t="str">
        <f t="shared" si="15"/>
        <v/>
      </c>
      <c r="CU69" s="714" t="str">
        <f t="shared" si="16"/>
        <v/>
      </c>
      <c r="CV69" s="703" t="str">
        <f>IF($B69=0,"",SUMIFS(INPUT_DATA!AS:AS,INPUT_DATA!$A:$A,$B69,INPUT_DATA!$C:$C,"D"))</f>
        <v/>
      </c>
      <c r="CW69" s="703" t="str">
        <f>IF($B69=0,"",SUMIFS(INPUT_DATA!AT:AT,INPUT_DATA!$A:$A,$B69,INPUT_DATA!$C:$C,"D"))</f>
        <v/>
      </c>
      <c r="CX69" s="703" t="str">
        <f>IF($B69=0,"",SUMIFS(INPUT_DATA!AU:AU,INPUT_DATA!$A:$A,$B69,INPUT_DATA!$C:$C,"D"))</f>
        <v/>
      </c>
      <c r="CY69" s="703" t="str">
        <f t="shared" si="17"/>
        <v/>
      </c>
      <c r="CZ69" s="714" t="str">
        <f t="shared" si="18"/>
        <v/>
      </c>
      <c r="DA69" s="725" t="str">
        <f t="shared" si="19"/>
        <v/>
      </c>
      <c r="DB69" s="150"/>
    </row>
    <row r="70" spans="1:106">
      <c r="A70" s="172">
        <f t="shared" si="21"/>
        <v>-23</v>
      </c>
      <c r="B70" s="697">
        <f>INPUT_DATA!BR57</f>
        <v>0</v>
      </c>
      <c r="C70" s="702" t="str">
        <f>IF($B70=0,"",SUMIFS(INPUT_DATA!D:D,INPUT_DATA!$A:$A,$B70,INPUT_DATA!$C:$C,"S"))</f>
        <v/>
      </c>
      <c r="D70" s="703" t="str">
        <f>IF($B70=0,"",SUMIFS(INPUT_DATA!E:E,INPUT_DATA!$A:$A,$B70,INPUT_DATA!$C:$C,"S"))</f>
        <v/>
      </c>
      <c r="E70" s="703" t="str">
        <f>IF($B70=0,"",SUMIFS(INPUT_DATA!F:F,INPUT_DATA!$A:$A,$B70,INPUT_DATA!$C:$C,"S"))</f>
        <v/>
      </c>
      <c r="F70" s="704" t="str">
        <f>IF($B70=0,"",SUMIFS(INPUT_DATA!G:G,INPUT_DATA!$A:$A,$B70,INPUT_DATA!$C:$C,"S"))</f>
        <v/>
      </c>
      <c r="G70" s="704" t="str">
        <f>IF($B70=0,"",SUMIFS(INPUT_DATA!H:H,INPUT_DATA!$A:$A,$B70,INPUT_DATA!$C:$C,"S"))</f>
        <v/>
      </c>
      <c r="H70" s="704" t="str">
        <f>IF($B70=0,"",SUMIFS(INPUT_DATA!I:I,INPUT_DATA!$A:$A,$B70,INPUT_DATA!$C:$C,"S"))</f>
        <v/>
      </c>
      <c r="I70" s="704" t="str">
        <f>IF($B70=0,"",SUMIFS(INPUT_DATA!J:J,INPUT_DATA!$A:$A,$B70,INPUT_DATA!$C:$C,"S"))</f>
        <v/>
      </c>
      <c r="J70" s="704" t="str">
        <f>IF($B70=0,"",SUMIFS(INPUT_DATA!K:K,INPUT_DATA!$A:$A,$B70,INPUT_DATA!$C:$C,"S"))</f>
        <v/>
      </c>
      <c r="K70" s="704" t="str">
        <f>IF($B70=0,"",SUMIFS(INPUT_DATA!L:L,INPUT_DATA!$A:$A,$B70,INPUT_DATA!$C:$C,"S"))</f>
        <v/>
      </c>
      <c r="L70" s="704" t="str">
        <f>IF($B70=0,"",SUMIFS(INPUT_DATA!M:M,INPUT_DATA!$A:$A,$B70,INPUT_DATA!$C:$C,"S"))</f>
        <v/>
      </c>
      <c r="M70" s="704" t="str">
        <f>IF($B70=0,"",SUMIFS(INPUT_DATA!N:N,INPUT_DATA!$A:$A,$B70,INPUT_DATA!$C:$C,"S"))</f>
        <v/>
      </c>
      <c r="N70" s="704" t="str">
        <f>IF($B70=0,"",SUMIFS(INPUT_DATA!O:O,INPUT_DATA!$A:$A,$B70,INPUT_DATA!$C:$C,"S"))</f>
        <v/>
      </c>
      <c r="O70" s="704" t="str">
        <f>IF($B70=0,"",SUMIFS(INPUT_DATA!P:P,INPUT_DATA!$A:$A,$B70,INPUT_DATA!$C:$C,"S"))</f>
        <v/>
      </c>
      <c r="P70" s="705" t="str">
        <f t="shared" si="5"/>
        <v/>
      </c>
      <c r="Q70" s="706" t="str">
        <f>IF($B70=0,"",SUMIFS(INPUT_DATA!Q:Q,INPUT_DATA!$A:$A,$B70,INPUT_DATA!$C:$C,"S"))</f>
        <v/>
      </c>
      <c r="R70" s="706" t="str">
        <f t="shared" si="20"/>
        <v/>
      </c>
      <c r="S70" s="712" t="str">
        <f>IF($B70=0,"",SUMIFS(INPUT_DATA!R:R,INPUT_DATA!$A:$A,$B70,INPUT_DATA!$C:$C,"S"))</f>
        <v/>
      </c>
      <c r="T70" s="712" t="str">
        <f>IF($B70=0,"",SUMIFS(INPUT_DATA!S:S,INPUT_DATA!$A:$A,$B70,INPUT_DATA!$C:$C,"S"))</f>
        <v/>
      </c>
      <c r="U70" s="712"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297" t="str">
        <f>IF($B70=0,"",SUMIFS(INPUT_DATA!AR:AR,INPUT_DATA!$A:$A,$B70,INPUT_DATA!$C:$C,"S"))</f>
        <v/>
      </c>
      <c r="AT70" s="713" t="str">
        <f t="shared" si="11"/>
        <v/>
      </c>
      <c r="AU70" s="714" t="str">
        <f t="shared" si="12"/>
        <v/>
      </c>
      <c r="AV70" s="715" t="str">
        <f t="shared" si="13"/>
        <v/>
      </c>
      <c r="AW70" s="713" t="str">
        <f>IF($B70=0,"",SUMIFS(INPUT_DATA!AS:AS,INPUT_DATA!$A:$A,$B70,INPUT_DATA!$C:$C,"S"))</f>
        <v/>
      </c>
      <c r="AX70" s="714" t="str">
        <f>IF($B70=0,"",SUMIFS(INPUT_DATA!AT:AT,INPUT_DATA!$A:$A,$B70,INPUT_DATA!$C:$C,"S"))</f>
        <v/>
      </c>
      <c r="AY70" s="715" t="str">
        <f>IF($B70=0,"",SUMIFS(INPUT_DATA!AU:AU,INPUT_DATA!$A:$A,$B70,INPUT_DATA!$C:$C,"S"))</f>
        <v/>
      </c>
      <c r="AZ70" s="713" t="str">
        <f t="shared" si="6"/>
        <v/>
      </c>
      <c r="BA70" s="714" t="str">
        <f t="shared" si="7"/>
        <v/>
      </c>
      <c r="BB70" s="715" t="str">
        <f t="shared" si="8"/>
        <v/>
      </c>
      <c r="BC70" s="150"/>
      <c r="BD70" s="702" t="str">
        <f>IF($B70=0,"",SUMIFS(INPUT_DATA!D:D,INPUT_DATA!$A:$A,$B70,INPUT_DATA!$C:$C,"D"))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296" t="str">
        <f>IF($B70=0,"",SUMIFS(INPUT_DATA!P:P,INPUT_DATA!$A:$A,$B70,INPUT_DATA!$C:$C,"D"))</f>
        <v/>
      </c>
      <c r="BO70" s="718" t="str">
        <f t="shared" si="9"/>
        <v/>
      </c>
      <c r="BP70" s="990" t="str">
        <f>IF($B70=0,"",SUMIFS(INPUT_DATA!Q:Q,INPUT_DATA!$A:$A,$B70,INPUT_DATA!$C:$C,"D"))</f>
        <v/>
      </c>
      <c r="BQ70" s="718" t="str">
        <f t="shared" si="10"/>
        <v/>
      </c>
      <c r="BR70" s="702" t="str">
        <f>IF($B70=0,"",SUMIFS(INPUT_DATA!R:R,INPUT_DATA!$A:$A,$B70,INPUT_DATA!$C:$C,"D"))</f>
        <v/>
      </c>
      <c r="BS70" s="724" t="str">
        <f>IF($B70=0,"",SUMIFS(INPUT_DATA!S:S,INPUT_DATA!$A:$A,$B70,INPUT_DATA!$C:$C,"D"))</f>
        <v/>
      </c>
      <c r="BT70" s="724"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296" t="str">
        <f>IF($B70=0,"",SUMIFS(INPUT_DATA!Z:Z,INPUT_DATA!$A:$A,$B70,INPUT_DATA!$C:$C,"D"))</f>
        <v/>
      </c>
      <c r="CA70" s="336" t="str">
        <f>IF($B70=0,"",SUMIFS(INPUT_DATA!AA:AA,INPUT_DATA!$A:$A,$B70,INPUT_DATA!$C:$C,"D"))</f>
        <v/>
      </c>
      <c r="CB70" s="336" t="str">
        <f>IF($B70=0,"",SUMIFS(INPUT_DATA!AB:AB,INPUT_DATA!$A:$A,$B70,INPUT_DATA!$C:$C,"D"))</f>
        <v/>
      </c>
      <c r="CC70" s="336" t="str">
        <f>IF($B70=0,"",SUMIFS(INPUT_DATA!AC:AC,INPUT_DATA!$A:$A,$B70,INPUT_DATA!$C:$C,"D"))</f>
        <v/>
      </c>
      <c r="CD70" s="296" t="str">
        <f>IF($B70=0,"",SUMIFS(INPUT_DATA!AD:AD,INPUT_DATA!$A:$A,$B70,INPUT_DATA!$C:$C,"D"))</f>
        <v/>
      </c>
      <c r="CE70" s="296" t="str">
        <f>IF($B70=0,"",SUMIFS(INPUT_DATA!AE:AE,INPUT_DATA!$A:$A,$B70,INPUT_DATA!$C:$C,"D"))</f>
        <v/>
      </c>
      <c r="CF70" s="296" t="str">
        <f>IF($B70=0,"",SUMIFS(INPUT_DATA!AF:AF,INPUT_DATA!$A:$A,$B70,INPUT_DATA!$C:$C,"D"))</f>
        <v/>
      </c>
      <c r="CG70" s="336" t="str">
        <f>IF($B70=0,"",SUMIFS(INPUT_DATA!AG:AG,INPUT_DATA!$A:$A,$B70,INPUT_DATA!$C:$C,"D"))</f>
        <v/>
      </c>
      <c r="CH70" s="336" t="str">
        <f>IF($B70=0,"",SUMIFS(INPUT_DATA!AH:AH,INPUT_DATA!$A:$A,$B70,INPUT_DATA!$C:$C,"D"))</f>
        <v/>
      </c>
      <c r="CI70" s="336"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153" t="str">
        <f>IF($B70=0,"",SUMIFS(INPUT_DATA!AR:AR,INPUT_DATA!$A:$A,$B70,INPUT_DATA!$C:$C,"D"))</f>
        <v/>
      </c>
      <c r="CS70" s="714" t="str">
        <f t="shared" si="14"/>
        <v/>
      </c>
      <c r="CT70" s="714" t="str">
        <f t="shared" si="15"/>
        <v/>
      </c>
      <c r="CU70" s="714" t="str">
        <f t="shared" si="16"/>
        <v/>
      </c>
      <c r="CV70" s="703" t="str">
        <f>IF($B70=0,"",SUMIFS(INPUT_DATA!AS:AS,INPUT_DATA!$A:$A,$B70,INPUT_DATA!$C:$C,"D"))</f>
        <v/>
      </c>
      <c r="CW70" s="703" t="str">
        <f>IF($B70=0,"",SUMIFS(INPUT_DATA!AT:AT,INPUT_DATA!$A:$A,$B70,INPUT_DATA!$C:$C,"D"))</f>
        <v/>
      </c>
      <c r="CX70" s="703" t="str">
        <f>IF($B70=0,"",SUMIFS(INPUT_DATA!AU:AU,INPUT_DATA!$A:$A,$B70,INPUT_DATA!$C:$C,"D"))</f>
        <v/>
      </c>
      <c r="CY70" s="703" t="str">
        <f t="shared" si="17"/>
        <v/>
      </c>
      <c r="CZ70" s="714" t="str">
        <f t="shared" si="18"/>
        <v/>
      </c>
      <c r="DA70" s="725" t="str">
        <f t="shared" si="19"/>
        <v/>
      </c>
      <c r="DB70" s="150"/>
    </row>
    <row r="71" spans="1:106">
      <c r="A71" s="172">
        <f t="shared" si="21"/>
        <v>-24</v>
      </c>
      <c r="B71" s="697">
        <f>INPUT_DATA!BR58</f>
        <v>0</v>
      </c>
      <c r="C71" s="702" t="str">
        <f>IF($B71=0,"",SUMIFS(INPUT_DATA!D:D,INPUT_DATA!$A:$A,$B71,INPUT_DATA!$C:$C,"S"))</f>
        <v/>
      </c>
      <c r="D71" s="703" t="str">
        <f>IF($B71=0,"",SUMIFS(INPUT_DATA!E:E,INPUT_DATA!$A:$A,$B71,INPUT_DATA!$C:$C,"S"))</f>
        <v/>
      </c>
      <c r="E71" s="703" t="str">
        <f>IF($B71=0,"",SUMIFS(INPUT_DATA!F:F,INPUT_DATA!$A:$A,$B71,INPUT_DATA!$C:$C,"S"))</f>
        <v/>
      </c>
      <c r="F71" s="704" t="str">
        <f>IF($B71=0,"",SUMIFS(INPUT_DATA!G:G,INPUT_DATA!$A:$A,$B71,INPUT_DATA!$C:$C,"S"))</f>
        <v/>
      </c>
      <c r="G71" s="704" t="str">
        <f>IF($B71=0,"",SUMIFS(INPUT_DATA!H:H,INPUT_DATA!$A:$A,$B71,INPUT_DATA!$C:$C,"S"))</f>
        <v/>
      </c>
      <c r="H71" s="704" t="str">
        <f>IF($B71=0,"",SUMIFS(INPUT_DATA!I:I,INPUT_DATA!$A:$A,$B71,INPUT_DATA!$C:$C,"S"))</f>
        <v/>
      </c>
      <c r="I71" s="704" t="str">
        <f>IF($B71=0,"",SUMIFS(INPUT_DATA!J:J,INPUT_DATA!$A:$A,$B71,INPUT_DATA!$C:$C,"S"))</f>
        <v/>
      </c>
      <c r="J71" s="704" t="str">
        <f>IF($B71=0,"",SUMIFS(INPUT_DATA!K:K,INPUT_DATA!$A:$A,$B71,INPUT_DATA!$C:$C,"S"))</f>
        <v/>
      </c>
      <c r="K71" s="704" t="str">
        <f>IF($B71=0,"",SUMIFS(INPUT_DATA!L:L,INPUT_DATA!$A:$A,$B71,INPUT_DATA!$C:$C,"S"))</f>
        <v/>
      </c>
      <c r="L71" s="704" t="str">
        <f>IF($B71=0,"",SUMIFS(INPUT_DATA!M:M,INPUT_DATA!$A:$A,$B71,INPUT_DATA!$C:$C,"S"))</f>
        <v/>
      </c>
      <c r="M71" s="704" t="str">
        <f>IF($B71=0,"",SUMIFS(INPUT_DATA!N:N,INPUT_DATA!$A:$A,$B71,INPUT_DATA!$C:$C,"S"))</f>
        <v/>
      </c>
      <c r="N71" s="704" t="str">
        <f>IF($B71=0,"",SUMIFS(INPUT_DATA!O:O,INPUT_DATA!$A:$A,$B71,INPUT_DATA!$C:$C,"S"))</f>
        <v/>
      </c>
      <c r="O71" s="704" t="str">
        <f>IF($B71=0,"",SUMIFS(INPUT_DATA!P:P,INPUT_DATA!$A:$A,$B71,INPUT_DATA!$C:$C,"S"))</f>
        <v/>
      </c>
      <c r="P71" s="705" t="str">
        <f t="shared" si="5"/>
        <v/>
      </c>
      <c r="Q71" s="706" t="str">
        <f>IF($B71=0,"",SUMIFS(INPUT_DATA!Q:Q,INPUT_DATA!$A:$A,$B71,INPUT_DATA!$C:$C,"S"))</f>
        <v/>
      </c>
      <c r="R71" s="706" t="str">
        <f t="shared" si="20"/>
        <v/>
      </c>
      <c r="S71" s="712" t="str">
        <f>IF($B71=0,"",SUMIFS(INPUT_DATA!R:R,INPUT_DATA!$A:$A,$B71,INPUT_DATA!$C:$C,"S"))</f>
        <v/>
      </c>
      <c r="T71" s="712" t="str">
        <f>IF($B71=0,"",SUMIFS(INPUT_DATA!S:S,INPUT_DATA!$A:$A,$B71,INPUT_DATA!$C:$C,"S"))</f>
        <v/>
      </c>
      <c r="U71" s="712"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297" t="str">
        <f>IF($B71=0,"",SUMIFS(INPUT_DATA!AR:AR,INPUT_DATA!$A:$A,$B71,INPUT_DATA!$C:$C,"S"))</f>
        <v/>
      </c>
      <c r="AT71" s="713" t="str">
        <f t="shared" si="11"/>
        <v/>
      </c>
      <c r="AU71" s="714" t="str">
        <f t="shared" si="12"/>
        <v/>
      </c>
      <c r="AV71" s="715" t="str">
        <f t="shared" si="13"/>
        <v/>
      </c>
      <c r="AW71" s="713" t="str">
        <f>IF($B71=0,"",SUMIFS(INPUT_DATA!AS:AS,INPUT_DATA!$A:$A,$B71,INPUT_DATA!$C:$C,"S"))</f>
        <v/>
      </c>
      <c r="AX71" s="714" t="str">
        <f>IF($B71=0,"",SUMIFS(INPUT_DATA!AT:AT,INPUT_DATA!$A:$A,$B71,INPUT_DATA!$C:$C,"S"))</f>
        <v/>
      </c>
      <c r="AY71" s="715" t="str">
        <f>IF($B71=0,"",SUMIFS(INPUT_DATA!AU:AU,INPUT_DATA!$A:$A,$B71,INPUT_DATA!$C:$C,"S"))</f>
        <v/>
      </c>
      <c r="AZ71" s="713" t="str">
        <f t="shared" si="6"/>
        <v/>
      </c>
      <c r="BA71" s="714" t="str">
        <f t="shared" si="7"/>
        <v/>
      </c>
      <c r="BB71" s="715" t="str">
        <f t="shared" si="8"/>
        <v/>
      </c>
      <c r="BC71" s="150"/>
      <c r="BD71" s="702" t="str">
        <f>IF($B71=0,"",SUMIFS(INPUT_DATA!D:D,INPUT_DATA!$A:$A,$B71,INPUT_DATA!$C:$C,"D"))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296" t="str">
        <f>IF($B71=0,"",SUMIFS(INPUT_DATA!P:P,INPUT_DATA!$A:$A,$B71,INPUT_DATA!$C:$C,"D"))</f>
        <v/>
      </c>
      <c r="BO71" s="718" t="str">
        <f t="shared" si="9"/>
        <v/>
      </c>
      <c r="BP71" s="990" t="str">
        <f>IF($B71=0,"",SUMIFS(INPUT_DATA!Q:Q,INPUT_DATA!$A:$A,$B71,INPUT_DATA!$C:$C,"D"))</f>
        <v/>
      </c>
      <c r="BQ71" s="718" t="str">
        <f t="shared" si="10"/>
        <v/>
      </c>
      <c r="BR71" s="702" t="str">
        <f>IF($B71=0,"",SUMIFS(INPUT_DATA!R:R,INPUT_DATA!$A:$A,$B71,INPUT_DATA!$C:$C,"D"))</f>
        <v/>
      </c>
      <c r="BS71" s="724" t="str">
        <f>IF($B71=0,"",SUMIFS(INPUT_DATA!S:S,INPUT_DATA!$A:$A,$B71,INPUT_DATA!$C:$C,"D"))</f>
        <v/>
      </c>
      <c r="BT71" s="724"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296" t="str">
        <f>IF($B71=0,"",SUMIFS(INPUT_DATA!Z:Z,INPUT_DATA!$A:$A,$B71,INPUT_DATA!$C:$C,"D"))</f>
        <v/>
      </c>
      <c r="CA71" s="336" t="str">
        <f>IF($B71=0,"",SUMIFS(INPUT_DATA!AA:AA,INPUT_DATA!$A:$A,$B71,INPUT_DATA!$C:$C,"D"))</f>
        <v/>
      </c>
      <c r="CB71" s="336" t="str">
        <f>IF($B71=0,"",SUMIFS(INPUT_DATA!AB:AB,INPUT_DATA!$A:$A,$B71,INPUT_DATA!$C:$C,"D"))</f>
        <v/>
      </c>
      <c r="CC71" s="336" t="str">
        <f>IF($B71=0,"",SUMIFS(INPUT_DATA!AC:AC,INPUT_DATA!$A:$A,$B71,INPUT_DATA!$C:$C,"D"))</f>
        <v/>
      </c>
      <c r="CD71" s="296" t="str">
        <f>IF($B71=0,"",SUMIFS(INPUT_DATA!AD:AD,INPUT_DATA!$A:$A,$B71,INPUT_DATA!$C:$C,"D"))</f>
        <v/>
      </c>
      <c r="CE71" s="296" t="str">
        <f>IF($B71=0,"",SUMIFS(INPUT_DATA!AE:AE,INPUT_DATA!$A:$A,$B71,INPUT_DATA!$C:$C,"D"))</f>
        <v/>
      </c>
      <c r="CF71" s="296" t="str">
        <f>IF($B71=0,"",SUMIFS(INPUT_DATA!AF:AF,INPUT_DATA!$A:$A,$B71,INPUT_DATA!$C:$C,"D"))</f>
        <v/>
      </c>
      <c r="CG71" s="336" t="str">
        <f>IF($B71=0,"",SUMIFS(INPUT_DATA!AG:AG,INPUT_DATA!$A:$A,$B71,INPUT_DATA!$C:$C,"D"))</f>
        <v/>
      </c>
      <c r="CH71" s="336" t="str">
        <f>IF($B71=0,"",SUMIFS(INPUT_DATA!AH:AH,INPUT_DATA!$A:$A,$B71,INPUT_DATA!$C:$C,"D"))</f>
        <v/>
      </c>
      <c r="CI71" s="336"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153" t="str">
        <f>IF($B71=0,"",SUMIFS(INPUT_DATA!AR:AR,INPUT_DATA!$A:$A,$B71,INPUT_DATA!$C:$C,"D"))</f>
        <v/>
      </c>
      <c r="CS71" s="714" t="str">
        <f t="shared" si="14"/>
        <v/>
      </c>
      <c r="CT71" s="714" t="str">
        <f t="shared" si="15"/>
        <v/>
      </c>
      <c r="CU71" s="714" t="str">
        <f t="shared" si="16"/>
        <v/>
      </c>
      <c r="CV71" s="703" t="str">
        <f>IF($B71=0,"",SUMIFS(INPUT_DATA!AS:AS,INPUT_DATA!$A:$A,$B71,INPUT_DATA!$C:$C,"D"))</f>
        <v/>
      </c>
      <c r="CW71" s="703" t="str">
        <f>IF($B71=0,"",SUMIFS(INPUT_DATA!AT:AT,INPUT_DATA!$A:$A,$B71,INPUT_DATA!$C:$C,"D"))</f>
        <v/>
      </c>
      <c r="CX71" s="703" t="str">
        <f>IF($B71=0,"",SUMIFS(INPUT_DATA!AU:AU,INPUT_DATA!$A:$A,$B71,INPUT_DATA!$C:$C,"D"))</f>
        <v/>
      </c>
      <c r="CY71" s="703" t="str">
        <f t="shared" si="17"/>
        <v/>
      </c>
      <c r="CZ71" s="714" t="str">
        <f t="shared" si="18"/>
        <v/>
      </c>
      <c r="DA71" s="725" t="str">
        <f t="shared" si="19"/>
        <v/>
      </c>
      <c r="DB71" s="150"/>
    </row>
    <row r="72" spans="1:106">
      <c r="A72" s="172">
        <f t="shared" si="21"/>
        <v>-25</v>
      </c>
      <c r="B72" s="697">
        <f>INPUT_DATA!BR59</f>
        <v>0</v>
      </c>
      <c r="C72" s="702" t="str">
        <f>IF($B72=0,"",SUMIFS(INPUT_DATA!D:D,INPUT_DATA!$A:$A,$B72,INPUT_DATA!$C:$C,"S"))</f>
        <v/>
      </c>
      <c r="D72" s="703" t="str">
        <f>IF($B72=0,"",SUMIFS(INPUT_DATA!E:E,INPUT_DATA!$A:$A,$B72,INPUT_DATA!$C:$C,"S"))</f>
        <v/>
      </c>
      <c r="E72" s="703" t="str">
        <f>IF($B72=0,"",SUMIFS(INPUT_DATA!F:F,INPUT_DATA!$A:$A,$B72,INPUT_DATA!$C:$C,"S"))</f>
        <v/>
      </c>
      <c r="F72" s="704" t="str">
        <f>IF($B72=0,"",SUMIFS(INPUT_DATA!G:G,INPUT_DATA!$A:$A,$B72,INPUT_DATA!$C:$C,"S"))</f>
        <v/>
      </c>
      <c r="G72" s="704" t="str">
        <f>IF($B72=0,"",SUMIFS(INPUT_DATA!H:H,INPUT_DATA!$A:$A,$B72,INPUT_DATA!$C:$C,"S"))</f>
        <v/>
      </c>
      <c r="H72" s="704" t="str">
        <f>IF($B72=0,"",SUMIFS(INPUT_DATA!I:I,INPUT_DATA!$A:$A,$B72,INPUT_DATA!$C:$C,"S"))</f>
        <v/>
      </c>
      <c r="I72" s="704" t="str">
        <f>IF($B72=0,"",SUMIFS(INPUT_DATA!J:J,INPUT_DATA!$A:$A,$B72,INPUT_DATA!$C:$C,"S"))</f>
        <v/>
      </c>
      <c r="J72" s="704" t="str">
        <f>IF($B72=0,"",SUMIFS(INPUT_DATA!K:K,INPUT_DATA!$A:$A,$B72,INPUT_DATA!$C:$C,"S"))</f>
        <v/>
      </c>
      <c r="K72" s="704" t="str">
        <f>IF($B72=0,"",SUMIFS(INPUT_DATA!L:L,INPUT_DATA!$A:$A,$B72,INPUT_DATA!$C:$C,"S"))</f>
        <v/>
      </c>
      <c r="L72" s="704" t="str">
        <f>IF($B72=0,"",SUMIFS(INPUT_DATA!M:M,INPUT_DATA!$A:$A,$B72,INPUT_DATA!$C:$C,"S"))</f>
        <v/>
      </c>
      <c r="M72" s="704" t="str">
        <f>IF($B72=0,"",SUMIFS(INPUT_DATA!N:N,INPUT_DATA!$A:$A,$B72,INPUT_DATA!$C:$C,"S"))</f>
        <v/>
      </c>
      <c r="N72" s="704" t="str">
        <f>IF($B72=0,"",SUMIFS(INPUT_DATA!O:O,INPUT_DATA!$A:$A,$B72,INPUT_DATA!$C:$C,"S"))</f>
        <v/>
      </c>
      <c r="O72" s="704" t="str">
        <f>IF($B72=0,"",SUMIFS(INPUT_DATA!P:P,INPUT_DATA!$A:$A,$B72,INPUT_DATA!$C:$C,"S"))</f>
        <v/>
      </c>
      <c r="P72" s="705" t="str">
        <f t="shared" si="5"/>
        <v/>
      </c>
      <c r="Q72" s="706" t="str">
        <f>IF($B72=0,"",SUMIFS(INPUT_DATA!Q:Q,INPUT_DATA!$A:$A,$B72,INPUT_DATA!$C:$C,"S"))</f>
        <v/>
      </c>
      <c r="R72" s="706" t="str">
        <f t="shared" si="20"/>
        <v/>
      </c>
      <c r="S72" s="712" t="str">
        <f>IF($B72=0,"",SUMIFS(INPUT_DATA!R:R,INPUT_DATA!$A:$A,$B72,INPUT_DATA!$C:$C,"S"))</f>
        <v/>
      </c>
      <c r="T72" s="712" t="str">
        <f>IF($B72=0,"",SUMIFS(INPUT_DATA!S:S,INPUT_DATA!$A:$A,$B72,INPUT_DATA!$C:$C,"S"))</f>
        <v/>
      </c>
      <c r="U72" s="712"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297" t="str">
        <f>IF($B72=0,"",SUMIFS(INPUT_DATA!AR:AR,INPUT_DATA!$A:$A,$B72,INPUT_DATA!$C:$C,"S"))</f>
        <v/>
      </c>
      <c r="AT72" s="713" t="str">
        <f t="shared" si="11"/>
        <v/>
      </c>
      <c r="AU72" s="714" t="str">
        <f t="shared" si="12"/>
        <v/>
      </c>
      <c r="AV72" s="715" t="str">
        <f t="shared" si="13"/>
        <v/>
      </c>
      <c r="AW72" s="713" t="str">
        <f>IF($B72=0,"",SUMIFS(INPUT_DATA!AS:AS,INPUT_DATA!$A:$A,$B72,INPUT_DATA!$C:$C,"S"))</f>
        <v/>
      </c>
      <c r="AX72" s="714" t="str">
        <f>IF($B72=0,"",SUMIFS(INPUT_DATA!AT:AT,INPUT_DATA!$A:$A,$B72,INPUT_DATA!$C:$C,"S"))</f>
        <v/>
      </c>
      <c r="AY72" s="715" t="str">
        <f>IF($B72=0,"",SUMIFS(INPUT_DATA!AU:AU,INPUT_DATA!$A:$A,$B72,INPUT_DATA!$C:$C,"S"))</f>
        <v/>
      </c>
      <c r="AZ72" s="713" t="str">
        <f t="shared" si="6"/>
        <v/>
      </c>
      <c r="BA72" s="714" t="str">
        <f t="shared" si="7"/>
        <v/>
      </c>
      <c r="BB72" s="715" t="str">
        <f t="shared" si="8"/>
        <v/>
      </c>
      <c r="BC72" s="150"/>
      <c r="BD72" s="702" t="str">
        <f>IF($B72=0,"",SUMIFS(INPUT_DATA!D:D,INPUT_DATA!$A:$A,$B72,INPUT_DATA!$C:$C,"D"))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296" t="str">
        <f>IF($B72=0,"",SUMIFS(INPUT_DATA!P:P,INPUT_DATA!$A:$A,$B72,INPUT_DATA!$C:$C,"D"))</f>
        <v/>
      </c>
      <c r="BO72" s="718" t="str">
        <f t="shared" si="9"/>
        <v/>
      </c>
      <c r="BP72" s="990" t="str">
        <f>IF($B72=0,"",SUMIFS(INPUT_DATA!Q:Q,INPUT_DATA!$A:$A,$B72,INPUT_DATA!$C:$C,"D"))</f>
        <v/>
      </c>
      <c r="BQ72" s="718" t="str">
        <f t="shared" si="10"/>
        <v/>
      </c>
      <c r="BR72" s="702" t="str">
        <f>IF($B72=0,"",SUMIFS(INPUT_DATA!R:R,INPUT_DATA!$A:$A,$B72,INPUT_DATA!$C:$C,"D"))</f>
        <v/>
      </c>
      <c r="BS72" s="724" t="str">
        <f>IF($B72=0,"",SUMIFS(INPUT_DATA!S:S,INPUT_DATA!$A:$A,$B72,INPUT_DATA!$C:$C,"D"))</f>
        <v/>
      </c>
      <c r="BT72" s="724"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296" t="str">
        <f>IF($B72=0,"",SUMIFS(INPUT_DATA!Z:Z,INPUT_DATA!$A:$A,$B72,INPUT_DATA!$C:$C,"D"))</f>
        <v/>
      </c>
      <c r="CA72" s="336" t="str">
        <f>IF($B72=0,"",SUMIFS(INPUT_DATA!AA:AA,INPUT_DATA!$A:$A,$B72,INPUT_DATA!$C:$C,"D"))</f>
        <v/>
      </c>
      <c r="CB72" s="336" t="str">
        <f>IF($B72=0,"",SUMIFS(INPUT_DATA!AB:AB,INPUT_DATA!$A:$A,$B72,INPUT_DATA!$C:$C,"D"))</f>
        <v/>
      </c>
      <c r="CC72" s="336" t="str">
        <f>IF($B72=0,"",SUMIFS(INPUT_DATA!AC:AC,INPUT_DATA!$A:$A,$B72,INPUT_DATA!$C:$C,"D"))</f>
        <v/>
      </c>
      <c r="CD72" s="296" t="str">
        <f>IF($B72=0,"",SUMIFS(INPUT_DATA!AD:AD,INPUT_DATA!$A:$A,$B72,INPUT_DATA!$C:$C,"D"))</f>
        <v/>
      </c>
      <c r="CE72" s="296" t="str">
        <f>IF($B72=0,"",SUMIFS(INPUT_DATA!AE:AE,INPUT_DATA!$A:$A,$B72,INPUT_DATA!$C:$C,"D"))</f>
        <v/>
      </c>
      <c r="CF72" s="296" t="str">
        <f>IF($B72=0,"",SUMIFS(INPUT_DATA!AF:AF,INPUT_DATA!$A:$A,$B72,INPUT_DATA!$C:$C,"D"))</f>
        <v/>
      </c>
      <c r="CG72" s="336" t="str">
        <f>IF($B72=0,"",SUMIFS(INPUT_DATA!AG:AG,INPUT_DATA!$A:$A,$B72,INPUT_DATA!$C:$C,"D"))</f>
        <v/>
      </c>
      <c r="CH72" s="336" t="str">
        <f>IF($B72=0,"",SUMIFS(INPUT_DATA!AH:AH,INPUT_DATA!$A:$A,$B72,INPUT_DATA!$C:$C,"D"))</f>
        <v/>
      </c>
      <c r="CI72" s="336"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153" t="str">
        <f>IF($B72=0,"",SUMIFS(INPUT_DATA!AR:AR,INPUT_DATA!$A:$A,$B72,INPUT_DATA!$C:$C,"D"))</f>
        <v/>
      </c>
      <c r="CS72" s="714" t="str">
        <f t="shared" si="14"/>
        <v/>
      </c>
      <c r="CT72" s="714" t="str">
        <f t="shared" si="15"/>
        <v/>
      </c>
      <c r="CU72" s="714" t="str">
        <f t="shared" si="16"/>
        <v/>
      </c>
      <c r="CV72" s="703" t="str">
        <f>IF($B72=0,"",SUMIFS(INPUT_DATA!AS:AS,INPUT_DATA!$A:$A,$B72,INPUT_DATA!$C:$C,"D"))</f>
        <v/>
      </c>
      <c r="CW72" s="703" t="str">
        <f>IF($B72=0,"",SUMIFS(INPUT_DATA!AT:AT,INPUT_DATA!$A:$A,$B72,INPUT_DATA!$C:$C,"D"))</f>
        <v/>
      </c>
      <c r="CX72" s="703" t="str">
        <f>IF($B72=0,"",SUMIFS(INPUT_DATA!AU:AU,INPUT_DATA!$A:$A,$B72,INPUT_DATA!$C:$C,"D"))</f>
        <v/>
      </c>
      <c r="CY72" s="703" t="str">
        <f t="shared" si="17"/>
        <v/>
      </c>
      <c r="CZ72" s="714" t="str">
        <f t="shared" si="18"/>
        <v/>
      </c>
      <c r="DA72" s="725" t="str">
        <f t="shared" si="19"/>
        <v/>
      </c>
      <c r="DB72" s="150"/>
    </row>
    <row r="73" spans="1:106">
      <c r="A73" s="172">
        <f t="shared" si="21"/>
        <v>-26</v>
      </c>
      <c r="B73" s="697">
        <f>INPUT_DATA!BR60</f>
        <v>0</v>
      </c>
      <c r="C73" s="702" t="str">
        <f>IF($B73=0,"",SUMIFS(INPUT_DATA!D:D,INPUT_DATA!$A:$A,$B73,INPUT_DATA!$C:$C,"S"))</f>
        <v/>
      </c>
      <c r="D73" s="703" t="str">
        <f>IF($B73=0,"",SUMIFS(INPUT_DATA!E:E,INPUT_DATA!$A:$A,$B73,INPUT_DATA!$C:$C,"S"))</f>
        <v/>
      </c>
      <c r="E73" s="703" t="str">
        <f>IF($B73=0,"",SUMIFS(INPUT_DATA!F:F,INPUT_DATA!$A:$A,$B73,INPUT_DATA!$C:$C,"S"))</f>
        <v/>
      </c>
      <c r="F73" s="704" t="str">
        <f>IF($B73=0,"",SUMIFS(INPUT_DATA!G:G,INPUT_DATA!$A:$A,$B73,INPUT_DATA!$C:$C,"S"))</f>
        <v/>
      </c>
      <c r="G73" s="704" t="str">
        <f>IF($B73=0,"",SUMIFS(INPUT_DATA!H:H,INPUT_DATA!$A:$A,$B73,INPUT_DATA!$C:$C,"S"))</f>
        <v/>
      </c>
      <c r="H73" s="704" t="str">
        <f>IF($B73=0,"",SUMIFS(INPUT_DATA!I:I,INPUT_DATA!$A:$A,$B73,INPUT_DATA!$C:$C,"S"))</f>
        <v/>
      </c>
      <c r="I73" s="704" t="str">
        <f>IF($B73=0,"",SUMIFS(INPUT_DATA!J:J,INPUT_DATA!$A:$A,$B73,INPUT_DATA!$C:$C,"S"))</f>
        <v/>
      </c>
      <c r="J73" s="704" t="str">
        <f>IF($B73=0,"",SUMIFS(INPUT_DATA!K:K,INPUT_DATA!$A:$A,$B73,INPUT_DATA!$C:$C,"S"))</f>
        <v/>
      </c>
      <c r="K73" s="704" t="str">
        <f>IF($B73=0,"",SUMIFS(INPUT_DATA!L:L,INPUT_DATA!$A:$A,$B73,INPUT_DATA!$C:$C,"S"))</f>
        <v/>
      </c>
      <c r="L73" s="704" t="str">
        <f>IF($B73=0,"",SUMIFS(INPUT_DATA!M:M,INPUT_DATA!$A:$A,$B73,INPUT_DATA!$C:$C,"S"))</f>
        <v/>
      </c>
      <c r="M73" s="704" t="str">
        <f>IF($B73=0,"",SUMIFS(INPUT_DATA!N:N,INPUT_DATA!$A:$A,$B73,INPUT_DATA!$C:$C,"S"))</f>
        <v/>
      </c>
      <c r="N73" s="704" t="str">
        <f>IF($B73=0,"",SUMIFS(INPUT_DATA!O:O,INPUT_DATA!$A:$A,$B73,INPUT_DATA!$C:$C,"S"))</f>
        <v/>
      </c>
      <c r="O73" s="704" t="str">
        <f>IF($B73=0,"",SUMIFS(INPUT_DATA!P:P,INPUT_DATA!$A:$A,$B73,INPUT_DATA!$C:$C,"S"))</f>
        <v/>
      </c>
      <c r="P73" s="705" t="str">
        <f t="shared" si="5"/>
        <v/>
      </c>
      <c r="Q73" s="706" t="str">
        <f>IF($B73=0,"",SUMIFS(INPUT_DATA!Q:Q,INPUT_DATA!$A:$A,$B73,INPUT_DATA!$C:$C,"S"))</f>
        <v/>
      </c>
      <c r="R73" s="706" t="str">
        <f t="shared" si="20"/>
        <v/>
      </c>
      <c r="S73" s="712" t="str">
        <f>IF($B73=0,"",SUMIFS(INPUT_DATA!R:R,INPUT_DATA!$A:$A,$B73,INPUT_DATA!$C:$C,"S"))</f>
        <v/>
      </c>
      <c r="T73" s="712" t="str">
        <f>IF($B73=0,"",SUMIFS(INPUT_DATA!S:S,INPUT_DATA!$A:$A,$B73,INPUT_DATA!$C:$C,"S"))</f>
        <v/>
      </c>
      <c r="U73" s="712"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297" t="str">
        <f>IF($B73=0,"",SUMIFS(INPUT_DATA!AR:AR,INPUT_DATA!$A:$A,$B73,INPUT_DATA!$C:$C,"S"))</f>
        <v/>
      </c>
      <c r="AT73" s="713" t="str">
        <f t="shared" si="11"/>
        <v/>
      </c>
      <c r="AU73" s="714" t="str">
        <f t="shared" si="12"/>
        <v/>
      </c>
      <c r="AV73" s="715" t="str">
        <f t="shared" si="13"/>
        <v/>
      </c>
      <c r="AW73" s="713" t="str">
        <f>IF($B73=0,"",SUMIFS(INPUT_DATA!AS:AS,INPUT_DATA!$A:$A,$B73,INPUT_DATA!$C:$C,"S"))</f>
        <v/>
      </c>
      <c r="AX73" s="714" t="str">
        <f>IF($B73=0,"",SUMIFS(INPUT_DATA!AT:AT,INPUT_DATA!$A:$A,$B73,INPUT_DATA!$C:$C,"S"))</f>
        <v/>
      </c>
      <c r="AY73" s="715" t="str">
        <f>IF($B73=0,"",SUMIFS(INPUT_DATA!AU:AU,INPUT_DATA!$A:$A,$B73,INPUT_DATA!$C:$C,"S"))</f>
        <v/>
      </c>
      <c r="AZ73" s="713" t="str">
        <f t="shared" si="6"/>
        <v/>
      </c>
      <c r="BA73" s="714" t="str">
        <f t="shared" si="7"/>
        <v/>
      </c>
      <c r="BB73" s="715" t="str">
        <f t="shared" si="8"/>
        <v/>
      </c>
      <c r="BC73" s="150"/>
      <c r="BD73" s="702" t="str">
        <f>IF($B73=0,"",SUMIFS(INPUT_DATA!D:D,INPUT_DATA!$A:$A,$B73,INPUT_DATA!$C:$C,"D"))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296" t="str">
        <f>IF($B73=0,"",SUMIFS(INPUT_DATA!P:P,INPUT_DATA!$A:$A,$B73,INPUT_DATA!$C:$C,"D"))</f>
        <v/>
      </c>
      <c r="BO73" s="718" t="str">
        <f t="shared" si="9"/>
        <v/>
      </c>
      <c r="BP73" s="990" t="str">
        <f>IF($B73=0,"",SUMIFS(INPUT_DATA!Q:Q,INPUT_DATA!$A:$A,$B73,INPUT_DATA!$C:$C,"D"))</f>
        <v/>
      </c>
      <c r="BQ73" s="718" t="str">
        <f t="shared" si="10"/>
        <v/>
      </c>
      <c r="BR73" s="702" t="str">
        <f>IF($B73=0,"",SUMIFS(INPUT_DATA!R:R,INPUT_DATA!$A:$A,$B73,INPUT_DATA!$C:$C,"D"))</f>
        <v/>
      </c>
      <c r="BS73" s="724" t="str">
        <f>IF($B73=0,"",SUMIFS(INPUT_DATA!S:S,INPUT_DATA!$A:$A,$B73,INPUT_DATA!$C:$C,"D"))</f>
        <v/>
      </c>
      <c r="BT73" s="724"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296" t="str">
        <f>IF($B73=0,"",SUMIFS(INPUT_DATA!Z:Z,INPUT_DATA!$A:$A,$B73,INPUT_DATA!$C:$C,"D"))</f>
        <v/>
      </c>
      <c r="CA73" s="336" t="str">
        <f>IF($B73=0,"",SUMIFS(INPUT_DATA!AA:AA,INPUT_DATA!$A:$A,$B73,INPUT_DATA!$C:$C,"D"))</f>
        <v/>
      </c>
      <c r="CB73" s="336" t="str">
        <f>IF($B73=0,"",SUMIFS(INPUT_DATA!AB:AB,INPUT_DATA!$A:$A,$B73,INPUT_DATA!$C:$C,"D"))</f>
        <v/>
      </c>
      <c r="CC73" s="336" t="str">
        <f>IF($B73=0,"",SUMIFS(INPUT_DATA!AC:AC,INPUT_DATA!$A:$A,$B73,INPUT_DATA!$C:$C,"D"))</f>
        <v/>
      </c>
      <c r="CD73" s="296" t="str">
        <f>IF($B73=0,"",SUMIFS(INPUT_DATA!AD:AD,INPUT_DATA!$A:$A,$B73,INPUT_DATA!$C:$C,"D"))</f>
        <v/>
      </c>
      <c r="CE73" s="296" t="str">
        <f>IF($B73=0,"",SUMIFS(INPUT_DATA!AE:AE,INPUT_DATA!$A:$A,$B73,INPUT_DATA!$C:$C,"D"))</f>
        <v/>
      </c>
      <c r="CF73" s="296" t="str">
        <f>IF($B73=0,"",SUMIFS(INPUT_DATA!AF:AF,INPUT_DATA!$A:$A,$B73,INPUT_DATA!$C:$C,"D"))</f>
        <v/>
      </c>
      <c r="CG73" s="336" t="str">
        <f>IF($B73=0,"",SUMIFS(INPUT_DATA!AG:AG,INPUT_DATA!$A:$A,$B73,INPUT_DATA!$C:$C,"D"))</f>
        <v/>
      </c>
      <c r="CH73" s="336" t="str">
        <f>IF($B73=0,"",SUMIFS(INPUT_DATA!AH:AH,INPUT_DATA!$A:$A,$B73,INPUT_DATA!$C:$C,"D"))</f>
        <v/>
      </c>
      <c r="CI73" s="336"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153" t="str">
        <f>IF($B73=0,"",SUMIFS(INPUT_DATA!AR:AR,INPUT_DATA!$A:$A,$B73,INPUT_DATA!$C:$C,"D"))</f>
        <v/>
      </c>
      <c r="CS73" s="714" t="str">
        <f t="shared" si="14"/>
        <v/>
      </c>
      <c r="CT73" s="714" t="str">
        <f t="shared" si="15"/>
        <v/>
      </c>
      <c r="CU73" s="714" t="str">
        <f t="shared" si="16"/>
        <v/>
      </c>
      <c r="CV73" s="703" t="str">
        <f>IF($B73=0,"",SUMIFS(INPUT_DATA!AS:AS,INPUT_DATA!$A:$A,$B73,INPUT_DATA!$C:$C,"D"))</f>
        <v/>
      </c>
      <c r="CW73" s="703" t="str">
        <f>IF($B73=0,"",SUMIFS(INPUT_DATA!AT:AT,INPUT_DATA!$A:$A,$B73,INPUT_DATA!$C:$C,"D"))</f>
        <v/>
      </c>
      <c r="CX73" s="703" t="str">
        <f>IF($B73=0,"",SUMIFS(INPUT_DATA!AU:AU,INPUT_DATA!$A:$A,$B73,INPUT_DATA!$C:$C,"D"))</f>
        <v/>
      </c>
      <c r="CY73" s="703" t="str">
        <f t="shared" si="17"/>
        <v/>
      </c>
      <c r="CZ73" s="714" t="str">
        <f t="shared" si="18"/>
        <v/>
      </c>
      <c r="DA73" s="725" t="str">
        <f t="shared" si="19"/>
        <v/>
      </c>
      <c r="DB73" s="150"/>
    </row>
    <row r="74" spans="1:106">
      <c r="A74" s="172">
        <f t="shared" si="21"/>
        <v>-27</v>
      </c>
      <c r="B74" s="697">
        <f>INPUT_DATA!BR61</f>
        <v>0</v>
      </c>
      <c r="C74" s="702" t="str">
        <f>IF($B74=0,"",SUMIFS(INPUT_DATA!D:D,INPUT_DATA!$A:$A,$B74,INPUT_DATA!$C:$C,"S"))</f>
        <v/>
      </c>
      <c r="D74" s="703" t="str">
        <f>IF($B74=0,"",SUMIFS(INPUT_DATA!E:E,INPUT_DATA!$A:$A,$B74,INPUT_DATA!$C:$C,"S"))</f>
        <v/>
      </c>
      <c r="E74" s="703" t="str">
        <f>IF($B74=0,"",SUMIFS(INPUT_DATA!F:F,INPUT_DATA!$A:$A,$B74,INPUT_DATA!$C:$C,"S"))</f>
        <v/>
      </c>
      <c r="F74" s="704" t="str">
        <f>IF($B74=0,"",SUMIFS(INPUT_DATA!G:G,INPUT_DATA!$A:$A,$B74,INPUT_DATA!$C:$C,"S"))</f>
        <v/>
      </c>
      <c r="G74" s="704" t="str">
        <f>IF($B74=0,"",SUMIFS(INPUT_DATA!H:H,INPUT_DATA!$A:$A,$B74,INPUT_DATA!$C:$C,"S"))</f>
        <v/>
      </c>
      <c r="H74" s="704" t="str">
        <f>IF($B74=0,"",SUMIFS(INPUT_DATA!I:I,INPUT_DATA!$A:$A,$B74,INPUT_DATA!$C:$C,"S"))</f>
        <v/>
      </c>
      <c r="I74" s="704" t="str">
        <f>IF($B74=0,"",SUMIFS(INPUT_DATA!J:J,INPUT_DATA!$A:$A,$B74,INPUT_DATA!$C:$C,"S"))</f>
        <v/>
      </c>
      <c r="J74" s="704" t="str">
        <f>IF($B74=0,"",SUMIFS(INPUT_DATA!K:K,INPUT_DATA!$A:$A,$B74,INPUT_DATA!$C:$C,"S"))</f>
        <v/>
      </c>
      <c r="K74" s="704" t="str">
        <f>IF($B74=0,"",SUMIFS(INPUT_DATA!L:L,INPUT_DATA!$A:$A,$B74,INPUT_DATA!$C:$C,"S"))</f>
        <v/>
      </c>
      <c r="L74" s="704" t="str">
        <f>IF($B74=0,"",SUMIFS(INPUT_DATA!M:M,INPUT_DATA!$A:$A,$B74,INPUT_DATA!$C:$C,"S"))</f>
        <v/>
      </c>
      <c r="M74" s="704" t="str">
        <f>IF($B74=0,"",SUMIFS(INPUT_DATA!N:N,INPUT_DATA!$A:$A,$B74,INPUT_DATA!$C:$C,"S"))</f>
        <v/>
      </c>
      <c r="N74" s="704" t="str">
        <f>IF($B74=0,"",SUMIFS(INPUT_DATA!O:O,INPUT_DATA!$A:$A,$B74,INPUT_DATA!$C:$C,"S"))</f>
        <v/>
      </c>
      <c r="O74" s="704" t="str">
        <f>IF($B74=0,"",SUMIFS(INPUT_DATA!P:P,INPUT_DATA!$A:$A,$B74,INPUT_DATA!$C:$C,"S"))</f>
        <v/>
      </c>
      <c r="P74" s="705" t="str">
        <f t="shared" si="5"/>
        <v/>
      </c>
      <c r="Q74" s="706" t="str">
        <f>IF($B74=0,"",SUMIFS(INPUT_DATA!Q:Q,INPUT_DATA!$A:$A,$B74,INPUT_DATA!$C:$C,"S"))</f>
        <v/>
      </c>
      <c r="R74" s="706" t="str">
        <f t="shared" si="20"/>
        <v/>
      </c>
      <c r="S74" s="712" t="str">
        <f>IF($B74=0,"",SUMIFS(INPUT_DATA!R:R,INPUT_DATA!$A:$A,$B74,INPUT_DATA!$C:$C,"S"))</f>
        <v/>
      </c>
      <c r="T74" s="712" t="str">
        <f>IF($B74=0,"",SUMIFS(INPUT_DATA!S:S,INPUT_DATA!$A:$A,$B74,INPUT_DATA!$C:$C,"S"))</f>
        <v/>
      </c>
      <c r="U74" s="712"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297" t="str">
        <f>IF($B74=0,"",SUMIFS(INPUT_DATA!AR:AR,INPUT_DATA!$A:$A,$B74,INPUT_DATA!$C:$C,"S"))</f>
        <v/>
      </c>
      <c r="AT74" s="713" t="str">
        <f t="shared" si="11"/>
        <v/>
      </c>
      <c r="AU74" s="714" t="str">
        <f t="shared" si="12"/>
        <v/>
      </c>
      <c r="AV74" s="715" t="str">
        <f t="shared" si="13"/>
        <v/>
      </c>
      <c r="AW74" s="713" t="str">
        <f>IF($B74=0,"",SUMIFS(INPUT_DATA!AS:AS,INPUT_DATA!$A:$A,$B74,INPUT_DATA!$C:$C,"S"))</f>
        <v/>
      </c>
      <c r="AX74" s="714" t="str">
        <f>IF($B74=0,"",SUMIFS(INPUT_DATA!AT:AT,INPUT_DATA!$A:$A,$B74,INPUT_DATA!$C:$C,"S"))</f>
        <v/>
      </c>
      <c r="AY74" s="715" t="str">
        <f>IF($B74=0,"",SUMIFS(INPUT_DATA!AU:AU,INPUT_DATA!$A:$A,$B74,INPUT_DATA!$C:$C,"S"))</f>
        <v/>
      </c>
      <c r="AZ74" s="713" t="str">
        <f t="shared" si="6"/>
        <v/>
      </c>
      <c r="BA74" s="714" t="str">
        <f t="shared" si="7"/>
        <v/>
      </c>
      <c r="BB74" s="715" t="str">
        <f t="shared" si="8"/>
        <v/>
      </c>
      <c r="BC74" s="150"/>
      <c r="BD74" s="702" t="str">
        <f>IF($B74=0,"",SUMIFS(INPUT_DATA!D:D,INPUT_DATA!$A:$A,$B74,INPUT_DATA!$C:$C,"D"))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296" t="str">
        <f>IF($B74=0,"",SUMIFS(INPUT_DATA!P:P,INPUT_DATA!$A:$A,$B74,INPUT_DATA!$C:$C,"D"))</f>
        <v/>
      </c>
      <c r="BO74" s="718" t="str">
        <f t="shared" si="9"/>
        <v/>
      </c>
      <c r="BP74" s="990" t="str">
        <f>IF($B74=0,"",SUMIFS(INPUT_DATA!Q:Q,INPUT_DATA!$A:$A,$B74,INPUT_DATA!$C:$C,"D"))</f>
        <v/>
      </c>
      <c r="BQ74" s="718" t="str">
        <f t="shared" si="10"/>
        <v/>
      </c>
      <c r="BR74" s="702" t="str">
        <f>IF($B74=0,"",SUMIFS(INPUT_DATA!R:R,INPUT_DATA!$A:$A,$B74,INPUT_DATA!$C:$C,"D"))</f>
        <v/>
      </c>
      <c r="BS74" s="724" t="str">
        <f>IF($B74=0,"",SUMIFS(INPUT_DATA!S:S,INPUT_DATA!$A:$A,$B74,INPUT_DATA!$C:$C,"D"))</f>
        <v/>
      </c>
      <c r="BT74" s="724"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296" t="str">
        <f>IF($B74=0,"",SUMIFS(INPUT_DATA!Z:Z,INPUT_DATA!$A:$A,$B74,INPUT_DATA!$C:$C,"D"))</f>
        <v/>
      </c>
      <c r="CA74" s="336" t="str">
        <f>IF($B74=0,"",SUMIFS(INPUT_DATA!AA:AA,INPUT_DATA!$A:$A,$B74,INPUT_DATA!$C:$C,"D"))</f>
        <v/>
      </c>
      <c r="CB74" s="336" t="str">
        <f>IF($B74=0,"",SUMIFS(INPUT_DATA!AB:AB,INPUT_DATA!$A:$A,$B74,INPUT_DATA!$C:$C,"D"))</f>
        <v/>
      </c>
      <c r="CC74" s="336" t="str">
        <f>IF($B74=0,"",SUMIFS(INPUT_DATA!AC:AC,INPUT_DATA!$A:$A,$B74,INPUT_DATA!$C:$C,"D"))</f>
        <v/>
      </c>
      <c r="CD74" s="296" t="str">
        <f>IF($B74=0,"",SUMIFS(INPUT_DATA!AD:AD,INPUT_DATA!$A:$A,$B74,INPUT_DATA!$C:$C,"D"))</f>
        <v/>
      </c>
      <c r="CE74" s="296" t="str">
        <f>IF($B74=0,"",SUMIFS(INPUT_DATA!AE:AE,INPUT_DATA!$A:$A,$B74,INPUT_DATA!$C:$C,"D"))</f>
        <v/>
      </c>
      <c r="CF74" s="296" t="str">
        <f>IF($B74=0,"",SUMIFS(INPUT_DATA!AF:AF,INPUT_DATA!$A:$A,$B74,INPUT_DATA!$C:$C,"D"))</f>
        <v/>
      </c>
      <c r="CG74" s="336" t="str">
        <f>IF($B74=0,"",SUMIFS(INPUT_DATA!AG:AG,INPUT_DATA!$A:$A,$B74,INPUT_DATA!$C:$C,"D"))</f>
        <v/>
      </c>
      <c r="CH74" s="336" t="str">
        <f>IF($B74=0,"",SUMIFS(INPUT_DATA!AH:AH,INPUT_DATA!$A:$A,$B74,INPUT_DATA!$C:$C,"D"))</f>
        <v/>
      </c>
      <c r="CI74" s="336"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153" t="str">
        <f>IF($B74=0,"",SUMIFS(INPUT_DATA!AR:AR,INPUT_DATA!$A:$A,$B74,INPUT_DATA!$C:$C,"D"))</f>
        <v/>
      </c>
      <c r="CS74" s="714" t="str">
        <f t="shared" si="14"/>
        <v/>
      </c>
      <c r="CT74" s="714" t="str">
        <f t="shared" si="15"/>
        <v/>
      </c>
      <c r="CU74" s="714" t="str">
        <f t="shared" si="16"/>
        <v/>
      </c>
      <c r="CV74" s="703" t="str">
        <f>IF($B74=0,"",SUMIFS(INPUT_DATA!AS:AS,INPUT_DATA!$A:$A,$B74,INPUT_DATA!$C:$C,"D"))</f>
        <v/>
      </c>
      <c r="CW74" s="703" t="str">
        <f>IF($B74=0,"",SUMIFS(INPUT_DATA!AT:AT,INPUT_DATA!$A:$A,$B74,INPUT_DATA!$C:$C,"D"))</f>
        <v/>
      </c>
      <c r="CX74" s="703" t="str">
        <f>IF($B74=0,"",SUMIFS(INPUT_DATA!AU:AU,INPUT_DATA!$A:$A,$B74,INPUT_DATA!$C:$C,"D"))</f>
        <v/>
      </c>
      <c r="CY74" s="703" t="str">
        <f t="shared" si="17"/>
        <v/>
      </c>
      <c r="CZ74" s="714" t="str">
        <f t="shared" si="18"/>
        <v/>
      </c>
      <c r="DA74" s="725" t="str">
        <f t="shared" si="19"/>
        <v/>
      </c>
      <c r="DB74" s="150"/>
    </row>
    <row r="75" spans="1:106">
      <c r="A75" s="172">
        <f t="shared" si="21"/>
        <v>-28</v>
      </c>
      <c r="B75" s="697">
        <f>INPUT_DATA!BR62</f>
        <v>0</v>
      </c>
      <c r="C75" s="702" t="str">
        <f>IF($B75=0,"",SUMIFS(INPUT_DATA!D:D,INPUT_DATA!$A:$A,$B75,INPUT_DATA!$C:$C,"S"))</f>
        <v/>
      </c>
      <c r="D75" s="703" t="str">
        <f>IF($B75=0,"",SUMIFS(INPUT_DATA!E:E,INPUT_DATA!$A:$A,$B75,INPUT_DATA!$C:$C,"S"))</f>
        <v/>
      </c>
      <c r="E75" s="703" t="str">
        <f>IF($B75=0,"",SUMIFS(INPUT_DATA!F:F,INPUT_DATA!$A:$A,$B75,INPUT_DATA!$C:$C,"S"))</f>
        <v/>
      </c>
      <c r="F75" s="704" t="str">
        <f>IF($B75=0,"",SUMIFS(INPUT_DATA!G:G,INPUT_DATA!$A:$A,$B75,INPUT_DATA!$C:$C,"S"))</f>
        <v/>
      </c>
      <c r="G75" s="704" t="str">
        <f>IF($B75=0,"",SUMIFS(INPUT_DATA!H:H,INPUT_DATA!$A:$A,$B75,INPUT_DATA!$C:$C,"S"))</f>
        <v/>
      </c>
      <c r="H75" s="704" t="str">
        <f>IF($B75=0,"",SUMIFS(INPUT_DATA!I:I,INPUT_DATA!$A:$A,$B75,INPUT_DATA!$C:$C,"S"))</f>
        <v/>
      </c>
      <c r="I75" s="704" t="str">
        <f>IF($B75=0,"",SUMIFS(INPUT_DATA!J:J,INPUT_DATA!$A:$A,$B75,INPUT_DATA!$C:$C,"S"))</f>
        <v/>
      </c>
      <c r="J75" s="704" t="str">
        <f>IF($B75=0,"",SUMIFS(INPUT_DATA!K:K,INPUT_DATA!$A:$A,$B75,INPUT_DATA!$C:$C,"S"))</f>
        <v/>
      </c>
      <c r="K75" s="704" t="str">
        <f>IF($B75=0,"",SUMIFS(INPUT_DATA!L:L,INPUT_DATA!$A:$A,$B75,INPUT_DATA!$C:$C,"S"))</f>
        <v/>
      </c>
      <c r="L75" s="704" t="str">
        <f>IF($B75=0,"",SUMIFS(INPUT_DATA!M:M,INPUT_DATA!$A:$A,$B75,INPUT_DATA!$C:$C,"S"))</f>
        <v/>
      </c>
      <c r="M75" s="704" t="str">
        <f>IF($B75=0,"",SUMIFS(INPUT_DATA!N:N,INPUT_DATA!$A:$A,$B75,INPUT_DATA!$C:$C,"S"))</f>
        <v/>
      </c>
      <c r="N75" s="704" t="str">
        <f>IF($B75=0,"",SUMIFS(INPUT_DATA!O:O,INPUT_DATA!$A:$A,$B75,INPUT_DATA!$C:$C,"S"))</f>
        <v/>
      </c>
      <c r="O75" s="704" t="str">
        <f>IF($B75=0,"",SUMIFS(INPUT_DATA!P:P,INPUT_DATA!$A:$A,$B75,INPUT_DATA!$C:$C,"S"))</f>
        <v/>
      </c>
      <c r="P75" s="705" t="str">
        <f t="shared" si="5"/>
        <v/>
      </c>
      <c r="Q75" s="706" t="str">
        <f>IF($B75=0,"",SUMIFS(INPUT_DATA!Q:Q,INPUT_DATA!$A:$A,$B75,INPUT_DATA!$C:$C,"S"))</f>
        <v/>
      </c>
      <c r="R75" s="706" t="str">
        <f t="shared" si="20"/>
        <v/>
      </c>
      <c r="S75" s="712" t="str">
        <f>IF($B75=0,"",SUMIFS(INPUT_DATA!R:R,INPUT_DATA!$A:$A,$B75,INPUT_DATA!$C:$C,"S"))</f>
        <v/>
      </c>
      <c r="T75" s="712" t="str">
        <f>IF($B75=0,"",SUMIFS(INPUT_DATA!S:S,INPUT_DATA!$A:$A,$B75,INPUT_DATA!$C:$C,"S"))</f>
        <v/>
      </c>
      <c r="U75" s="712"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297" t="str">
        <f>IF($B75=0,"",SUMIFS(INPUT_DATA!AR:AR,INPUT_DATA!$A:$A,$B75,INPUT_DATA!$C:$C,"S"))</f>
        <v/>
      </c>
      <c r="AT75" s="713" t="str">
        <f t="shared" si="11"/>
        <v/>
      </c>
      <c r="AU75" s="714" t="str">
        <f t="shared" si="12"/>
        <v/>
      </c>
      <c r="AV75" s="715" t="str">
        <f t="shared" si="13"/>
        <v/>
      </c>
      <c r="AW75" s="713" t="str">
        <f>IF($B75=0,"",SUMIFS(INPUT_DATA!AS:AS,INPUT_DATA!$A:$A,$B75,INPUT_DATA!$C:$C,"S"))</f>
        <v/>
      </c>
      <c r="AX75" s="714" t="str">
        <f>IF($B75=0,"",SUMIFS(INPUT_DATA!AT:AT,INPUT_DATA!$A:$A,$B75,INPUT_DATA!$C:$C,"S"))</f>
        <v/>
      </c>
      <c r="AY75" s="715" t="str">
        <f>IF($B75=0,"",SUMIFS(INPUT_DATA!AU:AU,INPUT_DATA!$A:$A,$B75,INPUT_DATA!$C:$C,"S"))</f>
        <v/>
      </c>
      <c r="AZ75" s="713" t="str">
        <f t="shared" si="6"/>
        <v/>
      </c>
      <c r="BA75" s="714" t="str">
        <f t="shared" si="7"/>
        <v/>
      </c>
      <c r="BB75" s="715" t="str">
        <f t="shared" si="8"/>
        <v/>
      </c>
      <c r="BC75" s="150"/>
      <c r="BD75" s="702" t="str">
        <f>IF($B75=0,"",SUMIFS(INPUT_DATA!D:D,INPUT_DATA!$A:$A,$B75,INPUT_DATA!$C:$C,"D"))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296" t="str">
        <f>IF($B75=0,"",SUMIFS(INPUT_DATA!P:P,INPUT_DATA!$A:$A,$B75,INPUT_DATA!$C:$C,"D"))</f>
        <v/>
      </c>
      <c r="BO75" s="718" t="str">
        <f t="shared" si="9"/>
        <v/>
      </c>
      <c r="BP75" s="990" t="str">
        <f>IF($B75=0,"",SUMIFS(INPUT_DATA!Q:Q,INPUT_DATA!$A:$A,$B75,INPUT_DATA!$C:$C,"D"))</f>
        <v/>
      </c>
      <c r="BQ75" s="718" t="str">
        <f t="shared" si="10"/>
        <v/>
      </c>
      <c r="BR75" s="702" t="str">
        <f>IF($B75=0,"",SUMIFS(INPUT_DATA!R:R,INPUT_DATA!$A:$A,$B75,INPUT_DATA!$C:$C,"D"))</f>
        <v/>
      </c>
      <c r="BS75" s="724" t="str">
        <f>IF($B75=0,"",SUMIFS(INPUT_DATA!S:S,INPUT_DATA!$A:$A,$B75,INPUT_DATA!$C:$C,"D"))</f>
        <v/>
      </c>
      <c r="BT75" s="724"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296" t="str">
        <f>IF($B75=0,"",SUMIFS(INPUT_DATA!Z:Z,INPUT_DATA!$A:$A,$B75,INPUT_DATA!$C:$C,"D"))</f>
        <v/>
      </c>
      <c r="CA75" s="336" t="str">
        <f>IF($B75=0,"",SUMIFS(INPUT_DATA!AA:AA,INPUT_DATA!$A:$A,$B75,INPUT_DATA!$C:$C,"D"))</f>
        <v/>
      </c>
      <c r="CB75" s="336" t="str">
        <f>IF($B75=0,"",SUMIFS(INPUT_DATA!AB:AB,INPUT_DATA!$A:$A,$B75,INPUT_DATA!$C:$C,"D"))</f>
        <v/>
      </c>
      <c r="CC75" s="336" t="str">
        <f>IF($B75=0,"",SUMIFS(INPUT_DATA!AC:AC,INPUT_DATA!$A:$A,$B75,INPUT_DATA!$C:$C,"D"))</f>
        <v/>
      </c>
      <c r="CD75" s="296" t="str">
        <f>IF($B75=0,"",SUMIFS(INPUT_DATA!AD:AD,INPUT_DATA!$A:$A,$B75,INPUT_DATA!$C:$C,"D"))</f>
        <v/>
      </c>
      <c r="CE75" s="296" t="str">
        <f>IF($B75=0,"",SUMIFS(INPUT_DATA!AE:AE,INPUT_DATA!$A:$A,$B75,INPUT_DATA!$C:$C,"D"))</f>
        <v/>
      </c>
      <c r="CF75" s="296" t="str">
        <f>IF($B75=0,"",SUMIFS(INPUT_DATA!AF:AF,INPUT_DATA!$A:$A,$B75,INPUT_DATA!$C:$C,"D"))</f>
        <v/>
      </c>
      <c r="CG75" s="336" t="str">
        <f>IF($B75=0,"",SUMIFS(INPUT_DATA!AG:AG,INPUT_DATA!$A:$A,$B75,INPUT_DATA!$C:$C,"D"))</f>
        <v/>
      </c>
      <c r="CH75" s="336" t="str">
        <f>IF($B75=0,"",SUMIFS(INPUT_DATA!AH:AH,INPUT_DATA!$A:$A,$B75,INPUT_DATA!$C:$C,"D"))</f>
        <v/>
      </c>
      <c r="CI75" s="336"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153" t="str">
        <f>IF($B75=0,"",SUMIFS(INPUT_DATA!AR:AR,INPUT_DATA!$A:$A,$B75,INPUT_DATA!$C:$C,"D"))</f>
        <v/>
      </c>
      <c r="CS75" s="714" t="str">
        <f t="shared" si="14"/>
        <v/>
      </c>
      <c r="CT75" s="714" t="str">
        <f t="shared" si="15"/>
        <v/>
      </c>
      <c r="CU75" s="714" t="str">
        <f t="shared" si="16"/>
        <v/>
      </c>
      <c r="CV75" s="703" t="str">
        <f>IF($B75=0,"",SUMIFS(INPUT_DATA!AS:AS,INPUT_DATA!$A:$A,$B75,INPUT_DATA!$C:$C,"D"))</f>
        <v/>
      </c>
      <c r="CW75" s="703" t="str">
        <f>IF($B75=0,"",SUMIFS(INPUT_DATA!AT:AT,INPUT_DATA!$A:$A,$B75,INPUT_DATA!$C:$C,"D"))</f>
        <v/>
      </c>
      <c r="CX75" s="703" t="str">
        <f>IF($B75=0,"",SUMIFS(INPUT_DATA!AU:AU,INPUT_DATA!$A:$A,$B75,INPUT_DATA!$C:$C,"D"))</f>
        <v/>
      </c>
      <c r="CY75" s="703" t="str">
        <f t="shared" si="17"/>
        <v/>
      </c>
      <c r="CZ75" s="714" t="str">
        <f t="shared" si="18"/>
        <v/>
      </c>
      <c r="DA75" s="725" t="str">
        <f t="shared" si="19"/>
        <v/>
      </c>
      <c r="DB75" s="150"/>
    </row>
    <row r="76" spans="1:106">
      <c r="A76" s="172">
        <f t="shared" si="21"/>
        <v>-29</v>
      </c>
      <c r="B76" s="697">
        <f>INPUT_DATA!BR63</f>
        <v>0</v>
      </c>
      <c r="C76" s="702" t="str">
        <f>IF($B76=0,"",SUMIFS(INPUT_DATA!D:D,INPUT_DATA!$A:$A,$B76,INPUT_DATA!$C:$C,"S"))</f>
        <v/>
      </c>
      <c r="D76" s="703" t="str">
        <f>IF($B76=0,"",SUMIFS(INPUT_DATA!E:E,INPUT_DATA!$A:$A,$B76,INPUT_DATA!$C:$C,"S"))</f>
        <v/>
      </c>
      <c r="E76" s="703" t="str">
        <f>IF($B76=0,"",SUMIFS(INPUT_DATA!F:F,INPUT_DATA!$A:$A,$B76,INPUT_DATA!$C:$C,"S"))</f>
        <v/>
      </c>
      <c r="F76" s="704" t="str">
        <f>IF($B76=0,"",SUMIFS(INPUT_DATA!G:G,INPUT_DATA!$A:$A,$B76,INPUT_DATA!$C:$C,"S"))</f>
        <v/>
      </c>
      <c r="G76" s="704" t="str">
        <f>IF($B76=0,"",SUMIFS(INPUT_DATA!H:H,INPUT_DATA!$A:$A,$B76,INPUT_DATA!$C:$C,"S"))</f>
        <v/>
      </c>
      <c r="H76" s="704" t="str">
        <f>IF($B76=0,"",SUMIFS(INPUT_DATA!I:I,INPUT_DATA!$A:$A,$B76,INPUT_DATA!$C:$C,"S"))</f>
        <v/>
      </c>
      <c r="I76" s="704" t="str">
        <f>IF($B76=0,"",SUMIFS(INPUT_DATA!J:J,INPUT_DATA!$A:$A,$B76,INPUT_DATA!$C:$C,"S"))</f>
        <v/>
      </c>
      <c r="J76" s="704" t="str">
        <f>IF($B76=0,"",SUMIFS(INPUT_DATA!K:K,INPUT_DATA!$A:$A,$B76,INPUT_DATA!$C:$C,"S"))</f>
        <v/>
      </c>
      <c r="K76" s="704" t="str">
        <f>IF($B76=0,"",SUMIFS(INPUT_DATA!L:L,INPUT_DATA!$A:$A,$B76,INPUT_DATA!$C:$C,"S"))</f>
        <v/>
      </c>
      <c r="L76" s="704" t="str">
        <f>IF($B76=0,"",SUMIFS(INPUT_DATA!M:M,INPUT_DATA!$A:$A,$B76,INPUT_DATA!$C:$C,"S"))</f>
        <v/>
      </c>
      <c r="M76" s="704" t="str">
        <f>IF($B76=0,"",SUMIFS(INPUT_DATA!N:N,INPUT_DATA!$A:$A,$B76,INPUT_DATA!$C:$C,"S"))</f>
        <v/>
      </c>
      <c r="N76" s="704" t="str">
        <f>IF($B76=0,"",SUMIFS(INPUT_DATA!O:O,INPUT_DATA!$A:$A,$B76,INPUT_DATA!$C:$C,"S"))</f>
        <v/>
      </c>
      <c r="O76" s="704" t="str">
        <f>IF($B76=0,"",SUMIFS(INPUT_DATA!P:P,INPUT_DATA!$A:$A,$B76,INPUT_DATA!$C:$C,"S"))</f>
        <v/>
      </c>
      <c r="P76" s="705" t="str">
        <f t="shared" si="5"/>
        <v/>
      </c>
      <c r="Q76" s="706" t="str">
        <f>IF($B76=0,"",SUMIFS(INPUT_DATA!Q:Q,INPUT_DATA!$A:$A,$B76,INPUT_DATA!$C:$C,"S"))</f>
        <v/>
      </c>
      <c r="R76" s="706" t="str">
        <f t="shared" si="20"/>
        <v/>
      </c>
      <c r="S76" s="712" t="str">
        <f>IF($B76=0,"",SUMIFS(INPUT_DATA!R:R,INPUT_DATA!$A:$A,$B76,INPUT_DATA!$C:$C,"S"))</f>
        <v/>
      </c>
      <c r="T76" s="712" t="str">
        <f>IF($B76=0,"",SUMIFS(INPUT_DATA!S:S,INPUT_DATA!$A:$A,$B76,INPUT_DATA!$C:$C,"S"))</f>
        <v/>
      </c>
      <c r="U76" s="712"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297" t="str">
        <f>IF($B76=0,"",SUMIFS(INPUT_DATA!AR:AR,INPUT_DATA!$A:$A,$B76,INPUT_DATA!$C:$C,"S"))</f>
        <v/>
      </c>
      <c r="AT76" s="713" t="str">
        <f t="shared" si="11"/>
        <v/>
      </c>
      <c r="AU76" s="714" t="str">
        <f t="shared" si="12"/>
        <v/>
      </c>
      <c r="AV76" s="715" t="str">
        <f t="shared" si="13"/>
        <v/>
      </c>
      <c r="AW76" s="713" t="str">
        <f>IF($B76=0,"",SUMIFS(INPUT_DATA!AS:AS,INPUT_DATA!$A:$A,$B76,INPUT_DATA!$C:$C,"S"))</f>
        <v/>
      </c>
      <c r="AX76" s="714" t="str">
        <f>IF($B76=0,"",SUMIFS(INPUT_DATA!AT:AT,INPUT_DATA!$A:$A,$B76,INPUT_DATA!$C:$C,"S"))</f>
        <v/>
      </c>
      <c r="AY76" s="715" t="str">
        <f>IF($B76=0,"",SUMIFS(INPUT_DATA!AU:AU,INPUT_DATA!$A:$A,$B76,INPUT_DATA!$C:$C,"S"))</f>
        <v/>
      </c>
      <c r="AZ76" s="713" t="str">
        <f t="shared" si="6"/>
        <v/>
      </c>
      <c r="BA76" s="714" t="str">
        <f t="shared" si="7"/>
        <v/>
      </c>
      <c r="BB76" s="715" t="str">
        <f t="shared" si="8"/>
        <v/>
      </c>
      <c r="BC76" s="150"/>
      <c r="BD76" s="702" t="str">
        <f>IF($B76=0,"",SUMIFS(INPUT_DATA!D:D,INPUT_DATA!$A:$A,$B76,INPUT_DATA!$C:$C,"D"))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296" t="str">
        <f>IF($B76=0,"",SUMIFS(INPUT_DATA!P:P,INPUT_DATA!$A:$A,$B76,INPUT_DATA!$C:$C,"D"))</f>
        <v/>
      </c>
      <c r="BO76" s="718" t="str">
        <f t="shared" si="9"/>
        <v/>
      </c>
      <c r="BP76" s="990" t="str">
        <f>IF($B76=0,"",SUMIFS(INPUT_DATA!Q:Q,INPUT_DATA!$A:$A,$B76,INPUT_DATA!$C:$C,"D"))</f>
        <v/>
      </c>
      <c r="BQ76" s="718" t="str">
        <f t="shared" si="10"/>
        <v/>
      </c>
      <c r="BR76" s="702" t="str">
        <f>IF($B76=0,"",SUMIFS(INPUT_DATA!R:R,INPUT_DATA!$A:$A,$B76,INPUT_DATA!$C:$C,"D"))</f>
        <v/>
      </c>
      <c r="BS76" s="724" t="str">
        <f>IF($B76=0,"",SUMIFS(INPUT_DATA!S:S,INPUT_DATA!$A:$A,$B76,INPUT_DATA!$C:$C,"D"))</f>
        <v/>
      </c>
      <c r="BT76" s="724"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296" t="str">
        <f>IF($B76=0,"",SUMIFS(INPUT_DATA!Z:Z,INPUT_DATA!$A:$A,$B76,INPUT_DATA!$C:$C,"D"))</f>
        <v/>
      </c>
      <c r="CA76" s="336" t="str">
        <f>IF($B76=0,"",SUMIFS(INPUT_DATA!AA:AA,INPUT_DATA!$A:$A,$B76,INPUT_DATA!$C:$C,"D"))</f>
        <v/>
      </c>
      <c r="CB76" s="336" t="str">
        <f>IF($B76=0,"",SUMIFS(INPUT_DATA!AB:AB,INPUT_DATA!$A:$A,$B76,INPUT_DATA!$C:$C,"D"))</f>
        <v/>
      </c>
      <c r="CC76" s="336" t="str">
        <f>IF($B76=0,"",SUMIFS(INPUT_DATA!AC:AC,INPUT_DATA!$A:$A,$B76,INPUT_DATA!$C:$C,"D"))</f>
        <v/>
      </c>
      <c r="CD76" s="296" t="str">
        <f>IF($B76=0,"",SUMIFS(INPUT_DATA!AD:AD,INPUT_DATA!$A:$A,$B76,INPUT_DATA!$C:$C,"D"))</f>
        <v/>
      </c>
      <c r="CE76" s="296" t="str">
        <f>IF($B76=0,"",SUMIFS(INPUT_DATA!AE:AE,INPUT_DATA!$A:$A,$B76,INPUT_DATA!$C:$C,"D"))</f>
        <v/>
      </c>
      <c r="CF76" s="296" t="str">
        <f>IF($B76=0,"",SUMIFS(INPUT_DATA!AF:AF,INPUT_DATA!$A:$A,$B76,INPUT_DATA!$C:$C,"D"))</f>
        <v/>
      </c>
      <c r="CG76" s="336" t="str">
        <f>IF($B76=0,"",SUMIFS(INPUT_DATA!AG:AG,INPUT_DATA!$A:$A,$B76,INPUT_DATA!$C:$C,"D"))</f>
        <v/>
      </c>
      <c r="CH76" s="336" t="str">
        <f>IF($B76=0,"",SUMIFS(INPUT_DATA!AH:AH,INPUT_DATA!$A:$A,$B76,INPUT_DATA!$C:$C,"D"))</f>
        <v/>
      </c>
      <c r="CI76" s="336"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153" t="str">
        <f>IF($B76=0,"",SUMIFS(INPUT_DATA!AR:AR,INPUT_DATA!$A:$A,$B76,INPUT_DATA!$C:$C,"D"))</f>
        <v/>
      </c>
      <c r="CS76" s="714" t="str">
        <f t="shared" si="14"/>
        <v/>
      </c>
      <c r="CT76" s="714" t="str">
        <f t="shared" si="15"/>
        <v/>
      </c>
      <c r="CU76" s="714" t="str">
        <f t="shared" si="16"/>
        <v/>
      </c>
      <c r="CV76" s="703" t="str">
        <f>IF($B76=0,"",SUMIFS(INPUT_DATA!AS:AS,INPUT_DATA!$A:$A,$B76,INPUT_DATA!$C:$C,"D"))</f>
        <v/>
      </c>
      <c r="CW76" s="703" t="str">
        <f>IF($B76=0,"",SUMIFS(INPUT_DATA!AT:AT,INPUT_DATA!$A:$A,$B76,INPUT_DATA!$C:$C,"D"))</f>
        <v/>
      </c>
      <c r="CX76" s="703" t="str">
        <f>IF($B76=0,"",SUMIFS(INPUT_DATA!AU:AU,INPUT_DATA!$A:$A,$B76,INPUT_DATA!$C:$C,"D"))</f>
        <v/>
      </c>
      <c r="CY76" s="703" t="str">
        <f t="shared" si="17"/>
        <v/>
      </c>
      <c r="CZ76" s="714" t="str">
        <f t="shared" si="18"/>
        <v/>
      </c>
      <c r="DA76" s="725" t="str">
        <f t="shared" si="19"/>
        <v/>
      </c>
      <c r="DB76" s="150"/>
    </row>
    <row r="77" spans="1:106">
      <c r="A77" s="172">
        <f t="shared" si="21"/>
        <v>-30</v>
      </c>
      <c r="B77" s="697">
        <f>INPUT_DATA!BR64</f>
        <v>0</v>
      </c>
      <c r="C77" s="702" t="str">
        <f>IF($B77=0,"",SUMIFS(INPUT_DATA!D:D,INPUT_DATA!$A:$A,$B77,INPUT_DATA!$C:$C,"S"))</f>
        <v/>
      </c>
      <c r="D77" s="703" t="str">
        <f>IF($B77=0,"",SUMIFS(INPUT_DATA!E:E,INPUT_DATA!$A:$A,$B77,INPUT_DATA!$C:$C,"S"))</f>
        <v/>
      </c>
      <c r="E77" s="703" t="str">
        <f>IF($B77=0,"",SUMIFS(INPUT_DATA!F:F,INPUT_DATA!$A:$A,$B77,INPUT_DATA!$C:$C,"S"))</f>
        <v/>
      </c>
      <c r="F77" s="704" t="str">
        <f>IF($B77=0,"",SUMIFS(INPUT_DATA!G:G,INPUT_DATA!$A:$A,$B77,INPUT_DATA!$C:$C,"S"))</f>
        <v/>
      </c>
      <c r="G77" s="704" t="str">
        <f>IF($B77=0,"",SUMIFS(INPUT_DATA!H:H,INPUT_DATA!$A:$A,$B77,INPUT_DATA!$C:$C,"S"))</f>
        <v/>
      </c>
      <c r="H77" s="704" t="str">
        <f>IF($B77=0,"",SUMIFS(INPUT_DATA!I:I,INPUT_DATA!$A:$A,$B77,INPUT_DATA!$C:$C,"S"))</f>
        <v/>
      </c>
      <c r="I77" s="704" t="str">
        <f>IF($B77=0,"",SUMIFS(INPUT_DATA!J:J,INPUT_DATA!$A:$A,$B77,INPUT_DATA!$C:$C,"S"))</f>
        <v/>
      </c>
      <c r="J77" s="704" t="str">
        <f>IF($B77=0,"",SUMIFS(INPUT_DATA!K:K,INPUT_DATA!$A:$A,$B77,INPUT_DATA!$C:$C,"S"))</f>
        <v/>
      </c>
      <c r="K77" s="704" t="str">
        <f>IF($B77=0,"",SUMIFS(INPUT_DATA!L:L,INPUT_DATA!$A:$A,$B77,INPUT_DATA!$C:$C,"S"))</f>
        <v/>
      </c>
      <c r="L77" s="704" t="str">
        <f>IF($B77=0,"",SUMIFS(INPUT_DATA!M:M,INPUT_DATA!$A:$A,$B77,INPUT_DATA!$C:$C,"S"))</f>
        <v/>
      </c>
      <c r="M77" s="704" t="str">
        <f>IF($B77=0,"",SUMIFS(INPUT_DATA!N:N,INPUT_DATA!$A:$A,$B77,INPUT_DATA!$C:$C,"S"))</f>
        <v/>
      </c>
      <c r="N77" s="704" t="str">
        <f>IF($B77=0,"",SUMIFS(INPUT_DATA!O:O,INPUT_DATA!$A:$A,$B77,INPUT_DATA!$C:$C,"S"))</f>
        <v/>
      </c>
      <c r="O77" s="704" t="str">
        <f>IF($B77=0,"",SUMIFS(INPUT_DATA!P:P,INPUT_DATA!$A:$A,$B77,INPUT_DATA!$C:$C,"S"))</f>
        <v/>
      </c>
      <c r="P77" s="705" t="str">
        <f t="shared" si="5"/>
        <v/>
      </c>
      <c r="Q77" s="706" t="str">
        <f>IF($B77=0,"",SUMIFS(INPUT_DATA!Q:Q,INPUT_DATA!$A:$A,$B77,INPUT_DATA!$C:$C,"S"))</f>
        <v/>
      </c>
      <c r="R77" s="706" t="str">
        <f t="shared" si="20"/>
        <v/>
      </c>
      <c r="S77" s="712" t="str">
        <f>IF($B77=0,"",SUMIFS(INPUT_DATA!R:R,INPUT_DATA!$A:$A,$B77,INPUT_DATA!$C:$C,"S"))</f>
        <v/>
      </c>
      <c r="T77" s="712" t="str">
        <f>IF($B77=0,"",SUMIFS(INPUT_DATA!S:S,INPUT_DATA!$A:$A,$B77,INPUT_DATA!$C:$C,"S"))</f>
        <v/>
      </c>
      <c r="U77" s="712"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297" t="str">
        <f>IF($B77=0,"",SUMIFS(INPUT_DATA!AR:AR,INPUT_DATA!$A:$A,$B77,INPUT_DATA!$C:$C,"S"))</f>
        <v/>
      </c>
      <c r="AT77" s="713" t="str">
        <f t="shared" si="11"/>
        <v/>
      </c>
      <c r="AU77" s="714" t="str">
        <f t="shared" si="12"/>
        <v/>
      </c>
      <c r="AV77" s="715" t="str">
        <f t="shared" si="13"/>
        <v/>
      </c>
      <c r="AW77" s="713" t="str">
        <f>IF($B77=0,"",SUMIFS(INPUT_DATA!AS:AS,INPUT_DATA!$A:$A,$B77,INPUT_DATA!$C:$C,"S"))</f>
        <v/>
      </c>
      <c r="AX77" s="714" t="str">
        <f>IF($B77=0,"",SUMIFS(INPUT_DATA!AT:AT,INPUT_DATA!$A:$A,$B77,INPUT_DATA!$C:$C,"S"))</f>
        <v/>
      </c>
      <c r="AY77" s="715" t="str">
        <f>IF($B77=0,"",SUMIFS(INPUT_DATA!AU:AU,INPUT_DATA!$A:$A,$B77,INPUT_DATA!$C:$C,"S"))</f>
        <v/>
      </c>
      <c r="AZ77" s="713" t="str">
        <f t="shared" si="6"/>
        <v/>
      </c>
      <c r="BA77" s="714" t="str">
        <f t="shared" si="7"/>
        <v/>
      </c>
      <c r="BB77" s="715" t="str">
        <f t="shared" si="8"/>
        <v/>
      </c>
      <c r="BC77" s="150"/>
      <c r="BD77" s="702" t="str">
        <f>IF($B77=0,"",SUMIFS(INPUT_DATA!D:D,INPUT_DATA!$A:$A,$B77,INPUT_DATA!$C:$C,"D"))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296" t="str">
        <f>IF($B77=0,"",SUMIFS(INPUT_DATA!P:P,INPUT_DATA!$A:$A,$B77,INPUT_DATA!$C:$C,"D"))</f>
        <v/>
      </c>
      <c r="BO77" s="718" t="str">
        <f t="shared" si="9"/>
        <v/>
      </c>
      <c r="BP77" s="990" t="str">
        <f>IF($B77=0,"",SUMIFS(INPUT_DATA!Q:Q,INPUT_DATA!$A:$A,$B77,INPUT_DATA!$C:$C,"D"))</f>
        <v/>
      </c>
      <c r="BQ77" s="718" t="str">
        <f t="shared" si="10"/>
        <v/>
      </c>
      <c r="BR77" s="702" t="str">
        <f>IF($B77=0,"",SUMIFS(INPUT_DATA!R:R,INPUT_DATA!$A:$A,$B77,INPUT_DATA!$C:$C,"D"))</f>
        <v/>
      </c>
      <c r="BS77" s="724" t="str">
        <f>IF($B77=0,"",SUMIFS(INPUT_DATA!S:S,INPUT_DATA!$A:$A,$B77,INPUT_DATA!$C:$C,"D"))</f>
        <v/>
      </c>
      <c r="BT77" s="724"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296" t="str">
        <f>IF($B77=0,"",SUMIFS(INPUT_DATA!Z:Z,INPUT_DATA!$A:$A,$B77,INPUT_DATA!$C:$C,"D"))</f>
        <v/>
      </c>
      <c r="CA77" s="336" t="str">
        <f>IF($B77=0,"",SUMIFS(INPUT_DATA!AA:AA,INPUT_DATA!$A:$A,$B77,INPUT_DATA!$C:$C,"D"))</f>
        <v/>
      </c>
      <c r="CB77" s="336" t="str">
        <f>IF($B77=0,"",SUMIFS(INPUT_DATA!AB:AB,INPUT_DATA!$A:$A,$B77,INPUT_DATA!$C:$C,"D"))</f>
        <v/>
      </c>
      <c r="CC77" s="336" t="str">
        <f>IF($B77=0,"",SUMIFS(INPUT_DATA!AC:AC,INPUT_DATA!$A:$A,$B77,INPUT_DATA!$C:$C,"D"))</f>
        <v/>
      </c>
      <c r="CD77" s="296" t="str">
        <f>IF($B77=0,"",SUMIFS(INPUT_DATA!AD:AD,INPUT_DATA!$A:$A,$B77,INPUT_DATA!$C:$C,"D"))</f>
        <v/>
      </c>
      <c r="CE77" s="296" t="str">
        <f>IF($B77=0,"",SUMIFS(INPUT_DATA!AE:AE,INPUT_DATA!$A:$A,$B77,INPUT_DATA!$C:$C,"D"))</f>
        <v/>
      </c>
      <c r="CF77" s="296" t="str">
        <f>IF($B77=0,"",SUMIFS(INPUT_DATA!AF:AF,INPUT_DATA!$A:$A,$B77,INPUT_DATA!$C:$C,"D"))</f>
        <v/>
      </c>
      <c r="CG77" s="336" t="str">
        <f>IF($B77=0,"",SUMIFS(INPUT_DATA!AG:AG,INPUT_DATA!$A:$A,$B77,INPUT_DATA!$C:$C,"D"))</f>
        <v/>
      </c>
      <c r="CH77" s="336" t="str">
        <f>IF($B77=0,"",SUMIFS(INPUT_DATA!AH:AH,INPUT_DATA!$A:$A,$B77,INPUT_DATA!$C:$C,"D"))</f>
        <v/>
      </c>
      <c r="CI77" s="336"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153" t="str">
        <f>IF($B77=0,"",SUMIFS(INPUT_DATA!AR:AR,INPUT_DATA!$A:$A,$B77,INPUT_DATA!$C:$C,"D"))</f>
        <v/>
      </c>
      <c r="CS77" s="714" t="str">
        <f t="shared" si="14"/>
        <v/>
      </c>
      <c r="CT77" s="714" t="str">
        <f t="shared" si="15"/>
        <v/>
      </c>
      <c r="CU77" s="714" t="str">
        <f t="shared" si="16"/>
        <v/>
      </c>
      <c r="CV77" s="703" t="str">
        <f>IF($B77=0,"",SUMIFS(INPUT_DATA!AS:AS,INPUT_DATA!$A:$A,$B77,INPUT_DATA!$C:$C,"D"))</f>
        <v/>
      </c>
      <c r="CW77" s="703" t="str">
        <f>IF($B77=0,"",SUMIFS(INPUT_DATA!AT:AT,INPUT_DATA!$A:$A,$B77,INPUT_DATA!$C:$C,"D"))</f>
        <v/>
      </c>
      <c r="CX77" s="703" t="str">
        <f>IF($B77=0,"",SUMIFS(INPUT_DATA!AU:AU,INPUT_DATA!$A:$A,$B77,INPUT_DATA!$C:$C,"D"))</f>
        <v/>
      </c>
      <c r="CY77" s="703" t="str">
        <f t="shared" si="17"/>
        <v/>
      </c>
      <c r="CZ77" s="714" t="str">
        <f t="shared" si="18"/>
        <v/>
      </c>
      <c r="DA77" s="725" t="str">
        <f t="shared" si="19"/>
        <v/>
      </c>
      <c r="DB77" s="150"/>
    </row>
    <row r="78" spans="1:106">
      <c r="A78" s="172">
        <f t="shared" si="21"/>
        <v>-31</v>
      </c>
      <c r="B78" s="697">
        <f>INPUT_DATA!BR65</f>
        <v>0</v>
      </c>
      <c r="C78" s="702" t="str">
        <f>IF($B78=0,"",SUMIFS(INPUT_DATA!D:D,INPUT_DATA!$A:$A,$B78,INPUT_DATA!$C:$C,"S"))</f>
        <v/>
      </c>
      <c r="D78" s="703" t="str">
        <f>IF($B78=0,"",SUMIFS(INPUT_DATA!E:E,INPUT_DATA!$A:$A,$B78,INPUT_DATA!$C:$C,"S"))</f>
        <v/>
      </c>
      <c r="E78" s="703" t="str">
        <f>IF($B78=0,"",SUMIFS(INPUT_DATA!F:F,INPUT_DATA!$A:$A,$B78,INPUT_DATA!$C:$C,"S"))</f>
        <v/>
      </c>
      <c r="F78" s="704" t="str">
        <f>IF($B78=0,"",SUMIFS(INPUT_DATA!G:G,INPUT_DATA!$A:$A,$B78,INPUT_DATA!$C:$C,"S"))</f>
        <v/>
      </c>
      <c r="G78" s="704" t="str">
        <f>IF($B78=0,"",SUMIFS(INPUT_DATA!H:H,INPUT_DATA!$A:$A,$B78,INPUT_DATA!$C:$C,"S"))</f>
        <v/>
      </c>
      <c r="H78" s="704" t="str">
        <f>IF($B78=0,"",SUMIFS(INPUT_DATA!I:I,INPUT_DATA!$A:$A,$B78,INPUT_DATA!$C:$C,"S"))</f>
        <v/>
      </c>
      <c r="I78" s="704" t="str">
        <f>IF($B78=0,"",SUMIFS(INPUT_DATA!J:J,INPUT_DATA!$A:$A,$B78,INPUT_DATA!$C:$C,"S"))</f>
        <v/>
      </c>
      <c r="J78" s="704" t="str">
        <f>IF($B78=0,"",SUMIFS(INPUT_DATA!K:K,INPUT_DATA!$A:$A,$B78,INPUT_DATA!$C:$C,"S"))</f>
        <v/>
      </c>
      <c r="K78" s="704" t="str">
        <f>IF($B78=0,"",SUMIFS(INPUT_DATA!L:L,INPUT_DATA!$A:$A,$B78,INPUT_DATA!$C:$C,"S"))</f>
        <v/>
      </c>
      <c r="L78" s="704" t="str">
        <f>IF($B78=0,"",SUMIFS(INPUT_DATA!M:M,INPUT_DATA!$A:$A,$B78,INPUT_DATA!$C:$C,"S"))</f>
        <v/>
      </c>
      <c r="M78" s="704" t="str">
        <f>IF($B78=0,"",SUMIFS(INPUT_DATA!N:N,INPUT_DATA!$A:$A,$B78,INPUT_DATA!$C:$C,"S"))</f>
        <v/>
      </c>
      <c r="N78" s="704" t="str">
        <f>IF($B78=0,"",SUMIFS(INPUT_DATA!O:O,INPUT_DATA!$A:$A,$B78,INPUT_DATA!$C:$C,"S"))</f>
        <v/>
      </c>
      <c r="O78" s="704" t="str">
        <f>IF($B78=0,"",SUMIFS(INPUT_DATA!P:P,INPUT_DATA!$A:$A,$B78,INPUT_DATA!$C:$C,"S"))</f>
        <v/>
      </c>
      <c r="P78" s="705" t="str">
        <f t="shared" si="5"/>
        <v/>
      </c>
      <c r="Q78" s="706" t="str">
        <f>IF($B78=0,"",SUMIFS(INPUT_DATA!Q:Q,INPUT_DATA!$A:$A,$B78,INPUT_DATA!$C:$C,"S"))</f>
        <v/>
      </c>
      <c r="R78" s="706" t="str">
        <f t="shared" si="20"/>
        <v/>
      </c>
      <c r="S78" s="712" t="str">
        <f>IF($B78=0,"",SUMIFS(INPUT_DATA!R:R,INPUT_DATA!$A:$A,$B78,INPUT_DATA!$C:$C,"S"))</f>
        <v/>
      </c>
      <c r="T78" s="712" t="str">
        <f>IF($B78=0,"",SUMIFS(INPUT_DATA!S:S,INPUT_DATA!$A:$A,$B78,INPUT_DATA!$C:$C,"S"))</f>
        <v/>
      </c>
      <c r="U78" s="712"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297" t="str">
        <f>IF($B78=0,"",SUMIFS(INPUT_DATA!AR:AR,INPUT_DATA!$A:$A,$B78,INPUT_DATA!$C:$C,"S"))</f>
        <v/>
      </c>
      <c r="AT78" s="713" t="str">
        <f t="shared" si="11"/>
        <v/>
      </c>
      <c r="AU78" s="714" t="str">
        <f t="shared" si="12"/>
        <v/>
      </c>
      <c r="AV78" s="715" t="str">
        <f t="shared" si="13"/>
        <v/>
      </c>
      <c r="AW78" s="713" t="str">
        <f>IF($B78=0,"",SUMIFS(INPUT_DATA!AS:AS,INPUT_DATA!$A:$A,$B78,INPUT_DATA!$C:$C,"S"))</f>
        <v/>
      </c>
      <c r="AX78" s="714" t="str">
        <f>IF($B78=0,"",SUMIFS(INPUT_DATA!AT:AT,INPUT_DATA!$A:$A,$B78,INPUT_DATA!$C:$C,"S"))</f>
        <v/>
      </c>
      <c r="AY78" s="715" t="str">
        <f>IF($B78=0,"",SUMIFS(INPUT_DATA!AU:AU,INPUT_DATA!$A:$A,$B78,INPUT_DATA!$C:$C,"S"))</f>
        <v/>
      </c>
      <c r="AZ78" s="713" t="str">
        <f t="shared" si="6"/>
        <v/>
      </c>
      <c r="BA78" s="714" t="str">
        <f t="shared" si="7"/>
        <v/>
      </c>
      <c r="BB78" s="715" t="str">
        <f t="shared" si="8"/>
        <v/>
      </c>
      <c r="BC78" s="150"/>
      <c r="BD78" s="702" t="str">
        <f>IF($B78=0,"",SUMIFS(INPUT_DATA!D:D,INPUT_DATA!$A:$A,$B78,INPUT_DATA!$C:$C,"D"))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296" t="str">
        <f>IF($B78=0,"",SUMIFS(INPUT_DATA!P:P,INPUT_DATA!$A:$A,$B78,INPUT_DATA!$C:$C,"D"))</f>
        <v/>
      </c>
      <c r="BO78" s="718" t="str">
        <f t="shared" si="9"/>
        <v/>
      </c>
      <c r="BP78" s="990" t="str">
        <f>IF($B78=0,"",SUMIFS(INPUT_DATA!Q:Q,INPUT_DATA!$A:$A,$B78,INPUT_DATA!$C:$C,"D"))</f>
        <v/>
      </c>
      <c r="BQ78" s="718" t="str">
        <f t="shared" si="10"/>
        <v/>
      </c>
      <c r="BR78" s="702" t="str">
        <f>IF($B78=0,"",SUMIFS(INPUT_DATA!R:R,INPUT_DATA!$A:$A,$B78,INPUT_DATA!$C:$C,"D"))</f>
        <v/>
      </c>
      <c r="BS78" s="724" t="str">
        <f>IF($B78=0,"",SUMIFS(INPUT_DATA!S:S,INPUT_DATA!$A:$A,$B78,INPUT_DATA!$C:$C,"D"))</f>
        <v/>
      </c>
      <c r="BT78" s="724"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296" t="str">
        <f>IF($B78=0,"",SUMIFS(INPUT_DATA!Z:Z,INPUT_DATA!$A:$A,$B78,INPUT_DATA!$C:$C,"D"))</f>
        <v/>
      </c>
      <c r="CA78" s="336" t="str">
        <f>IF($B78=0,"",SUMIFS(INPUT_DATA!AA:AA,INPUT_DATA!$A:$A,$B78,INPUT_DATA!$C:$C,"D"))</f>
        <v/>
      </c>
      <c r="CB78" s="336" t="str">
        <f>IF($B78=0,"",SUMIFS(INPUT_DATA!AB:AB,INPUT_DATA!$A:$A,$B78,INPUT_DATA!$C:$C,"D"))</f>
        <v/>
      </c>
      <c r="CC78" s="336" t="str">
        <f>IF($B78=0,"",SUMIFS(INPUT_DATA!AC:AC,INPUT_DATA!$A:$A,$B78,INPUT_DATA!$C:$C,"D"))</f>
        <v/>
      </c>
      <c r="CD78" s="296" t="str">
        <f>IF($B78=0,"",SUMIFS(INPUT_DATA!AD:AD,INPUT_DATA!$A:$A,$B78,INPUT_DATA!$C:$C,"D"))</f>
        <v/>
      </c>
      <c r="CE78" s="296" t="str">
        <f>IF($B78=0,"",SUMIFS(INPUT_DATA!AE:AE,INPUT_DATA!$A:$A,$B78,INPUT_DATA!$C:$C,"D"))</f>
        <v/>
      </c>
      <c r="CF78" s="296" t="str">
        <f>IF($B78=0,"",SUMIFS(INPUT_DATA!AF:AF,INPUT_DATA!$A:$A,$B78,INPUT_DATA!$C:$C,"D"))</f>
        <v/>
      </c>
      <c r="CG78" s="336" t="str">
        <f>IF($B78=0,"",SUMIFS(INPUT_DATA!AG:AG,INPUT_DATA!$A:$A,$B78,INPUT_DATA!$C:$C,"D"))</f>
        <v/>
      </c>
      <c r="CH78" s="336" t="str">
        <f>IF($B78=0,"",SUMIFS(INPUT_DATA!AH:AH,INPUT_DATA!$A:$A,$B78,INPUT_DATA!$C:$C,"D"))</f>
        <v/>
      </c>
      <c r="CI78" s="336"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153" t="str">
        <f>IF($B78=0,"",SUMIFS(INPUT_DATA!AR:AR,INPUT_DATA!$A:$A,$B78,INPUT_DATA!$C:$C,"D"))</f>
        <v/>
      </c>
      <c r="CS78" s="714" t="str">
        <f t="shared" si="14"/>
        <v/>
      </c>
      <c r="CT78" s="714" t="str">
        <f t="shared" si="15"/>
        <v/>
      </c>
      <c r="CU78" s="714" t="str">
        <f t="shared" si="16"/>
        <v/>
      </c>
      <c r="CV78" s="703" t="str">
        <f>IF($B78=0,"",SUMIFS(INPUT_DATA!AS:AS,INPUT_DATA!$A:$A,$B78,INPUT_DATA!$C:$C,"D"))</f>
        <v/>
      </c>
      <c r="CW78" s="703" t="str">
        <f>IF($B78=0,"",SUMIFS(INPUT_DATA!AT:AT,INPUT_DATA!$A:$A,$B78,INPUT_DATA!$C:$C,"D"))</f>
        <v/>
      </c>
      <c r="CX78" s="703" t="str">
        <f>IF($B78=0,"",SUMIFS(INPUT_DATA!AU:AU,INPUT_DATA!$A:$A,$B78,INPUT_DATA!$C:$C,"D"))</f>
        <v/>
      </c>
      <c r="CY78" s="703" t="str">
        <f t="shared" si="17"/>
        <v/>
      </c>
      <c r="CZ78" s="714" t="str">
        <f t="shared" si="18"/>
        <v/>
      </c>
      <c r="DA78" s="725" t="str">
        <f t="shared" si="19"/>
        <v/>
      </c>
      <c r="DB78" s="150"/>
    </row>
    <row r="79" spans="1:106">
      <c r="A79" s="172">
        <f t="shared" si="21"/>
        <v>-32</v>
      </c>
      <c r="B79" s="697">
        <f>INPUT_DATA!BR66</f>
        <v>0</v>
      </c>
      <c r="C79" s="702" t="str">
        <f>IF($B79=0,"",SUMIFS(INPUT_DATA!D:D,INPUT_DATA!$A:$A,$B79,INPUT_DATA!$C:$C,"S"))</f>
        <v/>
      </c>
      <c r="D79" s="703" t="str">
        <f>IF($B79=0,"",SUMIFS(INPUT_DATA!E:E,INPUT_DATA!$A:$A,$B79,INPUT_DATA!$C:$C,"S"))</f>
        <v/>
      </c>
      <c r="E79" s="703" t="str">
        <f>IF($B79=0,"",SUMIFS(INPUT_DATA!F:F,INPUT_DATA!$A:$A,$B79,INPUT_DATA!$C:$C,"S"))</f>
        <v/>
      </c>
      <c r="F79" s="704" t="str">
        <f>IF($B79=0,"",SUMIFS(INPUT_DATA!G:G,INPUT_DATA!$A:$A,$B79,INPUT_DATA!$C:$C,"S"))</f>
        <v/>
      </c>
      <c r="G79" s="704" t="str">
        <f>IF($B79=0,"",SUMIFS(INPUT_DATA!H:H,INPUT_DATA!$A:$A,$B79,INPUT_DATA!$C:$C,"S"))</f>
        <v/>
      </c>
      <c r="H79" s="704" t="str">
        <f>IF($B79=0,"",SUMIFS(INPUT_DATA!I:I,INPUT_DATA!$A:$A,$B79,INPUT_DATA!$C:$C,"S"))</f>
        <v/>
      </c>
      <c r="I79" s="704" t="str">
        <f>IF($B79=0,"",SUMIFS(INPUT_DATA!J:J,INPUT_DATA!$A:$A,$B79,INPUT_DATA!$C:$C,"S"))</f>
        <v/>
      </c>
      <c r="J79" s="704" t="str">
        <f>IF($B79=0,"",SUMIFS(INPUT_DATA!K:K,INPUT_DATA!$A:$A,$B79,INPUT_DATA!$C:$C,"S"))</f>
        <v/>
      </c>
      <c r="K79" s="704" t="str">
        <f>IF($B79=0,"",SUMIFS(INPUT_DATA!L:L,INPUT_DATA!$A:$A,$B79,INPUT_DATA!$C:$C,"S"))</f>
        <v/>
      </c>
      <c r="L79" s="704" t="str">
        <f>IF($B79=0,"",SUMIFS(INPUT_DATA!M:M,INPUT_DATA!$A:$A,$B79,INPUT_DATA!$C:$C,"S"))</f>
        <v/>
      </c>
      <c r="M79" s="704" t="str">
        <f>IF($B79=0,"",SUMIFS(INPUT_DATA!N:N,INPUT_DATA!$A:$A,$B79,INPUT_DATA!$C:$C,"S"))</f>
        <v/>
      </c>
      <c r="N79" s="704" t="str">
        <f>IF($B79=0,"",SUMIFS(INPUT_DATA!O:O,INPUT_DATA!$A:$A,$B79,INPUT_DATA!$C:$C,"S"))</f>
        <v/>
      </c>
      <c r="O79" s="704" t="str">
        <f>IF($B79=0,"",SUMIFS(INPUT_DATA!P:P,INPUT_DATA!$A:$A,$B79,INPUT_DATA!$C:$C,"S"))</f>
        <v/>
      </c>
      <c r="P79" s="705" t="str">
        <f t="shared" si="5"/>
        <v/>
      </c>
      <c r="Q79" s="706" t="str">
        <f>IF($B79=0,"",SUMIFS(INPUT_DATA!Q:Q,INPUT_DATA!$A:$A,$B79,INPUT_DATA!$C:$C,"S"))</f>
        <v/>
      </c>
      <c r="R79" s="706" t="str">
        <f t="shared" si="20"/>
        <v/>
      </c>
      <c r="S79" s="712" t="str">
        <f>IF($B79=0,"",SUMIFS(INPUT_DATA!R:R,INPUT_DATA!$A:$A,$B79,INPUT_DATA!$C:$C,"S"))</f>
        <v/>
      </c>
      <c r="T79" s="712" t="str">
        <f>IF($B79=0,"",SUMIFS(INPUT_DATA!S:S,INPUT_DATA!$A:$A,$B79,INPUT_DATA!$C:$C,"S"))</f>
        <v/>
      </c>
      <c r="U79" s="712"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297" t="str">
        <f>IF($B79=0,"",SUMIFS(INPUT_DATA!AR:AR,INPUT_DATA!$A:$A,$B79,INPUT_DATA!$C:$C,"S"))</f>
        <v/>
      </c>
      <c r="AT79" s="713" t="str">
        <f t="shared" si="11"/>
        <v/>
      </c>
      <c r="AU79" s="714" t="str">
        <f t="shared" si="12"/>
        <v/>
      </c>
      <c r="AV79" s="715" t="str">
        <f t="shared" si="13"/>
        <v/>
      </c>
      <c r="AW79" s="713" t="str">
        <f>IF($B79=0,"",SUMIFS(INPUT_DATA!AS:AS,INPUT_DATA!$A:$A,$B79,INPUT_DATA!$C:$C,"S"))</f>
        <v/>
      </c>
      <c r="AX79" s="714" t="str">
        <f>IF($B79=0,"",SUMIFS(INPUT_DATA!AT:AT,INPUT_DATA!$A:$A,$B79,INPUT_DATA!$C:$C,"S"))</f>
        <v/>
      </c>
      <c r="AY79" s="715" t="str">
        <f>IF($B79=0,"",SUMIFS(INPUT_DATA!AU:AU,INPUT_DATA!$A:$A,$B79,INPUT_DATA!$C:$C,"S"))</f>
        <v/>
      </c>
      <c r="AZ79" s="713" t="str">
        <f t="shared" si="6"/>
        <v/>
      </c>
      <c r="BA79" s="714" t="str">
        <f t="shared" si="7"/>
        <v/>
      </c>
      <c r="BB79" s="715" t="str">
        <f t="shared" si="8"/>
        <v/>
      </c>
      <c r="BC79" s="150"/>
      <c r="BD79" s="702" t="str">
        <f>IF($B79=0,"",SUMIFS(INPUT_DATA!D:D,INPUT_DATA!$A:$A,$B79,INPUT_DATA!$C:$C,"D"))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296" t="str">
        <f>IF($B79=0,"",SUMIFS(INPUT_DATA!P:P,INPUT_DATA!$A:$A,$B79,INPUT_DATA!$C:$C,"D"))</f>
        <v/>
      </c>
      <c r="BO79" s="718" t="str">
        <f t="shared" si="9"/>
        <v/>
      </c>
      <c r="BP79" s="990" t="str">
        <f>IF($B79=0,"",SUMIFS(INPUT_DATA!Q:Q,INPUT_DATA!$A:$A,$B79,INPUT_DATA!$C:$C,"D"))</f>
        <v/>
      </c>
      <c r="BQ79" s="718" t="str">
        <f t="shared" si="10"/>
        <v/>
      </c>
      <c r="BR79" s="702" t="str">
        <f>IF($B79=0,"",SUMIFS(INPUT_DATA!R:R,INPUT_DATA!$A:$A,$B79,INPUT_DATA!$C:$C,"D"))</f>
        <v/>
      </c>
      <c r="BS79" s="724" t="str">
        <f>IF($B79=0,"",SUMIFS(INPUT_DATA!S:S,INPUT_DATA!$A:$A,$B79,INPUT_DATA!$C:$C,"D"))</f>
        <v/>
      </c>
      <c r="BT79" s="724"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296" t="str">
        <f>IF($B79=0,"",SUMIFS(INPUT_DATA!Z:Z,INPUT_DATA!$A:$A,$B79,INPUT_DATA!$C:$C,"D"))</f>
        <v/>
      </c>
      <c r="CA79" s="336" t="str">
        <f>IF($B79=0,"",SUMIFS(INPUT_DATA!AA:AA,INPUT_DATA!$A:$A,$B79,INPUT_DATA!$C:$C,"D"))</f>
        <v/>
      </c>
      <c r="CB79" s="336" t="str">
        <f>IF($B79=0,"",SUMIFS(INPUT_DATA!AB:AB,INPUT_DATA!$A:$A,$B79,INPUT_DATA!$C:$C,"D"))</f>
        <v/>
      </c>
      <c r="CC79" s="336" t="str">
        <f>IF($B79=0,"",SUMIFS(INPUT_DATA!AC:AC,INPUT_DATA!$A:$A,$B79,INPUT_DATA!$C:$C,"D"))</f>
        <v/>
      </c>
      <c r="CD79" s="296" t="str">
        <f>IF($B79=0,"",SUMIFS(INPUT_DATA!AD:AD,INPUT_DATA!$A:$A,$B79,INPUT_DATA!$C:$C,"D"))</f>
        <v/>
      </c>
      <c r="CE79" s="296" t="str">
        <f>IF($B79=0,"",SUMIFS(INPUT_DATA!AE:AE,INPUT_DATA!$A:$A,$B79,INPUT_DATA!$C:$C,"D"))</f>
        <v/>
      </c>
      <c r="CF79" s="296" t="str">
        <f>IF($B79=0,"",SUMIFS(INPUT_DATA!AF:AF,INPUT_DATA!$A:$A,$B79,INPUT_DATA!$C:$C,"D"))</f>
        <v/>
      </c>
      <c r="CG79" s="336" t="str">
        <f>IF($B79=0,"",SUMIFS(INPUT_DATA!AG:AG,INPUT_DATA!$A:$A,$B79,INPUT_DATA!$C:$C,"D"))</f>
        <v/>
      </c>
      <c r="CH79" s="336" t="str">
        <f>IF($B79=0,"",SUMIFS(INPUT_DATA!AH:AH,INPUT_DATA!$A:$A,$B79,INPUT_DATA!$C:$C,"D"))</f>
        <v/>
      </c>
      <c r="CI79" s="336"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153" t="str">
        <f>IF($B79=0,"",SUMIFS(INPUT_DATA!AR:AR,INPUT_DATA!$A:$A,$B79,INPUT_DATA!$C:$C,"D"))</f>
        <v/>
      </c>
      <c r="CS79" s="714" t="str">
        <f t="shared" si="14"/>
        <v/>
      </c>
      <c r="CT79" s="714" t="str">
        <f t="shared" si="15"/>
        <v/>
      </c>
      <c r="CU79" s="714" t="str">
        <f t="shared" si="16"/>
        <v/>
      </c>
      <c r="CV79" s="703" t="str">
        <f>IF($B79=0,"",SUMIFS(INPUT_DATA!AS:AS,INPUT_DATA!$A:$A,$B79,INPUT_DATA!$C:$C,"D"))</f>
        <v/>
      </c>
      <c r="CW79" s="703" t="str">
        <f>IF($B79=0,"",SUMIFS(INPUT_DATA!AT:AT,INPUT_DATA!$A:$A,$B79,INPUT_DATA!$C:$C,"D"))</f>
        <v/>
      </c>
      <c r="CX79" s="703" t="str">
        <f>IF($B79=0,"",SUMIFS(INPUT_DATA!AU:AU,INPUT_DATA!$A:$A,$B79,INPUT_DATA!$C:$C,"D"))</f>
        <v/>
      </c>
      <c r="CY79" s="703" t="str">
        <f t="shared" si="17"/>
        <v/>
      </c>
      <c r="CZ79" s="714" t="str">
        <f t="shared" si="18"/>
        <v/>
      </c>
      <c r="DA79" s="725" t="str">
        <f t="shared" si="19"/>
        <v/>
      </c>
      <c r="DB79" s="150"/>
    </row>
    <row r="80" spans="1:106">
      <c r="A80" s="172">
        <f t="shared" si="21"/>
        <v>-33</v>
      </c>
      <c r="B80" s="697">
        <f>INPUT_DATA!BR67</f>
        <v>0</v>
      </c>
      <c r="C80" s="702" t="str">
        <f>IF($B80=0,"",SUMIFS(INPUT_DATA!D:D,INPUT_DATA!$A:$A,$B80,INPUT_DATA!$C:$C,"S"))</f>
        <v/>
      </c>
      <c r="D80" s="703" t="str">
        <f>IF($B80=0,"",SUMIFS(INPUT_DATA!E:E,INPUT_DATA!$A:$A,$B80,INPUT_DATA!$C:$C,"S"))</f>
        <v/>
      </c>
      <c r="E80" s="703" t="str">
        <f>IF($B80=0,"",SUMIFS(INPUT_DATA!F:F,INPUT_DATA!$A:$A,$B80,INPUT_DATA!$C:$C,"S"))</f>
        <v/>
      </c>
      <c r="F80" s="704" t="str">
        <f>IF($B80=0,"",SUMIFS(INPUT_DATA!G:G,INPUT_DATA!$A:$A,$B80,INPUT_DATA!$C:$C,"S"))</f>
        <v/>
      </c>
      <c r="G80" s="704" t="str">
        <f>IF($B80=0,"",SUMIFS(INPUT_DATA!H:H,INPUT_DATA!$A:$A,$B80,INPUT_DATA!$C:$C,"S"))</f>
        <v/>
      </c>
      <c r="H80" s="704" t="str">
        <f>IF($B80=0,"",SUMIFS(INPUT_DATA!I:I,INPUT_DATA!$A:$A,$B80,INPUT_DATA!$C:$C,"S"))</f>
        <v/>
      </c>
      <c r="I80" s="704" t="str">
        <f>IF($B80=0,"",SUMIFS(INPUT_DATA!J:J,INPUT_DATA!$A:$A,$B80,INPUT_DATA!$C:$C,"S"))</f>
        <v/>
      </c>
      <c r="J80" s="704" t="str">
        <f>IF($B80=0,"",SUMIFS(INPUT_DATA!K:K,INPUT_DATA!$A:$A,$B80,INPUT_DATA!$C:$C,"S"))</f>
        <v/>
      </c>
      <c r="K80" s="704" t="str">
        <f>IF($B80=0,"",SUMIFS(INPUT_DATA!L:L,INPUT_DATA!$A:$A,$B80,INPUT_DATA!$C:$C,"S"))</f>
        <v/>
      </c>
      <c r="L80" s="704" t="str">
        <f>IF($B80=0,"",SUMIFS(INPUT_DATA!M:M,INPUT_DATA!$A:$A,$B80,INPUT_DATA!$C:$C,"S"))</f>
        <v/>
      </c>
      <c r="M80" s="704" t="str">
        <f>IF($B80=0,"",SUMIFS(INPUT_DATA!N:N,INPUT_DATA!$A:$A,$B80,INPUT_DATA!$C:$C,"S"))</f>
        <v/>
      </c>
      <c r="N80" s="704" t="str">
        <f>IF($B80=0,"",SUMIFS(INPUT_DATA!O:O,INPUT_DATA!$A:$A,$B80,INPUT_DATA!$C:$C,"S"))</f>
        <v/>
      </c>
      <c r="O80" s="704" t="str">
        <f>IF($B80=0,"",SUMIFS(INPUT_DATA!P:P,INPUT_DATA!$A:$A,$B80,INPUT_DATA!$C:$C,"S"))</f>
        <v/>
      </c>
      <c r="P80" s="705" t="str">
        <f t="shared" si="5"/>
        <v/>
      </c>
      <c r="Q80" s="706" t="str">
        <f>IF($B80=0,"",SUMIFS(INPUT_DATA!Q:Q,INPUT_DATA!$A:$A,$B80,INPUT_DATA!$C:$C,"S"))</f>
        <v/>
      </c>
      <c r="R80" s="706" t="str">
        <f t="shared" si="20"/>
        <v/>
      </c>
      <c r="S80" s="712" t="str">
        <f>IF($B80=0,"",SUMIFS(INPUT_DATA!R:R,INPUT_DATA!$A:$A,$B80,INPUT_DATA!$C:$C,"S"))</f>
        <v/>
      </c>
      <c r="T80" s="712" t="str">
        <f>IF($B80=0,"",SUMIFS(INPUT_DATA!S:S,INPUT_DATA!$A:$A,$B80,INPUT_DATA!$C:$C,"S"))</f>
        <v/>
      </c>
      <c r="U80" s="712"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297" t="str">
        <f>IF($B80=0,"",SUMIFS(INPUT_DATA!AR:AR,INPUT_DATA!$A:$A,$B80,INPUT_DATA!$C:$C,"S"))</f>
        <v/>
      </c>
      <c r="AT80" s="713" t="str">
        <f t="shared" si="11"/>
        <v/>
      </c>
      <c r="AU80" s="714" t="str">
        <f t="shared" si="12"/>
        <v/>
      </c>
      <c r="AV80" s="715" t="str">
        <f t="shared" si="13"/>
        <v/>
      </c>
      <c r="AW80" s="713" t="str">
        <f>IF($B80=0,"",SUMIFS(INPUT_DATA!AS:AS,INPUT_DATA!$A:$A,$B80,INPUT_DATA!$C:$C,"S"))</f>
        <v/>
      </c>
      <c r="AX80" s="714" t="str">
        <f>IF($B80=0,"",SUMIFS(INPUT_DATA!AT:AT,INPUT_DATA!$A:$A,$B80,INPUT_DATA!$C:$C,"S"))</f>
        <v/>
      </c>
      <c r="AY80" s="715" t="str">
        <f>IF($B80=0,"",SUMIFS(INPUT_DATA!AU:AU,INPUT_DATA!$A:$A,$B80,INPUT_DATA!$C:$C,"S"))</f>
        <v/>
      </c>
      <c r="AZ80" s="713" t="str">
        <f t="shared" si="6"/>
        <v/>
      </c>
      <c r="BA80" s="714" t="str">
        <f t="shared" si="7"/>
        <v/>
      </c>
      <c r="BB80" s="715" t="str">
        <f t="shared" si="8"/>
        <v/>
      </c>
      <c r="BC80" s="150"/>
      <c r="BD80" s="702" t="str">
        <f>IF($B80=0,"",SUMIFS(INPUT_DATA!D:D,INPUT_DATA!$A:$A,$B80,INPUT_DATA!$C:$C,"D"))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296" t="str">
        <f>IF($B80=0,"",SUMIFS(INPUT_DATA!P:P,INPUT_DATA!$A:$A,$B80,INPUT_DATA!$C:$C,"D"))</f>
        <v/>
      </c>
      <c r="BO80" s="718" t="str">
        <f t="shared" si="9"/>
        <v/>
      </c>
      <c r="BP80" s="990" t="str">
        <f>IF($B80=0,"",SUMIFS(INPUT_DATA!Q:Q,INPUT_DATA!$A:$A,$B80,INPUT_DATA!$C:$C,"D"))</f>
        <v/>
      </c>
      <c r="BQ80" s="718" t="str">
        <f t="shared" si="10"/>
        <v/>
      </c>
      <c r="BR80" s="702" t="str">
        <f>IF($B80=0,"",SUMIFS(INPUT_DATA!R:R,INPUT_DATA!$A:$A,$B80,INPUT_DATA!$C:$C,"D"))</f>
        <v/>
      </c>
      <c r="BS80" s="724" t="str">
        <f>IF($B80=0,"",SUMIFS(INPUT_DATA!S:S,INPUT_DATA!$A:$A,$B80,INPUT_DATA!$C:$C,"D"))</f>
        <v/>
      </c>
      <c r="BT80" s="724"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296" t="str">
        <f>IF($B80=0,"",SUMIFS(INPUT_DATA!Z:Z,INPUT_DATA!$A:$A,$B80,INPUT_DATA!$C:$C,"D"))</f>
        <v/>
      </c>
      <c r="CA80" s="336" t="str">
        <f>IF($B80=0,"",SUMIFS(INPUT_DATA!AA:AA,INPUT_DATA!$A:$A,$B80,INPUT_DATA!$C:$C,"D"))</f>
        <v/>
      </c>
      <c r="CB80" s="336" t="str">
        <f>IF($B80=0,"",SUMIFS(INPUT_DATA!AB:AB,INPUT_DATA!$A:$A,$B80,INPUT_DATA!$C:$C,"D"))</f>
        <v/>
      </c>
      <c r="CC80" s="336" t="str">
        <f>IF($B80=0,"",SUMIFS(INPUT_DATA!AC:AC,INPUT_DATA!$A:$A,$B80,INPUT_DATA!$C:$C,"D"))</f>
        <v/>
      </c>
      <c r="CD80" s="296" t="str">
        <f>IF($B80=0,"",SUMIFS(INPUT_DATA!AD:AD,INPUT_DATA!$A:$A,$B80,INPUT_DATA!$C:$C,"D"))</f>
        <v/>
      </c>
      <c r="CE80" s="296" t="str">
        <f>IF($B80=0,"",SUMIFS(INPUT_DATA!AE:AE,INPUT_DATA!$A:$A,$B80,INPUT_DATA!$C:$C,"D"))</f>
        <v/>
      </c>
      <c r="CF80" s="296" t="str">
        <f>IF($B80=0,"",SUMIFS(INPUT_DATA!AF:AF,INPUT_DATA!$A:$A,$B80,INPUT_DATA!$C:$C,"D"))</f>
        <v/>
      </c>
      <c r="CG80" s="336" t="str">
        <f>IF($B80=0,"",SUMIFS(INPUT_DATA!AG:AG,INPUT_DATA!$A:$A,$B80,INPUT_DATA!$C:$C,"D"))</f>
        <v/>
      </c>
      <c r="CH80" s="336" t="str">
        <f>IF($B80=0,"",SUMIFS(INPUT_DATA!AH:AH,INPUT_DATA!$A:$A,$B80,INPUT_DATA!$C:$C,"D"))</f>
        <v/>
      </c>
      <c r="CI80" s="336"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153" t="str">
        <f>IF($B80=0,"",SUMIFS(INPUT_DATA!AR:AR,INPUT_DATA!$A:$A,$B80,INPUT_DATA!$C:$C,"D"))</f>
        <v/>
      </c>
      <c r="CS80" s="714" t="str">
        <f t="shared" si="14"/>
        <v/>
      </c>
      <c r="CT80" s="714" t="str">
        <f t="shared" si="15"/>
        <v/>
      </c>
      <c r="CU80" s="714" t="str">
        <f t="shared" si="16"/>
        <v/>
      </c>
      <c r="CV80" s="703" t="str">
        <f>IF($B80=0,"",SUMIFS(INPUT_DATA!AS:AS,INPUT_DATA!$A:$A,$B80,INPUT_DATA!$C:$C,"D"))</f>
        <v/>
      </c>
      <c r="CW80" s="703" t="str">
        <f>IF($B80=0,"",SUMIFS(INPUT_DATA!AT:AT,INPUT_DATA!$A:$A,$B80,INPUT_DATA!$C:$C,"D"))</f>
        <v/>
      </c>
      <c r="CX80" s="703" t="str">
        <f>IF($B80=0,"",SUMIFS(INPUT_DATA!AU:AU,INPUT_DATA!$A:$A,$B80,INPUT_DATA!$C:$C,"D"))</f>
        <v/>
      </c>
      <c r="CY80" s="703" t="str">
        <f t="shared" si="17"/>
        <v/>
      </c>
      <c r="CZ80" s="714" t="str">
        <f t="shared" si="18"/>
        <v/>
      </c>
      <c r="DA80" s="725" t="str">
        <f t="shared" si="19"/>
        <v/>
      </c>
      <c r="DB80" s="150"/>
    </row>
    <row r="81" spans="1:106">
      <c r="A81" s="172">
        <f t="shared" si="21"/>
        <v>-34</v>
      </c>
      <c r="B81" s="697">
        <f>INPUT_DATA!BR68</f>
        <v>0</v>
      </c>
      <c r="C81" s="702" t="str">
        <f>IF($B81=0,"",SUMIFS(INPUT_DATA!D:D,INPUT_DATA!$A:$A,$B81,INPUT_DATA!$C:$C,"S"))</f>
        <v/>
      </c>
      <c r="D81" s="703" t="str">
        <f>IF($B81=0,"",SUMIFS(INPUT_DATA!E:E,INPUT_DATA!$A:$A,$B81,INPUT_DATA!$C:$C,"S"))</f>
        <v/>
      </c>
      <c r="E81" s="703" t="str">
        <f>IF($B81=0,"",SUMIFS(INPUT_DATA!F:F,INPUT_DATA!$A:$A,$B81,INPUT_DATA!$C:$C,"S"))</f>
        <v/>
      </c>
      <c r="F81" s="704" t="str">
        <f>IF($B81=0,"",SUMIFS(INPUT_DATA!G:G,INPUT_DATA!$A:$A,$B81,INPUT_DATA!$C:$C,"S"))</f>
        <v/>
      </c>
      <c r="G81" s="704" t="str">
        <f>IF($B81=0,"",SUMIFS(INPUT_DATA!H:H,INPUT_DATA!$A:$A,$B81,INPUT_DATA!$C:$C,"S"))</f>
        <v/>
      </c>
      <c r="H81" s="704" t="str">
        <f>IF($B81=0,"",SUMIFS(INPUT_DATA!I:I,INPUT_DATA!$A:$A,$B81,INPUT_DATA!$C:$C,"S"))</f>
        <v/>
      </c>
      <c r="I81" s="704" t="str">
        <f>IF($B81=0,"",SUMIFS(INPUT_DATA!J:J,INPUT_DATA!$A:$A,$B81,INPUT_DATA!$C:$C,"S"))</f>
        <v/>
      </c>
      <c r="J81" s="704" t="str">
        <f>IF($B81=0,"",SUMIFS(INPUT_DATA!K:K,INPUT_DATA!$A:$A,$B81,INPUT_DATA!$C:$C,"S"))</f>
        <v/>
      </c>
      <c r="K81" s="704" t="str">
        <f>IF($B81=0,"",SUMIFS(INPUT_DATA!L:L,INPUT_DATA!$A:$A,$B81,INPUT_DATA!$C:$C,"S"))</f>
        <v/>
      </c>
      <c r="L81" s="704" t="str">
        <f>IF($B81=0,"",SUMIFS(INPUT_DATA!M:M,INPUT_DATA!$A:$A,$B81,INPUT_DATA!$C:$C,"S"))</f>
        <v/>
      </c>
      <c r="M81" s="704" t="str">
        <f>IF($B81=0,"",SUMIFS(INPUT_DATA!N:N,INPUT_DATA!$A:$A,$B81,INPUT_DATA!$C:$C,"S"))</f>
        <v/>
      </c>
      <c r="N81" s="704" t="str">
        <f>IF($B81=0,"",SUMIFS(INPUT_DATA!O:O,INPUT_DATA!$A:$A,$B81,INPUT_DATA!$C:$C,"S"))</f>
        <v/>
      </c>
      <c r="O81" s="704" t="str">
        <f>IF($B81=0,"",SUMIFS(INPUT_DATA!P:P,INPUT_DATA!$A:$A,$B81,INPUT_DATA!$C:$C,"S"))</f>
        <v/>
      </c>
      <c r="P81" s="705" t="str">
        <f t="shared" si="5"/>
        <v/>
      </c>
      <c r="Q81" s="706" t="str">
        <f>IF($B81=0,"",SUMIFS(INPUT_DATA!Q:Q,INPUT_DATA!$A:$A,$B81,INPUT_DATA!$C:$C,"S"))</f>
        <v/>
      </c>
      <c r="R81" s="706" t="str">
        <f t="shared" si="20"/>
        <v/>
      </c>
      <c r="S81" s="712" t="str">
        <f>IF($B81=0,"",SUMIFS(INPUT_DATA!R:R,INPUT_DATA!$A:$A,$B81,INPUT_DATA!$C:$C,"S"))</f>
        <v/>
      </c>
      <c r="T81" s="712" t="str">
        <f>IF($B81=0,"",SUMIFS(INPUT_DATA!S:S,INPUT_DATA!$A:$A,$B81,INPUT_DATA!$C:$C,"S"))</f>
        <v/>
      </c>
      <c r="U81" s="712"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297" t="str">
        <f>IF($B81=0,"",SUMIFS(INPUT_DATA!AR:AR,INPUT_DATA!$A:$A,$B81,INPUT_DATA!$C:$C,"S"))</f>
        <v/>
      </c>
      <c r="AT81" s="713" t="str">
        <f t="shared" si="11"/>
        <v/>
      </c>
      <c r="AU81" s="714" t="str">
        <f t="shared" si="12"/>
        <v/>
      </c>
      <c r="AV81" s="715" t="str">
        <f t="shared" si="13"/>
        <v/>
      </c>
      <c r="AW81" s="713" t="str">
        <f>IF($B81=0,"",SUMIFS(INPUT_DATA!AS:AS,INPUT_DATA!$A:$A,$B81,INPUT_DATA!$C:$C,"S"))</f>
        <v/>
      </c>
      <c r="AX81" s="714" t="str">
        <f>IF($B81=0,"",SUMIFS(INPUT_DATA!AT:AT,INPUT_DATA!$A:$A,$B81,INPUT_DATA!$C:$C,"S"))</f>
        <v/>
      </c>
      <c r="AY81" s="715" t="str">
        <f>IF($B81=0,"",SUMIFS(INPUT_DATA!AU:AU,INPUT_DATA!$A:$A,$B81,INPUT_DATA!$C:$C,"S"))</f>
        <v/>
      </c>
      <c r="AZ81" s="713" t="str">
        <f t="shared" si="6"/>
        <v/>
      </c>
      <c r="BA81" s="714" t="str">
        <f t="shared" si="7"/>
        <v/>
      </c>
      <c r="BB81" s="715" t="str">
        <f t="shared" si="8"/>
        <v/>
      </c>
      <c r="BC81" s="150"/>
      <c r="BD81" s="702" t="str">
        <f>IF($B81=0,"",SUMIFS(INPUT_DATA!D:D,INPUT_DATA!$A:$A,$B81,INPUT_DATA!$C:$C,"D"))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296" t="str">
        <f>IF($B81=0,"",SUMIFS(INPUT_DATA!P:P,INPUT_DATA!$A:$A,$B81,INPUT_DATA!$C:$C,"D"))</f>
        <v/>
      </c>
      <c r="BO81" s="718" t="str">
        <f t="shared" si="9"/>
        <v/>
      </c>
      <c r="BP81" s="990" t="str">
        <f>IF($B81=0,"",SUMIFS(INPUT_DATA!Q:Q,INPUT_DATA!$A:$A,$B81,INPUT_DATA!$C:$C,"D"))</f>
        <v/>
      </c>
      <c r="BQ81" s="718" t="str">
        <f t="shared" si="10"/>
        <v/>
      </c>
      <c r="BR81" s="702" t="str">
        <f>IF($B81=0,"",SUMIFS(INPUT_DATA!R:R,INPUT_DATA!$A:$A,$B81,INPUT_DATA!$C:$C,"D"))</f>
        <v/>
      </c>
      <c r="BS81" s="724" t="str">
        <f>IF($B81=0,"",SUMIFS(INPUT_DATA!S:S,INPUT_DATA!$A:$A,$B81,INPUT_DATA!$C:$C,"D"))</f>
        <v/>
      </c>
      <c r="BT81" s="724"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296" t="str">
        <f>IF($B81=0,"",SUMIFS(INPUT_DATA!Z:Z,INPUT_DATA!$A:$A,$B81,INPUT_DATA!$C:$C,"D"))</f>
        <v/>
      </c>
      <c r="CA81" s="336" t="str">
        <f>IF($B81=0,"",SUMIFS(INPUT_DATA!AA:AA,INPUT_DATA!$A:$A,$B81,INPUT_DATA!$C:$C,"D"))</f>
        <v/>
      </c>
      <c r="CB81" s="336" t="str">
        <f>IF($B81=0,"",SUMIFS(INPUT_DATA!AB:AB,INPUT_DATA!$A:$A,$B81,INPUT_DATA!$C:$C,"D"))</f>
        <v/>
      </c>
      <c r="CC81" s="336" t="str">
        <f>IF($B81=0,"",SUMIFS(INPUT_DATA!AC:AC,INPUT_DATA!$A:$A,$B81,INPUT_DATA!$C:$C,"D"))</f>
        <v/>
      </c>
      <c r="CD81" s="296" t="str">
        <f>IF($B81=0,"",SUMIFS(INPUT_DATA!AD:AD,INPUT_DATA!$A:$A,$B81,INPUT_DATA!$C:$C,"D"))</f>
        <v/>
      </c>
      <c r="CE81" s="296" t="str">
        <f>IF($B81=0,"",SUMIFS(INPUT_DATA!AE:AE,INPUT_DATA!$A:$A,$B81,INPUT_DATA!$C:$C,"D"))</f>
        <v/>
      </c>
      <c r="CF81" s="296" t="str">
        <f>IF($B81=0,"",SUMIFS(INPUT_DATA!AF:AF,INPUT_DATA!$A:$A,$B81,INPUT_DATA!$C:$C,"D"))</f>
        <v/>
      </c>
      <c r="CG81" s="336" t="str">
        <f>IF($B81=0,"",SUMIFS(INPUT_DATA!AG:AG,INPUT_DATA!$A:$A,$B81,INPUT_DATA!$C:$C,"D"))</f>
        <v/>
      </c>
      <c r="CH81" s="336" t="str">
        <f>IF($B81=0,"",SUMIFS(INPUT_DATA!AH:AH,INPUT_DATA!$A:$A,$B81,INPUT_DATA!$C:$C,"D"))</f>
        <v/>
      </c>
      <c r="CI81" s="336"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153" t="str">
        <f>IF($B81=0,"",SUMIFS(INPUT_DATA!AR:AR,INPUT_DATA!$A:$A,$B81,INPUT_DATA!$C:$C,"D"))</f>
        <v/>
      </c>
      <c r="CS81" s="714" t="str">
        <f t="shared" si="14"/>
        <v/>
      </c>
      <c r="CT81" s="714" t="str">
        <f t="shared" si="15"/>
        <v/>
      </c>
      <c r="CU81" s="714" t="str">
        <f t="shared" si="16"/>
        <v/>
      </c>
      <c r="CV81" s="703" t="str">
        <f>IF($B81=0,"",SUMIFS(INPUT_DATA!AS:AS,INPUT_DATA!$A:$A,$B81,INPUT_DATA!$C:$C,"D"))</f>
        <v/>
      </c>
      <c r="CW81" s="703" t="str">
        <f>IF($B81=0,"",SUMIFS(INPUT_DATA!AT:AT,INPUT_DATA!$A:$A,$B81,INPUT_DATA!$C:$C,"D"))</f>
        <v/>
      </c>
      <c r="CX81" s="703" t="str">
        <f>IF($B81=0,"",SUMIFS(INPUT_DATA!AU:AU,INPUT_DATA!$A:$A,$B81,INPUT_DATA!$C:$C,"D"))</f>
        <v/>
      </c>
      <c r="CY81" s="703" t="str">
        <f t="shared" si="17"/>
        <v/>
      </c>
      <c r="CZ81" s="714" t="str">
        <f t="shared" si="18"/>
        <v/>
      </c>
      <c r="DA81" s="725" t="str">
        <f t="shared" si="19"/>
        <v/>
      </c>
      <c r="DB81" s="150"/>
    </row>
    <row r="82" spans="1:106">
      <c r="A82" s="172">
        <f t="shared" si="21"/>
        <v>-35</v>
      </c>
      <c r="B82" s="697">
        <f>INPUT_DATA!BR69</f>
        <v>0</v>
      </c>
      <c r="C82" s="702" t="str">
        <f>IF($B82=0,"",SUMIFS(INPUT_DATA!D:D,INPUT_DATA!$A:$A,$B82,INPUT_DATA!$C:$C,"S"))</f>
        <v/>
      </c>
      <c r="D82" s="703" t="str">
        <f>IF($B82=0,"",SUMIFS(INPUT_DATA!E:E,INPUT_DATA!$A:$A,$B82,INPUT_DATA!$C:$C,"S"))</f>
        <v/>
      </c>
      <c r="E82" s="703" t="str">
        <f>IF($B82=0,"",SUMIFS(INPUT_DATA!F:F,INPUT_DATA!$A:$A,$B82,INPUT_DATA!$C:$C,"S"))</f>
        <v/>
      </c>
      <c r="F82" s="704" t="str">
        <f>IF($B82=0,"",SUMIFS(INPUT_DATA!G:G,INPUT_DATA!$A:$A,$B82,INPUT_DATA!$C:$C,"S"))</f>
        <v/>
      </c>
      <c r="G82" s="704" t="str">
        <f>IF($B82=0,"",SUMIFS(INPUT_DATA!H:H,INPUT_DATA!$A:$A,$B82,INPUT_DATA!$C:$C,"S"))</f>
        <v/>
      </c>
      <c r="H82" s="704" t="str">
        <f>IF($B82=0,"",SUMIFS(INPUT_DATA!I:I,INPUT_DATA!$A:$A,$B82,INPUT_DATA!$C:$C,"S"))</f>
        <v/>
      </c>
      <c r="I82" s="704" t="str">
        <f>IF($B82=0,"",SUMIFS(INPUT_DATA!J:J,INPUT_DATA!$A:$A,$B82,INPUT_DATA!$C:$C,"S"))</f>
        <v/>
      </c>
      <c r="J82" s="704" t="str">
        <f>IF($B82=0,"",SUMIFS(INPUT_DATA!K:K,INPUT_DATA!$A:$A,$B82,INPUT_DATA!$C:$C,"S"))</f>
        <v/>
      </c>
      <c r="K82" s="704" t="str">
        <f>IF($B82=0,"",SUMIFS(INPUT_DATA!L:L,INPUT_DATA!$A:$A,$B82,INPUT_DATA!$C:$C,"S"))</f>
        <v/>
      </c>
      <c r="L82" s="704" t="str">
        <f>IF($B82=0,"",SUMIFS(INPUT_DATA!M:M,INPUT_DATA!$A:$A,$B82,INPUT_DATA!$C:$C,"S"))</f>
        <v/>
      </c>
      <c r="M82" s="704" t="str">
        <f>IF($B82=0,"",SUMIFS(INPUT_DATA!N:N,INPUT_DATA!$A:$A,$B82,INPUT_DATA!$C:$C,"S"))</f>
        <v/>
      </c>
      <c r="N82" s="704" t="str">
        <f>IF($B82=0,"",SUMIFS(INPUT_DATA!O:O,INPUT_DATA!$A:$A,$B82,INPUT_DATA!$C:$C,"S"))</f>
        <v/>
      </c>
      <c r="O82" s="704" t="str">
        <f>IF($B82=0,"",SUMIFS(INPUT_DATA!P:P,INPUT_DATA!$A:$A,$B82,INPUT_DATA!$C:$C,"S"))</f>
        <v/>
      </c>
      <c r="P82" s="705" t="str">
        <f t="shared" ref="P82:P87" si="22">IF($B82=0,"",C82+D82+E82-F82-G82+H82+I82+J82-K82-L82+M82-N82-O82)</f>
        <v/>
      </c>
      <c r="Q82" s="706" t="str">
        <f>IF($B82=0,"",SUMIFS(INPUT_DATA!Q:Q,INPUT_DATA!$A:$A,$B82,INPUT_DATA!$C:$C,"S"))</f>
        <v/>
      </c>
      <c r="R82" s="706" t="str">
        <f t="shared" si="20"/>
        <v/>
      </c>
      <c r="S82" s="712" t="str">
        <f>IF($B82=0,"",SUMIFS(INPUT_DATA!R:R,INPUT_DATA!$A:$A,$B82,INPUT_DATA!$C:$C,"S"))</f>
        <v/>
      </c>
      <c r="T82" s="712" t="str">
        <f>IF($B82=0,"",SUMIFS(INPUT_DATA!S:S,INPUT_DATA!$A:$A,$B82,INPUT_DATA!$C:$C,"S"))</f>
        <v/>
      </c>
      <c r="U82" s="712"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297" t="str">
        <f>IF($B82=0,"",SUMIFS(INPUT_DATA!AR:AR,INPUT_DATA!$A:$A,$B82,INPUT_DATA!$C:$C,"S"))</f>
        <v/>
      </c>
      <c r="AT82" s="713" t="str">
        <f t="shared" si="11"/>
        <v/>
      </c>
      <c r="AU82" s="714" t="str">
        <f t="shared" si="12"/>
        <v/>
      </c>
      <c r="AV82" s="715" t="str">
        <f t="shared" si="13"/>
        <v/>
      </c>
      <c r="AW82" s="713" t="str">
        <f>IF($B82=0,"",SUMIFS(INPUT_DATA!AS:AS,INPUT_DATA!$A:$A,$B82,INPUT_DATA!$C:$C,"S"))</f>
        <v/>
      </c>
      <c r="AX82" s="714" t="str">
        <f>IF($B82=0,"",SUMIFS(INPUT_DATA!AT:AT,INPUT_DATA!$A:$A,$B82,INPUT_DATA!$C:$C,"S"))</f>
        <v/>
      </c>
      <c r="AY82" s="715" t="str">
        <f>IF($B82=0,"",SUMIFS(INPUT_DATA!AU:AU,INPUT_DATA!$A:$A,$B82,INPUT_DATA!$C:$C,"S"))</f>
        <v/>
      </c>
      <c r="AZ82" s="713" t="str">
        <f t="shared" si="6"/>
        <v/>
      </c>
      <c r="BA82" s="714" t="str">
        <f t="shared" si="7"/>
        <v/>
      </c>
      <c r="BB82" s="715" t="str">
        <f t="shared" si="8"/>
        <v/>
      </c>
      <c r="BC82" s="150"/>
      <c r="BD82" s="702" t="str">
        <f>IF($B82=0,"",SUMIFS(INPUT_DATA!D:D,INPUT_DATA!$A:$A,$B82,INPUT_DATA!$C:$C,"D"))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296" t="str">
        <f>IF($B82=0,"",SUMIFS(INPUT_DATA!P:P,INPUT_DATA!$A:$A,$B82,INPUT_DATA!$C:$C,"D"))</f>
        <v/>
      </c>
      <c r="BO82" s="718" t="str">
        <f t="shared" si="9"/>
        <v/>
      </c>
      <c r="BP82" s="990" t="str">
        <f>IF($B82=0,"",SUMIFS(INPUT_DATA!Q:Q,INPUT_DATA!$A:$A,$B82,INPUT_DATA!$C:$C,"D"))</f>
        <v/>
      </c>
      <c r="BQ82" s="718" t="str">
        <f t="shared" si="10"/>
        <v/>
      </c>
      <c r="BR82" s="702" t="str">
        <f>IF($B82=0,"",SUMIFS(INPUT_DATA!R:R,INPUT_DATA!$A:$A,$B82,INPUT_DATA!$C:$C,"D"))</f>
        <v/>
      </c>
      <c r="BS82" s="724" t="str">
        <f>IF($B82=0,"",SUMIFS(INPUT_DATA!S:S,INPUT_DATA!$A:$A,$B82,INPUT_DATA!$C:$C,"D"))</f>
        <v/>
      </c>
      <c r="BT82" s="724"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296" t="str">
        <f>IF($B82=0,"",SUMIFS(INPUT_DATA!Z:Z,INPUT_DATA!$A:$A,$B82,INPUT_DATA!$C:$C,"D"))</f>
        <v/>
      </c>
      <c r="CA82" s="336" t="str">
        <f>IF($B82=0,"",SUMIFS(INPUT_DATA!AA:AA,INPUT_DATA!$A:$A,$B82,INPUT_DATA!$C:$C,"D"))</f>
        <v/>
      </c>
      <c r="CB82" s="336" t="str">
        <f>IF($B82=0,"",SUMIFS(INPUT_DATA!AB:AB,INPUT_DATA!$A:$A,$B82,INPUT_DATA!$C:$C,"D"))</f>
        <v/>
      </c>
      <c r="CC82" s="336" t="str">
        <f>IF($B82=0,"",SUMIFS(INPUT_DATA!AC:AC,INPUT_DATA!$A:$A,$B82,INPUT_DATA!$C:$C,"D"))</f>
        <v/>
      </c>
      <c r="CD82" s="296" t="str">
        <f>IF($B82=0,"",SUMIFS(INPUT_DATA!AD:AD,INPUT_DATA!$A:$A,$B82,INPUT_DATA!$C:$C,"D"))</f>
        <v/>
      </c>
      <c r="CE82" s="296" t="str">
        <f>IF($B82=0,"",SUMIFS(INPUT_DATA!AE:AE,INPUT_DATA!$A:$A,$B82,INPUT_DATA!$C:$C,"D"))</f>
        <v/>
      </c>
      <c r="CF82" s="296" t="str">
        <f>IF($B82=0,"",SUMIFS(INPUT_DATA!AF:AF,INPUT_DATA!$A:$A,$B82,INPUT_DATA!$C:$C,"D"))</f>
        <v/>
      </c>
      <c r="CG82" s="336" t="str">
        <f>IF($B82=0,"",SUMIFS(INPUT_DATA!AG:AG,INPUT_DATA!$A:$A,$B82,INPUT_DATA!$C:$C,"D"))</f>
        <v/>
      </c>
      <c r="CH82" s="336" t="str">
        <f>IF($B82=0,"",SUMIFS(INPUT_DATA!AH:AH,INPUT_DATA!$A:$A,$B82,INPUT_DATA!$C:$C,"D"))</f>
        <v/>
      </c>
      <c r="CI82" s="336"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153" t="str">
        <f>IF($B82=0,"",SUMIFS(INPUT_DATA!AR:AR,INPUT_DATA!$A:$A,$B82,INPUT_DATA!$C:$C,"D"))</f>
        <v/>
      </c>
      <c r="CS82" s="714" t="str">
        <f t="shared" si="14"/>
        <v/>
      </c>
      <c r="CT82" s="714" t="str">
        <f t="shared" si="15"/>
        <v/>
      </c>
      <c r="CU82" s="714" t="str">
        <f t="shared" si="16"/>
        <v/>
      </c>
      <c r="CV82" s="703" t="str">
        <f>IF($B82=0,"",SUMIFS(INPUT_DATA!AS:AS,INPUT_DATA!$A:$A,$B82,INPUT_DATA!$C:$C,"D"))</f>
        <v/>
      </c>
      <c r="CW82" s="703" t="str">
        <f>IF($B82=0,"",SUMIFS(INPUT_DATA!AT:AT,INPUT_DATA!$A:$A,$B82,INPUT_DATA!$C:$C,"D"))</f>
        <v/>
      </c>
      <c r="CX82" s="703" t="str">
        <f>IF($B82=0,"",SUMIFS(INPUT_DATA!AU:AU,INPUT_DATA!$A:$A,$B82,INPUT_DATA!$C:$C,"D"))</f>
        <v/>
      </c>
      <c r="CY82" s="703" t="str">
        <f t="shared" si="17"/>
        <v/>
      </c>
      <c r="CZ82" s="714" t="str">
        <f t="shared" si="18"/>
        <v/>
      </c>
      <c r="DA82" s="725" t="str">
        <f t="shared" si="19"/>
        <v/>
      </c>
      <c r="DB82" s="150"/>
    </row>
    <row r="83" spans="1:106">
      <c r="A83" s="172">
        <f t="shared" si="21"/>
        <v>-36</v>
      </c>
      <c r="B83" s="697">
        <f>INPUT_DATA!BR70</f>
        <v>0</v>
      </c>
      <c r="C83" s="702" t="str">
        <f>IF($B83=0,"",SUMIFS(INPUT_DATA!D:D,INPUT_DATA!$A:$A,$B83,INPUT_DATA!$C:$C,"S"))</f>
        <v/>
      </c>
      <c r="D83" s="703" t="str">
        <f>IF($B83=0,"",SUMIFS(INPUT_DATA!E:E,INPUT_DATA!$A:$A,$B83,INPUT_DATA!$C:$C,"S"))</f>
        <v/>
      </c>
      <c r="E83" s="703" t="str">
        <f>IF($B83=0,"",SUMIFS(INPUT_DATA!F:F,INPUT_DATA!$A:$A,$B83,INPUT_DATA!$C:$C,"S"))</f>
        <v/>
      </c>
      <c r="F83" s="704" t="str">
        <f>IF($B83=0,"",SUMIFS(INPUT_DATA!G:G,INPUT_DATA!$A:$A,$B83,INPUT_DATA!$C:$C,"S"))</f>
        <v/>
      </c>
      <c r="G83" s="704" t="str">
        <f>IF($B83=0,"",SUMIFS(INPUT_DATA!H:H,INPUT_DATA!$A:$A,$B83,INPUT_DATA!$C:$C,"S"))</f>
        <v/>
      </c>
      <c r="H83" s="704" t="str">
        <f>IF($B83=0,"",SUMIFS(INPUT_DATA!I:I,INPUT_DATA!$A:$A,$B83,INPUT_DATA!$C:$C,"S"))</f>
        <v/>
      </c>
      <c r="I83" s="704" t="str">
        <f>IF($B83=0,"",SUMIFS(INPUT_DATA!J:J,INPUT_DATA!$A:$A,$B83,INPUT_DATA!$C:$C,"S"))</f>
        <v/>
      </c>
      <c r="J83" s="704" t="str">
        <f>IF($B83=0,"",SUMIFS(INPUT_DATA!K:K,INPUT_DATA!$A:$A,$B83,INPUT_DATA!$C:$C,"S"))</f>
        <v/>
      </c>
      <c r="K83" s="704" t="str">
        <f>IF($B83=0,"",SUMIFS(INPUT_DATA!L:L,INPUT_DATA!$A:$A,$B83,INPUT_DATA!$C:$C,"S"))</f>
        <v/>
      </c>
      <c r="L83" s="704" t="str">
        <f>IF($B83=0,"",SUMIFS(INPUT_DATA!M:M,INPUT_DATA!$A:$A,$B83,INPUT_DATA!$C:$C,"S"))</f>
        <v/>
      </c>
      <c r="M83" s="704" t="str">
        <f>IF($B83=0,"",SUMIFS(INPUT_DATA!N:N,INPUT_DATA!$A:$A,$B83,INPUT_DATA!$C:$C,"S"))</f>
        <v/>
      </c>
      <c r="N83" s="704" t="str">
        <f>IF($B83=0,"",SUMIFS(INPUT_DATA!O:O,INPUT_DATA!$A:$A,$B83,INPUT_DATA!$C:$C,"S"))</f>
        <v/>
      </c>
      <c r="O83" s="704" t="str">
        <f>IF($B83=0,"",SUMIFS(INPUT_DATA!P:P,INPUT_DATA!$A:$A,$B83,INPUT_DATA!$C:$C,"S"))</f>
        <v/>
      </c>
      <c r="P83" s="705" t="str">
        <f t="shared" si="22"/>
        <v/>
      </c>
      <c r="Q83" s="706" t="str">
        <f>IF($B83=0,"",SUMIFS(INPUT_DATA!Q:Q,INPUT_DATA!$A:$A,$B83,INPUT_DATA!$C:$C,"S"))</f>
        <v/>
      </c>
      <c r="R83" s="706" t="str">
        <f t="shared" si="20"/>
        <v/>
      </c>
      <c r="S83" s="712" t="str">
        <f>IF($B83=0,"",SUMIFS(INPUT_DATA!R:R,INPUT_DATA!$A:$A,$B83,INPUT_DATA!$C:$C,"S"))</f>
        <v/>
      </c>
      <c r="T83" s="712" t="str">
        <f>IF($B83=0,"",SUMIFS(INPUT_DATA!S:S,INPUT_DATA!$A:$A,$B83,INPUT_DATA!$C:$C,"S"))</f>
        <v/>
      </c>
      <c r="U83" s="712"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297" t="str">
        <f>IF($B83=0,"",SUMIFS(INPUT_DATA!AR:AR,INPUT_DATA!$A:$A,$B83,INPUT_DATA!$C:$C,"S"))</f>
        <v/>
      </c>
      <c r="AT83" s="713" t="str">
        <f t="shared" si="11"/>
        <v/>
      </c>
      <c r="AU83" s="714" t="str">
        <f t="shared" si="12"/>
        <v/>
      </c>
      <c r="AV83" s="715" t="str">
        <f t="shared" si="13"/>
        <v/>
      </c>
      <c r="AW83" s="713" t="str">
        <f>IF($B83=0,"",SUMIFS(INPUT_DATA!AS:AS,INPUT_DATA!$A:$A,$B83,INPUT_DATA!$C:$C,"S"))</f>
        <v/>
      </c>
      <c r="AX83" s="714" t="str">
        <f>IF($B83=0,"",SUMIFS(INPUT_DATA!AT:AT,INPUT_DATA!$A:$A,$B83,INPUT_DATA!$C:$C,"S"))</f>
        <v/>
      </c>
      <c r="AY83" s="715" t="str">
        <f>IF($B83=0,"",SUMIFS(INPUT_DATA!AU:AU,INPUT_DATA!$A:$A,$B83,INPUT_DATA!$C:$C,"S"))</f>
        <v/>
      </c>
      <c r="AZ83" s="713" t="str">
        <f t="shared" ref="AZ83:BB87" si="23">IF($B83=0,"",AT83-AW83)</f>
        <v/>
      </c>
      <c r="BA83" s="714" t="str">
        <f t="shared" si="23"/>
        <v/>
      </c>
      <c r="BB83" s="715" t="str">
        <f t="shared" si="23"/>
        <v/>
      </c>
      <c r="BC83" s="150"/>
      <c r="BD83" s="702" t="str">
        <f>IF($B83=0,"",SUMIFS(INPUT_DATA!D:D,INPUT_DATA!$A:$A,$B83,INPUT_DATA!$C:$C,"D"))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296" t="str">
        <f>IF($B83=0,"",SUMIFS(INPUT_DATA!P:P,INPUT_DATA!$A:$A,$B83,INPUT_DATA!$C:$C,"D"))</f>
        <v/>
      </c>
      <c r="BO83" s="718" t="str">
        <f>IF($B83=0,"",BD83-BE83-BF83+BG83+BH83+BI83-BJ83+BK83-BL83-BM83-BN83)</f>
        <v/>
      </c>
      <c r="BP83" s="990" t="str">
        <f>IF($B83=0,"",SUMIFS(INPUT_DATA!Q:Q,INPUT_DATA!$A:$A,$B83,INPUT_DATA!$C:$C,"D"))</f>
        <v/>
      </c>
      <c r="BQ83" s="718" t="str">
        <f>IF($B83=0,"",BO83-BP83)</f>
        <v/>
      </c>
      <c r="BR83" s="702" t="str">
        <f>IF($B83=0,"",SUMIFS(INPUT_DATA!R:R,INPUT_DATA!$A:$A,$B83,INPUT_DATA!$C:$C,"D"))</f>
        <v/>
      </c>
      <c r="BS83" s="724" t="str">
        <f>IF($B83=0,"",SUMIFS(INPUT_DATA!S:S,INPUT_DATA!$A:$A,$B83,INPUT_DATA!$C:$C,"D"))</f>
        <v/>
      </c>
      <c r="BT83" s="724"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296" t="str">
        <f>IF($B83=0,"",SUMIFS(INPUT_DATA!Z:Z,INPUT_DATA!$A:$A,$B83,INPUT_DATA!$C:$C,"D"))</f>
        <v/>
      </c>
      <c r="CA83" s="336" t="str">
        <f>IF($B83=0,"",SUMIFS(INPUT_DATA!AA:AA,INPUT_DATA!$A:$A,$B83,INPUT_DATA!$C:$C,"D"))</f>
        <v/>
      </c>
      <c r="CB83" s="336" t="str">
        <f>IF($B83=0,"",SUMIFS(INPUT_DATA!AB:AB,INPUT_DATA!$A:$A,$B83,INPUT_DATA!$C:$C,"D"))</f>
        <v/>
      </c>
      <c r="CC83" s="336" t="str">
        <f>IF($B83=0,"",SUMIFS(INPUT_DATA!AC:AC,INPUT_DATA!$A:$A,$B83,INPUT_DATA!$C:$C,"D"))</f>
        <v/>
      </c>
      <c r="CD83" s="296" t="str">
        <f>IF($B83=0,"",SUMIFS(INPUT_DATA!AD:AD,INPUT_DATA!$A:$A,$B83,INPUT_DATA!$C:$C,"D"))</f>
        <v/>
      </c>
      <c r="CE83" s="296" t="str">
        <f>IF($B83=0,"",SUMIFS(INPUT_DATA!AE:AE,INPUT_DATA!$A:$A,$B83,INPUT_DATA!$C:$C,"D"))</f>
        <v/>
      </c>
      <c r="CF83" s="296" t="str">
        <f>IF($B83=0,"",SUMIFS(INPUT_DATA!AF:AF,INPUT_DATA!$A:$A,$B83,INPUT_DATA!$C:$C,"D"))</f>
        <v/>
      </c>
      <c r="CG83" s="336" t="str">
        <f>IF($B83=0,"",SUMIFS(INPUT_DATA!AG:AG,INPUT_DATA!$A:$A,$B83,INPUT_DATA!$C:$C,"D"))</f>
        <v/>
      </c>
      <c r="CH83" s="336" t="str">
        <f>IF($B83=0,"",SUMIFS(INPUT_DATA!AH:AH,INPUT_DATA!$A:$A,$B83,INPUT_DATA!$C:$C,"D"))</f>
        <v/>
      </c>
      <c r="CI83" s="336"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153" t="str">
        <f>IF($B83=0,"",SUMIFS(INPUT_DATA!AR:AR,INPUT_DATA!$A:$A,$B83,INPUT_DATA!$C:$C,"D"))</f>
        <v/>
      </c>
      <c r="CS83" s="714" t="str">
        <f t="shared" si="14"/>
        <v/>
      </c>
      <c r="CT83" s="714" t="str">
        <f t="shared" si="15"/>
        <v/>
      </c>
      <c r="CU83" s="714" t="str">
        <f t="shared" si="16"/>
        <v/>
      </c>
      <c r="CV83" s="703" t="str">
        <f>IF($B83=0,"",SUMIFS(INPUT_DATA!AS:AS,INPUT_DATA!$A:$A,$B83,INPUT_DATA!$C:$C,"D"))</f>
        <v/>
      </c>
      <c r="CW83" s="703" t="str">
        <f>IF($B83=0,"",SUMIFS(INPUT_DATA!AT:AT,INPUT_DATA!$A:$A,$B83,INPUT_DATA!$C:$C,"D"))</f>
        <v/>
      </c>
      <c r="CX83" s="703" t="str">
        <f>IF($B83=0,"",SUMIFS(INPUT_DATA!AU:AU,INPUT_DATA!$A:$A,$B83,INPUT_DATA!$C:$C,"D"))</f>
        <v/>
      </c>
      <c r="CY83" s="703" t="str">
        <f t="shared" si="17"/>
        <v/>
      </c>
      <c r="CZ83" s="714" t="str">
        <f t="shared" si="18"/>
        <v/>
      </c>
      <c r="DA83" s="725" t="str">
        <f t="shared" si="19"/>
        <v/>
      </c>
      <c r="DB83" s="150"/>
    </row>
    <row r="84" spans="1:106">
      <c r="A84" s="172">
        <f t="shared" si="21"/>
        <v>-37</v>
      </c>
      <c r="B84" s="697">
        <f>INPUT_DATA!BR71</f>
        <v>0</v>
      </c>
      <c r="C84" s="702" t="str">
        <f>IF($B84=0,"",SUMIFS(INPUT_DATA!D:D,INPUT_DATA!$A:$A,$B84,INPUT_DATA!$C:$C,"S"))</f>
        <v/>
      </c>
      <c r="D84" s="703" t="str">
        <f>IF($B84=0,"",SUMIFS(INPUT_DATA!E:E,INPUT_DATA!$A:$A,$B84,INPUT_DATA!$C:$C,"S"))</f>
        <v/>
      </c>
      <c r="E84" s="703" t="str">
        <f>IF($B84=0,"",SUMIFS(INPUT_DATA!F:F,INPUT_DATA!$A:$A,$B84,INPUT_DATA!$C:$C,"S"))</f>
        <v/>
      </c>
      <c r="F84" s="704" t="str">
        <f>IF($B84=0,"",SUMIFS(INPUT_DATA!G:G,INPUT_DATA!$A:$A,$B84,INPUT_DATA!$C:$C,"S"))</f>
        <v/>
      </c>
      <c r="G84" s="704" t="str">
        <f>IF($B84=0,"",SUMIFS(INPUT_DATA!H:H,INPUT_DATA!$A:$A,$B84,INPUT_DATA!$C:$C,"S"))</f>
        <v/>
      </c>
      <c r="H84" s="704" t="str">
        <f>IF($B84=0,"",SUMIFS(INPUT_DATA!I:I,INPUT_DATA!$A:$A,$B84,INPUT_DATA!$C:$C,"S"))</f>
        <v/>
      </c>
      <c r="I84" s="704" t="str">
        <f>IF($B84=0,"",SUMIFS(INPUT_DATA!J:J,INPUT_DATA!$A:$A,$B84,INPUT_DATA!$C:$C,"S"))</f>
        <v/>
      </c>
      <c r="J84" s="704" t="str">
        <f>IF($B84=0,"",SUMIFS(INPUT_DATA!K:K,INPUT_DATA!$A:$A,$B84,INPUT_DATA!$C:$C,"S"))</f>
        <v/>
      </c>
      <c r="K84" s="704" t="str">
        <f>IF($B84=0,"",SUMIFS(INPUT_DATA!L:L,INPUT_DATA!$A:$A,$B84,INPUT_DATA!$C:$C,"S"))</f>
        <v/>
      </c>
      <c r="L84" s="704" t="str">
        <f>IF($B84=0,"",SUMIFS(INPUT_DATA!M:M,INPUT_DATA!$A:$A,$B84,INPUT_DATA!$C:$C,"S"))</f>
        <v/>
      </c>
      <c r="M84" s="704" t="str">
        <f>IF($B84=0,"",SUMIFS(INPUT_DATA!N:N,INPUT_DATA!$A:$A,$B84,INPUT_DATA!$C:$C,"S"))</f>
        <v/>
      </c>
      <c r="N84" s="704" t="str">
        <f>IF($B84=0,"",SUMIFS(INPUT_DATA!O:O,INPUT_DATA!$A:$A,$B84,INPUT_DATA!$C:$C,"S"))</f>
        <v/>
      </c>
      <c r="O84" s="704" t="str">
        <f>IF($B84=0,"",SUMIFS(INPUT_DATA!P:P,INPUT_DATA!$A:$A,$B84,INPUT_DATA!$C:$C,"S"))</f>
        <v/>
      </c>
      <c r="P84" s="705" t="str">
        <f t="shared" si="22"/>
        <v/>
      </c>
      <c r="Q84" s="706" t="str">
        <f>IF($B84=0,"",SUMIFS(INPUT_DATA!Q:Q,INPUT_DATA!$A:$A,$B84,INPUT_DATA!$C:$C,"S"))</f>
        <v/>
      </c>
      <c r="R84" s="706" t="str">
        <f t="shared" si="20"/>
        <v/>
      </c>
      <c r="S84" s="712" t="str">
        <f>IF($B84=0,"",SUMIFS(INPUT_DATA!R:R,INPUT_DATA!$A:$A,$B84,INPUT_DATA!$C:$C,"S"))</f>
        <v/>
      </c>
      <c r="T84" s="712" t="str">
        <f>IF($B84=0,"",SUMIFS(INPUT_DATA!S:S,INPUT_DATA!$A:$A,$B84,INPUT_DATA!$C:$C,"S"))</f>
        <v/>
      </c>
      <c r="U84" s="712"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297" t="str">
        <f>IF($B84=0,"",SUMIFS(INPUT_DATA!AR:AR,INPUT_DATA!$A:$A,$B84,INPUT_DATA!$C:$C,"S"))</f>
        <v/>
      </c>
      <c r="AT84" s="713" t="str">
        <f t="shared" si="11"/>
        <v/>
      </c>
      <c r="AU84" s="714" t="str">
        <f t="shared" si="12"/>
        <v/>
      </c>
      <c r="AV84" s="715" t="str">
        <f t="shared" si="13"/>
        <v/>
      </c>
      <c r="AW84" s="713" t="str">
        <f>IF($B84=0,"",SUMIFS(INPUT_DATA!AS:AS,INPUT_DATA!$A:$A,$B84,INPUT_DATA!$C:$C,"S"))</f>
        <v/>
      </c>
      <c r="AX84" s="714" t="str">
        <f>IF($B84=0,"",SUMIFS(INPUT_DATA!AT:AT,INPUT_DATA!$A:$A,$B84,INPUT_DATA!$C:$C,"S"))</f>
        <v/>
      </c>
      <c r="AY84" s="715" t="str">
        <f>IF($B84=0,"",SUMIFS(INPUT_DATA!AU:AU,INPUT_DATA!$A:$A,$B84,INPUT_DATA!$C:$C,"S"))</f>
        <v/>
      </c>
      <c r="AZ84" s="713" t="str">
        <f t="shared" si="23"/>
        <v/>
      </c>
      <c r="BA84" s="714" t="str">
        <f t="shared" si="23"/>
        <v/>
      </c>
      <c r="BB84" s="715" t="str">
        <f t="shared" si="23"/>
        <v/>
      </c>
      <c r="BC84" s="150"/>
      <c r="BD84" s="702" t="str">
        <f>IF($B84=0,"",SUMIFS(INPUT_DATA!D:D,INPUT_DATA!$A:$A,$B84,INPUT_DATA!$C:$C,"D"))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296" t="str">
        <f>IF($B84=0,"",SUMIFS(INPUT_DATA!P:P,INPUT_DATA!$A:$A,$B84,INPUT_DATA!$C:$C,"D"))</f>
        <v/>
      </c>
      <c r="BO84" s="718" t="str">
        <f>IF($B84=0,"",BD84-BE84-BF84+BG84+BH84+BI84-BJ84+BK84-BL84-BM84-BN84)</f>
        <v/>
      </c>
      <c r="BP84" s="990" t="str">
        <f>IF($B84=0,"",SUMIFS(INPUT_DATA!Q:Q,INPUT_DATA!$A:$A,$B84,INPUT_DATA!$C:$C,"D"))</f>
        <v/>
      </c>
      <c r="BQ84" s="718" t="str">
        <f>IF($B84=0,"",BO84-BP84)</f>
        <v/>
      </c>
      <c r="BR84" s="702" t="str">
        <f>IF($B84=0,"",SUMIFS(INPUT_DATA!R:R,INPUT_DATA!$A:$A,$B84,INPUT_DATA!$C:$C,"D"))</f>
        <v/>
      </c>
      <c r="BS84" s="724" t="str">
        <f>IF($B84=0,"",SUMIFS(INPUT_DATA!S:S,INPUT_DATA!$A:$A,$B84,INPUT_DATA!$C:$C,"D"))</f>
        <v/>
      </c>
      <c r="BT84" s="724"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296" t="str">
        <f>IF($B84=0,"",SUMIFS(INPUT_DATA!Z:Z,INPUT_DATA!$A:$A,$B84,INPUT_DATA!$C:$C,"D"))</f>
        <v/>
      </c>
      <c r="CA84" s="336" t="str">
        <f>IF($B84=0,"",SUMIFS(INPUT_DATA!AA:AA,INPUT_DATA!$A:$A,$B84,INPUT_DATA!$C:$C,"D"))</f>
        <v/>
      </c>
      <c r="CB84" s="336" t="str">
        <f>IF($B84=0,"",SUMIFS(INPUT_DATA!AB:AB,INPUT_DATA!$A:$A,$B84,INPUT_DATA!$C:$C,"D"))</f>
        <v/>
      </c>
      <c r="CC84" s="336" t="str">
        <f>IF($B84=0,"",SUMIFS(INPUT_DATA!AC:AC,INPUT_DATA!$A:$A,$B84,INPUT_DATA!$C:$C,"D"))</f>
        <v/>
      </c>
      <c r="CD84" s="296" t="str">
        <f>IF($B84=0,"",SUMIFS(INPUT_DATA!AD:AD,INPUT_DATA!$A:$A,$B84,INPUT_DATA!$C:$C,"D"))</f>
        <v/>
      </c>
      <c r="CE84" s="296" t="str">
        <f>IF($B84=0,"",SUMIFS(INPUT_DATA!AE:AE,INPUT_DATA!$A:$A,$B84,INPUT_DATA!$C:$C,"D"))</f>
        <v/>
      </c>
      <c r="CF84" s="296" t="str">
        <f>IF($B84=0,"",SUMIFS(INPUT_DATA!AF:AF,INPUT_DATA!$A:$A,$B84,INPUT_DATA!$C:$C,"D"))</f>
        <v/>
      </c>
      <c r="CG84" s="336" t="str">
        <f>IF($B84=0,"",SUMIFS(INPUT_DATA!AG:AG,INPUT_DATA!$A:$A,$B84,INPUT_DATA!$C:$C,"D"))</f>
        <v/>
      </c>
      <c r="CH84" s="336" t="str">
        <f>IF($B84=0,"",SUMIFS(INPUT_DATA!AH:AH,INPUT_DATA!$A:$A,$B84,INPUT_DATA!$C:$C,"D"))</f>
        <v/>
      </c>
      <c r="CI84" s="336"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153" t="str">
        <f>IF($B84=0,"",SUMIFS(INPUT_DATA!AR:AR,INPUT_DATA!$A:$A,$B84,INPUT_DATA!$C:$C,"D"))</f>
        <v/>
      </c>
      <c r="CS84" s="714" t="str">
        <f t="shared" si="14"/>
        <v/>
      </c>
      <c r="CT84" s="714" t="str">
        <f t="shared" si="15"/>
        <v/>
      </c>
      <c r="CU84" s="714" t="str">
        <f t="shared" si="16"/>
        <v/>
      </c>
      <c r="CV84" s="703" t="str">
        <f>IF($B84=0,"",SUMIFS(INPUT_DATA!AS:AS,INPUT_DATA!$A:$A,$B84,INPUT_DATA!$C:$C,"D"))</f>
        <v/>
      </c>
      <c r="CW84" s="703" t="str">
        <f>IF($B84=0,"",SUMIFS(INPUT_DATA!AT:AT,INPUT_DATA!$A:$A,$B84,INPUT_DATA!$C:$C,"D"))</f>
        <v/>
      </c>
      <c r="CX84" s="703" t="str">
        <f>IF($B84=0,"",SUMIFS(INPUT_DATA!AU:AU,INPUT_DATA!$A:$A,$B84,INPUT_DATA!$C:$C,"D"))</f>
        <v/>
      </c>
      <c r="CY84" s="703" t="str">
        <f t="shared" si="17"/>
        <v/>
      </c>
      <c r="CZ84" s="714" t="str">
        <f t="shared" si="18"/>
        <v/>
      </c>
      <c r="DA84" s="725" t="str">
        <f t="shared" si="19"/>
        <v/>
      </c>
      <c r="DB84" s="150"/>
    </row>
    <row r="85" spans="1:106">
      <c r="A85" s="172">
        <f t="shared" si="21"/>
        <v>-38</v>
      </c>
      <c r="B85" s="697">
        <f>INPUT_DATA!BR72</f>
        <v>0</v>
      </c>
      <c r="C85" s="702" t="str">
        <f>IF($B85=0,"",SUMIFS(INPUT_DATA!D:D,INPUT_DATA!$A:$A,$B85,INPUT_DATA!$C:$C,"S"))</f>
        <v/>
      </c>
      <c r="D85" s="703" t="str">
        <f>IF($B85=0,"",SUMIFS(INPUT_DATA!E:E,INPUT_DATA!$A:$A,$B85,INPUT_DATA!$C:$C,"S"))</f>
        <v/>
      </c>
      <c r="E85" s="703" t="str">
        <f>IF($B85=0,"",SUMIFS(INPUT_DATA!F:F,INPUT_DATA!$A:$A,$B85,INPUT_DATA!$C:$C,"S"))</f>
        <v/>
      </c>
      <c r="F85" s="704" t="str">
        <f>IF($B85=0,"",SUMIFS(INPUT_DATA!G:G,INPUT_DATA!$A:$A,$B85,INPUT_DATA!$C:$C,"S"))</f>
        <v/>
      </c>
      <c r="G85" s="704" t="str">
        <f>IF($B85=0,"",SUMIFS(INPUT_DATA!H:H,INPUT_DATA!$A:$A,$B85,INPUT_DATA!$C:$C,"S"))</f>
        <v/>
      </c>
      <c r="H85" s="704" t="str">
        <f>IF($B85=0,"",SUMIFS(INPUT_DATA!I:I,INPUT_DATA!$A:$A,$B85,INPUT_DATA!$C:$C,"S"))</f>
        <v/>
      </c>
      <c r="I85" s="704" t="str">
        <f>IF($B85=0,"",SUMIFS(INPUT_DATA!J:J,INPUT_DATA!$A:$A,$B85,INPUT_DATA!$C:$C,"S"))</f>
        <v/>
      </c>
      <c r="J85" s="704" t="str">
        <f>IF($B85=0,"",SUMIFS(INPUT_DATA!K:K,INPUT_DATA!$A:$A,$B85,INPUT_DATA!$C:$C,"S"))</f>
        <v/>
      </c>
      <c r="K85" s="704" t="str">
        <f>IF($B85=0,"",SUMIFS(INPUT_DATA!L:L,INPUT_DATA!$A:$A,$B85,INPUT_DATA!$C:$C,"S"))</f>
        <v/>
      </c>
      <c r="L85" s="704" t="str">
        <f>IF($B85=0,"",SUMIFS(INPUT_DATA!M:M,INPUT_DATA!$A:$A,$B85,INPUT_DATA!$C:$C,"S"))</f>
        <v/>
      </c>
      <c r="M85" s="704" t="str">
        <f>IF($B85=0,"",SUMIFS(INPUT_DATA!N:N,INPUT_DATA!$A:$A,$B85,INPUT_DATA!$C:$C,"S"))</f>
        <v/>
      </c>
      <c r="N85" s="704" t="str">
        <f>IF($B85=0,"",SUMIFS(INPUT_DATA!O:O,INPUT_DATA!$A:$A,$B85,INPUT_DATA!$C:$C,"S"))</f>
        <v/>
      </c>
      <c r="O85" s="704" t="str">
        <f>IF($B85=0,"",SUMIFS(INPUT_DATA!P:P,INPUT_DATA!$A:$A,$B85,INPUT_DATA!$C:$C,"S"))</f>
        <v/>
      </c>
      <c r="P85" s="705" t="str">
        <f t="shared" si="22"/>
        <v/>
      </c>
      <c r="Q85" s="706" t="str">
        <f>IF($B85=0,"",SUMIFS(INPUT_DATA!Q:Q,INPUT_DATA!$A:$A,$B85,INPUT_DATA!$C:$C,"S"))</f>
        <v/>
      </c>
      <c r="R85" s="706" t="str">
        <f t="shared" si="20"/>
        <v/>
      </c>
      <c r="S85" s="712" t="str">
        <f>IF($B85=0,"",SUMIFS(INPUT_DATA!R:R,INPUT_DATA!$A:$A,$B85,INPUT_DATA!$C:$C,"S"))</f>
        <v/>
      </c>
      <c r="T85" s="712" t="str">
        <f>IF($B85=0,"",SUMIFS(INPUT_DATA!S:S,INPUT_DATA!$A:$A,$B85,INPUT_DATA!$C:$C,"S"))</f>
        <v/>
      </c>
      <c r="U85" s="712"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297" t="str">
        <f>IF($B85=0,"",SUMIFS(INPUT_DATA!AR:AR,INPUT_DATA!$A:$A,$B85,INPUT_DATA!$C:$C,"S"))</f>
        <v/>
      </c>
      <c r="AT85" s="713" t="str">
        <f t="shared" si="11"/>
        <v/>
      </c>
      <c r="AU85" s="714" t="str">
        <f t="shared" si="12"/>
        <v/>
      </c>
      <c r="AV85" s="715" t="str">
        <f t="shared" si="13"/>
        <v/>
      </c>
      <c r="AW85" s="713" t="str">
        <f>IF($B85=0,"",SUMIFS(INPUT_DATA!AS:AS,INPUT_DATA!$A:$A,$B85,INPUT_DATA!$C:$C,"S"))</f>
        <v/>
      </c>
      <c r="AX85" s="714" t="str">
        <f>IF($B85=0,"",SUMIFS(INPUT_DATA!AT:AT,INPUT_DATA!$A:$A,$B85,INPUT_DATA!$C:$C,"S"))</f>
        <v/>
      </c>
      <c r="AY85" s="715" t="str">
        <f>IF($B85=0,"",SUMIFS(INPUT_DATA!AU:AU,INPUT_DATA!$A:$A,$B85,INPUT_DATA!$C:$C,"S"))</f>
        <v/>
      </c>
      <c r="AZ85" s="713" t="str">
        <f t="shared" si="23"/>
        <v/>
      </c>
      <c r="BA85" s="714" t="str">
        <f t="shared" si="23"/>
        <v/>
      </c>
      <c r="BB85" s="715" t="str">
        <f t="shared" si="23"/>
        <v/>
      </c>
      <c r="BC85" s="150"/>
      <c r="BD85" s="702" t="str">
        <f>IF($B85=0,"",SUMIFS(INPUT_DATA!D:D,INPUT_DATA!$A:$A,$B85,INPUT_DATA!$C:$C,"D"))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296" t="str">
        <f>IF($B85=0,"",SUMIFS(INPUT_DATA!P:P,INPUT_DATA!$A:$A,$B85,INPUT_DATA!$C:$C,"D"))</f>
        <v/>
      </c>
      <c r="BO85" s="718" t="str">
        <f>IF($B85=0,"",BD85-BE85-BF85+BG85+BH85+BI85-BJ85+BK85-BL85-BM85-BN85)</f>
        <v/>
      </c>
      <c r="BP85" s="990" t="str">
        <f>IF($B85=0,"",SUMIFS(INPUT_DATA!Q:Q,INPUT_DATA!$A:$A,$B85,INPUT_DATA!$C:$C,"D"))</f>
        <v/>
      </c>
      <c r="BQ85" s="718" t="str">
        <f>IF($B85=0,"",BO85-BP85)</f>
        <v/>
      </c>
      <c r="BR85" s="702" t="str">
        <f>IF($B85=0,"",SUMIFS(INPUT_DATA!R:R,INPUT_DATA!$A:$A,$B85,INPUT_DATA!$C:$C,"D"))</f>
        <v/>
      </c>
      <c r="BS85" s="724" t="str">
        <f>IF($B85=0,"",SUMIFS(INPUT_DATA!S:S,INPUT_DATA!$A:$A,$B85,INPUT_DATA!$C:$C,"D"))</f>
        <v/>
      </c>
      <c r="BT85" s="724"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296" t="str">
        <f>IF($B85=0,"",SUMIFS(INPUT_DATA!Z:Z,INPUT_DATA!$A:$A,$B85,INPUT_DATA!$C:$C,"D"))</f>
        <v/>
      </c>
      <c r="CA85" s="336" t="str">
        <f>IF($B85=0,"",SUMIFS(INPUT_DATA!AA:AA,INPUT_DATA!$A:$A,$B85,INPUT_DATA!$C:$C,"D"))</f>
        <v/>
      </c>
      <c r="CB85" s="336" t="str">
        <f>IF($B85=0,"",SUMIFS(INPUT_DATA!AB:AB,INPUT_DATA!$A:$A,$B85,INPUT_DATA!$C:$C,"D"))</f>
        <v/>
      </c>
      <c r="CC85" s="336" t="str">
        <f>IF($B85=0,"",SUMIFS(INPUT_DATA!AC:AC,INPUT_DATA!$A:$A,$B85,INPUT_DATA!$C:$C,"D"))</f>
        <v/>
      </c>
      <c r="CD85" s="296" t="str">
        <f>IF($B85=0,"",SUMIFS(INPUT_DATA!AD:AD,INPUT_DATA!$A:$A,$B85,INPUT_DATA!$C:$C,"D"))</f>
        <v/>
      </c>
      <c r="CE85" s="296" t="str">
        <f>IF($B85=0,"",SUMIFS(INPUT_DATA!AE:AE,INPUT_DATA!$A:$A,$B85,INPUT_DATA!$C:$C,"D"))</f>
        <v/>
      </c>
      <c r="CF85" s="296" t="str">
        <f>IF($B85=0,"",SUMIFS(INPUT_DATA!AF:AF,INPUT_DATA!$A:$A,$B85,INPUT_DATA!$C:$C,"D"))</f>
        <v/>
      </c>
      <c r="CG85" s="336" t="str">
        <f>IF($B85=0,"",SUMIFS(INPUT_DATA!AG:AG,INPUT_DATA!$A:$A,$B85,INPUT_DATA!$C:$C,"D"))</f>
        <v/>
      </c>
      <c r="CH85" s="336" t="str">
        <f>IF($B85=0,"",SUMIFS(INPUT_DATA!AH:AH,INPUT_DATA!$A:$A,$B85,INPUT_DATA!$C:$C,"D"))</f>
        <v/>
      </c>
      <c r="CI85" s="336"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153" t="str">
        <f>IF($B85=0,"",SUMIFS(INPUT_DATA!AR:AR,INPUT_DATA!$A:$A,$B85,INPUT_DATA!$C:$C,"D"))</f>
        <v/>
      </c>
      <c r="CS85" s="714" t="str">
        <f t="shared" si="14"/>
        <v/>
      </c>
      <c r="CT85" s="714" t="str">
        <f t="shared" si="15"/>
        <v/>
      </c>
      <c r="CU85" s="714" t="str">
        <f t="shared" si="16"/>
        <v/>
      </c>
      <c r="CV85" s="703" t="str">
        <f>IF($B85=0,"",SUMIFS(INPUT_DATA!AS:AS,INPUT_DATA!$A:$A,$B85,INPUT_DATA!$C:$C,"D"))</f>
        <v/>
      </c>
      <c r="CW85" s="703" t="str">
        <f>IF($B85=0,"",SUMIFS(INPUT_DATA!AT:AT,INPUT_DATA!$A:$A,$B85,INPUT_DATA!$C:$C,"D"))</f>
        <v/>
      </c>
      <c r="CX85" s="703" t="str">
        <f>IF($B85=0,"",SUMIFS(INPUT_DATA!AU:AU,INPUT_DATA!$A:$A,$B85,INPUT_DATA!$C:$C,"D"))</f>
        <v/>
      </c>
      <c r="CY85" s="703" t="str">
        <f t="shared" si="17"/>
        <v/>
      </c>
      <c r="CZ85" s="714" t="str">
        <f t="shared" si="18"/>
        <v/>
      </c>
      <c r="DA85" s="725" t="str">
        <f t="shared" si="19"/>
        <v/>
      </c>
      <c r="DB85" s="150"/>
    </row>
    <row r="86" spans="1:106">
      <c r="A86" s="172">
        <f t="shared" si="21"/>
        <v>-39</v>
      </c>
      <c r="B86" s="697">
        <f>INPUT_DATA!BR73</f>
        <v>0</v>
      </c>
      <c r="C86" s="702" t="str">
        <f>IF($B86=0,"",SUMIFS(INPUT_DATA!D:D,INPUT_DATA!$A:$A,$B86,INPUT_DATA!$C:$C,"S"))</f>
        <v/>
      </c>
      <c r="D86" s="703" t="str">
        <f>IF($B86=0,"",SUMIFS(INPUT_DATA!E:E,INPUT_DATA!$A:$A,$B86,INPUT_DATA!$C:$C,"S"))</f>
        <v/>
      </c>
      <c r="E86" s="703" t="str">
        <f>IF($B86=0,"",SUMIFS(INPUT_DATA!F:F,INPUT_DATA!$A:$A,$B86,INPUT_DATA!$C:$C,"S"))</f>
        <v/>
      </c>
      <c r="F86" s="704" t="str">
        <f>IF($B86=0,"",SUMIFS(INPUT_DATA!G:G,INPUT_DATA!$A:$A,$B86,INPUT_DATA!$C:$C,"S"))</f>
        <v/>
      </c>
      <c r="G86" s="704" t="str">
        <f>IF($B86=0,"",SUMIFS(INPUT_DATA!H:H,INPUT_DATA!$A:$A,$B86,INPUT_DATA!$C:$C,"S"))</f>
        <v/>
      </c>
      <c r="H86" s="704" t="str">
        <f>IF($B86=0,"",SUMIFS(INPUT_DATA!I:I,INPUT_DATA!$A:$A,$B86,INPUT_DATA!$C:$C,"S"))</f>
        <v/>
      </c>
      <c r="I86" s="704" t="str">
        <f>IF($B86=0,"",SUMIFS(INPUT_DATA!J:J,INPUT_DATA!$A:$A,$B86,INPUT_DATA!$C:$C,"S"))</f>
        <v/>
      </c>
      <c r="J86" s="704" t="str">
        <f>IF($B86=0,"",SUMIFS(INPUT_DATA!K:K,INPUT_DATA!$A:$A,$B86,INPUT_DATA!$C:$C,"S"))</f>
        <v/>
      </c>
      <c r="K86" s="704" t="str">
        <f>IF($B86=0,"",SUMIFS(INPUT_DATA!L:L,INPUT_DATA!$A:$A,$B86,INPUT_DATA!$C:$C,"S"))</f>
        <v/>
      </c>
      <c r="L86" s="704" t="str">
        <f>IF($B86=0,"",SUMIFS(INPUT_DATA!M:M,INPUT_DATA!$A:$A,$B86,INPUT_DATA!$C:$C,"S"))</f>
        <v/>
      </c>
      <c r="M86" s="704" t="str">
        <f>IF($B86=0,"",SUMIFS(INPUT_DATA!N:N,INPUT_DATA!$A:$A,$B86,INPUT_DATA!$C:$C,"S"))</f>
        <v/>
      </c>
      <c r="N86" s="704" t="str">
        <f>IF($B86=0,"",SUMIFS(INPUT_DATA!O:O,INPUT_DATA!$A:$A,$B86,INPUT_DATA!$C:$C,"S"))</f>
        <v/>
      </c>
      <c r="O86" s="704" t="str">
        <f>IF($B86=0,"",SUMIFS(INPUT_DATA!P:P,INPUT_DATA!$A:$A,$B86,INPUT_DATA!$C:$C,"S"))</f>
        <v/>
      </c>
      <c r="P86" s="705" t="str">
        <f t="shared" si="22"/>
        <v/>
      </c>
      <c r="Q86" s="706" t="str">
        <f>IF($B86=0,"",SUMIFS(INPUT_DATA!Q:Q,INPUT_DATA!$A:$A,$B86,INPUT_DATA!$C:$C,"S"))</f>
        <v/>
      </c>
      <c r="R86" s="706" t="str">
        <f t="shared" si="20"/>
        <v/>
      </c>
      <c r="S86" s="712" t="str">
        <f>IF($B86=0,"",SUMIFS(INPUT_DATA!R:R,INPUT_DATA!$A:$A,$B86,INPUT_DATA!$C:$C,"S"))</f>
        <v/>
      </c>
      <c r="T86" s="712" t="str">
        <f>IF($B86=0,"",SUMIFS(INPUT_DATA!S:S,INPUT_DATA!$A:$A,$B86,INPUT_DATA!$C:$C,"S"))</f>
        <v/>
      </c>
      <c r="U86" s="712"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297" t="str">
        <f>IF($B86=0,"",SUMIFS(INPUT_DATA!AR:AR,INPUT_DATA!$A:$A,$B86,INPUT_DATA!$C:$C,"S"))</f>
        <v/>
      </c>
      <c r="AT86" s="713" t="str">
        <f t="shared" si="11"/>
        <v/>
      </c>
      <c r="AU86" s="714" t="str">
        <f t="shared" si="12"/>
        <v/>
      </c>
      <c r="AV86" s="715" t="str">
        <f t="shared" si="13"/>
        <v/>
      </c>
      <c r="AW86" s="713" t="str">
        <f>IF($B86=0,"",SUMIFS(INPUT_DATA!AS:AS,INPUT_DATA!$A:$A,$B86,INPUT_DATA!$C:$C,"S"))</f>
        <v/>
      </c>
      <c r="AX86" s="714" t="str">
        <f>IF($B86=0,"",SUMIFS(INPUT_DATA!AT:AT,INPUT_DATA!$A:$A,$B86,INPUT_DATA!$C:$C,"S"))</f>
        <v/>
      </c>
      <c r="AY86" s="715" t="str">
        <f>IF($B86=0,"",SUMIFS(INPUT_DATA!AU:AU,INPUT_DATA!$A:$A,$B86,INPUT_DATA!$C:$C,"S"))</f>
        <v/>
      </c>
      <c r="AZ86" s="713" t="str">
        <f t="shared" si="23"/>
        <v/>
      </c>
      <c r="BA86" s="714" t="str">
        <f t="shared" si="23"/>
        <v/>
      </c>
      <c r="BB86" s="715" t="str">
        <f t="shared" si="23"/>
        <v/>
      </c>
      <c r="BC86" s="150"/>
      <c r="BD86" s="702" t="str">
        <f>IF($B86=0,"",SUMIFS(INPUT_DATA!D:D,INPUT_DATA!$A:$A,$B86,INPUT_DATA!$C:$C,"D"))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296" t="str">
        <f>IF($B86=0,"",SUMIFS(INPUT_DATA!P:P,INPUT_DATA!$A:$A,$B86,INPUT_DATA!$C:$C,"D"))</f>
        <v/>
      </c>
      <c r="BO86" s="718" t="str">
        <f>IF($B86=0,"",BD86-BE86-BF86+BG86+BH86+BI86-BJ86+BK86-BL86-BM86-BN86)</f>
        <v/>
      </c>
      <c r="BP86" s="990" t="str">
        <f>IF($B86=0,"",SUMIFS(INPUT_DATA!Q:Q,INPUT_DATA!$A:$A,$B86,INPUT_DATA!$C:$C,"D"))</f>
        <v/>
      </c>
      <c r="BQ86" s="718" t="str">
        <f>IF($B86=0,"",BO86-BP86)</f>
        <v/>
      </c>
      <c r="BR86" s="702" t="str">
        <f>IF($B86=0,"",SUMIFS(INPUT_DATA!R:R,INPUT_DATA!$A:$A,$B86,INPUT_DATA!$C:$C,"D"))</f>
        <v/>
      </c>
      <c r="BS86" s="724" t="str">
        <f>IF($B86=0,"",SUMIFS(INPUT_DATA!S:S,INPUT_DATA!$A:$A,$B86,INPUT_DATA!$C:$C,"D"))</f>
        <v/>
      </c>
      <c r="BT86" s="724"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296" t="str">
        <f>IF($B86=0,"",SUMIFS(INPUT_DATA!Z:Z,INPUT_DATA!$A:$A,$B86,INPUT_DATA!$C:$C,"D"))</f>
        <v/>
      </c>
      <c r="CA86" s="336" t="str">
        <f>IF($B86=0,"",SUMIFS(INPUT_DATA!AA:AA,INPUT_DATA!$A:$A,$B86,INPUT_DATA!$C:$C,"D"))</f>
        <v/>
      </c>
      <c r="CB86" s="336" t="str">
        <f>IF($B86=0,"",SUMIFS(INPUT_DATA!AB:AB,INPUT_DATA!$A:$A,$B86,INPUT_DATA!$C:$C,"D"))</f>
        <v/>
      </c>
      <c r="CC86" s="336" t="str">
        <f>IF($B86=0,"",SUMIFS(INPUT_DATA!AC:AC,INPUT_DATA!$A:$A,$B86,INPUT_DATA!$C:$C,"D"))</f>
        <v/>
      </c>
      <c r="CD86" s="296" t="str">
        <f>IF($B86=0,"",SUMIFS(INPUT_DATA!AD:AD,INPUT_DATA!$A:$A,$B86,INPUT_DATA!$C:$C,"D"))</f>
        <v/>
      </c>
      <c r="CE86" s="296" t="str">
        <f>IF($B86=0,"",SUMIFS(INPUT_DATA!AE:AE,INPUT_DATA!$A:$A,$B86,INPUT_DATA!$C:$C,"D"))</f>
        <v/>
      </c>
      <c r="CF86" s="296" t="str">
        <f>IF($B86=0,"",SUMIFS(INPUT_DATA!AF:AF,INPUT_DATA!$A:$A,$B86,INPUT_DATA!$C:$C,"D"))</f>
        <v/>
      </c>
      <c r="CG86" s="336" t="str">
        <f>IF($B86=0,"",SUMIFS(INPUT_DATA!AG:AG,INPUT_DATA!$A:$A,$B86,INPUT_DATA!$C:$C,"D"))</f>
        <v/>
      </c>
      <c r="CH86" s="336" t="str">
        <f>IF($B86=0,"",SUMIFS(INPUT_DATA!AH:AH,INPUT_DATA!$A:$A,$B86,INPUT_DATA!$C:$C,"D"))</f>
        <v/>
      </c>
      <c r="CI86" s="336"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153" t="str">
        <f>IF($B86=0,"",SUMIFS(INPUT_DATA!AR:AR,INPUT_DATA!$A:$A,$B86,INPUT_DATA!$C:$C,"D"))</f>
        <v/>
      </c>
      <c r="CS86" s="714" t="str">
        <f t="shared" si="14"/>
        <v/>
      </c>
      <c r="CT86" s="714" t="str">
        <f t="shared" si="15"/>
        <v/>
      </c>
      <c r="CU86" s="714" t="str">
        <f t="shared" si="16"/>
        <v/>
      </c>
      <c r="CV86" s="703" t="str">
        <f>IF($B86=0,"",SUMIFS(INPUT_DATA!AS:AS,INPUT_DATA!$A:$A,$B86,INPUT_DATA!$C:$C,"D"))</f>
        <v/>
      </c>
      <c r="CW86" s="703" t="str">
        <f>IF($B86=0,"",SUMIFS(INPUT_DATA!AT:AT,INPUT_DATA!$A:$A,$B86,INPUT_DATA!$C:$C,"D"))</f>
        <v/>
      </c>
      <c r="CX86" s="703" t="str">
        <f>IF($B86=0,"",SUMIFS(INPUT_DATA!AU:AU,INPUT_DATA!$A:$A,$B86,INPUT_DATA!$C:$C,"D"))</f>
        <v/>
      </c>
      <c r="CY86" s="703" t="str">
        <f t="shared" si="17"/>
        <v/>
      </c>
      <c r="CZ86" s="714" t="str">
        <f t="shared" si="18"/>
        <v/>
      </c>
      <c r="DA86" s="725" t="str">
        <f t="shared" si="19"/>
        <v/>
      </c>
      <c r="DB86" s="150"/>
    </row>
    <row r="87" spans="1:106" ht="13.5" thickBot="1">
      <c r="A87" s="172">
        <f t="shared" si="21"/>
        <v>-40</v>
      </c>
      <c r="B87" s="698">
        <f>INPUT_DATA!BR74</f>
        <v>0</v>
      </c>
      <c r="C87" s="707" t="str">
        <f>IF($B87=0,"",SUMIFS(INPUT_DATA!D:D,INPUT_DATA!$A:$A,$B87,INPUT_DATA!$C:$C,"S"))</f>
        <v/>
      </c>
      <c r="D87" s="708" t="str">
        <f>IF($B87=0,"",SUMIFS(INPUT_DATA!E:E,INPUT_DATA!$A:$A,$B87,INPUT_DATA!$C:$C,"S"))</f>
        <v/>
      </c>
      <c r="E87" s="708" t="str">
        <f>IF($B87=0,"",SUMIFS(INPUT_DATA!F:F,INPUT_DATA!$A:$A,$B87,INPUT_DATA!$C:$C,"S"))</f>
        <v/>
      </c>
      <c r="F87" s="709" t="str">
        <f>IF($B87=0,"",SUMIFS(INPUT_DATA!G:G,INPUT_DATA!$A:$A,$B87,INPUT_DATA!$C:$C,"S"))</f>
        <v/>
      </c>
      <c r="G87" s="709" t="str">
        <f>IF($B87=0,"",SUMIFS(INPUT_DATA!H:H,INPUT_DATA!$A:$A,$B87,INPUT_DATA!$C:$C,"S"))</f>
        <v/>
      </c>
      <c r="H87" s="709" t="str">
        <f>IF($B87=0,"",SUMIFS(INPUT_DATA!I:I,INPUT_DATA!$A:$A,$B87,INPUT_DATA!$C:$C,"S"))</f>
        <v/>
      </c>
      <c r="I87" s="709" t="str">
        <f>IF($B87=0,"",SUMIFS(INPUT_DATA!J:J,INPUT_DATA!$A:$A,$B87,INPUT_DATA!$C:$C,"S"))</f>
        <v/>
      </c>
      <c r="J87" s="709" t="str">
        <f>IF($B87=0,"",SUMIFS(INPUT_DATA!K:K,INPUT_DATA!$A:$A,$B87,INPUT_DATA!$C:$C,"S"))</f>
        <v/>
      </c>
      <c r="K87" s="709" t="str">
        <f>IF($B87=0,"",SUMIFS(INPUT_DATA!L:L,INPUT_DATA!$A:$A,$B87,INPUT_DATA!$C:$C,"S"))</f>
        <v/>
      </c>
      <c r="L87" s="709" t="str">
        <f>IF($B87=0,"",SUMIFS(INPUT_DATA!M:M,INPUT_DATA!$A:$A,$B87,INPUT_DATA!$C:$C,"S"))</f>
        <v/>
      </c>
      <c r="M87" s="709" t="str">
        <f>IF($B87=0,"",SUMIFS(INPUT_DATA!N:N,INPUT_DATA!$A:$A,$B87,INPUT_DATA!$C:$C,"S"))</f>
        <v/>
      </c>
      <c r="N87" s="709" t="str">
        <f>IF($B87=0,"",SUMIFS(INPUT_DATA!O:O,INPUT_DATA!$A:$A,$B87,INPUT_DATA!$C:$C,"S"))</f>
        <v/>
      </c>
      <c r="O87" s="709" t="str">
        <f>IF($B87=0,"",SUMIFS(INPUT_DATA!P:P,INPUT_DATA!$A:$A,$B87,INPUT_DATA!$C:$C,"S"))</f>
        <v/>
      </c>
      <c r="P87" s="710" t="str">
        <f t="shared" si="22"/>
        <v/>
      </c>
      <c r="Q87" s="711" t="str">
        <f>IF($B87=0,"",SUMIFS(INPUT_DATA!Q:Q,INPUT_DATA!$A:$A,$B87,INPUT_DATA!$C:$C,"S"))</f>
        <v/>
      </c>
      <c r="R87" s="711" t="str">
        <f t="shared" si="20"/>
        <v/>
      </c>
      <c r="S87" s="712" t="str">
        <f>IF($B87=0,"",SUMIFS(INPUT_DATA!R:R,INPUT_DATA!$A:$A,$B87,INPUT_DATA!$C:$C,"S"))</f>
        <v/>
      </c>
      <c r="T87" s="712" t="str">
        <f>IF($B87=0,"",SUMIFS(INPUT_DATA!S:S,INPUT_DATA!$A:$A,$B87,INPUT_DATA!$C:$C,"S"))</f>
        <v/>
      </c>
      <c r="U87" s="712"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297" t="str">
        <f>IF($B87=0,"",SUMIFS(INPUT_DATA!AR:AR,INPUT_DATA!$A:$A,$B87,INPUT_DATA!$C:$C,"S"))</f>
        <v/>
      </c>
      <c r="AT87" s="713" t="str">
        <f>IF($B87=0,"",S87+V87-Y87-AB87-AE87-AH87+AK87-AN87-AQ87)</f>
        <v/>
      </c>
      <c r="AU87" s="714" t="str">
        <f>IF($B87=0,"",T87+W87-Z87-AC87-AF87-AI87+AL87-AO87-AR87)</f>
        <v/>
      </c>
      <c r="AV87" s="715" t="str">
        <f>IF($B87=0,"",U87+X87-AA87-AD87-AG87-AJ87+AM87-AP87-AS87)</f>
        <v/>
      </c>
      <c r="AW87" s="713" t="str">
        <f>IF($B87=0,"",SUMIFS(INPUT_DATA!AS:AS,INPUT_DATA!$A:$A,$B87,INPUT_DATA!$C:$C,"S"))</f>
        <v/>
      </c>
      <c r="AX87" s="714" t="str">
        <f>IF($B87=0,"",SUMIFS(INPUT_DATA!AT:AT,INPUT_DATA!$A:$A,$B87,INPUT_DATA!$C:$C,"S"))</f>
        <v/>
      </c>
      <c r="AY87" s="715" t="str">
        <f>IF($B87=0,"",SUMIFS(INPUT_DATA!AU:AU,INPUT_DATA!$A:$A,$B87,INPUT_DATA!$C:$C,"S"))</f>
        <v/>
      </c>
      <c r="AZ87" s="713" t="str">
        <f t="shared" si="23"/>
        <v/>
      </c>
      <c r="BA87" s="714" t="str">
        <f t="shared" si="23"/>
        <v/>
      </c>
      <c r="BB87" s="715" t="str">
        <f t="shared" si="23"/>
        <v/>
      </c>
      <c r="BC87" s="150"/>
      <c r="BD87" s="702" t="str">
        <f>IF($B87=0,"",SUMIFS(INPUT_DATA!D:D,INPUT_DATA!$A:$A,$B87,INPUT_DATA!$C:$C,"D"))</f>
        <v/>
      </c>
      <c r="BE87" s="719" t="str">
        <f>IF($B87=0,"",SUMIFS(INPUT_DATA!G:G,INPUT_DATA!$A:$A,$B87,INPUT_DATA!$C:$C,"D"))</f>
        <v/>
      </c>
      <c r="BF87" s="720" t="str">
        <f>IF($B87=0,"",SUMIFS(INPUT_DATA!H:H,INPUT_DATA!$A:$A,$B87,INPUT_DATA!$C:$C,"D"))</f>
        <v/>
      </c>
      <c r="BG87" s="720" t="str">
        <f>IF($B87=0,"",SUMIFS(INPUT_DATA!I:I,INPUT_DATA!$A:$A,$B87,INPUT_DATA!$C:$C,"D"))</f>
        <v/>
      </c>
      <c r="BH87" s="720" t="str">
        <f>IF($B87=0,"",SUMIFS(INPUT_DATA!J:J,INPUT_DATA!$A:$A,$B87,INPUT_DATA!$C:$C,"D"))</f>
        <v/>
      </c>
      <c r="BI87" s="720" t="str">
        <f>IF($B87=0,"",SUMIFS(INPUT_DATA!K:K,INPUT_DATA!$A:$A,$B87,INPUT_DATA!$C:$C,"D"))</f>
        <v/>
      </c>
      <c r="BJ87" s="720" t="str">
        <f>IF($B87=0,"",SUMIFS(INPUT_DATA!L:L,INPUT_DATA!$A:$A,$B87,INPUT_DATA!$C:$C,"D"))</f>
        <v/>
      </c>
      <c r="BK87" s="720" t="str">
        <f>IF($B87=0,"",SUMIFS(INPUT_DATA!M:M,INPUT_DATA!$A:$A,$B87,INPUT_DATA!$C:$C,"D"))</f>
        <v/>
      </c>
      <c r="BL87" s="720" t="str">
        <f>IF($B87=0,"",SUMIFS(INPUT_DATA!N:N,INPUT_DATA!$A:$A,$B87,INPUT_DATA!$C:$C,"D"))</f>
        <v/>
      </c>
      <c r="BM87" s="720" t="str">
        <f>IF($B87=0,"",SUMIFS(INPUT_DATA!O:O,INPUT_DATA!$A:$A,$B87,INPUT_DATA!$C:$C,"D"))</f>
        <v/>
      </c>
      <c r="BN87" s="720" t="str">
        <f>IF($B87=0,"",SUMIFS(INPUT_DATA!P:P,INPUT_DATA!$A:$A,$B87,INPUT_DATA!$C:$C,"D"))</f>
        <v/>
      </c>
      <c r="BO87" s="721" t="str">
        <f>IF($B87=0,"",BD87-BE87-BF87+BG87+BH87+BI87-BJ87+BK87-BL87-BM87-BN87)</f>
        <v/>
      </c>
      <c r="BP87" s="990" t="str">
        <f>IF($B87=0,"",SUMIFS(INPUT_DATA!Q:Q,INPUT_DATA!$A:$A,$B87,INPUT_DATA!$C:$C,"D"))</f>
        <v/>
      </c>
      <c r="BQ87" s="722" t="str">
        <f>IF($B87=0,"",BO87-BP87)</f>
        <v/>
      </c>
      <c r="BR87" s="702" t="str">
        <f>IF($B87=0,"",SUMIFS(INPUT_DATA!R:R,INPUT_DATA!$A:$A,$B87,INPUT_DATA!$C:$C,"D"))</f>
        <v/>
      </c>
      <c r="BS87" s="724" t="str">
        <f>IF($B87=0,"",SUMIFS(INPUT_DATA!S:S,INPUT_DATA!$A:$A,$B87,INPUT_DATA!$C:$C,"D"))</f>
        <v/>
      </c>
      <c r="BT87" s="724"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296" t="str">
        <f>IF($B87=0,"",SUMIFS(INPUT_DATA!Z:Z,INPUT_DATA!$A:$A,$B87,INPUT_DATA!$C:$C,"D"))</f>
        <v/>
      </c>
      <c r="CA87" s="336" t="str">
        <f>IF($B87=0,"",SUMIFS(INPUT_DATA!AA:AA,INPUT_DATA!$A:$A,$B87,INPUT_DATA!$C:$C,"D"))</f>
        <v/>
      </c>
      <c r="CB87" s="336" t="str">
        <f>IF($B87=0,"",SUMIFS(INPUT_DATA!AB:AB,INPUT_DATA!$A:$A,$B87,INPUT_DATA!$C:$C,"D"))</f>
        <v/>
      </c>
      <c r="CC87" s="336" t="str">
        <f>IF($B87=0,"",SUMIFS(INPUT_DATA!AC:AC,INPUT_DATA!$A:$A,$B87,INPUT_DATA!$C:$C,"D"))</f>
        <v/>
      </c>
      <c r="CD87" s="296" t="str">
        <f>IF($B87=0,"",SUMIFS(INPUT_DATA!AD:AD,INPUT_DATA!$A:$A,$B87,INPUT_DATA!$C:$C,"D"))</f>
        <v/>
      </c>
      <c r="CE87" s="296" t="str">
        <f>IF($B87=0,"",SUMIFS(INPUT_DATA!AE:AE,INPUT_DATA!$A:$A,$B87,INPUT_DATA!$C:$C,"D"))</f>
        <v/>
      </c>
      <c r="CF87" s="296" t="str">
        <f>IF($B87=0,"",SUMIFS(INPUT_DATA!AF:AF,INPUT_DATA!$A:$A,$B87,INPUT_DATA!$C:$C,"D"))</f>
        <v/>
      </c>
      <c r="CG87" s="336" t="str">
        <f>IF($B87=0,"",SUMIFS(INPUT_DATA!AG:AG,INPUT_DATA!$A:$A,$B87,INPUT_DATA!$C:$C,"D"))</f>
        <v/>
      </c>
      <c r="CH87" s="336" t="str">
        <f>IF($B87=0,"",SUMIFS(INPUT_DATA!AH:AH,INPUT_DATA!$A:$A,$B87,INPUT_DATA!$C:$C,"D"))</f>
        <v/>
      </c>
      <c r="CI87" s="336"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153" t="str">
        <f>IF($B87=0,"",SUMIFS(INPUT_DATA!AR:AR,INPUT_DATA!$A:$A,$B87,INPUT_DATA!$C:$C,"D"))</f>
        <v/>
      </c>
      <c r="CS87" s="714" t="str">
        <f>IF($B87=0,"",BR87+BU87-BX87-CA87-CD87+CG87-CJ87-CM87-CP87)</f>
        <v/>
      </c>
      <c r="CT87" s="714" t="str">
        <f>IF($B87=0,"",BS87+BV87-BY87-CB87-CE87+CH87-CK87-CN87-CQ87)</f>
        <v/>
      </c>
      <c r="CU87" s="714" t="str">
        <f>IF($B87=0,"",BT87+BW87-BZ87-CC87-CF87+CI87-CL87-CO87-CR87)</f>
        <v/>
      </c>
      <c r="CV87" s="703" t="str">
        <f>IF($B87=0,"",SUMIFS(INPUT_DATA!AS:AS,INPUT_DATA!$A:$A,$B87,INPUT_DATA!$C:$C,"D"))</f>
        <v/>
      </c>
      <c r="CW87" s="703" t="str">
        <f>IF($B87=0,"",SUMIFS(INPUT_DATA!AT:AT,INPUT_DATA!$A:$A,$B87,INPUT_DATA!$C:$C,"D"))</f>
        <v/>
      </c>
      <c r="CX87" s="703" t="str">
        <f>IF($B87=0,"",SUMIFS(INPUT_DATA!AU:AU,INPUT_DATA!$A:$A,$B87,INPUT_DATA!$C:$C,"D"))</f>
        <v/>
      </c>
      <c r="CY87" s="703" t="str">
        <f>IF($B87=0,"",CS87-CV87)</f>
        <v/>
      </c>
      <c r="CZ87" s="714" t="str">
        <f>IF($B87=0,"",CT87-CW87)</f>
        <v/>
      </c>
      <c r="DA87" s="725" t="str">
        <f>IF($B87=0,"",CU87-CX87)</f>
        <v/>
      </c>
      <c r="DB87" s="150"/>
    </row>
    <row r="88" spans="1:106">
      <c r="P88" s="3"/>
      <c r="Q88" s="3"/>
      <c r="R88" s="3"/>
    </row>
  </sheetData>
  <mergeCells count="27">
    <mergeCell ref="BN14:BN15"/>
    <mergeCell ref="BJ14:BJ15"/>
    <mergeCell ref="R14:R15"/>
    <mergeCell ref="BQ14:BQ15"/>
    <mergeCell ref="B14:B15"/>
    <mergeCell ref="C14:C15"/>
    <mergeCell ref="F14:F15"/>
    <mergeCell ref="G14:G15"/>
    <mergeCell ref="D14:D15"/>
    <mergeCell ref="K14:K15"/>
    <mergeCell ref="O14:O15"/>
    <mergeCell ref="P14:P15"/>
    <mergeCell ref="BP14:BP15"/>
    <mergeCell ref="BO14:BO15"/>
    <mergeCell ref="BE14:BE15"/>
    <mergeCell ref="BF14:BF15"/>
    <mergeCell ref="E14:E15"/>
    <mergeCell ref="BM14:BM15"/>
    <mergeCell ref="H14:J14"/>
    <mergeCell ref="N14:N15"/>
    <mergeCell ref="M14:M15"/>
    <mergeCell ref="BL14:BL15"/>
    <mergeCell ref="BD14:BD15"/>
    <mergeCell ref="L14:L15"/>
    <mergeCell ref="Q14:Q15"/>
    <mergeCell ref="BG14:BI14"/>
    <mergeCell ref="BK14:BK15"/>
  </mergeCells>
  <conditionalFormatting sqref="B18:B87">
    <cfRule type="cellIs" dxfId="53" priority="1" operator="lessThanOrEqual">
      <formula>0</formula>
    </cfRule>
  </conditionalFormatting>
  <pageMargins left="0.7" right="0.7" top="0.75" bottom="0.75" header="0.3" footer="0.3"/>
  <pageSetup paperSize="9" orientation="portrait" r:id="rId1"/>
  <ignoredErrors>
    <ignoredError sqref="D23 F23:O23 Q23:R23 BO18:BO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zoomScale="80" zoomScaleNormal="80" workbookViewId="0">
      <selection activeCell="A13" sqref="A13"/>
    </sheetView>
  </sheetViews>
  <sheetFormatPr defaultColWidth="9.140625" defaultRowHeight="12.75"/>
  <cols>
    <col min="1" max="1" width="3" customWidth="1"/>
    <col min="2" max="2" width="18" bestFit="1" customWidth="1"/>
    <col min="3" max="3" width="16" customWidth="1"/>
    <col min="4" max="4" width="1.42578125" customWidth="1"/>
    <col min="5" max="22" width="20.140625" customWidth="1"/>
    <col min="23" max="23" width="2.42578125" customWidth="1"/>
    <col min="24" max="42" width="20.140625" customWidth="1"/>
    <col min="43" max="43" width="2.42578125" customWidth="1"/>
    <col min="45" max="45" width="20.140625" customWidth="1"/>
    <col min="47" max="47" width="12.42578125" bestFit="1" customWidth="1"/>
    <col min="48" max="48" width="14.85546875" bestFit="1" customWidth="1"/>
    <col min="50" max="50" width="20.140625" customWidth="1"/>
  </cols>
  <sheetData>
    <row r="3" spans="2:50">
      <c r="AC3" s="5"/>
      <c r="AD3" s="5"/>
      <c r="AE3" s="5"/>
      <c r="AF3" s="5"/>
    </row>
    <row r="7" spans="2:50" ht="15.75">
      <c r="B7" s="595" t="s">
        <v>726</v>
      </c>
      <c r="C7" s="584"/>
      <c r="D7" s="584"/>
      <c r="E7" s="584"/>
      <c r="F7" s="565"/>
      <c r="G7" s="565"/>
      <c r="H7" s="565"/>
      <c r="I7" s="565"/>
      <c r="J7" s="565"/>
      <c r="K7" s="565"/>
      <c r="L7" s="565"/>
      <c r="M7" s="565"/>
      <c r="N7" s="565"/>
      <c r="O7" s="565"/>
      <c r="P7" s="584"/>
      <c r="Q7" s="565"/>
      <c r="R7" s="565"/>
      <c r="S7" s="565"/>
      <c r="T7" s="584"/>
      <c r="U7" s="584"/>
      <c r="V7" s="584"/>
      <c r="W7" s="584"/>
      <c r="X7" s="565"/>
      <c r="Y7" s="565"/>
      <c r="Z7" s="565"/>
      <c r="AA7" s="565"/>
      <c r="AB7" s="565"/>
      <c r="AC7" s="565"/>
      <c r="AD7" s="565"/>
      <c r="AE7" s="565"/>
      <c r="AF7" s="565"/>
      <c r="AG7" s="565"/>
      <c r="AH7" s="565"/>
      <c r="AI7" s="565"/>
      <c r="AJ7" s="565"/>
      <c r="AK7" s="565"/>
      <c r="AL7" s="565"/>
      <c r="AM7" s="565"/>
      <c r="AN7" s="565"/>
      <c r="AO7" s="565"/>
      <c r="AP7" s="565"/>
      <c r="AQ7" s="565"/>
    </row>
    <row r="8" spans="2:50">
      <c r="V8" s="4"/>
      <c r="AC8" s="5"/>
      <c r="AD8" s="5"/>
      <c r="AE8" s="5"/>
      <c r="AF8" s="5"/>
      <c r="AP8" s="4"/>
      <c r="AS8" s="4"/>
    </row>
    <row r="9" spans="2:50">
      <c r="G9" s="5"/>
      <c r="P9" s="5"/>
      <c r="Q9" s="5"/>
      <c r="S9" s="5"/>
      <c r="T9" s="5"/>
      <c r="U9" s="5"/>
      <c r="V9" s="5"/>
      <c r="X9" s="5"/>
      <c r="Y9" s="5"/>
      <c r="Z9" s="5"/>
      <c r="AA9" s="5"/>
      <c r="AB9" s="889"/>
      <c r="AC9" s="5"/>
    </row>
    <row r="10" spans="2:50" ht="13.5" thickBot="1">
      <c r="R10" s="5"/>
      <c r="S10" s="5"/>
      <c r="T10" s="5"/>
      <c r="V10" s="4"/>
      <c r="AP10" s="4"/>
      <c r="AS10" s="4"/>
    </row>
    <row r="11" spans="2:50" ht="13.5" customHeight="1" thickBot="1">
      <c r="B11" s="660" t="s">
        <v>690</v>
      </c>
      <c r="C11" s="660"/>
      <c r="E11" s="596" t="s">
        <v>208</v>
      </c>
      <c r="F11" s="597"/>
      <c r="G11" s="597"/>
      <c r="H11" s="597"/>
      <c r="I11" s="597"/>
      <c r="J11" s="597"/>
      <c r="K11" s="597"/>
      <c r="L11" s="597"/>
      <c r="M11" s="597"/>
      <c r="N11" s="597"/>
      <c r="O11" s="597"/>
      <c r="P11" s="597"/>
      <c r="Q11" s="597"/>
      <c r="R11" s="597"/>
      <c r="S11" s="597"/>
      <c r="T11" s="597"/>
      <c r="U11" s="597"/>
      <c r="V11" s="598"/>
      <c r="X11" s="310" t="s">
        <v>209</v>
      </c>
      <c r="Y11" s="311"/>
      <c r="Z11" s="311"/>
      <c r="AA11" s="311"/>
      <c r="AB11" s="311"/>
      <c r="AC11" s="311"/>
      <c r="AD11" s="311"/>
      <c r="AE11" s="311"/>
      <c r="AF11" s="311"/>
      <c r="AG11" s="311"/>
      <c r="AH11" s="311"/>
      <c r="AI11" s="311"/>
      <c r="AJ11" s="311"/>
      <c r="AK11" s="311"/>
      <c r="AL11" s="311"/>
      <c r="AM11" s="311"/>
      <c r="AN11" s="311"/>
      <c r="AO11" s="311"/>
      <c r="AP11" s="312"/>
      <c r="AS11" s="337"/>
      <c r="AX11" s="375"/>
    </row>
    <row r="12" spans="2:50" ht="49.5" customHeight="1" thickBot="1">
      <c r="B12" s="146" t="s">
        <v>94</v>
      </c>
      <c r="C12" s="147" t="s">
        <v>95</v>
      </c>
      <c r="E12" s="331" t="s">
        <v>137</v>
      </c>
      <c r="F12" s="332" t="s">
        <v>138</v>
      </c>
      <c r="G12" s="332" t="s">
        <v>139</v>
      </c>
      <c r="H12" s="332" t="s">
        <v>140</v>
      </c>
      <c r="I12" s="332" t="s">
        <v>141</v>
      </c>
      <c r="J12" s="332" t="s">
        <v>142</v>
      </c>
      <c r="K12" s="332" t="s">
        <v>874</v>
      </c>
      <c r="L12" s="332" t="s">
        <v>875</v>
      </c>
      <c r="M12" s="332" t="s">
        <v>876</v>
      </c>
      <c r="N12" s="332" t="s">
        <v>143</v>
      </c>
      <c r="O12" s="332" t="s">
        <v>145</v>
      </c>
      <c r="P12" s="332" t="s">
        <v>144</v>
      </c>
      <c r="Q12" s="330" t="s">
        <v>146</v>
      </c>
      <c r="R12" s="330" t="s">
        <v>849</v>
      </c>
      <c r="S12" s="330" t="s">
        <v>237</v>
      </c>
      <c r="T12" s="330" t="s">
        <v>147</v>
      </c>
      <c r="U12" s="330" t="s">
        <v>148</v>
      </c>
      <c r="V12" s="298" t="s">
        <v>206</v>
      </c>
      <c r="X12" s="313" t="s">
        <v>137</v>
      </c>
      <c r="Y12" s="314" t="s">
        <v>138</v>
      </c>
      <c r="Z12" s="314" t="s">
        <v>139</v>
      </c>
      <c r="AA12" s="314" t="s">
        <v>140</v>
      </c>
      <c r="AB12" s="314" t="s">
        <v>141</v>
      </c>
      <c r="AC12" s="314" t="s">
        <v>142</v>
      </c>
      <c r="AD12" s="314" t="s">
        <v>874</v>
      </c>
      <c r="AE12" s="314" t="s">
        <v>875</v>
      </c>
      <c r="AF12" s="314" t="s">
        <v>876</v>
      </c>
      <c r="AG12" s="314" t="s">
        <v>143</v>
      </c>
      <c r="AH12" s="314" t="s">
        <v>145</v>
      </c>
      <c r="AI12" s="314" t="s">
        <v>144</v>
      </c>
      <c r="AJ12" s="315" t="s">
        <v>146</v>
      </c>
      <c r="AK12" s="315" t="s">
        <v>849</v>
      </c>
      <c r="AL12" s="315" t="s">
        <v>237</v>
      </c>
      <c r="AM12" s="315" t="s">
        <v>850</v>
      </c>
      <c r="AN12" s="315" t="s">
        <v>147</v>
      </c>
      <c r="AO12" s="315" t="s">
        <v>148</v>
      </c>
      <c r="AP12" s="298" t="s">
        <v>206</v>
      </c>
      <c r="AS12" s="298" t="s">
        <v>2</v>
      </c>
      <c r="AU12" s="360" t="s">
        <v>235</v>
      </c>
      <c r="AV12" s="360" t="s">
        <v>236</v>
      </c>
      <c r="AX12" s="374" t="s">
        <v>237</v>
      </c>
    </row>
    <row r="13" spans="2:50" s="2" customFormat="1">
      <c r="B13" s="729">
        <f>C14+1</f>
        <v>46174</v>
      </c>
      <c r="C13" s="732">
        <f>'03 - Monthly Asset Follow up'!B17</f>
        <v>46203</v>
      </c>
      <c r="E13" s="735">
        <f>IF($C13=0,"",SUMIFS(INPUT_DATA!AV:AV,INPUT_DATA!$A:$A,$C13,INPUT_DATA!$C:$C,"S"))</f>
        <v>4743704.769999994</v>
      </c>
      <c r="F13" s="737">
        <f>IF($C13=0,"",SUMIFS(INPUT_DATA!AW:AW,INPUT_DATA!$A:$A,$C13,INPUT_DATA!$C:$C,"S"))</f>
        <v>116402.30999999998</v>
      </c>
      <c r="G13" s="736">
        <f>IF($C13=0,"",SUMIFS(INPUT_DATA!AX:AX,INPUT_DATA!$A:$A,$C13,INPUT_DATA!$C:$C,"S"))</f>
        <v>1686366.88</v>
      </c>
      <c r="H13" s="353">
        <f>IF($C13=0,"",E13+F13+G13)</f>
        <v>6546473.9599999934</v>
      </c>
      <c r="I13" s="736">
        <f>IF($C13=0,"",SUMIFS(INPUT_DATA!AZ:AZ,INPUT_DATA!$A:$A,$C13,INPUT_DATA!$C:$C,"S"))</f>
        <v>1103158.4600000011</v>
      </c>
      <c r="J13" s="736">
        <f>IF($C13=0,"",SUMIFS(INPUT_DATA!BA:BA,INPUT_DATA!$A:$A,$C13,INPUT_DATA!$C:$C,"S"))</f>
        <v>20550.150000000001</v>
      </c>
      <c r="K13" s="736">
        <f>IF($C13=0,"",SUMIFS(INPUT_DATA!BB:BB,INPUT_DATA!$A:$A,$C13,INPUT_DATA!$C:$C,"S"))</f>
        <v>113.12000000000002</v>
      </c>
      <c r="L13" s="736">
        <f>IF($C13=0,"",SUMIFS(INPUT_DATA!BC:BC,INPUT_DATA!$A:$A,$C13,INPUT_DATA!$C:$C,"S"))</f>
        <v>150.38</v>
      </c>
      <c r="M13" s="736">
        <f>IF($C13=0,"",SUMIFS(INPUT_DATA!BD:BD,INPUT_DATA!$A:$A,$C13,INPUT_DATA!$C:$C,"S"))</f>
        <v>0</v>
      </c>
      <c r="N13" s="736">
        <f>IF($C13=0,"",SUMIFS(INPUT_DATA!BE:BE,INPUT_DATA!$A:$A,$C13,INPUT_DATA!$C:$C,"S"))</f>
        <v>154.35</v>
      </c>
      <c r="O13" s="736">
        <f>IF($C13=0,"",SUMIFS(INPUT_DATA!BF:BF,INPUT_DATA!$A:$A,$C13,INPUT_DATA!$C:$C,"S"))</f>
        <v>72.66</v>
      </c>
      <c r="P13" s="736">
        <f>IF($C13=0,"",SUMIFS(INPUT_DATA!BG:BG,INPUT_DATA!$A:$A,$C13,INPUT_DATA!$C:$C,"S"))</f>
        <v>0</v>
      </c>
      <c r="Q13" s="355">
        <f>IF($C13=0,"",I13+J13+K13+L13+M13+N13+O13+P13)</f>
        <v>1124199.120000001</v>
      </c>
      <c r="R13" s="745">
        <f>IF($C13=0,"",SUMIFS(INPUT_DATA!BI:BI,INPUT_DATA!$A:$A,$C13,INPUT_DATA!$C:$C,"S"))</f>
        <v>0</v>
      </c>
      <c r="S13" s="745">
        <f>IF($C13=0,"",SUMIFS(INPUT_DATA!BJ:BJ,INPUT_DATA!$A:$A,$C13,INPUT_DATA!$C:$C,"S"))</f>
        <v>0</v>
      </c>
      <c r="T13" s="355">
        <f>IF($C13=0,"",H13+Q13+R13-S13)</f>
        <v>7670673.0799999945</v>
      </c>
      <c r="U13" s="356">
        <f>IF($C13=0,"",SUMIFS(INPUT_DATA!BM:BM,INPUT_DATA!$A:$A,$C13,INPUT_DATA!$C:$C,"S"))</f>
        <v>7670673.0799999926</v>
      </c>
      <c r="V13" s="351">
        <f>IF($C13=0,"",T13-U13)</f>
        <v>1.862645149230957E-9</v>
      </c>
      <c r="X13" s="727">
        <f>IF($C13=0,"",SUMIFS(INPUT_DATA!AV:AV,INPUT_DATA!$A:$A,$C13,INPUT_DATA!$C:$C,"D"))</f>
        <v>9569.99</v>
      </c>
      <c r="Y13" s="736">
        <f>IF($C13=0,"",SUMIFS(INPUT_DATA!AW:AW,INPUT_DATA!$A:$A,$C13,INPUT_DATA!$C:$C,"D"))</f>
        <v>15203.1</v>
      </c>
      <c r="Z13" s="736">
        <f>IF($C13=0,"",SUMIFS(INPUT_DATA!AX:AX,INPUT_DATA!$A:$A,$C13,INPUT_DATA!$C:$C,"D"))</f>
        <v>0</v>
      </c>
      <c r="AA13" s="353">
        <f>IF($C13=0,"",X13+Y13+Z13)</f>
        <v>24773.09</v>
      </c>
      <c r="AB13" s="736">
        <f>IF($C13=0,"",SUMIFS(INPUT_DATA!AZ:AZ,INPUT_DATA!$A:$A,$C13,INPUT_DATA!$C:$C,"D"))</f>
        <v>1077.1500000000001</v>
      </c>
      <c r="AC13" s="736">
        <f>IF($C13=0,"",SUMIFS(INPUT_DATA!BA:BA,INPUT_DATA!$A:$A,$C13,INPUT_DATA!$C:$C,"D"))</f>
        <v>1397.0600000000002</v>
      </c>
      <c r="AD13" s="736">
        <f>IF($C13=0,"",SUMIFS(INPUT_DATA!BB:BB,INPUT_DATA!$A:$A,$C13,INPUT_DATA!$C:$C,"D"))</f>
        <v>235.13000000000002</v>
      </c>
      <c r="AE13" s="736">
        <f>IF($C13=0,"",SUMIFS(INPUT_DATA!BC:BC,INPUT_DATA!$A:$A,$C13,INPUT_DATA!$C:$C,"D"))</f>
        <v>220.06</v>
      </c>
      <c r="AF13" s="736">
        <f>IF($C13=0,"",SUMIFS(INPUT_DATA!BD:BD,INPUT_DATA!$A:$A,$C13,INPUT_DATA!$C:$C,"D"))</f>
        <v>0</v>
      </c>
      <c r="AG13" s="736">
        <f>IF($C13=0,"",SUMIFS(INPUT_DATA!BE:BE,INPUT_DATA!$A:$A,$C13,INPUT_DATA!$C:$C,"D"))</f>
        <v>0</v>
      </c>
      <c r="AH13" s="736">
        <f>IF($C13=0,"",SUMIFS(INPUT_DATA!BF:BF,INPUT_DATA!$A:$A,$C13,INPUT_DATA!$C:$C,"D"))</f>
        <v>0</v>
      </c>
      <c r="AI13" s="736">
        <f>IF($C13=0,"",SUMIFS(INPUT_DATA!BG:BG,INPUT_DATA!$A:$A,$C13,INPUT_DATA!$C:$C,"D"))</f>
        <v>0</v>
      </c>
      <c r="AJ13" s="355">
        <f>IF($C13=0,"",AB13+AC13+AD13+AE13+AF13+AG13+AH13+AI13)</f>
        <v>2929.4</v>
      </c>
      <c r="AK13" s="745">
        <f>IF($C13=0,"",SUMIFS(INPUT_DATA!BI:BI,INPUT_DATA!$A:$A,$C13,INPUT_DATA!$C:$C,"D"))</f>
        <v>0</v>
      </c>
      <c r="AL13" s="745">
        <f>IF($C13=0,"",SUMIFS(INPUT_DATA!BJ:BJ,INPUT_DATA!$A:$A,$C13,INPUT_DATA!$C:$C,"D"))</f>
        <v>0</v>
      </c>
      <c r="AM13" s="745">
        <f>IF($C13=0,"",SUMIFS(INPUT_DATA!BK:BK,INPUT_DATA!$A:$A,$C13,INPUT_DATA!$C:$C,"D"))</f>
        <v>0</v>
      </c>
      <c r="AN13" s="355">
        <f>IF($C13=0,"",AA13+AJ13+AK13-AL13-AM13)</f>
        <v>27702.49</v>
      </c>
      <c r="AO13" s="356">
        <f>IF($C13=0,"",SUMIFS(INPUT_DATA!BM:BM,INPUT_DATA!$A:$A,$C13,INPUT_DATA!$C:$C,"D"))</f>
        <v>27702.49</v>
      </c>
      <c r="AP13" s="351">
        <f>IF($C13=0,"",AN13-AO13)</f>
        <v>0</v>
      </c>
      <c r="AS13" s="351">
        <f>IF($C13=0,"",T13+AO13)</f>
        <v>7698375.5699999947</v>
      </c>
      <c r="AT13" s="352"/>
      <c r="AU13" s="361">
        <f>IF($C13=0,"",'03 - Monthly Asset Follow up'!F17+'03 - Monthly Asset Follow up'!G17-'03 - Monthly Asset Follow up'!V17+'03 - Monthly Asset Follow up'!Y17-H13)</f>
        <v>-3.7252902984619141E-9</v>
      </c>
      <c r="AV13" s="361">
        <f>IF($C13=0,"",'03 - Monthly Asset Follow up'!BE17+'03 - Monthly Asset Follow up'!BF17-'03 - Monthly Asset Follow up'!BU17+'03 - Monthly Asset Follow up'!BX17-AA13)</f>
        <v>3.637978807091713E-12</v>
      </c>
      <c r="AX13" s="354"/>
    </row>
    <row r="14" spans="2:50" s="2" customFormat="1">
      <c r="B14" s="730">
        <f>IF(C15=0,"",C15+1)</f>
        <v>46143</v>
      </c>
      <c r="C14" s="733">
        <f>'03 - Monthly Asset Follow up'!B18</f>
        <v>46173</v>
      </c>
      <c r="E14" s="726">
        <f>IF($C14=0,"",SUMIFS(INPUT_DATA!AV:AV,INPUT_DATA!$A:$A,$C14,INPUT_DATA!$C:$C,"S"))</f>
        <v>4680685.1500000004</v>
      </c>
      <c r="F14" s="738">
        <f>IF($C14=0,"",SUMIFS(INPUT_DATA!AW:AW,INPUT_DATA!$A:$A,$C14,INPUT_DATA!$C:$C,"S"))</f>
        <v>86712.37</v>
      </c>
      <c r="G14" s="738">
        <f>IF($C14=0,"",SUMIFS(INPUT_DATA!AX:AX,INPUT_DATA!$A:$A,$C14,INPUT_DATA!$C:$C,"S"))</f>
        <v>2896329.51</v>
      </c>
      <c r="H14" s="739">
        <f t="shared" ref="H14:H77" si="0">IF($C14=0,"",E14+F14+G14)</f>
        <v>7663727.0300000003</v>
      </c>
      <c r="I14" s="738">
        <f>IF($C14=0,"",SUMIFS(INPUT_DATA!AZ:AZ,INPUT_DATA!$A:$A,$C14,INPUT_DATA!$C:$C,"S"))</f>
        <v>1047174.53</v>
      </c>
      <c r="J14" s="738">
        <f>IF($C14=0,"",SUMIFS(INPUT_DATA!BA:BA,INPUT_DATA!$A:$A,$C14,INPUT_DATA!$C:$C,"S"))</f>
        <v>15435.95</v>
      </c>
      <c r="K14" s="738">
        <f>IF($C14=0,"",SUMIFS(INPUT_DATA!BB:BB,INPUT_DATA!$A:$A,$C14,INPUT_DATA!$C:$C,"S"))</f>
        <v>96.58</v>
      </c>
      <c r="L14" s="738">
        <f>IF($C14=0,"",SUMIFS(INPUT_DATA!BC:BC,INPUT_DATA!$A:$A,$C14,INPUT_DATA!$C:$C,"S"))</f>
        <v>129.41999999999999</v>
      </c>
      <c r="M14" s="738">
        <f>IF($C14=0,"",SUMIFS(INPUT_DATA!BD:BD,INPUT_DATA!$A:$A,$C14,INPUT_DATA!$C:$C,"S"))</f>
        <v>0</v>
      </c>
      <c r="N14" s="738">
        <f>IF($C14=0,"",SUMIFS(INPUT_DATA!BE:BE,INPUT_DATA!$A:$A,$C14,INPUT_DATA!$C:$C,"S"))</f>
        <v>46274.8</v>
      </c>
      <c r="O14" s="738">
        <f>IF($C14=0,"",SUMIFS(INPUT_DATA!BF:BF,INPUT_DATA!$A:$A,$C14,INPUT_DATA!$C:$C,"S"))</f>
        <v>359.65</v>
      </c>
      <c r="P14" s="738">
        <f>IF($C14=0,"",SUMIFS(INPUT_DATA!BG:BG,INPUT_DATA!$A:$A,$C14,INPUT_DATA!$C:$C,"S"))</f>
        <v>0</v>
      </c>
      <c r="Q14" s="744">
        <f>IF($C14=0,"",I14+J14+K14+L14+M14+N14+O14+P14)</f>
        <v>1109470.93</v>
      </c>
      <c r="R14" s="746">
        <f>IF($C14=0,"",SUMIFS(INPUT_DATA!BI:BI,INPUT_DATA!$A:$A,$C14,INPUT_DATA!$C:$C,"S"))</f>
        <v>0</v>
      </c>
      <c r="S14" s="746">
        <f>IF($C14=0,"",SUMIFS(INPUT_DATA!BJ:BJ,INPUT_DATA!$A:$A,$C14,INPUT_DATA!$C:$C,"S"))</f>
        <v>0</v>
      </c>
      <c r="T14" s="744">
        <f>IF($C14=0,"",H14+Q14+R14-S14)</f>
        <v>8773197.9600000009</v>
      </c>
      <c r="U14" s="749">
        <f>IF($C14=0,"",SUMIFS(INPUT_DATA!BM:BM,INPUT_DATA!$A:$A,$C14,INPUT_DATA!$C:$C,"S"))</f>
        <v>8773197.9600000009</v>
      </c>
      <c r="V14" s="351">
        <f t="shared" ref="V14:V77" si="1">IF($C14=0,"",T14-U14)</f>
        <v>0</v>
      </c>
      <c r="X14" s="726">
        <f>IF($C14=0,"",SUMIFS(INPUT_DATA!AV:AV,INPUT_DATA!$A:$A,$C14,INPUT_DATA!$C:$C,"D"))</f>
        <v>6390.15</v>
      </c>
      <c r="Y14" s="738">
        <f>IF($C14=0,"",SUMIFS(INPUT_DATA!AW:AW,INPUT_DATA!$A:$A,$C14,INPUT_DATA!$C:$C,"D"))</f>
        <v>10002.48</v>
      </c>
      <c r="Z14" s="738">
        <f>IF($C14=0,"",SUMIFS(INPUT_DATA!AX:AX,INPUT_DATA!$A:$A,$C14,INPUT_DATA!$C:$C,"D"))</f>
        <v>0</v>
      </c>
      <c r="AA14" s="739">
        <f t="shared" ref="AA14:AA77" si="2">IF($C14=0,"",X14+Y14+Z14)</f>
        <v>16392.629999999997</v>
      </c>
      <c r="AB14" s="738">
        <f>IF($C14=0,"",SUMIFS(INPUT_DATA!AZ:AZ,INPUT_DATA!$A:$A,$C14,INPUT_DATA!$C:$C,"D"))</f>
        <v>545.69000000000005</v>
      </c>
      <c r="AC14" s="738">
        <f>IF($C14=0,"",SUMIFS(INPUT_DATA!BA:BA,INPUT_DATA!$A:$A,$C14,INPUT_DATA!$C:$C,"D"))</f>
        <v>2417.4</v>
      </c>
      <c r="AD14" s="738">
        <f>IF($C14=0,"",SUMIFS(INPUT_DATA!BB:BB,INPUT_DATA!$A:$A,$C14,INPUT_DATA!$C:$C,"D"))</f>
        <v>109.58</v>
      </c>
      <c r="AE14" s="738">
        <f>IF($C14=0,"",SUMIFS(INPUT_DATA!BC:BC,INPUT_DATA!$A:$A,$C14,INPUT_DATA!$C:$C,"D"))</f>
        <v>136.52000000000001</v>
      </c>
      <c r="AF14" s="738">
        <f>IF($C14=0,"",SUMIFS(INPUT_DATA!BD:BD,INPUT_DATA!$A:$A,$C14,INPUT_DATA!$C:$C,"D"))</f>
        <v>0</v>
      </c>
      <c r="AG14" s="738">
        <f>IF($C14=0,"",SUMIFS(INPUT_DATA!BE:BE,INPUT_DATA!$A:$A,$C14,INPUT_DATA!$C:$C,"D"))</f>
        <v>0</v>
      </c>
      <c r="AH14" s="738">
        <f>IF($C14=0,"",SUMIFS(INPUT_DATA!BF:BF,INPUT_DATA!$A:$A,$C14,INPUT_DATA!$C:$C,"D"))</f>
        <v>0</v>
      </c>
      <c r="AI14" s="738">
        <f>IF($C14=0,"",SUMIFS(INPUT_DATA!BG:BG,INPUT_DATA!$A:$A,$C14,INPUT_DATA!$C:$C,"D"))</f>
        <v>0</v>
      </c>
      <c r="AJ14" s="744">
        <f t="shared" ref="AJ14:AJ77" si="3">IF($C14=0,"",AB14+AC14+AD14+AE14+AF14+AG14+AH14+AI14)</f>
        <v>3209.19</v>
      </c>
      <c r="AK14" s="746">
        <f>IF($C14=0,"",SUMIFS(INPUT_DATA!BI:BI,INPUT_DATA!$A:$A,$C14,INPUT_DATA!$C:$C,"D"))</f>
        <v>0</v>
      </c>
      <c r="AL14" s="746">
        <f>IF($C14=0,"",SUMIFS(INPUT_DATA!BJ:BJ,INPUT_DATA!$A:$A,$C14,INPUT_DATA!$C:$C,"D"))</f>
        <v>0</v>
      </c>
      <c r="AM14" s="746">
        <f>IF($C14=0,"",SUMIFS(INPUT_DATA!BK:BK,INPUT_DATA!$A:$A,$C14,INPUT_DATA!$C:$C,"D"))</f>
        <v>0</v>
      </c>
      <c r="AN14" s="744">
        <f>IF($C14=0,"",AA14+AJ14+AK14-AL14-AM14)</f>
        <v>19601.819999999996</v>
      </c>
      <c r="AO14" s="749">
        <f>IF($C14=0,"",SUMIFS(INPUT_DATA!BM:BM,INPUT_DATA!$A:$A,$C14,INPUT_DATA!$C:$C,"D"))</f>
        <v>19601.82</v>
      </c>
      <c r="AP14" s="338">
        <f>IF($C14=0,"",AN14-AO14)</f>
        <v>-3.637978807091713E-12</v>
      </c>
      <c r="AS14" s="338">
        <f>IF($C14=0,"",T14+AO14)</f>
        <v>8792799.7800000012</v>
      </c>
      <c r="AT14" s="352"/>
      <c r="AU14" s="361">
        <f>IF($C14=0,"",'03 - Monthly Asset Follow up'!F18+'03 - Monthly Asset Follow up'!G18-'03 - Monthly Asset Follow up'!V18+'03 - Monthly Asset Follow up'!Y18-H14)</f>
        <v>0</v>
      </c>
      <c r="AV14" s="361">
        <f>IF($C14=0,"",'03 - Monthly Asset Follow up'!BE18+'03 - Monthly Asset Follow up'!BF18-'03 - Monthly Asset Follow up'!BU18+'03 - Monthly Asset Follow up'!BX18-AA14)</f>
        <v>3.637978807091713E-12</v>
      </c>
      <c r="AX14" s="354"/>
    </row>
    <row r="15" spans="2:50">
      <c r="B15" s="730">
        <f t="shared" ref="B15:B78" si="4">IF(C16=0,"",C16+1)</f>
        <v>46113</v>
      </c>
      <c r="C15" s="733">
        <f>'03 - Monthly Asset Follow up'!B19</f>
        <v>46142</v>
      </c>
      <c r="D15" s="149"/>
      <c r="E15" s="726">
        <f>IF($C15=0,"",SUMIFS(INPUT_DATA!AV:AV,INPUT_DATA!$A:$A,$C15,INPUT_DATA!$C:$C,"S"))</f>
        <v>4765564.3999999957</v>
      </c>
      <c r="F15" s="738">
        <f>IF($C15=0,"",SUMIFS(INPUT_DATA!AW:AW,INPUT_DATA!$A:$A,$C15,INPUT_DATA!$C:$C,"S"))</f>
        <v>94091.71</v>
      </c>
      <c r="G15" s="738">
        <f>IF($C15=0,"",SUMIFS(INPUT_DATA!AX:AX,INPUT_DATA!$A:$A,$C15,INPUT_DATA!$C:$C,"S"))</f>
        <v>843973.88000000012</v>
      </c>
      <c r="H15" s="740">
        <f t="shared" si="0"/>
        <v>5703629.9899999956</v>
      </c>
      <c r="I15" s="738">
        <f>IF($C15=0,"",SUMIFS(INPUT_DATA!AZ:AZ,INPUT_DATA!$A:$A,$C15,INPUT_DATA!$C:$C,"S"))</f>
        <v>1059415.559999998</v>
      </c>
      <c r="J15" s="738">
        <f>IF($C15=0,"",SUMIFS(INPUT_DATA!BA:BA,INPUT_DATA!$A:$A,$C15,INPUT_DATA!$C:$C,"S"))</f>
        <v>20524.710000000006</v>
      </c>
      <c r="K15" s="738">
        <f>IF($C15=0,"",SUMIFS(INPUT_DATA!BB:BB,INPUT_DATA!$A:$A,$C15,INPUT_DATA!$C:$C,"S"))</f>
        <v>153.21999999999997</v>
      </c>
      <c r="L15" s="738">
        <f>IF($C15=0,"",SUMIFS(INPUT_DATA!BC:BC,INPUT_DATA!$A:$A,$C15,INPUT_DATA!$C:$C,"S"))</f>
        <v>209.61999999999998</v>
      </c>
      <c r="M15" s="738">
        <f>IF($C15=0,"",SUMIFS(INPUT_DATA!BD:BD,INPUT_DATA!$A:$A,$C15,INPUT_DATA!$C:$C,"S"))</f>
        <v>0</v>
      </c>
      <c r="N15" s="738">
        <f>IF($C15=0,"",SUMIFS(INPUT_DATA!BE:BE,INPUT_DATA!$A:$A,$C15,INPUT_DATA!$C:$C,"S"))</f>
        <v>3873.57</v>
      </c>
      <c r="O15" s="738">
        <f>IF($C15=0,"",SUMIFS(INPUT_DATA!BF:BF,INPUT_DATA!$A:$A,$C15,INPUT_DATA!$C:$C,"S"))</f>
        <v>0</v>
      </c>
      <c r="P15" s="738">
        <f>IF($C15=0,"",SUMIFS(INPUT_DATA!BG:BG,INPUT_DATA!$A:$A,$C15,INPUT_DATA!$C:$C,"S"))</f>
        <v>0</v>
      </c>
      <c r="Q15" s="744">
        <f t="shared" ref="Q15:Q78" si="5">IF($C15=0,"",I15+J15+K15+L15+M15+N15+O15+P15)</f>
        <v>1084176.6799999981</v>
      </c>
      <c r="R15" s="746">
        <f>IF($C15=0,"",SUMIFS(INPUT_DATA!BI:BI,INPUT_DATA!$A:$A,$C15,INPUT_DATA!$C:$C,"S"))</f>
        <v>0</v>
      </c>
      <c r="S15" s="746">
        <f>IF($C15=0,"",SUMIFS(INPUT_DATA!BJ:BJ,INPUT_DATA!$A:$A,$C15,INPUT_DATA!$C:$C,"S"))</f>
        <v>0</v>
      </c>
      <c r="T15" s="744">
        <f t="shared" ref="T15:T78" si="6">IF($C15=0,"",H15+Q15+R15-S15)</f>
        <v>6787806.6699999934</v>
      </c>
      <c r="U15" s="749">
        <f>IF($C15=0,"",SUMIFS(INPUT_DATA!BM:BM,INPUT_DATA!$A:$A,$C15,INPUT_DATA!$C:$C,"S"))</f>
        <v>6787806.6699999804</v>
      </c>
      <c r="V15" s="155">
        <f t="shared" si="1"/>
        <v>1.3038516044616699E-8</v>
      </c>
      <c r="W15" s="149"/>
      <c r="X15" s="726">
        <f>IF($C15=0,"",SUMIFS(INPUT_DATA!AV:AV,INPUT_DATA!$A:$A,$C15,INPUT_DATA!$C:$C,"D"))</f>
        <v>6383.24</v>
      </c>
      <c r="Y15" s="738">
        <f>IF($C15=0,"",SUMIFS(INPUT_DATA!AW:AW,INPUT_DATA!$A:$A,$C15,INPUT_DATA!$C:$C,"D"))</f>
        <v>7120.7300000000005</v>
      </c>
      <c r="Z15" s="738">
        <f>IF($C15=0,"",SUMIFS(INPUT_DATA!AX:AX,INPUT_DATA!$A:$A,$C15,INPUT_DATA!$C:$C,"D"))</f>
        <v>55311.09</v>
      </c>
      <c r="AA15" s="739">
        <f t="shared" si="2"/>
        <v>68815.06</v>
      </c>
      <c r="AB15" s="738">
        <f>IF($C15=0,"",SUMIFS(INPUT_DATA!AZ:AZ,INPUT_DATA!$A:$A,$C15,INPUT_DATA!$C:$C,"D"))</f>
        <v>552.6</v>
      </c>
      <c r="AC15" s="738">
        <f>IF($C15=0,"",SUMIFS(INPUT_DATA!BA:BA,INPUT_DATA!$A:$A,$C15,INPUT_DATA!$C:$C,"D"))</f>
        <v>751.75</v>
      </c>
      <c r="AD15" s="738">
        <f>IF($C15=0,"",SUMIFS(INPUT_DATA!BB:BB,INPUT_DATA!$A:$A,$C15,INPUT_DATA!$C:$C,"D"))</f>
        <v>73.489999999999981</v>
      </c>
      <c r="AE15" s="738">
        <f>IF($C15=0,"",SUMIFS(INPUT_DATA!BC:BC,INPUT_DATA!$A:$A,$C15,INPUT_DATA!$C:$C,"D"))</f>
        <v>95.2</v>
      </c>
      <c r="AF15" s="738">
        <f>IF($C15=0,"",SUMIFS(INPUT_DATA!BD:BD,INPUT_DATA!$A:$A,$C15,INPUT_DATA!$C:$C,"D"))</f>
        <v>0</v>
      </c>
      <c r="AG15" s="738">
        <f>IF($C15=0,"",SUMIFS(INPUT_DATA!BE:BE,INPUT_DATA!$A:$A,$C15,INPUT_DATA!$C:$C,"D"))</f>
        <v>497.8</v>
      </c>
      <c r="AH15" s="738">
        <f>IF($C15=0,"",SUMIFS(INPUT_DATA!BF:BF,INPUT_DATA!$A:$A,$C15,INPUT_DATA!$C:$C,"D"))</f>
        <v>0</v>
      </c>
      <c r="AI15" s="738">
        <f>IF($C15=0,"",SUMIFS(INPUT_DATA!BG:BG,INPUT_DATA!$A:$A,$C15,INPUT_DATA!$C:$C,"D"))</f>
        <v>0</v>
      </c>
      <c r="AJ15" s="299">
        <f t="shared" si="3"/>
        <v>1970.84</v>
      </c>
      <c r="AK15" s="746">
        <f>IF($C15=0,"",SUMIFS(INPUT_DATA!BI:BI,INPUT_DATA!$A:$A,$C15,INPUT_DATA!$C:$C,"D"))</f>
        <v>0</v>
      </c>
      <c r="AL15" s="746">
        <f>IF($C15=0,"",SUMIFS(INPUT_DATA!BJ:BJ,INPUT_DATA!$A:$A,$C15,INPUT_DATA!$C:$C,"D"))</f>
        <v>0</v>
      </c>
      <c r="AM15" s="746">
        <f>IF($C15=0,"",SUMIFS(INPUT_DATA!BK:BK,INPUT_DATA!$A:$A,$C15,INPUT_DATA!$C:$C,"D"))</f>
        <v>0</v>
      </c>
      <c r="AN15" s="744">
        <f t="shared" ref="AN15:AN78" si="7">IF($C15=0,"",AA15+AJ15+AK15-AL15-AM15)</f>
        <v>70785.899999999994</v>
      </c>
      <c r="AO15" s="749">
        <f>IF($C15=0,"",SUMIFS(INPUT_DATA!BM:BM,INPUT_DATA!$A:$A,$C15,INPUT_DATA!$C:$C,"D"))</f>
        <v>70785.899999999994</v>
      </c>
      <c r="AP15" s="338">
        <f t="shared" ref="AP15:AP78" si="8">IF($C15=0,"",AN15-AO15)</f>
        <v>0</v>
      </c>
      <c r="AQ15" s="149"/>
      <c r="AS15" s="338">
        <f t="shared" ref="AS15:AS78" si="9">IF($C15=0,"",T15+AO15)</f>
        <v>6858592.5699999938</v>
      </c>
      <c r="AT15" s="5"/>
      <c r="AU15" s="361">
        <f>IF($C15=0,"",'03 - Monthly Asset Follow up'!F19+'03 - Monthly Asset Follow up'!G19-'03 - Monthly Asset Follow up'!V19+'03 - Monthly Asset Follow up'!Y19-H15)</f>
        <v>0</v>
      </c>
      <c r="AV15" s="361">
        <f>IF($C15=0,"",'03 - Monthly Asset Follow up'!BE19+'03 - Monthly Asset Follow up'!BF19-'03 - Monthly Asset Follow up'!BU19+'03 - Monthly Asset Follow up'!BX19-AA15)</f>
        <v>-1.4551915228366852E-11</v>
      </c>
      <c r="AX15" s="154"/>
    </row>
    <row r="16" spans="2:50">
      <c r="B16" s="730">
        <f t="shared" si="4"/>
        <v>46082</v>
      </c>
      <c r="C16" s="733">
        <f>'03 - Monthly Asset Follow up'!B20</f>
        <v>46112</v>
      </c>
      <c r="D16" s="149"/>
      <c r="E16" s="726">
        <f>IF($C16=0,"",SUMIFS(INPUT_DATA!AV:AV,INPUT_DATA!$A:$A,$C16,INPUT_DATA!$C:$C,"S"))</f>
        <v>5325140.8599999994</v>
      </c>
      <c r="F16" s="738">
        <f>IF($C16=0,"",SUMIFS(INPUT_DATA!AW:AW,INPUT_DATA!$A:$A,$C16,INPUT_DATA!$C:$C,"S"))</f>
        <v>81065.73</v>
      </c>
      <c r="G16" s="738">
        <f>IF($C16=0,"",SUMIFS(INPUT_DATA!AX:AX,INPUT_DATA!$A:$A,$C16,INPUT_DATA!$C:$C,"S"))</f>
        <v>1918641.2699999998</v>
      </c>
      <c r="H16" s="740">
        <f t="shared" si="0"/>
        <v>7324847.8599999994</v>
      </c>
      <c r="I16" s="738">
        <f>IF($C16=0,"",SUMIFS(INPUT_DATA!AZ:AZ,INPUT_DATA!$A:$A,$C16,INPUT_DATA!$C:$C,"S"))</f>
        <v>1062629.6100000013</v>
      </c>
      <c r="J16" s="738">
        <f>IF($C16=0,"",SUMIFS(INPUT_DATA!BA:BA,INPUT_DATA!$A:$A,$C16,INPUT_DATA!$C:$C,"S"))</f>
        <v>20184.03</v>
      </c>
      <c r="K16" s="738">
        <f>IF($C16=0,"",SUMIFS(INPUT_DATA!BB:BB,INPUT_DATA!$A:$A,$C16,INPUT_DATA!$C:$C,"S"))</f>
        <v>100.07000000000001</v>
      </c>
      <c r="L16" s="738">
        <f>IF($C16=0,"",SUMIFS(INPUT_DATA!BC:BC,INPUT_DATA!$A:$A,$C16,INPUT_DATA!$C:$C,"S"))</f>
        <v>134.84999999999997</v>
      </c>
      <c r="M16" s="738">
        <f>IF($C16=0,"",SUMIFS(INPUT_DATA!BD:BD,INPUT_DATA!$A:$A,$C16,INPUT_DATA!$C:$C,"S"))</f>
        <v>0</v>
      </c>
      <c r="N16" s="738">
        <f>IF($C16=0,"",SUMIFS(INPUT_DATA!BE:BE,INPUT_DATA!$A:$A,$C16,INPUT_DATA!$C:$C,"S"))</f>
        <v>14305.61</v>
      </c>
      <c r="O16" s="738">
        <f>IF($C16=0,"",SUMIFS(INPUT_DATA!BF:BF,INPUT_DATA!$A:$A,$C16,INPUT_DATA!$C:$C,"S"))</f>
        <v>0</v>
      </c>
      <c r="P16" s="738">
        <f>IF($C16=0,"",SUMIFS(INPUT_DATA!BG:BG,INPUT_DATA!$A:$A,$C16,INPUT_DATA!$C:$C,"S"))</f>
        <v>0</v>
      </c>
      <c r="Q16" s="744">
        <f t="shared" si="5"/>
        <v>1097354.1700000016</v>
      </c>
      <c r="R16" s="746">
        <f>IF($C16=0,"",SUMIFS(INPUT_DATA!BI:BI,INPUT_DATA!$A:$A,$C16,INPUT_DATA!$C:$C,"S"))</f>
        <v>0</v>
      </c>
      <c r="S16" s="746">
        <f>IF($C16=0,"",SUMIFS(INPUT_DATA!BJ:BJ,INPUT_DATA!$A:$A,$C16,INPUT_DATA!$C:$C,"S"))</f>
        <v>0</v>
      </c>
      <c r="T16" s="744">
        <f t="shared" si="6"/>
        <v>8422202.0300000012</v>
      </c>
      <c r="U16" s="749">
        <f>IF($C16=0,"",SUMIFS(INPUT_DATA!BM:BM,INPUT_DATA!$A:$A,$C16,INPUT_DATA!$C:$C,"S"))</f>
        <v>8422202.02999999</v>
      </c>
      <c r="V16" s="155">
        <f t="shared" si="1"/>
        <v>1.1175870895385742E-8</v>
      </c>
      <c r="W16" s="149"/>
      <c r="X16" s="726">
        <f>IF($C16=0,"",SUMIFS(INPUT_DATA!AV:AV,INPUT_DATA!$A:$A,$C16,INPUT_DATA!$C:$C,"D"))</f>
        <v>5899.12</v>
      </c>
      <c r="Y16" s="738">
        <f>IF($C16=0,"",SUMIFS(INPUT_DATA!AW:AW,INPUT_DATA!$A:$A,$C16,INPUT_DATA!$C:$C,"D"))</f>
        <v>971.15</v>
      </c>
      <c r="Z16" s="738">
        <f>IF($C16=0,"",SUMIFS(INPUT_DATA!AX:AX,INPUT_DATA!$A:$A,$C16,INPUT_DATA!$C:$C,"D"))</f>
        <v>0</v>
      </c>
      <c r="AA16" s="739">
        <f t="shared" si="2"/>
        <v>6870.2699999999995</v>
      </c>
      <c r="AB16" s="738">
        <f>IF($C16=0,"",SUMIFS(INPUT_DATA!AZ:AZ,INPUT_DATA!$A:$A,$C16,INPUT_DATA!$C:$C,"D"))</f>
        <v>537.29999999999995</v>
      </c>
      <c r="AC16" s="738">
        <f>IF($C16=0,"",SUMIFS(INPUT_DATA!BA:BA,INPUT_DATA!$A:$A,$C16,INPUT_DATA!$C:$C,"D"))</f>
        <v>97.12</v>
      </c>
      <c r="AD16" s="738">
        <f>IF($C16=0,"",SUMIFS(INPUT_DATA!BB:BB,INPUT_DATA!$A:$A,$C16,INPUT_DATA!$C:$C,"D"))</f>
        <v>15.44</v>
      </c>
      <c r="AE16" s="738">
        <f>IF($C16=0,"",SUMIFS(INPUT_DATA!BC:BC,INPUT_DATA!$A:$A,$C16,INPUT_DATA!$C:$C,"D"))</f>
        <v>11.500000000000002</v>
      </c>
      <c r="AF16" s="738">
        <f>IF($C16=0,"",SUMIFS(INPUT_DATA!BD:BD,INPUT_DATA!$A:$A,$C16,INPUT_DATA!$C:$C,"D"))</f>
        <v>0</v>
      </c>
      <c r="AG16" s="738">
        <f>IF($C16=0,"",SUMIFS(INPUT_DATA!BE:BE,INPUT_DATA!$A:$A,$C16,INPUT_DATA!$C:$C,"D"))</f>
        <v>0</v>
      </c>
      <c r="AH16" s="738">
        <f>IF($C16=0,"",SUMIFS(INPUT_DATA!BF:BF,INPUT_DATA!$A:$A,$C16,INPUT_DATA!$C:$C,"D"))</f>
        <v>0</v>
      </c>
      <c r="AI16" s="738">
        <f>IF($C16=0,"",SUMIFS(INPUT_DATA!BG:BG,INPUT_DATA!$A:$A,$C16,INPUT_DATA!$C:$C,"D"))</f>
        <v>0</v>
      </c>
      <c r="AJ16" s="299">
        <f t="shared" si="3"/>
        <v>661.36</v>
      </c>
      <c r="AK16" s="746">
        <f>IF($C16=0,"",SUMIFS(INPUT_DATA!BI:BI,INPUT_DATA!$A:$A,$C16,INPUT_DATA!$C:$C,"D"))</f>
        <v>0</v>
      </c>
      <c r="AL16" s="746">
        <f>IF($C16=0,"",SUMIFS(INPUT_DATA!BJ:BJ,INPUT_DATA!$A:$A,$C16,INPUT_DATA!$C:$C,"D"))</f>
        <v>0</v>
      </c>
      <c r="AM16" s="746">
        <f>IF($C16=0,"",SUMIFS(INPUT_DATA!BK:BK,INPUT_DATA!$A:$A,$C16,INPUT_DATA!$C:$C,"D"))</f>
        <v>0</v>
      </c>
      <c r="AN16" s="744">
        <f t="shared" si="7"/>
        <v>7531.6299999999992</v>
      </c>
      <c r="AO16" s="749">
        <f>IF($C16=0,"",SUMIFS(INPUT_DATA!BM:BM,INPUT_DATA!$A:$A,$C16,INPUT_DATA!$C:$C,"D"))</f>
        <v>7531.63</v>
      </c>
      <c r="AP16" s="338">
        <f t="shared" si="8"/>
        <v>-9.0949470177292824E-13</v>
      </c>
      <c r="AQ16" s="149"/>
      <c r="AS16" s="338">
        <f t="shared" si="9"/>
        <v>8429733.660000002</v>
      </c>
      <c r="AU16" s="361">
        <f>IF($C16=0,"",'03 - Monthly Asset Follow up'!F20+'03 - Monthly Asset Follow up'!G20-'03 - Monthly Asset Follow up'!V20+'03 - Monthly Asset Follow up'!Y20-H16)</f>
        <v>-9.3132257461547852E-10</v>
      </c>
      <c r="AV16" s="361">
        <f>IF($C16=0,"",'03 - Monthly Asset Follow up'!BE20+'03 - Monthly Asset Follow up'!BF20-'03 - Monthly Asset Follow up'!BU20+'03 - Monthly Asset Follow up'!BX20-AA16)</f>
        <v>2.7284841053187847E-12</v>
      </c>
      <c r="AX16" s="154"/>
    </row>
    <row r="17" spans="2:50">
      <c r="B17" s="730">
        <f t="shared" si="4"/>
        <v>46054</v>
      </c>
      <c r="C17" s="733">
        <f>'03 - Monthly Asset Follow up'!B21</f>
        <v>46081</v>
      </c>
      <c r="D17" s="149"/>
      <c r="E17" s="726">
        <f>IF($C17=0,"",SUMIFS(INPUT_DATA!AV:AV,INPUT_DATA!$A:$A,$C17,INPUT_DATA!$C:$C,"S"))</f>
        <v>4834979.6400000127</v>
      </c>
      <c r="F17" s="738">
        <f>IF($C17=0,"",SUMIFS(INPUT_DATA!AW:AW,INPUT_DATA!$A:$A,$C17,INPUT_DATA!$C:$C,"S"))</f>
        <v>76248.110000000015</v>
      </c>
      <c r="G17" s="738">
        <f>IF($C17=0,"",SUMIFS(INPUT_DATA!AX:AX,INPUT_DATA!$A:$A,$C17,INPUT_DATA!$C:$C,"S"))</f>
        <v>625313.35000000009</v>
      </c>
      <c r="H17" s="740">
        <f t="shared" si="0"/>
        <v>5536541.1000000127</v>
      </c>
      <c r="I17" s="738">
        <f>IF($C17=0,"",SUMIFS(INPUT_DATA!AZ:AZ,INPUT_DATA!$A:$A,$C17,INPUT_DATA!$C:$C,"S"))</f>
        <v>1017892.0699999984</v>
      </c>
      <c r="J17" s="738">
        <f>IF($C17=0,"",SUMIFS(INPUT_DATA!BA:BA,INPUT_DATA!$A:$A,$C17,INPUT_DATA!$C:$C,"S"))</f>
        <v>12498.42</v>
      </c>
      <c r="K17" s="738">
        <f>IF($C17=0,"",SUMIFS(INPUT_DATA!BB:BB,INPUT_DATA!$A:$A,$C17,INPUT_DATA!$C:$C,"S"))</f>
        <v>133.62999999999997</v>
      </c>
      <c r="L17" s="738">
        <f>IF($C17=0,"",SUMIFS(INPUT_DATA!BC:BC,INPUT_DATA!$A:$A,$C17,INPUT_DATA!$C:$C,"S"))</f>
        <v>146.1</v>
      </c>
      <c r="M17" s="738">
        <f>IF($C17=0,"",SUMIFS(INPUT_DATA!BD:BD,INPUT_DATA!$A:$A,$C17,INPUT_DATA!$C:$C,"S"))</f>
        <v>0</v>
      </c>
      <c r="N17" s="738">
        <f>IF($C17=0,"",SUMIFS(INPUT_DATA!BE:BE,INPUT_DATA!$A:$A,$C17,INPUT_DATA!$C:$C,"S"))</f>
        <v>692.16</v>
      </c>
      <c r="O17" s="738">
        <f>IF($C17=0,"",SUMIFS(INPUT_DATA!BF:BF,INPUT_DATA!$A:$A,$C17,INPUT_DATA!$C:$C,"S"))</f>
        <v>0</v>
      </c>
      <c r="P17" s="738">
        <f>IF($C17=0,"",SUMIFS(INPUT_DATA!BG:BG,INPUT_DATA!$A:$A,$C17,INPUT_DATA!$C:$C,"S"))</f>
        <v>0</v>
      </c>
      <c r="Q17" s="744">
        <f t="shared" si="5"/>
        <v>1031362.3799999985</v>
      </c>
      <c r="R17" s="746">
        <f>IF($C17=0,"",SUMIFS(INPUT_DATA!BI:BI,INPUT_DATA!$A:$A,$C17,INPUT_DATA!$C:$C,"S"))</f>
        <v>0</v>
      </c>
      <c r="S17" s="746">
        <f>IF($C17=0,"",SUMIFS(INPUT_DATA!BJ:BJ,INPUT_DATA!$A:$A,$C17,INPUT_DATA!$C:$C,"S"))</f>
        <v>0</v>
      </c>
      <c r="T17" s="744">
        <f t="shared" si="6"/>
        <v>6567903.4800000116</v>
      </c>
      <c r="U17" s="749">
        <f>IF($C17=0,"",SUMIFS(INPUT_DATA!BM:BM,INPUT_DATA!$A:$A,$C17,INPUT_DATA!$C:$C,"S"))</f>
        <v>6567903.4800000181</v>
      </c>
      <c r="V17" s="155">
        <f t="shared" si="1"/>
        <v>-6.5192580223083496E-9</v>
      </c>
      <c r="W17" s="149"/>
      <c r="X17" s="726">
        <f>IF($C17=0,"",SUMIFS(INPUT_DATA!AV:AV,INPUT_DATA!$A:$A,$C17,INPUT_DATA!$C:$C,"D"))</f>
        <v>5704.76</v>
      </c>
      <c r="Y17" s="738">
        <f>IF($C17=0,"",SUMIFS(INPUT_DATA!AW:AW,INPUT_DATA!$A:$A,$C17,INPUT_DATA!$C:$C,"D"))</f>
        <v>0</v>
      </c>
      <c r="Z17" s="738">
        <f>IF($C17=0,"",SUMIFS(INPUT_DATA!AX:AX,INPUT_DATA!$A:$A,$C17,INPUT_DATA!$C:$C,"D"))</f>
        <v>0</v>
      </c>
      <c r="AA17" s="739">
        <f t="shared" si="2"/>
        <v>5704.76</v>
      </c>
      <c r="AB17" s="738">
        <f>IF($C17=0,"",SUMIFS(INPUT_DATA!AZ:AZ,INPUT_DATA!$A:$A,$C17,INPUT_DATA!$C:$C,"D"))</f>
        <v>542.49</v>
      </c>
      <c r="AC17" s="738">
        <f>IF($C17=0,"",SUMIFS(INPUT_DATA!BA:BA,INPUT_DATA!$A:$A,$C17,INPUT_DATA!$C:$C,"D"))</f>
        <v>0</v>
      </c>
      <c r="AD17" s="738">
        <f>IF($C17=0,"",SUMIFS(INPUT_DATA!BB:BB,INPUT_DATA!$A:$A,$C17,INPUT_DATA!$C:$C,"D"))</f>
        <v>0</v>
      </c>
      <c r="AE17" s="738">
        <f>IF($C17=0,"",SUMIFS(INPUT_DATA!BC:BC,INPUT_DATA!$A:$A,$C17,INPUT_DATA!$C:$C,"D"))</f>
        <v>0</v>
      </c>
      <c r="AF17" s="738">
        <f>IF($C17=0,"",SUMIFS(INPUT_DATA!BD:BD,INPUT_DATA!$A:$A,$C17,INPUT_DATA!$C:$C,"D"))</f>
        <v>0</v>
      </c>
      <c r="AG17" s="738">
        <f>IF($C17=0,"",SUMIFS(INPUT_DATA!BE:BE,INPUT_DATA!$A:$A,$C17,INPUT_DATA!$C:$C,"D"))</f>
        <v>0</v>
      </c>
      <c r="AH17" s="738">
        <f>IF($C17=0,"",SUMIFS(INPUT_DATA!BF:BF,INPUT_DATA!$A:$A,$C17,INPUT_DATA!$C:$C,"D"))</f>
        <v>0</v>
      </c>
      <c r="AI17" s="738">
        <f>IF($C17=0,"",SUMIFS(INPUT_DATA!BG:BG,INPUT_DATA!$A:$A,$C17,INPUT_DATA!$C:$C,"D"))</f>
        <v>0</v>
      </c>
      <c r="AJ17" s="299">
        <f t="shared" si="3"/>
        <v>542.49</v>
      </c>
      <c r="AK17" s="746">
        <f>IF($C17=0,"",SUMIFS(INPUT_DATA!BI:BI,INPUT_DATA!$A:$A,$C17,INPUT_DATA!$C:$C,"D"))</f>
        <v>0</v>
      </c>
      <c r="AL17" s="746">
        <f>IF($C17=0,"",SUMIFS(INPUT_DATA!BJ:BJ,INPUT_DATA!$A:$A,$C17,INPUT_DATA!$C:$C,"D"))</f>
        <v>0</v>
      </c>
      <c r="AM17" s="746">
        <f>IF($C17=0,"",SUMIFS(INPUT_DATA!BK:BK,INPUT_DATA!$A:$A,$C17,INPUT_DATA!$C:$C,"D"))</f>
        <v>0</v>
      </c>
      <c r="AN17" s="744">
        <f t="shared" si="7"/>
        <v>6247.25</v>
      </c>
      <c r="AO17" s="749">
        <f>IF($C17=0,"",SUMIFS(INPUT_DATA!BM:BM,INPUT_DATA!$A:$A,$C17,INPUT_DATA!$C:$C,"D"))</f>
        <v>6247.25</v>
      </c>
      <c r="AP17" s="338">
        <f t="shared" si="8"/>
        <v>0</v>
      </c>
      <c r="AQ17" s="149"/>
      <c r="AS17" s="338">
        <f t="shared" si="9"/>
        <v>6574150.7300000116</v>
      </c>
      <c r="AU17" s="361">
        <f>IF($C17=0,"",'03 - Monthly Asset Follow up'!F21+'03 - Monthly Asset Follow up'!G21-'03 - Monthly Asset Follow up'!V21+'03 - Monthly Asset Follow up'!Y21-H17)</f>
        <v>3.7252902984619141E-9</v>
      </c>
      <c r="AV17" s="361">
        <f>IF($C17=0,"",'03 - Monthly Asset Follow up'!BE21+'03 - Monthly Asset Follow up'!BF21-'03 - Monthly Asset Follow up'!BU21+'03 - Monthly Asset Follow up'!BX21-AA17)</f>
        <v>9.0949470177292824E-13</v>
      </c>
      <c r="AX17" s="154"/>
    </row>
    <row r="18" spans="2:50">
      <c r="B18" s="730">
        <f t="shared" si="4"/>
        <v>46023</v>
      </c>
      <c r="C18" s="733">
        <f>'03 - Monthly Asset Follow up'!B22</f>
        <v>46053</v>
      </c>
      <c r="D18" s="149"/>
      <c r="E18" s="726">
        <f>IF($C18=0,"",SUMIFS(INPUT_DATA!AV:AV,INPUT_DATA!$A:$A,$C18,INPUT_DATA!$C:$C,"S"))</f>
        <v>4881830.4300000062</v>
      </c>
      <c r="F18" s="738">
        <f>IF($C18=0,"",SUMIFS(INPUT_DATA!AW:AW,INPUT_DATA!$A:$A,$C18,INPUT_DATA!$C:$C,"S"))</f>
        <v>68249.829999999987</v>
      </c>
      <c r="G18" s="738">
        <f>IF($C18=0,"",SUMIFS(INPUT_DATA!AX:AX,INPUT_DATA!$A:$A,$C18,INPUT_DATA!$C:$C,"S"))</f>
        <v>1524250.5</v>
      </c>
      <c r="H18" s="740">
        <f t="shared" si="0"/>
        <v>6474330.7600000063</v>
      </c>
      <c r="I18" s="738">
        <f>IF($C18=0,"",SUMIFS(INPUT_DATA!AZ:AZ,INPUT_DATA!$A:$A,$C18,INPUT_DATA!$C:$C,"S"))</f>
        <v>1037717.8899999976</v>
      </c>
      <c r="J18" s="738">
        <f>IF($C18=0,"",SUMIFS(INPUT_DATA!BA:BA,INPUT_DATA!$A:$A,$C18,INPUT_DATA!$C:$C,"S"))</f>
        <v>11404.43</v>
      </c>
      <c r="K18" s="738">
        <f>IF($C18=0,"",SUMIFS(INPUT_DATA!BB:BB,INPUT_DATA!$A:$A,$C18,INPUT_DATA!$C:$C,"S"))</f>
        <v>114.27000000000001</v>
      </c>
      <c r="L18" s="738">
        <f>IF($C18=0,"",SUMIFS(INPUT_DATA!BC:BC,INPUT_DATA!$A:$A,$C18,INPUT_DATA!$C:$C,"S"))</f>
        <v>144.04999999999993</v>
      </c>
      <c r="M18" s="738">
        <f>IF($C18=0,"",SUMIFS(INPUT_DATA!BD:BD,INPUT_DATA!$A:$A,$C18,INPUT_DATA!$C:$C,"S"))</f>
        <v>0</v>
      </c>
      <c r="N18" s="738">
        <f>IF($C18=0,"",SUMIFS(INPUT_DATA!BE:BE,INPUT_DATA!$A:$A,$C18,INPUT_DATA!$C:$C,"S"))</f>
        <v>9800.3399999999983</v>
      </c>
      <c r="O18" s="738">
        <f>IF($C18=0,"",SUMIFS(INPUT_DATA!BF:BF,INPUT_DATA!$A:$A,$C18,INPUT_DATA!$C:$C,"S"))</f>
        <v>293.14999999999998</v>
      </c>
      <c r="P18" s="738">
        <f>IF($C18=0,"",SUMIFS(INPUT_DATA!BG:BG,INPUT_DATA!$A:$A,$C18,INPUT_DATA!$C:$C,"S"))</f>
        <v>0</v>
      </c>
      <c r="Q18" s="744">
        <f t="shared" si="5"/>
        <v>1059474.1299999976</v>
      </c>
      <c r="R18" s="746">
        <f>IF($C18=0,"",SUMIFS(INPUT_DATA!BI:BI,INPUT_DATA!$A:$A,$C18,INPUT_DATA!$C:$C,"S"))</f>
        <v>0</v>
      </c>
      <c r="S18" s="746">
        <f>IF($C18=0,"",SUMIFS(INPUT_DATA!BJ:BJ,INPUT_DATA!$A:$A,$C18,INPUT_DATA!$C:$C,"S"))</f>
        <v>0</v>
      </c>
      <c r="T18" s="744">
        <f t="shared" si="6"/>
        <v>7533804.8900000043</v>
      </c>
      <c r="U18" s="749">
        <f>IF($C18=0,"",SUMIFS(INPUT_DATA!BM:BM,INPUT_DATA!$A:$A,$C18,INPUT_DATA!$C:$C,"S"))</f>
        <v>7533804.8900000192</v>
      </c>
      <c r="V18" s="155">
        <f t="shared" si="1"/>
        <v>-1.4901161193847656E-8</v>
      </c>
      <c r="W18" s="149"/>
      <c r="X18" s="726">
        <f>IF($C18=0,"",SUMIFS(INPUT_DATA!AV:AV,INPUT_DATA!$A:$A,$C18,INPUT_DATA!$C:$C,"D"))</f>
        <v>5608.1</v>
      </c>
      <c r="Y18" s="738">
        <f>IF($C18=0,"",SUMIFS(INPUT_DATA!AW:AW,INPUT_DATA!$A:$A,$C18,INPUT_DATA!$C:$C,"D"))</f>
        <v>3579.25</v>
      </c>
      <c r="Z18" s="738">
        <f>IF($C18=0,"",SUMIFS(INPUT_DATA!AX:AX,INPUT_DATA!$A:$A,$C18,INPUT_DATA!$C:$C,"D"))</f>
        <v>0</v>
      </c>
      <c r="AA18" s="739">
        <f t="shared" si="2"/>
        <v>9187.35</v>
      </c>
      <c r="AB18" s="738">
        <f>IF($C18=0,"",SUMIFS(INPUT_DATA!AZ:AZ,INPUT_DATA!$A:$A,$C18,INPUT_DATA!$C:$C,"D"))</f>
        <v>547.68999999999994</v>
      </c>
      <c r="AC18" s="738">
        <f>IF($C18=0,"",SUMIFS(INPUT_DATA!BA:BA,INPUT_DATA!$A:$A,$C18,INPUT_DATA!$C:$C,"D"))</f>
        <v>836.48</v>
      </c>
      <c r="AD18" s="738">
        <f>IF($C18=0,"",SUMIFS(INPUT_DATA!BB:BB,INPUT_DATA!$A:$A,$C18,INPUT_DATA!$C:$C,"D"))</f>
        <v>39.989999999999995</v>
      </c>
      <c r="AE18" s="738">
        <f>IF($C18=0,"",SUMIFS(INPUT_DATA!BC:BC,INPUT_DATA!$A:$A,$C18,INPUT_DATA!$C:$C,"D"))</f>
        <v>34.17</v>
      </c>
      <c r="AF18" s="738">
        <f>IF($C18=0,"",SUMIFS(INPUT_DATA!BD:BD,INPUT_DATA!$A:$A,$C18,INPUT_DATA!$C:$C,"D"))</f>
        <v>0</v>
      </c>
      <c r="AG18" s="738">
        <f>IF($C18=0,"",SUMIFS(INPUT_DATA!BE:BE,INPUT_DATA!$A:$A,$C18,INPUT_DATA!$C:$C,"D"))</f>
        <v>0</v>
      </c>
      <c r="AH18" s="738">
        <f>IF($C18=0,"",SUMIFS(INPUT_DATA!BF:BF,INPUT_DATA!$A:$A,$C18,INPUT_DATA!$C:$C,"D"))</f>
        <v>0</v>
      </c>
      <c r="AI18" s="738">
        <f>IF($C18=0,"",SUMIFS(INPUT_DATA!BG:BG,INPUT_DATA!$A:$A,$C18,INPUT_DATA!$C:$C,"D"))</f>
        <v>0</v>
      </c>
      <c r="AJ18" s="299">
        <f t="shared" si="3"/>
        <v>1458.3300000000002</v>
      </c>
      <c r="AK18" s="746">
        <f>IF($C18=0,"",SUMIFS(INPUT_DATA!BI:BI,INPUT_DATA!$A:$A,$C18,INPUT_DATA!$C:$C,"D"))</f>
        <v>0</v>
      </c>
      <c r="AL18" s="746">
        <f>IF($C18=0,"",SUMIFS(INPUT_DATA!BJ:BJ,INPUT_DATA!$A:$A,$C18,INPUT_DATA!$C:$C,"D"))</f>
        <v>0</v>
      </c>
      <c r="AM18" s="746">
        <f>IF($C18=0,"",SUMIFS(INPUT_DATA!BK:BK,INPUT_DATA!$A:$A,$C18,INPUT_DATA!$C:$C,"D"))</f>
        <v>0</v>
      </c>
      <c r="AN18" s="744">
        <f t="shared" si="7"/>
        <v>10645.68</v>
      </c>
      <c r="AO18" s="749">
        <f>IF($C18=0,"",SUMIFS(INPUT_DATA!BM:BM,INPUT_DATA!$A:$A,$C18,INPUT_DATA!$C:$C,"D"))</f>
        <v>10645.68</v>
      </c>
      <c r="AP18" s="338">
        <f t="shared" si="8"/>
        <v>0</v>
      </c>
      <c r="AQ18" s="149"/>
      <c r="AS18" s="338">
        <f t="shared" si="9"/>
        <v>7544450.570000004</v>
      </c>
      <c r="AU18" s="361">
        <f>IF($C18=0,"",'03 - Monthly Asset Follow up'!F22+'03 - Monthly Asset Follow up'!G22-'03 - Monthly Asset Follow up'!V22+'03 - Monthly Asset Follow up'!Y22-H18)</f>
        <v>-3.7252902984619141E-9</v>
      </c>
      <c r="AV18" s="361">
        <f>IF($C18=0,"",'03 - Monthly Asset Follow up'!BE22+'03 - Monthly Asset Follow up'!BF22-'03 - Monthly Asset Follow up'!BU22+'03 - Monthly Asset Follow up'!BX22-AA18)</f>
        <v>0</v>
      </c>
      <c r="AX18" s="154"/>
    </row>
    <row r="19" spans="2:50">
      <c r="B19" s="730">
        <f t="shared" si="4"/>
        <v>45992</v>
      </c>
      <c r="C19" s="733">
        <f>'03 - Monthly Asset Follow up'!B23</f>
        <v>46022</v>
      </c>
      <c r="D19" s="149"/>
      <c r="E19" s="726">
        <f>IF($C19=0,"",SUMIFS(INPUT_DATA!AV:AV,INPUT_DATA!$A:$A,$C19,INPUT_DATA!$C:$C,"S"))</f>
        <v>4838234.7800000086</v>
      </c>
      <c r="F19" s="738">
        <f>IF($C19=0,"",SUMIFS(INPUT_DATA!AW:AW,INPUT_DATA!$A:$A,$C19,INPUT_DATA!$C:$C,"S"))</f>
        <v>77592.439999999988</v>
      </c>
      <c r="G19" s="738">
        <f>IF($C19=0,"",SUMIFS(INPUT_DATA!AX:AX,INPUT_DATA!$A:$A,$C19,INPUT_DATA!$C:$C,"S"))</f>
        <v>3056146.9900000007</v>
      </c>
      <c r="H19" s="740">
        <f t="shared" si="0"/>
        <v>7971974.2100000102</v>
      </c>
      <c r="I19" s="738">
        <f>IF($C19=0,"",SUMIFS(INPUT_DATA!AZ:AZ,INPUT_DATA!$A:$A,$C19,INPUT_DATA!$C:$C,"S"))</f>
        <v>1043900.3199999997</v>
      </c>
      <c r="J19" s="738">
        <f>IF($C19=0,"",SUMIFS(INPUT_DATA!BA:BA,INPUT_DATA!$A:$A,$C19,INPUT_DATA!$C:$C,"S"))</f>
        <v>23548.110000000004</v>
      </c>
      <c r="K19" s="738">
        <f>IF($C19=0,"",SUMIFS(INPUT_DATA!BB:BB,INPUT_DATA!$A:$A,$C19,INPUT_DATA!$C:$C,"S"))</f>
        <v>82.15</v>
      </c>
      <c r="L19" s="738">
        <f>IF($C19=0,"",SUMIFS(INPUT_DATA!BC:BC,INPUT_DATA!$A:$A,$C19,INPUT_DATA!$C:$C,"S"))</f>
        <v>101.43</v>
      </c>
      <c r="M19" s="738">
        <f>IF($C19=0,"",SUMIFS(INPUT_DATA!BD:BD,INPUT_DATA!$A:$A,$C19,INPUT_DATA!$C:$C,"S"))</f>
        <v>0</v>
      </c>
      <c r="N19" s="738">
        <f>IF($C19=0,"",SUMIFS(INPUT_DATA!BE:BE,INPUT_DATA!$A:$A,$C19,INPUT_DATA!$C:$C,"S"))</f>
        <v>15568.64</v>
      </c>
      <c r="O19" s="738">
        <f>IF($C19=0,"",SUMIFS(INPUT_DATA!BF:BF,INPUT_DATA!$A:$A,$C19,INPUT_DATA!$C:$C,"S"))</f>
        <v>433.31000000000006</v>
      </c>
      <c r="P19" s="738">
        <f>IF($C19=0,"",SUMIFS(INPUT_DATA!BG:BG,INPUT_DATA!$A:$A,$C19,INPUT_DATA!$C:$C,"S"))</f>
        <v>0</v>
      </c>
      <c r="Q19" s="744">
        <f t="shared" si="5"/>
        <v>1083633.9599999995</v>
      </c>
      <c r="R19" s="746">
        <f>IF($C19=0,"",SUMIFS(INPUT_DATA!BI:BI,INPUT_DATA!$A:$A,$C19,INPUT_DATA!$C:$C,"S"))</f>
        <v>0</v>
      </c>
      <c r="S19" s="746">
        <f>IF($C19=0,"",SUMIFS(INPUT_DATA!BJ:BJ,INPUT_DATA!$A:$A,$C19,INPUT_DATA!$C:$C,"S"))</f>
        <v>0</v>
      </c>
      <c r="T19" s="744">
        <f t="shared" si="6"/>
        <v>9055608.1700000092</v>
      </c>
      <c r="U19" s="749">
        <f>IF($C19=0,"",SUMIFS(INPUT_DATA!BM:BM,INPUT_DATA!$A:$A,$C19,INPUT_DATA!$C:$C,"S"))</f>
        <v>9055608.1700000037</v>
      </c>
      <c r="V19" s="155">
        <f t="shared" si="1"/>
        <v>5.5879354476928711E-9</v>
      </c>
      <c r="W19" s="149"/>
      <c r="X19" s="726">
        <f>IF($C19=0,"",SUMIFS(INPUT_DATA!AV:AV,INPUT_DATA!$A:$A,$C19,INPUT_DATA!$C:$C,"D"))</f>
        <v>5167.8099999999995</v>
      </c>
      <c r="Y19" s="738">
        <f>IF($C19=0,"",SUMIFS(INPUT_DATA!AW:AW,INPUT_DATA!$A:$A,$C19,INPUT_DATA!$C:$C,"D"))</f>
        <v>-1831.28</v>
      </c>
      <c r="Z19" s="738">
        <f>IF($C19=0,"",SUMIFS(INPUT_DATA!AX:AX,INPUT_DATA!$A:$A,$C19,INPUT_DATA!$C:$C,"D"))</f>
        <v>0</v>
      </c>
      <c r="AA19" s="739">
        <f t="shared" si="2"/>
        <v>3336.5299999999997</v>
      </c>
      <c r="AB19" s="738">
        <f>IF($C19=0,"",SUMIFS(INPUT_DATA!AZ:AZ,INPUT_DATA!$A:$A,$C19,INPUT_DATA!$C:$C,"D"))</f>
        <v>373.84999999999997</v>
      </c>
      <c r="AC19" s="738">
        <f>IF($C19=0,"",SUMIFS(INPUT_DATA!BA:BA,INPUT_DATA!$A:$A,$C19,INPUT_DATA!$C:$C,"D"))</f>
        <v>232.68</v>
      </c>
      <c r="AD19" s="738">
        <f>IF($C19=0,"",SUMIFS(INPUT_DATA!BB:BB,INPUT_DATA!$A:$A,$C19,INPUT_DATA!$C:$C,"D"))</f>
        <v>0</v>
      </c>
      <c r="AE19" s="738">
        <f>IF($C19=0,"",SUMIFS(INPUT_DATA!BC:BC,INPUT_DATA!$A:$A,$C19,INPUT_DATA!$C:$C,"D"))</f>
        <v>0</v>
      </c>
      <c r="AF19" s="738">
        <f>IF($C19=0,"",SUMIFS(INPUT_DATA!BD:BD,INPUT_DATA!$A:$A,$C19,INPUT_DATA!$C:$C,"D"))</f>
        <v>0</v>
      </c>
      <c r="AG19" s="738">
        <f>IF($C19=0,"",SUMIFS(INPUT_DATA!BE:BE,INPUT_DATA!$A:$A,$C19,INPUT_DATA!$C:$C,"D"))</f>
        <v>0</v>
      </c>
      <c r="AH19" s="738">
        <f>IF($C19=0,"",SUMIFS(INPUT_DATA!BF:BF,INPUT_DATA!$A:$A,$C19,INPUT_DATA!$C:$C,"D"))</f>
        <v>0</v>
      </c>
      <c r="AI19" s="738">
        <f>IF($C19=0,"",SUMIFS(INPUT_DATA!BG:BG,INPUT_DATA!$A:$A,$C19,INPUT_DATA!$C:$C,"D"))</f>
        <v>0</v>
      </c>
      <c r="AJ19" s="299">
        <f t="shared" si="3"/>
        <v>606.53</v>
      </c>
      <c r="AK19" s="746">
        <f>IF($C19=0,"",SUMIFS(INPUT_DATA!BI:BI,INPUT_DATA!$A:$A,$C19,INPUT_DATA!$C:$C,"D"))</f>
        <v>0</v>
      </c>
      <c r="AL19" s="746">
        <f>IF($C19=0,"",SUMIFS(INPUT_DATA!BJ:BJ,INPUT_DATA!$A:$A,$C19,INPUT_DATA!$C:$C,"D"))</f>
        <v>0</v>
      </c>
      <c r="AM19" s="746">
        <f>IF($C19=0,"",SUMIFS(INPUT_DATA!BK:BK,INPUT_DATA!$A:$A,$C19,INPUT_DATA!$C:$C,"D"))</f>
        <v>0</v>
      </c>
      <c r="AN19" s="744">
        <f t="shared" si="7"/>
        <v>3943.0599999999995</v>
      </c>
      <c r="AO19" s="749">
        <f>IF($C19=0,"",SUMIFS(INPUT_DATA!BM:BM,INPUT_DATA!$A:$A,$C19,INPUT_DATA!$C:$C,"D"))</f>
        <v>3943.0599999999995</v>
      </c>
      <c r="AP19" s="338">
        <f t="shared" si="8"/>
        <v>0</v>
      </c>
      <c r="AQ19" s="149"/>
      <c r="AS19" s="338">
        <f t="shared" si="9"/>
        <v>9059551.2300000098</v>
      </c>
      <c r="AU19" s="361">
        <f>IF($C19=0,"",'03 - Monthly Asset Follow up'!F23+'03 - Monthly Asset Follow up'!G23-'03 - Monthly Asset Follow up'!V23+'03 - Monthly Asset Follow up'!Y23-H19)</f>
        <v>-1.862645149230957E-9</v>
      </c>
      <c r="AV19" s="361">
        <f>IF($C19=0,"",'03 - Monthly Asset Follow up'!BE23+'03 - Monthly Asset Follow up'!BF23-'03 - Monthly Asset Follow up'!BU23+'03 - Monthly Asset Follow up'!BX23-AA19)</f>
        <v>0</v>
      </c>
      <c r="AX19" s="154"/>
    </row>
    <row r="20" spans="2:50">
      <c r="B20" s="730">
        <f t="shared" si="4"/>
        <v>45962</v>
      </c>
      <c r="C20" s="733">
        <f>'03 - Monthly Asset Follow up'!B24</f>
        <v>45991</v>
      </c>
      <c r="D20" s="149"/>
      <c r="E20" s="726">
        <f>IF($C20=0,"",SUMIFS(INPUT_DATA!AV:AV,INPUT_DATA!$A:$A,$C20,INPUT_DATA!$C:$C,"S"))</f>
        <v>4817528.349999994</v>
      </c>
      <c r="F20" s="738">
        <f>IF($C20=0,"",SUMIFS(INPUT_DATA!AW:AW,INPUT_DATA!$A:$A,$C20,INPUT_DATA!$C:$C,"S"))</f>
        <v>66397.549999999974</v>
      </c>
      <c r="G20" s="738">
        <f>IF($C20=0,"",SUMIFS(INPUT_DATA!AX:AX,INPUT_DATA!$A:$A,$C20,INPUT_DATA!$C:$C,"S"))</f>
        <v>1014185.5799999998</v>
      </c>
      <c r="H20" s="740">
        <f t="shared" si="0"/>
        <v>5898111.4799999939</v>
      </c>
      <c r="I20" s="738">
        <f>IF($C20=0,"",SUMIFS(INPUT_DATA!AZ:AZ,INPUT_DATA!$A:$A,$C20,INPUT_DATA!$C:$C,"S"))</f>
        <v>993269.13999999978</v>
      </c>
      <c r="J20" s="738">
        <f>IF($C20=0,"",SUMIFS(INPUT_DATA!BA:BA,INPUT_DATA!$A:$A,$C20,INPUT_DATA!$C:$C,"S"))</f>
        <v>11819.249999999998</v>
      </c>
      <c r="K20" s="738">
        <f>IF($C20=0,"",SUMIFS(INPUT_DATA!BB:BB,INPUT_DATA!$A:$A,$C20,INPUT_DATA!$C:$C,"S"))</f>
        <v>119.08000000000003</v>
      </c>
      <c r="L20" s="738">
        <f>IF($C20=0,"",SUMIFS(INPUT_DATA!BC:BC,INPUT_DATA!$A:$A,$C20,INPUT_DATA!$C:$C,"S"))</f>
        <v>114.53999999999998</v>
      </c>
      <c r="M20" s="738">
        <f>IF($C20=0,"",SUMIFS(INPUT_DATA!BD:BD,INPUT_DATA!$A:$A,$C20,INPUT_DATA!$C:$C,"S"))</f>
        <v>0</v>
      </c>
      <c r="N20" s="738">
        <f>IF($C20=0,"",SUMIFS(INPUT_DATA!BE:BE,INPUT_DATA!$A:$A,$C20,INPUT_DATA!$C:$C,"S"))</f>
        <v>3922.2600000000007</v>
      </c>
      <c r="O20" s="738">
        <f>IF($C20=0,"",SUMIFS(INPUT_DATA!BF:BF,INPUT_DATA!$A:$A,$C20,INPUT_DATA!$C:$C,"S"))</f>
        <v>82.91</v>
      </c>
      <c r="P20" s="738">
        <f>IF($C20=0,"",SUMIFS(INPUT_DATA!BG:BG,INPUT_DATA!$A:$A,$C20,INPUT_DATA!$C:$C,"S"))</f>
        <v>0</v>
      </c>
      <c r="Q20" s="744">
        <f t="shared" si="5"/>
        <v>1009327.1799999998</v>
      </c>
      <c r="R20" s="746">
        <f>IF($C20=0,"",SUMIFS(INPUT_DATA!BI:BI,INPUT_DATA!$A:$A,$C20,INPUT_DATA!$C:$C,"S"))</f>
        <v>0</v>
      </c>
      <c r="S20" s="746">
        <f>IF($C20=0,"",SUMIFS(INPUT_DATA!BJ:BJ,INPUT_DATA!$A:$A,$C20,INPUT_DATA!$C:$C,"S"))</f>
        <v>0</v>
      </c>
      <c r="T20" s="744">
        <f t="shared" si="6"/>
        <v>6907438.6599999936</v>
      </c>
      <c r="U20" s="749">
        <f>IF($C20=0,"",SUMIFS(INPUT_DATA!BM:BM,INPUT_DATA!$A:$A,$C20,INPUT_DATA!$C:$C,"S"))</f>
        <v>6907438.6599999974</v>
      </c>
      <c r="V20" s="155">
        <f t="shared" si="1"/>
        <v>-3.7252902984619141E-9</v>
      </c>
      <c r="W20" s="149"/>
      <c r="X20" s="726">
        <f>IF($C20=0,"",SUMIFS(INPUT_DATA!AV:AV,INPUT_DATA!$A:$A,$C20,INPUT_DATA!$C:$C,"D"))</f>
        <v>8500.33</v>
      </c>
      <c r="Y20" s="738">
        <f>IF($C20=0,"",SUMIFS(INPUT_DATA!AW:AW,INPUT_DATA!$A:$A,$C20,INPUT_DATA!$C:$C,"D"))</f>
        <v>2801.54</v>
      </c>
      <c r="Z20" s="738">
        <f>IF($C20=0,"",SUMIFS(INPUT_DATA!AX:AX,INPUT_DATA!$A:$A,$C20,INPUT_DATA!$C:$C,"D"))</f>
        <v>0</v>
      </c>
      <c r="AA20" s="739">
        <f t="shared" si="2"/>
        <v>11301.869999999999</v>
      </c>
      <c r="AB20" s="738">
        <f>IF($C20=0,"",SUMIFS(INPUT_DATA!AZ:AZ,INPUT_DATA!$A:$A,$C20,INPUT_DATA!$C:$C,"D"))</f>
        <v>421.59999999999997</v>
      </c>
      <c r="AC20" s="738">
        <f>IF($C20=0,"",SUMIFS(INPUT_DATA!BA:BA,INPUT_DATA!$A:$A,$C20,INPUT_DATA!$C:$C,"D"))</f>
        <v>275.17</v>
      </c>
      <c r="AD20" s="738">
        <f>IF($C20=0,"",SUMIFS(INPUT_DATA!BB:BB,INPUT_DATA!$A:$A,$C20,INPUT_DATA!$C:$C,"D"))</f>
        <v>8.3600000000000012</v>
      </c>
      <c r="AE20" s="738">
        <f>IF($C20=0,"",SUMIFS(INPUT_DATA!BC:BC,INPUT_DATA!$A:$A,$C20,INPUT_DATA!$C:$C,"D"))</f>
        <v>6.23</v>
      </c>
      <c r="AF20" s="738">
        <f>IF($C20=0,"",SUMIFS(INPUT_DATA!BD:BD,INPUT_DATA!$A:$A,$C20,INPUT_DATA!$C:$C,"D"))</f>
        <v>0</v>
      </c>
      <c r="AG20" s="738">
        <f>IF($C20=0,"",SUMIFS(INPUT_DATA!BE:BE,INPUT_DATA!$A:$A,$C20,INPUT_DATA!$C:$C,"D"))</f>
        <v>0</v>
      </c>
      <c r="AH20" s="738">
        <f>IF($C20=0,"",SUMIFS(INPUT_DATA!BF:BF,INPUT_DATA!$A:$A,$C20,INPUT_DATA!$C:$C,"D"))</f>
        <v>0</v>
      </c>
      <c r="AI20" s="738">
        <f>IF($C20=0,"",SUMIFS(INPUT_DATA!BG:BG,INPUT_DATA!$A:$A,$C20,INPUT_DATA!$C:$C,"D"))</f>
        <v>0</v>
      </c>
      <c r="AJ20" s="299">
        <f t="shared" si="3"/>
        <v>711.36</v>
      </c>
      <c r="AK20" s="746">
        <f>IF($C20=0,"",SUMIFS(INPUT_DATA!BI:BI,INPUT_DATA!$A:$A,$C20,INPUT_DATA!$C:$C,"D"))</f>
        <v>0</v>
      </c>
      <c r="AL20" s="746">
        <f>IF($C20=0,"",SUMIFS(INPUT_DATA!BJ:BJ,INPUT_DATA!$A:$A,$C20,INPUT_DATA!$C:$C,"D"))</f>
        <v>0</v>
      </c>
      <c r="AM20" s="746">
        <f>IF($C20=0,"",SUMIFS(INPUT_DATA!BK:BK,INPUT_DATA!$A:$A,$C20,INPUT_DATA!$C:$C,"D"))</f>
        <v>0</v>
      </c>
      <c r="AN20" s="744">
        <f t="shared" si="7"/>
        <v>12013.23</v>
      </c>
      <c r="AO20" s="749">
        <f>IF($C20=0,"",SUMIFS(INPUT_DATA!BM:BM,INPUT_DATA!$A:$A,$C20,INPUT_DATA!$C:$C,"D"))</f>
        <v>12013.23</v>
      </c>
      <c r="AP20" s="338">
        <f t="shared" si="8"/>
        <v>0</v>
      </c>
      <c r="AQ20" s="149"/>
      <c r="AS20" s="338">
        <f t="shared" si="9"/>
        <v>6919451.8899999941</v>
      </c>
      <c r="AU20" s="361">
        <f>IF($C20=0,"",'03 - Monthly Asset Follow up'!F24+'03 - Monthly Asset Follow up'!G24-'03 - Monthly Asset Follow up'!V24+'03 - Monthly Asset Follow up'!Y24-H20)</f>
        <v>-1.862645149230957E-9</v>
      </c>
      <c r="AV20" s="361">
        <f>IF($C20=0,"",'03 - Monthly Asset Follow up'!BE24+'03 - Monthly Asset Follow up'!BF24-'03 - Monthly Asset Follow up'!BU24+'03 - Monthly Asset Follow up'!BX24-AA20)</f>
        <v>0</v>
      </c>
      <c r="AX20" s="154"/>
    </row>
    <row r="21" spans="2:50">
      <c r="B21" s="730">
        <f t="shared" si="4"/>
        <v>45931</v>
      </c>
      <c r="C21" s="733">
        <f>'03 - Monthly Asset Follow up'!B25</f>
        <v>45961</v>
      </c>
      <c r="D21" s="149"/>
      <c r="E21" s="726">
        <f>IF($C21=0,"",SUMIFS(INPUT_DATA!AV:AV,INPUT_DATA!$A:$A,$C21,INPUT_DATA!$C:$C,"S"))</f>
        <v>4899782.1599999974</v>
      </c>
      <c r="F21" s="738">
        <f>IF($C21=0,"",SUMIFS(INPUT_DATA!AW:AW,INPUT_DATA!$A:$A,$C21,INPUT_DATA!$C:$C,"S"))</f>
        <v>64347.369999999988</v>
      </c>
      <c r="G21" s="738">
        <f>IF($C21=0,"",SUMIFS(INPUT_DATA!AX:AX,INPUT_DATA!$A:$A,$C21,INPUT_DATA!$C:$C,"S"))</f>
        <v>1209634.6200000001</v>
      </c>
      <c r="H21" s="740">
        <f t="shared" si="0"/>
        <v>6173764.1499999976</v>
      </c>
      <c r="I21" s="738">
        <f>IF($C21=0,"",SUMIFS(INPUT_DATA!AZ:AZ,INPUT_DATA!$A:$A,$C21,INPUT_DATA!$C:$C,"S"))</f>
        <v>1018362.8100000011</v>
      </c>
      <c r="J21" s="738">
        <f>IF($C21=0,"",SUMIFS(INPUT_DATA!BA:BA,INPUT_DATA!$A:$A,$C21,INPUT_DATA!$C:$C,"S"))</f>
        <v>10676.310000000001</v>
      </c>
      <c r="K21" s="738">
        <f>IF($C21=0,"",SUMIFS(INPUT_DATA!BB:BB,INPUT_DATA!$A:$A,$C21,INPUT_DATA!$C:$C,"S"))</f>
        <v>45.500000000000007</v>
      </c>
      <c r="L21" s="738">
        <f>IF($C21=0,"",SUMIFS(INPUT_DATA!BC:BC,INPUT_DATA!$A:$A,$C21,INPUT_DATA!$C:$C,"S"))</f>
        <v>81.870000000000019</v>
      </c>
      <c r="M21" s="738">
        <f>IF($C21=0,"",SUMIFS(INPUT_DATA!BD:BD,INPUT_DATA!$A:$A,$C21,INPUT_DATA!$C:$C,"S"))</f>
        <v>0</v>
      </c>
      <c r="N21" s="738">
        <f>IF($C21=0,"",SUMIFS(INPUT_DATA!BE:BE,INPUT_DATA!$A:$A,$C21,INPUT_DATA!$C:$C,"S"))</f>
        <v>9808.260000000002</v>
      </c>
      <c r="O21" s="738">
        <f>IF($C21=0,"",SUMIFS(INPUT_DATA!BF:BF,INPUT_DATA!$A:$A,$C21,INPUT_DATA!$C:$C,"S"))</f>
        <v>0</v>
      </c>
      <c r="P21" s="738">
        <f>IF($C21=0,"",SUMIFS(INPUT_DATA!BG:BG,INPUT_DATA!$A:$A,$C21,INPUT_DATA!$C:$C,"S"))</f>
        <v>0</v>
      </c>
      <c r="Q21" s="744">
        <f t="shared" si="5"/>
        <v>1038974.7500000012</v>
      </c>
      <c r="R21" s="746">
        <f>IF($C21=0,"",SUMIFS(INPUT_DATA!BI:BI,INPUT_DATA!$A:$A,$C21,INPUT_DATA!$C:$C,"S"))</f>
        <v>0</v>
      </c>
      <c r="S21" s="746">
        <f>IF($C21=0,"",SUMIFS(INPUT_DATA!BJ:BJ,INPUT_DATA!$A:$A,$C21,INPUT_DATA!$C:$C,"S"))</f>
        <v>0</v>
      </c>
      <c r="T21" s="744">
        <f t="shared" si="6"/>
        <v>7212738.8999999985</v>
      </c>
      <c r="U21" s="749">
        <f>IF($C21=0,"",SUMIFS(INPUT_DATA!BM:BM,INPUT_DATA!$A:$A,$C21,INPUT_DATA!$C:$C,"S"))</f>
        <v>7212738.9000000004</v>
      </c>
      <c r="V21" s="155">
        <f t="shared" si="1"/>
        <v>-1.862645149230957E-9</v>
      </c>
      <c r="W21" s="149"/>
      <c r="X21" s="726">
        <f>IF($C21=0,"",SUMIFS(INPUT_DATA!AV:AV,INPUT_DATA!$A:$A,$C21,INPUT_DATA!$C:$C,"D"))</f>
        <v>4286</v>
      </c>
      <c r="Y21" s="738">
        <f>IF($C21=0,"",SUMIFS(INPUT_DATA!AW:AW,INPUT_DATA!$A:$A,$C21,INPUT_DATA!$C:$C,"D"))</f>
        <v>1490.17</v>
      </c>
      <c r="Z21" s="738">
        <f>IF($C21=0,"",SUMIFS(INPUT_DATA!AX:AX,INPUT_DATA!$A:$A,$C21,INPUT_DATA!$C:$C,"D"))</f>
        <v>0</v>
      </c>
      <c r="AA21" s="739">
        <f t="shared" si="2"/>
        <v>5776.17</v>
      </c>
      <c r="AB21" s="738">
        <f>IF($C21=0,"",SUMIFS(INPUT_DATA!AZ:AZ,INPUT_DATA!$A:$A,$C21,INPUT_DATA!$C:$C,"D"))</f>
        <v>393.79</v>
      </c>
      <c r="AC21" s="738">
        <f>IF($C21=0,"",SUMIFS(INPUT_DATA!BA:BA,INPUT_DATA!$A:$A,$C21,INPUT_DATA!$C:$C,"D"))</f>
        <v>204.83</v>
      </c>
      <c r="AD21" s="738">
        <f>IF($C21=0,"",SUMIFS(INPUT_DATA!BB:BB,INPUT_DATA!$A:$A,$C21,INPUT_DATA!$C:$C,"D"))</f>
        <v>5.91</v>
      </c>
      <c r="AE21" s="738">
        <f>IF($C21=0,"",SUMIFS(INPUT_DATA!BC:BC,INPUT_DATA!$A:$A,$C21,INPUT_DATA!$C:$C,"D"))</f>
        <v>4.29</v>
      </c>
      <c r="AF21" s="738">
        <f>IF($C21=0,"",SUMIFS(INPUT_DATA!BD:BD,INPUT_DATA!$A:$A,$C21,INPUT_DATA!$C:$C,"D"))</f>
        <v>0</v>
      </c>
      <c r="AG21" s="738">
        <f>IF($C21=0,"",SUMIFS(INPUT_DATA!BE:BE,INPUT_DATA!$A:$A,$C21,INPUT_DATA!$C:$C,"D"))</f>
        <v>0</v>
      </c>
      <c r="AH21" s="738">
        <f>IF($C21=0,"",SUMIFS(INPUT_DATA!BF:BF,INPUT_DATA!$A:$A,$C21,INPUT_DATA!$C:$C,"D"))</f>
        <v>0</v>
      </c>
      <c r="AI21" s="738">
        <f>IF($C21=0,"",SUMIFS(INPUT_DATA!BG:BG,INPUT_DATA!$A:$A,$C21,INPUT_DATA!$C:$C,"D"))</f>
        <v>0</v>
      </c>
      <c r="AJ21" s="299">
        <f t="shared" si="3"/>
        <v>608.81999999999994</v>
      </c>
      <c r="AK21" s="746">
        <f>IF($C21=0,"",SUMIFS(INPUT_DATA!BI:BI,INPUT_DATA!$A:$A,$C21,INPUT_DATA!$C:$C,"D"))</f>
        <v>0</v>
      </c>
      <c r="AL21" s="746">
        <f>IF($C21=0,"",SUMIFS(INPUT_DATA!BJ:BJ,INPUT_DATA!$A:$A,$C21,INPUT_DATA!$C:$C,"D"))</f>
        <v>0</v>
      </c>
      <c r="AM21" s="746">
        <f>IF($C21=0,"",SUMIFS(INPUT_DATA!BK:BK,INPUT_DATA!$A:$A,$C21,INPUT_DATA!$C:$C,"D"))</f>
        <v>0</v>
      </c>
      <c r="AN21" s="744">
        <f t="shared" si="7"/>
        <v>6384.99</v>
      </c>
      <c r="AO21" s="749">
        <f>IF($C21=0,"",SUMIFS(INPUT_DATA!BM:BM,INPUT_DATA!$A:$A,$C21,INPUT_DATA!$C:$C,"D"))</f>
        <v>6384.9900000000007</v>
      </c>
      <c r="AP21" s="338">
        <f t="shared" si="8"/>
        <v>-9.0949470177292824E-13</v>
      </c>
      <c r="AQ21" s="149"/>
      <c r="AS21" s="338">
        <f t="shared" si="9"/>
        <v>7219123.8899999987</v>
      </c>
      <c r="AU21" s="361">
        <f>IF($C21=0,"",'03 - Monthly Asset Follow up'!F25+'03 - Monthly Asset Follow up'!G25-'03 - Monthly Asset Follow up'!V25+'03 - Monthly Asset Follow up'!Y25-H21)</f>
        <v>-2.7939677238464355E-9</v>
      </c>
      <c r="AV21" s="361">
        <f>IF($C21=0,"",'03 - Monthly Asset Follow up'!BE25+'03 - Monthly Asset Follow up'!BF25-'03 - Monthly Asset Follow up'!BU25+'03 - Monthly Asset Follow up'!BX25-AA21)</f>
        <v>9.0949470177292824E-13</v>
      </c>
      <c r="AX21" s="154"/>
    </row>
    <row r="22" spans="2:50">
      <c r="B22" s="730">
        <f t="shared" si="4"/>
        <v>45901</v>
      </c>
      <c r="C22" s="733">
        <f>'03 - Monthly Asset Follow up'!B26</f>
        <v>45930</v>
      </c>
      <c r="D22" s="149"/>
      <c r="E22" s="726">
        <f>IF($C22=0,"",SUMIFS(INPUT_DATA!AV:AV,INPUT_DATA!$A:$A,$C22,INPUT_DATA!$C:$C,"S"))</f>
        <v>4961677.3099999819</v>
      </c>
      <c r="F22" s="738">
        <f>IF($C22=0,"",SUMIFS(INPUT_DATA!AW:AW,INPUT_DATA!$A:$A,$C22,INPUT_DATA!$C:$C,"S"))</f>
        <v>100486.22</v>
      </c>
      <c r="G22" s="738">
        <f>IF($C22=0,"",SUMIFS(INPUT_DATA!AX:AX,INPUT_DATA!$A:$A,$C22,INPUT_DATA!$C:$C,"S"))</f>
        <v>1206284.69</v>
      </c>
      <c r="H22" s="740">
        <f t="shared" si="0"/>
        <v>6268448.219999982</v>
      </c>
      <c r="I22" s="738">
        <f>IF($C22=0,"",SUMIFS(INPUT_DATA!AZ:AZ,INPUT_DATA!$A:$A,$C22,INPUT_DATA!$C:$C,"S"))</f>
        <v>1024095.5</v>
      </c>
      <c r="J22" s="738">
        <f>IF($C22=0,"",SUMIFS(INPUT_DATA!BA:BA,INPUT_DATA!$A:$A,$C22,INPUT_DATA!$C:$C,"S"))</f>
        <v>22415.009999999991</v>
      </c>
      <c r="K22" s="738">
        <f>IF($C22=0,"",SUMIFS(INPUT_DATA!BB:BB,INPUT_DATA!$A:$A,$C22,INPUT_DATA!$C:$C,"S"))</f>
        <v>116.41000000000001</v>
      </c>
      <c r="L22" s="738">
        <f>IF($C22=0,"",SUMIFS(INPUT_DATA!BC:BC,INPUT_DATA!$A:$A,$C22,INPUT_DATA!$C:$C,"S"))</f>
        <v>127.18</v>
      </c>
      <c r="M22" s="738">
        <f>IF($C22=0,"",SUMIFS(INPUT_DATA!BD:BD,INPUT_DATA!$A:$A,$C22,INPUT_DATA!$C:$C,"S"))</f>
        <v>0</v>
      </c>
      <c r="N22" s="738">
        <f>IF($C22=0,"",SUMIFS(INPUT_DATA!BE:BE,INPUT_DATA!$A:$A,$C22,INPUT_DATA!$C:$C,"S"))</f>
        <v>949.82999999999993</v>
      </c>
      <c r="O22" s="738">
        <f>IF($C22=0,"",SUMIFS(INPUT_DATA!BF:BF,INPUT_DATA!$A:$A,$C22,INPUT_DATA!$C:$C,"S"))</f>
        <v>182.25</v>
      </c>
      <c r="P22" s="738">
        <f>IF($C22=0,"",SUMIFS(INPUT_DATA!BG:BG,INPUT_DATA!$A:$A,$C22,INPUT_DATA!$C:$C,"S"))</f>
        <v>0</v>
      </c>
      <c r="Q22" s="744">
        <f t="shared" si="5"/>
        <v>1047886.18</v>
      </c>
      <c r="R22" s="746">
        <f>IF($C22=0,"",SUMIFS(INPUT_DATA!BI:BI,INPUT_DATA!$A:$A,$C22,INPUT_DATA!$C:$C,"S"))</f>
        <v>0</v>
      </c>
      <c r="S22" s="746">
        <f>IF($C22=0,"",SUMIFS(INPUT_DATA!BJ:BJ,INPUT_DATA!$A:$A,$C22,INPUT_DATA!$C:$C,"S"))</f>
        <v>0</v>
      </c>
      <c r="T22" s="744">
        <f t="shared" si="6"/>
        <v>7316334.3999999817</v>
      </c>
      <c r="U22" s="749">
        <f>IF($C22=0,"",SUMIFS(INPUT_DATA!BM:BM,INPUT_DATA!$A:$A,$C22,INPUT_DATA!$C:$C,"S"))</f>
        <v>7316334.3999999948</v>
      </c>
      <c r="V22" s="155">
        <f t="shared" si="1"/>
        <v>-1.3038516044616699E-8</v>
      </c>
      <c r="W22" s="149"/>
      <c r="X22" s="726">
        <f>IF($C22=0,"",SUMIFS(INPUT_DATA!AV:AV,INPUT_DATA!$A:$A,$C22,INPUT_DATA!$C:$C,"D"))</f>
        <v>5701.3</v>
      </c>
      <c r="Y22" s="738">
        <f>IF($C22=0,"",SUMIFS(INPUT_DATA!AW:AW,INPUT_DATA!$A:$A,$C22,INPUT_DATA!$C:$C,"D"))</f>
        <v>8401.11</v>
      </c>
      <c r="Z22" s="738">
        <f>IF($C22=0,"",SUMIFS(INPUT_DATA!AX:AX,INPUT_DATA!$A:$A,$C22,INPUT_DATA!$C:$C,"D"))</f>
        <v>21979.21</v>
      </c>
      <c r="AA22" s="739">
        <f t="shared" si="2"/>
        <v>36081.619999999995</v>
      </c>
      <c r="AB22" s="738">
        <f>IF($C22=0,"",SUMIFS(INPUT_DATA!AZ:AZ,INPUT_DATA!$A:$A,$C22,INPUT_DATA!$C:$C,"D"))</f>
        <v>571.24</v>
      </c>
      <c r="AC22" s="738">
        <f>IF($C22=0,"",SUMIFS(INPUT_DATA!BA:BA,INPUT_DATA!$A:$A,$C22,INPUT_DATA!$C:$C,"D"))</f>
        <v>1183.31</v>
      </c>
      <c r="AD22" s="738">
        <f>IF($C22=0,"",SUMIFS(INPUT_DATA!BB:BB,INPUT_DATA!$A:$A,$C22,INPUT_DATA!$C:$C,"D"))</f>
        <v>170.67000000000002</v>
      </c>
      <c r="AE22" s="738">
        <f>IF($C22=0,"",SUMIFS(INPUT_DATA!BC:BC,INPUT_DATA!$A:$A,$C22,INPUT_DATA!$C:$C,"D"))</f>
        <v>104.63999999999999</v>
      </c>
      <c r="AF22" s="738">
        <f>IF($C22=0,"",SUMIFS(INPUT_DATA!BD:BD,INPUT_DATA!$A:$A,$C22,INPUT_DATA!$C:$C,"D"))</f>
        <v>0</v>
      </c>
      <c r="AG22" s="738">
        <f>IF($C22=0,"",SUMIFS(INPUT_DATA!BE:BE,INPUT_DATA!$A:$A,$C22,INPUT_DATA!$C:$C,"D"))</f>
        <v>0</v>
      </c>
      <c r="AH22" s="738">
        <f>IF($C22=0,"",SUMIFS(INPUT_DATA!BF:BF,INPUT_DATA!$A:$A,$C22,INPUT_DATA!$C:$C,"D"))</f>
        <v>0</v>
      </c>
      <c r="AI22" s="738">
        <f>IF($C22=0,"",SUMIFS(INPUT_DATA!BG:BG,INPUT_DATA!$A:$A,$C22,INPUT_DATA!$C:$C,"D"))</f>
        <v>0</v>
      </c>
      <c r="AJ22" s="299">
        <f t="shared" si="3"/>
        <v>2029.8600000000001</v>
      </c>
      <c r="AK22" s="746">
        <f>IF($C22=0,"",SUMIFS(INPUT_DATA!BI:BI,INPUT_DATA!$A:$A,$C22,INPUT_DATA!$C:$C,"D"))</f>
        <v>0</v>
      </c>
      <c r="AL22" s="746">
        <f>IF($C22=0,"",SUMIFS(INPUT_DATA!BJ:BJ,INPUT_DATA!$A:$A,$C22,INPUT_DATA!$C:$C,"D"))</f>
        <v>0</v>
      </c>
      <c r="AM22" s="746">
        <f>IF($C22=0,"",SUMIFS(INPUT_DATA!BK:BK,INPUT_DATA!$A:$A,$C22,INPUT_DATA!$C:$C,"D"))</f>
        <v>0</v>
      </c>
      <c r="AN22" s="744">
        <f t="shared" si="7"/>
        <v>38111.479999999996</v>
      </c>
      <c r="AO22" s="749">
        <f>IF($C22=0,"",SUMIFS(INPUT_DATA!BM:BM,INPUT_DATA!$A:$A,$C22,INPUT_DATA!$C:$C,"D"))</f>
        <v>38111.479999999996</v>
      </c>
      <c r="AP22" s="338">
        <f t="shared" si="8"/>
        <v>0</v>
      </c>
      <c r="AQ22" s="149"/>
      <c r="AS22" s="338">
        <f t="shared" si="9"/>
        <v>7354445.8799999822</v>
      </c>
      <c r="AU22" s="361">
        <f>IF($C22=0,"",'03 - Monthly Asset Follow up'!F26+'03 - Monthly Asset Follow up'!G26-'03 - Monthly Asset Follow up'!V26+'03 - Monthly Asset Follow up'!Y26-H22)</f>
        <v>1.862645149230957E-9</v>
      </c>
      <c r="AV22" s="361">
        <f>IF($C22=0,"",'03 - Monthly Asset Follow up'!BE26+'03 - Monthly Asset Follow up'!BF26-'03 - Monthly Asset Follow up'!BU26+'03 - Monthly Asset Follow up'!BX26-AA22)</f>
        <v>7.2759576141834259E-12</v>
      </c>
      <c r="AX22" s="154"/>
    </row>
    <row r="23" spans="2:50">
      <c r="B23" s="730">
        <f t="shared" si="4"/>
        <v>45870</v>
      </c>
      <c r="C23" s="733">
        <f>'03 - Monthly Asset Follow up'!B27</f>
        <v>45900</v>
      </c>
      <c r="D23" s="149"/>
      <c r="E23" s="726">
        <f>IF($C23=0,"",SUMIFS(INPUT_DATA!AV:AV,INPUT_DATA!$A:$A,$C23,INPUT_DATA!$C:$C,"S"))</f>
        <v>4888341.2400000039</v>
      </c>
      <c r="F23" s="738">
        <f>IF($C23=0,"",SUMIFS(INPUT_DATA!AW:AW,INPUT_DATA!$A:$A,$C23,INPUT_DATA!$C:$C,"S"))</f>
        <v>76974.710000000006</v>
      </c>
      <c r="G23" s="738">
        <f>IF($C23=0,"",SUMIFS(INPUT_DATA!AX:AX,INPUT_DATA!$A:$A,$C23,INPUT_DATA!$C:$C,"S"))</f>
        <v>1179293.54</v>
      </c>
      <c r="H23" s="740">
        <f t="shared" si="0"/>
        <v>6144609.4900000039</v>
      </c>
      <c r="I23" s="738">
        <f>IF($C23=0,"",SUMIFS(INPUT_DATA!AZ:AZ,INPUT_DATA!$A:$A,$C23,INPUT_DATA!$C:$C,"S"))</f>
        <v>981520.82999999821</v>
      </c>
      <c r="J23" s="738">
        <f>IF($C23=0,"",SUMIFS(INPUT_DATA!BA:BA,INPUT_DATA!$A:$A,$C23,INPUT_DATA!$C:$C,"S"))</f>
        <v>12422.22</v>
      </c>
      <c r="K23" s="738">
        <f>IF($C23=0,"",SUMIFS(INPUT_DATA!BB:BB,INPUT_DATA!$A:$A,$C23,INPUT_DATA!$C:$C,"S"))</f>
        <v>111.16000000000001</v>
      </c>
      <c r="L23" s="738">
        <f>IF($C23=0,"",SUMIFS(INPUT_DATA!BC:BC,INPUT_DATA!$A:$A,$C23,INPUT_DATA!$C:$C,"S"))</f>
        <v>127.05</v>
      </c>
      <c r="M23" s="738">
        <f>IF($C23=0,"",SUMIFS(INPUT_DATA!BD:BD,INPUT_DATA!$A:$A,$C23,INPUT_DATA!$C:$C,"S"))</f>
        <v>0</v>
      </c>
      <c r="N23" s="738">
        <f>IF($C23=0,"",SUMIFS(INPUT_DATA!BE:BE,INPUT_DATA!$A:$A,$C23,INPUT_DATA!$C:$C,"S"))</f>
        <v>3029.57</v>
      </c>
      <c r="O23" s="738">
        <f>IF($C23=0,"",SUMIFS(INPUT_DATA!BF:BF,INPUT_DATA!$A:$A,$C23,INPUT_DATA!$C:$C,"S"))</f>
        <v>0</v>
      </c>
      <c r="P23" s="738">
        <f>IF($C23=0,"",SUMIFS(INPUT_DATA!BG:BG,INPUT_DATA!$A:$A,$C23,INPUT_DATA!$C:$C,"S"))</f>
        <v>0</v>
      </c>
      <c r="Q23" s="744">
        <f t="shared" si="5"/>
        <v>997210.82999999821</v>
      </c>
      <c r="R23" s="746">
        <f>IF($C23=0,"",SUMIFS(INPUT_DATA!BI:BI,INPUT_DATA!$A:$A,$C23,INPUT_DATA!$C:$C,"S"))</f>
        <v>0</v>
      </c>
      <c r="S23" s="746">
        <f>IF($C23=0,"",SUMIFS(INPUT_DATA!BJ:BJ,INPUT_DATA!$A:$A,$C23,INPUT_DATA!$C:$C,"S"))</f>
        <v>0</v>
      </c>
      <c r="T23" s="744">
        <f t="shared" si="6"/>
        <v>7141820.3200000022</v>
      </c>
      <c r="U23" s="749">
        <f>IF($C23=0,"",SUMIFS(INPUT_DATA!BM:BM,INPUT_DATA!$A:$A,$C23,INPUT_DATA!$C:$C,"S"))</f>
        <v>7141820.3200000077</v>
      </c>
      <c r="V23" s="155">
        <f t="shared" si="1"/>
        <v>-5.5879354476928711E-9</v>
      </c>
      <c r="W23" s="149"/>
      <c r="X23" s="726">
        <f>IF($C23=0,"",SUMIFS(INPUT_DATA!AV:AV,INPUT_DATA!$A:$A,$C23,INPUT_DATA!$C:$C,"D"))</f>
        <v>5995.93</v>
      </c>
      <c r="Y23" s="738">
        <f>IF($C23=0,"",SUMIFS(INPUT_DATA!AW:AW,INPUT_DATA!$A:$A,$C23,INPUT_DATA!$C:$C,"D"))</f>
        <v>7225.4</v>
      </c>
      <c r="Z23" s="738">
        <f>IF($C23=0,"",SUMIFS(INPUT_DATA!AX:AX,INPUT_DATA!$A:$A,$C23,INPUT_DATA!$C:$C,"D"))</f>
        <v>90716.15</v>
      </c>
      <c r="AA23" s="739">
        <f t="shared" si="2"/>
        <v>103937.48</v>
      </c>
      <c r="AB23" s="738">
        <f>IF($C23=0,"",SUMIFS(INPUT_DATA!AZ:AZ,INPUT_DATA!$A:$A,$C23,INPUT_DATA!$C:$C,"D"))</f>
        <v>841.56</v>
      </c>
      <c r="AC23" s="738">
        <f>IF($C23=0,"",SUMIFS(INPUT_DATA!BA:BA,INPUT_DATA!$A:$A,$C23,INPUT_DATA!$C:$C,"D"))</f>
        <v>1336.19</v>
      </c>
      <c r="AD23" s="738">
        <f>IF($C23=0,"",SUMIFS(INPUT_DATA!BB:BB,INPUT_DATA!$A:$A,$C23,INPUT_DATA!$C:$C,"D"))</f>
        <v>57.800000000000004</v>
      </c>
      <c r="AE23" s="738">
        <f>IF($C23=0,"",SUMIFS(INPUT_DATA!BC:BC,INPUT_DATA!$A:$A,$C23,INPUT_DATA!$C:$C,"D"))</f>
        <v>53.920000000000009</v>
      </c>
      <c r="AF23" s="738">
        <f>IF($C23=0,"",SUMIFS(INPUT_DATA!BD:BD,INPUT_DATA!$A:$A,$C23,INPUT_DATA!$C:$C,"D"))</f>
        <v>0</v>
      </c>
      <c r="AG23" s="738">
        <f>IF($C23=0,"",SUMIFS(INPUT_DATA!BE:BE,INPUT_DATA!$A:$A,$C23,INPUT_DATA!$C:$C,"D"))</f>
        <v>0</v>
      </c>
      <c r="AH23" s="738">
        <f>IF($C23=0,"",SUMIFS(INPUT_DATA!BF:BF,INPUT_DATA!$A:$A,$C23,INPUT_DATA!$C:$C,"D"))</f>
        <v>0</v>
      </c>
      <c r="AI23" s="738">
        <f>IF($C23=0,"",SUMIFS(INPUT_DATA!BG:BG,INPUT_DATA!$A:$A,$C23,INPUT_DATA!$C:$C,"D"))</f>
        <v>0</v>
      </c>
      <c r="AJ23" s="299">
        <f t="shared" si="3"/>
        <v>2289.4700000000003</v>
      </c>
      <c r="AK23" s="746">
        <f>IF($C23=0,"",SUMIFS(INPUT_DATA!BI:BI,INPUT_DATA!$A:$A,$C23,INPUT_DATA!$C:$C,"D"))</f>
        <v>0</v>
      </c>
      <c r="AL23" s="746">
        <f>IF($C23=0,"",SUMIFS(INPUT_DATA!BJ:BJ,INPUT_DATA!$A:$A,$C23,INPUT_DATA!$C:$C,"D"))</f>
        <v>0</v>
      </c>
      <c r="AM23" s="746">
        <f>IF($C23=0,"",SUMIFS(INPUT_DATA!BK:BK,INPUT_DATA!$A:$A,$C23,INPUT_DATA!$C:$C,"D"))</f>
        <v>0</v>
      </c>
      <c r="AN23" s="744">
        <f t="shared" si="7"/>
        <v>106226.95</v>
      </c>
      <c r="AO23" s="749">
        <f>IF($C23=0,"",SUMIFS(INPUT_DATA!BM:BM,INPUT_DATA!$A:$A,$C23,INPUT_DATA!$C:$C,"D"))</f>
        <v>106226.95</v>
      </c>
      <c r="AP23" s="338">
        <f t="shared" si="8"/>
        <v>0</v>
      </c>
      <c r="AQ23" s="149"/>
      <c r="AS23" s="338">
        <f t="shared" si="9"/>
        <v>7248047.2700000023</v>
      </c>
      <c r="AU23" s="361">
        <f>IF($C23=0,"",'03 - Monthly Asset Follow up'!F27+'03 - Monthly Asset Follow up'!G27-'03 - Monthly Asset Follow up'!V27+'03 - Monthly Asset Follow up'!Y27-H23)</f>
        <v>-3.7252902984619141E-9</v>
      </c>
      <c r="AV23" s="361">
        <f>IF($C23=0,"",'03 - Monthly Asset Follow up'!BE27+'03 - Monthly Asset Follow up'!BF27-'03 - Monthly Asset Follow up'!BU27+'03 - Monthly Asset Follow up'!BX27-AA23)</f>
        <v>-1.4551915228366852E-11</v>
      </c>
      <c r="AX23" s="154"/>
    </row>
    <row r="24" spans="2:50">
      <c r="B24" s="730">
        <f t="shared" si="4"/>
        <v>45839</v>
      </c>
      <c r="C24" s="733">
        <f>'03 - Monthly Asset Follow up'!B28</f>
        <v>45869</v>
      </c>
      <c r="D24" s="149"/>
      <c r="E24" s="726">
        <f>IF($C24=0,"",SUMIFS(INPUT_DATA!AV:AV,INPUT_DATA!$A:$A,$C24,INPUT_DATA!$C:$C,"S"))</f>
        <v>5077804.4000000022</v>
      </c>
      <c r="F24" s="738">
        <f>IF($C24=0,"",SUMIFS(INPUT_DATA!AW:AW,INPUT_DATA!$A:$A,$C24,INPUT_DATA!$C:$C,"S"))</f>
        <v>87039.29</v>
      </c>
      <c r="G24" s="738">
        <f>IF($C24=0,"",SUMIFS(INPUT_DATA!AX:AX,INPUT_DATA!$A:$A,$C24,INPUT_DATA!$C:$C,"S"))</f>
        <v>1470425.3499999999</v>
      </c>
      <c r="H24" s="740">
        <f t="shared" si="0"/>
        <v>6635269.0400000019</v>
      </c>
      <c r="I24" s="738">
        <f>IF($C24=0,"",SUMIFS(INPUT_DATA!AZ:AZ,INPUT_DATA!$A:$A,$C24,INPUT_DATA!$C:$C,"S"))</f>
        <v>1005709.8500000007</v>
      </c>
      <c r="J24" s="738">
        <f>IF($C24=0,"",SUMIFS(INPUT_DATA!BA:BA,INPUT_DATA!$A:$A,$C24,INPUT_DATA!$C:$C,"S"))</f>
        <v>28252.589999999993</v>
      </c>
      <c r="K24" s="738">
        <f>IF($C24=0,"",SUMIFS(INPUT_DATA!BB:BB,INPUT_DATA!$A:$A,$C24,INPUT_DATA!$C:$C,"S"))</f>
        <v>100.64</v>
      </c>
      <c r="L24" s="738">
        <f>IF($C24=0,"",SUMIFS(INPUT_DATA!BC:BC,INPUT_DATA!$A:$A,$C24,INPUT_DATA!$C:$C,"S"))</f>
        <v>114.49</v>
      </c>
      <c r="M24" s="738">
        <f>IF($C24=0,"",SUMIFS(INPUT_DATA!BD:BD,INPUT_DATA!$A:$A,$C24,INPUT_DATA!$C:$C,"S"))</f>
        <v>0</v>
      </c>
      <c r="N24" s="738">
        <f>IF($C24=0,"",SUMIFS(INPUT_DATA!BE:BE,INPUT_DATA!$A:$A,$C24,INPUT_DATA!$C:$C,"S"))</f>
        <v>2652.14</v>
      </c>
      <c r="O24" s="738">
        <f>IF($C24=0,"",SUMIFS(INPUT_DATA!BF:BF,INPUT_DATA!$A:$A,$C24,INPUT_DATA!$C:$C,"S"))</f>
        <v>0</v>
      </c>
      <c r="P24" s="738">
        <f>IF($C24=0,"",SUMIFS(INPUT_DATA!BG:BG,INPUT_DATA!$A:$A,$C24,INPUT_DATA!$C:$C,"S"))</f>
        <v>0</v>
      </c>
      <c r="Q24" s="744">
        <f t="shared" si="5"/>
        <v>1036829.7100000007</v>
      </c>
      <c r="R24" s="746">
        <f>IF($C24=0,"",SUMIFS(INPUT_DATA!BI:BI,INPUT_DATA!$A:$A,$C24,INPUT_DATA!$C:$C,"S"))</f>
        <v>0</v>
      </c>
      <c r="S24" s="746">
        <f>IF($C24=0,"",SUMIFS(INPUT_DATA!BJ:BJ,INPUT_DATA!$A:$A,$C24,INPUT_DATA!$C:$C,"S"))</f>
        <v>0</v>
      </c>
      <c r="T24" s="744">
        <f t="shared" si="6"/>
        <v>7672098.7500000028</v>
      </c>
      <c r="U24" s="749">
        <f>IF($C24=0,"",SUMIFS(INPUT_DATA!BM:BM,INPUT_DATA!$A:$A,$C24,INPUT_DATA!$C:$C,"S"))</f>
        <v>7672098.750000013</v>
      </c>
      <c r="V24" s="155">
        <f t="shared" si="1"/>
        <v>-1.0244548320770264E-8</v>
      </c>
      <c r="W24" s="149"/>
      <c r="X24" s="726">
        <f>IF($C24=0,"",SUMIFS(INPUT_DATA!AV:AV,INPUT_DATA!$A:$A,$C24,INPUT_DATA!$C:$C,"D"))</f>
        <v>5849.17</v>
      </c>
      <c r="Y24" s="738">
        <f>IF($C24=0,"",SUMIFS(INPUT_DATA!AW:AW,INPUT_DATA!$A:$A,$C24,INPUT_DATA!$C:$C,"D"))</f>
        <v>0</v>
      </c>
      <c r="Z24" s="738">
        <f>IF($C24=0,"",SUMIFS(INPUT_DATA!AX:AX,INPUT_DATA!$A:$A,$C24,INPUT_DATA!$C:$C,"D"))</f>
        <v>0</v>
      </c>
      <c r="AA24" s="739">
        <f t="shared" si="2"/>
        <v>5849.17</v>
      </c>
      <c r="AB24" s="738">
        <f>IF($C24=0,"",SUMIFS(INPUT_DATA!AZ:AZ,INPUT_DATA!$A:$A,$C24,INPUT_DATA!$C:$C,"D"))</f>
        <v>627.20000000000005</v>
      </c>
      <c r="AC24" s="738">
        <f>IF($C24=0,"",SUMIFS(INPUT_DATA!BA:BA,INPUT_DATA!$A:$A,$C24,INPUT_DATA!$C:$C,"D"))</f>
        <v>0</v>
      </c>
      <c r="AD24" s="738">
        <f>IF($C24=0,"",SUMIFS(INPUT_DATA!BB:BB,INPUT_DATA!$A:$A,$C24,INPUT_DATA!$C:$C,"D"))</f>
        <v>0</v>
      </c>
      <c r="AE24" s="738">
        <f>IF($C24=0,"",SUMIFS(INPUT_DATA!BC:BC,INPUT_DATA!$A:$A,$C24,INPUT_DATA!$C:$C,"D"))</f>
        <v>0</v>
      </c>
      <c r="AF24" s="738">
        <f>IF($C24=0,"",SUMIFS(INPUT_DATA!BD:BD,INPUT_DATA!$A:$A,$C24,INPUT_DATA!$C:$C,"D"))</f>
        <v>0</v>
      </c>
      <c r="AG24" s="738">
        <f>IF($C24=0,"",SUMIFS(INPUT_DATA!BE:BE,INPUT_DATA!$A:$A,$C24,INPUT_DATA!$C:$C,"D"))</f>
        <v>0</v>
      </c>
      <c r="AH24" s="738">
        <f>IF($C24=0,"",SUMIFS(INPUT_DATA!BF:BF,INPUT_DATA!$A:$A,$C24,INPUT_DATA!$C:$C,"D"))</f>
        <v>0</v>
      </c>
      <c r="AI24" s="738">
        <f>IF($C24=0,"",SUMIFS(INPUT_DATA!BG:BG,INPUT_DATA!$A:$A,$C24,INPUT_DATA!$C:$C,"D"))</f>
        <v>0</v>
      </c>
      <c r="AJ24" s="299">
        <f t="shared" si="3"/>
        <v>627.20000000000005</v>
      </c>
      <c r="AK24" s="746">
        <f>IF($C24=0,"",SUMIFS(INPUT_DATA!BI:BI,INPUT_DATA!$A:$A,$C24,INPUT_DATA!$C:$C,"D"))</f>
        <v>0</v>
      </c>
      <c r="AL24" s="746">
        <f>IF($C24=0,"",SUMIFS(INPUT_DATA!BJ:BJ,INPUT_DATA!$A:$A,$C24,INPUT_DATA!$C:$C,"D"))</f>
        <v>0</v>
      </c>
      <c r="AM24" s="746">
        <f>IF($C24=0,"",SUMIFS(INPUT_DATA!BK:BK,INPUT_DATA!$A:$A,$C24,INPUT_DATA!$C:$C,"D"))</f>
        <v>0</v>
      </c>
      <c r="AN24" s="744">
        <f t="shared" si="7"/>
        <v>6476.37</v>
      </c>
      <c r="AO24" s="749">
        <f>IF($C24=0,"",SUMIFS(INPUT_DATA!BM:BM,INPUT_DATA!$A:$A,$C24,INPUT_DATA!$C:$C,"D"))</f>
        <v>6476.37</v>
      </c>
      <c r="AP24" s="338">
        <f t="shared" si="8"/>
        <v>0</v>
      </c>
      <c r="AQ24" s="149"/>
      <c r="AS24" s="338">
        <f t="shared" si="9"/>
        <v>7678575.1200000029</v>
      </c>
      <c r="AU24" s="361">
        <f>IF($C24=0,"",'03 - Monthly Asset Follow up'!F28+'03 - Monthly Asset Follow up'!G28-'03 - Monthly Asset Follow up'!V28+'03 - Monthly Asset Follow up'!Y28-H24)</f>
        <v>3.7252902984619141E-9</v>
      </c>
      <c r="AV24" s="361">
        <f>IF($C24=0,"",'03 - Monthly Asset Follow up'!BE28+'03 - Monthly Asset Follow up'!BF28-'03 - Monthly Asset Follow up'!BU28+'03 - Monthly Asset Follow up'!BX28-AA24)</f>
        <v>0</v>
      </c>
      <c r="AX24" s="154"/>
    </row>
    <row r="25" spans="2:50">
      <c r="B25" s="730">
        <f t="shared" si="4"/>
        <v>45809</v>
      </c>
      <c r="C25" s="733">
        <f>'03 - Monthly Asset Follow up'!B29</f>
        <v>45838</v>
      </c>
      <c r="D25" s="149"/>
      <c r="E25" s="726">
        <f>IF($C25=0,"",SUMIFS(INPUT_DATA!AV:AV,INPUT_DATA!$A:$A,$C25,INPUT_DATA!$C:$C,"S"))</f>
        <v>5011169.8599999994</v>
      </c>
      <c r="F25" s="738">
        <f>IF($C25=0,"",SUMIFS(INPUT_DATA!AW:AW,INPUT_DATA!$A:$A,$C25,INPUT_DATA!$C:$C,"S"))</f>
        <v>85518.179999999978</v>
      </c>
      <c r="G25" s="738">
        <f>IF($C25=0,"",SUMIFS(INPUT_DATA!AX:AX,INPUT_DATA!$A:$A,$C25,INPUT_DATA!$C:$C,"S"))</f>
        <v>1167911.44</v>
      </c>
      <c r="H25" s="740">
        <f t="shared" si="0"/>
        <v>6264599.4799999986</v>
      </c>
      <c r="I25" s="738">
        <f>IF($C25=0,"",SUMIFS(INPUT_DATA!AZ:AZ,INPUT_DATA!$A:$A,$C25,INPUT_DATA!$C:$C,"S"))</f>
        <v>991423.72000000032</v>
      </c>
      <c r="J25" s="738">
        <f>IF($C25=0,"",SUMIFS(INPUT_DATA!BA:BA,INPUT_DATA!$A:$A,$C25,INPUT_DATA!$C:$C,"S"))</f>
        <v>7234.7200000000012</v>
      </c>
      <c r="K25" s="738">
        <f>IF($C25=0,"",SUMIFS(INPUT_DATA!BB:BB,INPUT_DATA!$A:$A,$C25,INPUT_DATA!$C:$C,"S"))</f>
        <v>151.58000000000004</v>
      </c>
      <c r="L25" s="738">
        <f>IF($C25=0,"",SUMIFS(INPUT_DATA!BC:BC,INPUT_DATA!$A:$A,$C25,INPUT_DATA!$C:$C,"S"))</f>
        <v>205.62000000000009</v>
      </c>
      <c r="M25" s="738">
        <f>IF($C25=0,"",SUMIFS(INPUT_DATA!BD:BD,INPUT_DATA!$A:$A,$C25,INPUT_DATA!$C:$C,"S"))</f>
        <v>0</v>
      </c>
      <c r="N25" s="738">
        <f>IF($C25=0,"",SUMIFS(INPUT_DATA!BE:BE,INPUT_DATA!$A:$A,$C25,INPUT_DATA!$C:$C,"S"))</f>
        <v>2683.91</v>
      </c>
      <c r="O25" s="738">
        <f>IF($C25=0,"",SUMIFS(INPUT_DATA!BF:BF,INPUT_DATA!$A:$A,$C25,INPUT_DATA!$C:$C,"S"))</f>
        <v>0</v>
      </c>
      <c r="P25" s="738">
        <f>IF($C25=0,"",SUMIFS(INPUT_DATA!BG:BG,INPUT_DATA!$A:$A,$C25,INPUT_DATA!$C:$C,"S"))</f>
        <v>0</v>
      </c>
      <c r="Q25" s="744">
        <f t="shared" si="5"/>
        <v>1001699.5500000003</v>
      </c>
      <c r="R25" s="746">
        <f>IF($C25=0,"",SUMIFS(INPUT_DATA!BI:BI,INPUT_DATA!$A:$A,$C25,INPUT_DATA!$C:$C,"S"))</f>
        <v>0</v>
      </c>
      <c r="S25" s="746">
        <f>IF($C25=0,"",SUMIFS(INPUT_DATA!BJ:BJ,INPUT_DATA!$A:$A,$C25,INPUT_DATA!$C:$C,"S"))</f>
        <v>0</v>
      </c>
      <c r="T25" s="744">
        <f t="shared" si="6"/>
        <v>7266299.0299999993</v>
      </c>
      <c r="U25" s="749">
        <f>IF($C25=0,"",SUMIFS(INPUT_DATA!BM:BM,INPUT_DATA!$A:$A,$C25,INPUT_DATA!$C:$C,"S"))</f>
        <v>7266299.0300000012</v>
      </c>
      <c r="V25" s="155">
        <f t="shared" si="1"/>
        <v>-1.862645149230957E-9</v>
      </c>
      <c r="W25" s="149"/>
      <c r="X25" s="726">
        <f>IF($C25=0,"",SUMIFS(INPUT_DATA!AV:AV,INPUT_DATA!$A:$A,$C25,INPUT_DATA!$C:$C,"D"))</f>
        <v>3083.23</v>
      </c>
      <c r="Y25" s="738">
        <f>IF($C25=0,"",SUMIFS(INPUT_DATA!AW:AW,INPUT_DATA!$A:$A,$C25,INPUT_DATA!$C:$C,"D"))</f>
        <v>1606.6000000000001</v>
      </c>
      <c r="Z25" s="738">
        <f>IF($C25=0,"",SUMIFS(INPUT_DATA!AX:AX,INPUT_DATA!$A:$A,$C25,INPUT_DATA!$C:$C,"D"))</f>
        <v>0</v>
      </c>
      <c r="AA25" s="739">
        <f t="shared" si="2"/>
        <v>4689.83</v>
      </c>
      <c r="AB25" s="738">
        <f>IF($C25=0,"",SUMIFS(INPUT_DATA!AZ:AZ,INPUT_DATA!$A:$A,$C25,INPUT_DATA!$C:$C,"D"))</f>
        <v>387.09</v>
      </c>
      <c r="AC25" s="738">
        <f>IF($C25=0,"",SUMIFS(INPUT_DATA!BA:BA,INPUT_DATA!$A:$A,$C25,INPUT_DATA!$C:$C,"D"))</f>
        <v>75.25</v>
      </c>
      <c r="AD25" s="738">
        <f>IF($C25=0,"",SUMIFS(INPUT_DATA!BB:BB,INPUT_DATA!$A:$A,$C25,INPUT_DATA!$C:$C,"D"))</f>
        <v>1.46</v>
      </c>
      <c r="AE25" s="738">
        <f>IF($C25=0,"",SUMIFS(INPUT_DATA!BC:BC,INPUT_DATA!$A:$A,$C25,INPUT_DATA!$C:$C,"D"))</f>
        <v>3.08</v>
      </c>
      <c r="AF25" s="738">
        <f>IF($C25=0,"",SUMIFS(INPUT_DATA!BD:BD,INPUT_DATA!$A:$A,$C25,INPUT_DATA!$C:$C,"D"))</f>
        <v>0</v>
      </c>
      <c r="AG25" s="738">
        <f>IF($C25=0,"",SUMIFS(INPUT_DATA!BE:BE,INPUT_DATA!$A:$A,$C25,INPUT_DATA!$C:$C,"D"))</f>
        <v>0</v>
      </c>
      <c r="AH25" s="738">
        <f>IF($C25=0,"",SUMIFS(INPUT_DATA!BF:BF,INPUT_DATA!$A:$A,$C25,INPUT_DATA!$C:$C,"D"))</f>
        <v>0</v>
      </c>
      <c r="AI25" s="738">
        <f>IF($C25=0,"",SUMIFS(INPUT_DATA!BG:BG,INPUT_DATA!$A:$A,$C25,INPUT_DATA!$C:$C,"D"))</f>
        <v>0</v>
      </c>
      <c r="AJ25" s="299">
        <f t="shared" si="3"/>
        <v>466.87999999999994</v>
      </c>
      <c r="AK25" s="746">
        <f>IF($C25=0,"",SUMIFS(INPUT_DATA!BI:BI,INPUT_DATA!$A:$A,$C25,INPUT_DATA!$C:$C,"D"))</f>
        <v>0</v>
      </c>
      <c r="AL25" s="746">
        <f>IF($C25=0,"",SUMIFS(INPUT_DATA!BJ:BJ,INPUT_DATA!$A:$A,$C25,INPUT_DATA!$C:$C,"D"))</f>
        <v>0</v>
      </c>
      <c r="AM25" s="746">
        <f>IF($C25=0,"",SUMIFS(INPUT_DATA!BK:BK,INPUT_DATA!$A:$A,$C25,INPUT_DATA!$C:$C,"D"))</f>
        <v>0</v>
      </c>
      <c r="AN25" s="744">
        <f t="shared" si="7"/>
        <v>5156.71</v>
      </c>
      <c r="AO25" s="749">
        <f>IF($C25=0,"",SUMIFS(INPUT_DATA!BM:BM,INPUT_DATA!$A:$A,$C25,INPUT_DATA!$C:$C,"D"))</f>
        <v>5156.71</v>
      </c>
      <c r="AP25" s="338">
        <f t="shared" si="8"/>
        <v>0</v>
      </c>
      <c r="AQ25" s="149"/>
      <c r="AS25" s="338">
        <f t="shared" si="9"/>
        <v>7271455.7399999993</v>
      </c>
      <c r="AU25" s="361">
        <f>IF($C25=0,"",'03 - Monthly Asset Follow up'!F29+'03 - Monthly Asset Follow up'!G29-'03 - Monthly Asset Follow up'!V29+'03 - Monthly Asset Follow up'!Y29-H25)</f>
        <v>0</v>
      </c>
      <c r="AV25" s="361">
        <f>IF($C25=0,"",'03 - Monthly Asset Follow up'!BE29+'03 - Monthly Asset Follow up'!BF29-'03 - Monthly Asset Follow up'!BU29+'03 - Monthly Asset Follow up'!BX29-AA25)</f>
        <v>0</v>
      </c>
      <c r="AX25" s="154"/>
    </row>
    <row r="26" spans="2:50">
      <c r="B26" s="730">
        <f t="shared" si="4"/>
        <v>45778</v>
      </c>
      <c r="C26" s="733">
        <f>'03 - Monthly Asset Follow up'!B30</f>
        <v>45808</v>
      </c>
      <c r="D26" s="149"/>
      <c r="E26" s="726">
        <f>IF($C26=0,"",SUMIFS(INPUT_DATA!AV:AV,INPUT_DATA!$A:$A,$C26,INPUT_DATA!$C:$C,"S"))</f>
        <v>4523976.6299999943</v>
      </c>
      <c r="F26" s="738">
        <f>IF($C26=0,"",SUMIFS(INPUT_DATA!AW:AW,INPUT_DATA!$A:$A,$C26,INPUT_DATA!$C:$C,"S"))</f>
        <v>74647.800000000017</v>
      </c>
      <c r="G26" s="738">
        <f>IF($C26=0,"",SUMIFS(INPUT_DATA!AX:AX,INPUT_DATA!$A:$A,$C26,INPUT_DATA!$C:$C,"S"))</f>
        <v>482114.58999999997</v>
      </c>
      <c r="H26" s="740">
        <f t="shared" si="0"/>
        <v>5080739.019999994</v>
      </c>
      <c r="I26" s="738">
        <f>IF($C26=0,"",SUMIFS(INPUT_DATA!AZ:AZ,INPUT_DATA!$A:$A,$C26,INPUT_DATA!$C:$C,"S"))</f>
        <v>741815.00999999803</v>
      </c>
      <c r="J26" s="738">
        <f>IF($C26=0,"",SUMIFS(INPUT_DATA!BA:BA,INPUT_DATA!$A:$A,$C26,INPUT_DATA!$C:$C,"S"))</f>
        <v>7422.6100000000006</v>
      </c>
      <c r="K26" s="738">
        <f>IF($C26=0,"",SUMIFS(INPUT_DATA!BB:BB,INPUT_DATA!$A:$A,$C26,INPUT_DATA!$C:$C,"S"))</f>
        <v>145.22000000000006</v>
      </c>
      <c r="L26" s="738">
        <f>IF($C26=0,"",SUMIFS(INPUT_DATA!BC:BC,INPUT_DATA!$A:$A,$C26,INPUT_DATA!$C:$C,"S"))</f>
        <v>173.07999999999993</v>
      </c>
      <c r="M26" s="738">
        <f>IF($C26=0,"",SUMIFS(INPUT_DATA!BD:BD,INPUT_DATA!$A:$A,$C26,INPUT_DATA!$C:$C,"S"))</f>
        <v>0</v>
      </c>
      <c r="N26" s="738">
        <f>IF($C26=0,"",SUMIFS(INPUT_DATA!BE:BE,INPUT_DATA!$A:$A,$C26,INPUT_DATA!$C:$C,"S"))</f>
        <v>3789.04</v>
      </c>
      <c r="O26" s="738">
        <f>IF($C26=0,"",SUMIFS(INPUT_DATA!BF:BF,INPUT_DATA!$A:$A,$C26,INPUT_DATA!$C:$C,"S"))</f>
        <v>64.260000000000005</v>
      </c>
      <c r="P26" s="738">
        <f>IF($C26=0,"",SUMIFS(INPUT_DATA!BG:BG,INPUT_DATA!$A:$A,$C26,INPUT_DATA!$C:$C,"S"))</f>
        <v>0</v>
      </c>
      <c r="Q26" s="744">
        <f t="shared" si="5"/>
        <v>753409.21999999799</v>
      </c>
      <c r="R26" s="746">
        <f>IF($C26=0,"",SUMIFS(INPUT_DATA!BI:BI,INPUT_DATA!$A:$A,$C26,INPUT_DATA!$C:$C,"S"))</f>
        <v>0</v>
      </c>
      <c r="S26" s="746">
        <f>IF($C26=0,"",SUMIFS(INPUT_DATA!BJ:BJ,INPUT_DATA!$A:$A,$C26,INPUT_DATA!$C:$C,"S"))</f>
        <v>0</v>
      </c>
      <c r="T26" s="744">
        <f t="shared" si="6"/>
        <v>5834148.2399999918</v>
      </c>
      <c r="U26" s="749">
        <f>IF($C26=0,"",SUMIFS(INPUT_DATA!BM:BM,INPUT_DATA!$A:$A,$C26,INPUT_DATA!$C:$C,"S"))</f>
        <v>5834148.2400000077</v>
      </c>
      <c r="V26" s="155">
        <f t="shared" si="1"/>
        <v>-1.5832483768463135E-8</v>
      </c>
      <c r="W26" s="149"/>
      <c r="X26" s="726">
        <f>IF($C26=0,"",SUMIFS(INPUT_DATA!AV:AV,INPUT_DATA!$A:$A,$C26,INPUT_DATA!$C:$C,"D"))</f>
        <v>1469.83</v>
      </c>
      <c r="Y26" s="738">
        <f>IF($C26=0,"",SUMIFS(INPUT_DATA!AW:AW,INPUT_DATA!$A:$A,$C26,INPUT_DATA!$C:$C,"D"))</f>
        <v>5936.2</v>
      </c>
      <c r="Z26" s="738">
        <f>IF($C26=0,"",SUMIFS(INPUT_DATA!AX:AX,INPUT_DATA!$A:$A,$C26,INPUT_DATA!$C:$C,"D"))</f>
        <v>0</v>
      </c>
      <c r="AA26" s="739">
        <f t="shared" si="2"/>
        <v>7406.03</v>
      </c>
      <c r="AB26" s="738">
        <f>IF($C26=0,"",SUMIFS(INPUT_DATA!AZ:AZ,INPUT_DATA!$A:$A,$C26,INPUT_DATA!$C:$C,"D"))</f>
        <v>311.83999999999997</v>
      </c>
      <c r="AC26" s="738">
        <f>IF($C26=0,"",SUMIFS(INPUT_DATA!BA:BA,INPUT_DATA!$A:$A,$C26,INPUT_DATA!$C:$C,"D"))</f>
        <v>1297.5899999999999</v>
      </c>
      <c r="AD26" s="738">
        <f>IF($C26=0,"",SUMIFS(INPUT_DATA!BB:BB,INPUT_DATA!$A:$A,$C26,INPUT_DATA!$C:$C,"D"))</f>
        <v>71.459999999999994</v>
      </c>
      <c r="AE26" s="738">
        <f>IF($C26=0,"",SUMIFS(INPUT_DATA!BC:BC,INPUT_DATA!$A:$A,$C26,INPUT_DATA!$C:$C,"D"))</f>
        <v>51.849999999999994</v>
      </c>
      <c r="AF26" s="738">
        <f>IF($C26=0,"",SUMIFS(INPUT_DATA!BD:BD,INPUT_DATA!$A:$A,$C26,INPUT_DATA!$C:$C,"D"))</f>
        <v>0</v>
      </c>
      <c r="AG26" s="738">
        <f>IF($C26=0,"",SUMIFS(INPUT_DATA!BE:BE,INPUT_DATA!$A:$A,$C26,INPUT_DATA!$C:$C,"D"))</f>
        <v>0</v>
      </c>
      <c r="AH26" s="738">
        <f>IF($C26=0,"",SUMIFS(INPUT_DATA!BF:BF,INPUT_DATA!$A:$A,$C26,INPUT_DATA!$C:$C,"D"))</f>
        <v>0</v>
      </c>
      <c r="AI26" s="738">
        <f>IF($C26=0,"",SUMIFS(INPUT_DATA!BG:BG,INPUT_DATA!$A:$A,$C26,INPUT_DATA!$C:$C,"D"))</f>
        <v>0</v>
      </c>
      <c r="AJ26" s="299">
        <f t="shared" si="3"/>
        <v>1732.7399999999998</v>
      </c>
      <c r="AK26" s="746">
        <f>IF($C26=0,"",SUMIFS(INPUT_DATA!BI:BI,INPUT_DATA!$A:$A,$C26,INPUT_DATA!$C:$C,"D"))</f>
        <v>0</v>
      </c>
      <c r="AL26" s="746">
        <f>IF($C26=0,"",SUMIFS(INPUT_DATA!BJ:BJ,INPUT_DATA!$A:$A,$C26,INPUT_DATA!$C:$C,"D"))</f>
        <v>0</v>
      </c>
      <c r="AM26" s="746">
        <f>IF($C26=0,"",SUMIFS(INPUT_DATA!BK:BK,INPUT_DATA!$A:$A,$C26,INPUT_DATA!$C:$C,"D"))</f>
        <v>0</v>
      </c>
      <c r="AN26" s="744">
        <f t="shared" si="7"/>
        <v>9138.77</v>
      </c>
      <c r="AO26" s="749">
        <f>IF($C26=0,"",SUMIFS(INPUT_DATA!BM:BM,INPUT_DATA!$A:$A,$C26,INPUT_DATA!$C:$C,"D"))</f>
        <v>9138.77</v>
      </c>
      <c r="AP26" s="338">
        <f t="shared" si="8"/>
        <v>0</v>
      </c>
      <c r="AQ26" s="149"/>
      <c r="AS26" s="338">
        <f t="shared" si="9"/>
        <v>5843287.0099999914</v>
      </c>
      <c r="AU26" s="361">
        <f>IF($C26=0,"",'03 - Monthly Asset Follow up'!F30+'03 - Monthly Asset Follow up'!G30-'03 - Monthly Asset Follow up'!V30+'03 - Monthly Asset Follow up'!Y30-H26)</f>
        <v>-1.862645149230957E-9</v>
      </c>
      <c r="AV26" s="361">
        <f>IF($C26=0,"",'03 - Monthly Asset Follow up'!BE30+'03 - Monthly Asset Follow up'!BF30-'03 - Monthly Asset Follow up'!BU30+'03 - Monthly Asset Follow up'!BX30-AA26)</f>
        <v>0</v>
      </c>
      <c r="AX26" s="154"/>
    </row>
    <row r="27" spans="2:50">
      <c r="B27" s="730">
        <f t="shared" si="4"/>
        <v>45748</v>
      </c>
      <c r="C27" s="733">
        <f>'03 - Monthly Asset Follow up'!B31</f>
        <v>45777</v>
      </c>
      <c r="D27" s="149"/>
      <c r="E27" s="726">
        <f>IF($C27=0,"",SUMIFS(INPUT_DATA!AV:AV,INPUT_DATA!$A:$A,$C27,INPUT_DATA!$C:$C,"S"))</f>
        <v>4597993.0200000023</v>
      </c>
      <c r="F27" s="738">
        <f>IF($C27=0,"",SUMIFS(INPUT_DATA!AW:AW,INPUT_DATA!$A:$A,$C27,INPUT_DATA!$C:$C,"S"))</f>
        <v>83675.069999999992</v>
      </c>
      <c r="G27" s="738">
        <f>IF($C27=0,"",SUMIFS(INPUT_DATA!AX:AX,INPUT_DATA!$A:$A,$C27,INPUT_DATA!$C:$C,"S"))</f>
        <v>981192.52999999991</v>
      </c>
      <c r="H27" s="740">
        <f t="shared" si="0"/>
        <v>5662860.6200000029</v>
      </c>
      <c r="I27" s="738">
        <f>IF($C27=0,"",SUMIFS(INPUT_DATA!AZ:AZ,INPUT_DATA!$A:$A,$C27,INPUT_DATA!$C:$C,"S"))</f>
        <v>751220.20999999798</v>
      </c>
      <c r="J27" s="738">
        <f>IF($C27=0,"",SUMIFS(INPUT_DATA!BA:BA,INPUT_DATA!$A:$A,$C27,INPUT_DATA!$C:$C,"S"))</f>
        <v>6320.35</v>
      </c>
      <c r="K27" s="738">
        <f>IF($C27=0,"",SUMIFS(INPUT_DATA!BB:BB,INPUT_DATA!$A:$A,$C27,INPUT_DATA!$C:$C,"S"))</f>
        <v>109.69</v>
      </c>
      <c r="L27" s="738">
        <f>IF($C27=0,"",SUMIFS(INPUT_DATA!BC:BC,INPUT_DATA!$A:$A,$C27,INPUT_DATA!$C:$C,"S"))</f>
        <v>134.31000000000003</v>
      </c>
      <c r="M27" s="738">
        <f>IF($C27=0,"",SUMIFS(INPUT_DATA!BD:BD,INPUT_DATA!$A:$A,$C27,INPUT_DATA!$C:$C,"S"))</f>
        <v>0</v>
      </c>
      <c r="N27" s="738">
        <f>IF($C27=0,"",SUMIFS(INPUT_DATA!BE:BE,INPUT_DATA!$A:$A,$C27,INPUT_DATA!$C:$C,"S"))</f>
        <v>4069.59</v>
      </c>
      <c r="O27" s="738">
        <f>IF($C27=0,"",SUMIFS(INPUT_DATA!BF:BF,INPUT_DATA!$A:$A,$C27,INPUT_DATA!$C:$C,"S"))</f>
        <v>0</v>
      </c>
      <c r="P27" s="738">
        <f>IF($C27=0,"",SUMIFS(INPUT_DATA!BG:BG,INPUT_DATA!$A:$A,$C27,INPUT_DATA!$C:$C,"S"))</f>
        <v>0</v>
      </c>
      <c r="Q27" s="744">
        <f t="shared" si="5"/>
        <v>761854.14999999793</v>
      </c>
      <c r="R27" s="746">
        <f>IF($C27=0,"",SUMIFS(INPUT_DATA!BI:BI,INPUT_DATA!$A:$A,$C27,INPUT_DATA!$C:$C,"S"))</f>
        <v>0</v>
      </c>
      <c r="S27" s="746">
        <f>IF($C27=0,"",SUMIFS(INPUT_DATA!BJ:BJ,INPUT_DATA!$A:$A,$C27,INPUT_DATA!$C:$C,"S"))</f>
        <v>0</v>
      </c>
      <c r="T27" s="744">
        <f t="shared" si="6"/>
        <v>6424714.7700000005</v>
      </c>
      <c r="U27" s="749">
        <f>IF($C27=0,"",SUMIFS(INPUT_DATA!BM:BM,INPUT_DATA!$A:$A,$C27,INPUT_DATA!$C:$C,"S"))</f>
        <v>6424714.7700000172</v>
      </c>
      <c r="V27" s="155">
        <f t="shared" si="1"/>
        <v>-1.6763806343078613E-8</v>
      </c>
      <c r="W27" s="149"/>
      <c r="X27" s="726">
        <f>IF($C27=0,"",SUMIFS(INPUT_DATA!AV:AV,INPUT_DATA!$A:$A,$C27,INPUT_DATA!$C:$C,"D"))</f>
        <v>0</v>
      </c>
      <c r="Y27" s="738">
        <f>IF($C27=0,"",SUMIFS(INPUT_DATA!AW:AW,INPUT_DATA!$A:$A,$C27,INPUT_DATA!$C:$C,"D"))</f>
        <v>0</v>
      </c>
      <c r="Z27" s="738">
        <f>IF($C27=0,"",SUMIFS(INPUT_DATA!AX:AX,INPUT_DATA!$A:$A,$C27,INPUT_DATA!$C:$C,"D"))</f>
        <v>0</v>
      </c>
      <c r="AA27" s="739">
        <f t="shared" si="2"/>
        <v>0</v>
      </c>
      <c r="AB27" s="738">
        <f>IF($C27=0,"",SUMIFS(INPUT_DATA!AZ:AZ,INPUT_DATA!$A:$A,$C27,INPUT_DATA!$C:$C,"D"))</f>
        <v>0</v>
      </c>
      <c r="AC27" s="738">
        <f>IF($C27=0,"",SUMIFS(INPUT_DATA!BA:BA,INPUT_DATA!$A:$A,$C27,INPUT_DATA!$C:$C,"D"))</f>
        <v>0</v>
      </c>
      <c r="AD27" s="738">
        <f>IF($C27=0,"",SUMIFS(INPUT_DATA!BB:BB,INPUT_DATA!$A:$A,$C27,INPUT_DATA!$C:$C,"D"))</f>
        <v>0</v>
      </c>
      <c r="AE27" s="738">
        <f>IF($C27=0,"",SUMIFS(INPUT_DATA!BC:BC,INPUT_DATA!$A:$A,$C27,INPUT_DATA!$C:$C,"D"))</f>
        <v>0</v>
      </c>
      <c r="AF27" s="738">
        <f>IF($C27=0,"",SUMIFS(INPUT_DATA!BD:BD,INPUT_DATA!$A:$A,$C27,INPUT_DATA!$C:$C,"D"))</f>
        <v>0</v>
      </c>
      <c r="AG27" s="738">
        <f>IF($C27=0,"",SUMIFS(INPUT_DATA!BE:BE,INPUT_DATA!$A:$A,$C27,INPUT_DATA!$C:$C,"D"))</f>
        <v>0</v>
      </c>
      <c r="AH27" s="738">
        <f>IF($C27=0,"",SUMIFS(INPUT_DATA!BF:BF,INPUT_DATA!$A:$A,$C27,INPUT_DATA!$C:$C,"D"))</f>
        <v>0</v>
      </c>
      <c r="AI27" s="738">
        <f>IF($C27=0,"",SUMIFS(INPUT_DATA!BG:BG,INPUT_DATA!$A:$A,$C27,INPUT_DATA!$C:$C,"D"))</f>
        <v>0</v>
      </c>
      <c r="AJ27" s="299">
        <f t="shared" si="3"/>
        <v>0</v>
      </c>
      <c r="AK27" s="746">
        <f>IF($C27=0,"",SUMIFS(INPUT_DATA!BI:BI,INPUT_DATA!$A:$A,$C27,INPUT_DATA!$C:$C,"D"))</f>
        <v>0</v>
      </c>
      <c r="AL27" s="746">
        <f>IF($C27=0,"",SUMIFS(INPUT_DATA!BJ:BJ,INPUT_DATA!$A:$A,$C27,INPUT_DATA!$C:$C,"D"))</f>
        <v>0</v>
      </c>
      <c r="AM27" s="746">
        <f>IF($C27=0,"",SUMIFS(INPUT_DATA!BK:BK,INPUT_DATA!$A:$A,$C27,INPUT_DATA!$C:$C,"D"))</f>
        <v>0</v>
      </c>
      <c r="AN27" s="744">
        <f t="shared" si="7"/>
        <v>0</v>
      </c>
      <c r="AO27" s="749">
        <f>IF($C27=0,"",SUMIFS(INPUT_DATA!BM:BM,INPUT_DATA!$A:$A,$C27,INPUT_DATA!$C:$C,"D"))</f>
        <v>0</v>
      </c>
      <c r="AP27" s="338">
        <f t="shared" si="8"/>
        <v>0</v>
      </c>
      <c r="AQ27" s="149"/>
      <c r="AS27" s="338">
        <f t="shared" si="9"/>
        <v>6424714.7700000005</v>
      </c>
      <c r="AU27" s="361">
        <f>IF($C27=0,"",'03 - Monthly Asset Follow up'!F31+'03 - Monthly Asset Follow up'!G31-'03 - Monthly Asset Follow up'!V31+'03 - Monthly Asset Follow up'!Y31-H27)</f>
        <v>1.862645149230957E-9</v>
      </c>
      <c r="AV27" s="361">
        <f>IF($C27=0,"",'03 - Monthly Asset Follow up'!BE31+'03 - Monthly Asset Follow up'!BF31-'03 - Monthly Asset Follow up'!BU31+'03 - Monthly Asset Follow up'!BX31-AA27)</f>
        <v>0</v>
      </c>
      <c r="AX27" s="154"/>
    </row>
    <row r="28" spans="2:50">
      <c r="B28" s="730">
        <f t="shared" si="4"/>
        <v>45717</v>
      </c>
      <c r="C28" s="733">
        <f>'03 - Monthly Asset Follow up'!B32</f>
        <v>45747</v>
      </c>
      <c r="D28" s="149"/>
      <c r="E28" s="726">
        <f>IF($C28=0,"",SUMIFS(INPUT_DATA!AV:AV,INPUT_DATA!$A:$A,$C28,INPUT_DATA!$C:$C,"S"))</f>
        <v>4784389.8400000026</v>
      </c>
      <c r="F28" s="738">
        <f>IF($C28=0,"",SUMIFS(INPUT_DATA!AW:AW,INPUT_DATA!$A:$A,$C28,INPUT_DATA!$C:$C,"S"))</f>
        <v>84933.37999999999</v>
      </c>
      <c r="G28" s="738">
        <f>IF($C28=0,"",SUMIFS(INPUT_DATA!AX:AX,INPUT_DATA!$A:$A,$C28,INPUT_DATA!$C:$C,"S"))</f>
        <v>1914870.19</v>
      </c>
      <c r="H28" s="740">
        <f t="shared" si="0"/>
        <v>6784193.410000002</v>
      </c>
      <c r="I28" s="738">
        <f>IF($C28=0,"",SUMIFS(INPUT_DATA!AZ:AZ,INPUT_DATA!$A:$A,$C28,INPUT_DATA!$C:$C,"S"))</f>
        <v>757450.20999999973</v>
      </c>
      <c r="J28" s="738">
        <f>IF($C28=0,"",SUMIFS(INPUT_DATA!BA:BA,INPUT_DATA!$A:$A,$C28,INPUT_DATA!$C:$C,"S"))</f>
        <v>9875.0500000000029</v>
      </c>
      <c r="K28" s="738">
        <f>IF($C28=0,"",SUMIFS(INPUT_DATA!BB:BB,INPUT_DATA!$A:$A,$C28,INPUT_DATA!$C:$C,"S"))</f>
        <v>77.660000000000011</v>
      </c>
      <c r="L28" s="738">
        <f>IF($C28=0,"",SUMIFS(INPUT_DATA!BC:BC,INPUT_DATA!$A:$A,$C28,INPUT_DATA!$C:$C,"S"))</f>
        <v>124.70000000000003</v>
      </c>
      <c r="M28" s="738">
        <f>IF($C28=0,"",SUMIFS(INPUT_DATA!BD:BD,INPUT_DATA!$A:$A,$C28,INPUT_DATA!$C:$C,"S"))</f>
        <v>0</v>
      </c>
      <c r="N28" s="738">
        <f>IF($C28=0,"",SUMIFS(INPUT_DATA!BE:BE,INPUT_DATA!$A:$A,$C28,INPUT_DATA!$C:$C,"S"))</f>
        <v>2339.7399999999998</v>
      </c>
      <c r="O28" s="738">
        <f>IF($C28=0,"",SUMIFS(INPUT_DATA!BF:BF,INPUT_DATA!$A:$A,$C28,INPUT_DATA!$C:$C,"S"))</f>
        <v>0</v>
      </c>
      <c r="P28" s="738">
        <f>IF($C28=0,"",SUMIFS(INPUT_DATA!BG:BG,INPUT_DATA!$A:$A,$C28,INPUT_DATA!$C:$C,"S"))</f>
        <v>0</v>
      </c>
      <c r="Q28" s="744">
        <f t="shared" si="5"/>
        <v>769867.35999999975</v>
      </c>
      <c r="R28" s="746">
        <f>IF($C28=0,"",SUMIFS(INPUT_DATA!BI:BI,INPUT_DATA!$A:$A,$C28,INPUT_DATA!$C:$C,"S"))</f>
        <v>0</v>
      </c>
      <c r="S28" s="746">
        <f>IF($C28=0,"",SUMIFS(INPUT_DATA!BJ:BJ,INPUT_DATA!$A:$A,$C28,INPUT_DATA!$C:$C,"S"))</f>
        <v>0</v>
      </c>
      <c r="T28" s="744">
        <f t="shared" si="6"/>
        <v>7554060.7700000014</v>
      </c>
      <c r="U28" s="749">
        <f>IF($C28=0,"",SUMIFS(INPUT_DATA!BM:BM,INPUT_DATA!$A:$A,$C28,INPUT_DATA!$C:$C,"S"))</f>
        <v>7554060.7699999912</v>
      </c>
      <c r="V28" s="155">
        <f t="shared" si="1"/>
        <v>1.0244548320770264E-8</v>
      </c>
      <c r="W28" s="149"/>
      <c r="X28" s="726">
        <f>IF($C28=0,"",SUMIFS(INPUT_DATA!AV:AV,INPUT_DATA!$A:$A,$C28,INPUT_DATA!$C:$C,"D"))</f>
        <v>0</v>
      </c>
      <c r="Y28" s="738">
        <f>IF($C28=0,"",SUMIFS(INPUT_DATA!AW:AW,INPUT_DATA!$A:$A,$C28,INPUT_DATA!$C:$C,"D"))</f>
        <v>1040.58</v>
      </c>
      <c r="Z28" s="738">
        <f>IF($C28=0,"",SUMIFS(INPUT_DATA!AX:AX,INPUT_DATA!$A:$A,$C28,INPUT_DATA!$C:$C,"D"))</f>
        <v>0</v>
      </c>
      <c r="AA28" s="739">
        <f t="shared" si="2"/>
        <v>1040.58</v>
      </c>
      <c r="AB28" s="738">
        <f>IF($C28=0,"",SUMIFS(INPUT_DATA!AZ:AZ,INPUT_DATA!$A:$A,$C28,INPUT_DATA!$C:$C,"D"))</f>
        <v>246.37</v>
      </c>
      <c r="AC28" s="738">
        <f>IF($C28=0,"",SUMIFS(INPUT_DATA!BA:BA,INPUT_DATA!$A:$A,$C28,INPUT_DATA!$C:$C,"D"))</f>
        <v>0</v>
      </c>
      <c r="AD28" s="738">
        <f>IF($C28=0,"",SUMIFS(INPUT_DATA!BB:BB,INPUT_DATA!$A:$A,$C28,INPUT_DATA!$C:$C,"D"))</f>
        <v>1.34</v>
      </c>
      <c r="AE28" s="738">
        <f>IF($C28=0,"",SUMIFS(INPUT_DATA!BC:BC,INPUT_DATA!$A:$A,$C28,INPUT_DATA!$C:$C,"D"))</f>
        <v>3.08</v>
      </c>
      <c r="AF28" s="738">
        <f>IF($C28=0,"",SUMIFS(INPUT_DATA!BD:BD,INPUT_DATA!$A:$A,$C28,INPUT_DATA!$C:$C,"D"))</f>
        <v>0</v>
      </c>
      <c r="AG28" s="738">
        <f>IF($C28=0,"",SUMIFS(INPUT_DATA!BE:BE,INPUT_DATA!$A:$A,$C28,INPUT_DATA!$C:$C,"D"))</f>
        <v>0</v>
      </c>
      <c r="AH28" s="738">
        <f>IF($C28=0,"",SUMIFS(INPUT_DATA!BF:BF,INPUT_DATA!$A:$A,$C28,INPUT_DATA!$C:$C,"D"))</f>
        <v>0</v>
      </c>
      <c r="AI28" s="738">
        <f>IF($C28=0,"",SUMIFS(INPUT_DATA!BG:BG,INPUT_DATA!$A:$A,$C28,INPUT_DATA!$C:$C,"D"))</f>
        <v>0</v>
      </c>
      <c r="AJ28" s="299">
        <f t="shared" si="3"/>
        <v>250.79000000000002</v>
      </c>
      <c r="AK28" s="746">
        <f>IF($C28=0,"",SUMIFS(INPUT_DATA!BI:BI,INPUT_DATA!$A:$A,$C28,INPUT_DATA!$C:$C,"D"))</f>
        <v>0</v>
      </c>
      <c r="AL28" s="746">
        <f>IF($C28=0,"",SUMIFS(INPUT_DATA!BJ:BJ,INPUT_DATA!$A:$A,$C28,INPUT_DATA!$C:$C,"D"))</f>
        <v>0</v>
      </c>
      <c r="AM28" s="746">
        <f>IF($C28=0,"",SUMIFS(INPUT_DATA!BK:BK,INPUT_DATA!$A:$A,$C28,INPUT_DATA!$C:$C,"D"))</f>
        <v>0</v>
      </c>
      <c r="AN28" s="744">
        <f t="shared" si="7"/>
        <v>1291.3699999999999</v>
      </c>
      <c r="AO28" s="749">
        <f>IF($C28=0,"",SUMIFS(INPUT_DATA!BM:BM,INPUT_DATA!$A:$A,$C28,INPUT_DATA!$C:$C,"D"))</f>
        <v>1291.3699999999999</v>
      </c>
      <c r="AP28" s="338">
        <f t="shared" si="8"/>
        <v>0</v>
      </c>
      <c r="AQ28" s="149"/>
      <c r="AS28" s="338">
        <f t="shared" si="9"/>
        <v>7555352.1400000015</v>
      </c>
      <c r="AU28" s="361">
        <f>IF($C28=0,"",'03 - Monthly Asset Follow up'!F32+'03 - Monthly Asset Follow up'!G32-'03 - Monthly Asset Follow up'!V32+'03 - Monthly Asset Follow up'!Y32-H28)</f>
        <v>-1.862645149230957E-9</v>
      </c>
      <c r="AV28" s="361">
        <f>IF($C28=0,"",'03 - Monthly Asset Follow up'!BE32+'03 - Monthly Asset Follow up'!BF32-'03 - Monthly Asset Follow up'!BU32+'03 - Monthly Asset Follow up'!BX32-AA28)</f>
        <v>0</v>
      </c>
      <c r="AX28" s="154"/>
    </row>
    <row r="29" spans="2:50">
      <c r="B29" s="730">
        <f t="shared" si="4"/>
        <v>45689</v>
      </c>
      <c r="C29" s="733">
        <f>'03 - Monthly Asset Follow up'!B33</f>
        <v>45716</v>
      </c>
      <c r="D29" s="149"/>
      <c r="E29" s="726">
        <f>IF($C29=0,"",SUMIFS(INPUT_DATA!AV:AV,INPUT_DATA!$A:$A,$C29,INPUT_DATA!$C:$C,"S"))</f>
        <v>4608812.4399999967</v>
      </c>
      <c r="F29" s="738">
        <f>IF($C29=0,"",SUMIFS(INPUT_DATA!AW:AW,INPUT_DATA!$A:$A,$C29,INPUT_DATA!$C:$C,"S"))</f>
        <v>76778.010000000009</v>
      </c>
      <c r="G29" s="738">
        <f>IF($C29=0,"",SUMIFS(INPUT_DATA!AX:AX,INPUT_DATA!$A:$A,$C29,INPUT_DATA!$C:$C,"S"))</f>
        <v>591214.62</v>
      </c>
      <c r="H29" s="740">
        <f t="shared" si="0"/>
        <v>5276805.0699999966</v>
      </c>
      <c r="I29" s="738">
        <f>IF($C29=0,"",SUMIFS(INPUT_DATA!AZ:AZ,INPUT_DATA!$A:$A,$C29,INPUT_DATA!$C:$C,"S"))</f>
        <v>761220.23999999836</v>
      </c>
      <c r="J29" s="738">
        <f>IF($C29=0,"",SUMIFS(INPUT_DATA!BA:BA,INPUT_DATA!$A:$A,$C29,INPUT_DATA!$C:$C,"S"))</f>
        <v>11608.150000000001</v>
      </c>
      <c r="K29" s="738">
        <f>IF($C29=0,"",SUMIFS(INPUT_DATA!BB:BB,INPUT_DATA!$A:$A,$C29,INPUT_DATA!$C:$C,"S"))</f>
        <v>130.79000000000002</v>
      </c>
      <c r="L29" s="738">
        <f>IF($C29=0,"",SUMIFS(INPUT_DATA!BC:BC,INPUT_DATA!$A:$A,$C29,INPUT_DATA!$C:$C,"S"))</f>
        <v>149.43</v>
      </c>
      <c r="M29" s="738">
        <f>IF($C29=0,"",SUMIFS(INPUT_DATA!BD:BD,INPUT_DATA!$A:$A,$C29,INPUT_DATA!$C:$C,"S"))</f>
        <v>0</v>
      </c>
      <c r="N29" s="738">
        <f>IF($C29=0,"",SUMIFS(INPUT_DATA!BE:BE,INPUT_DATA!$A:$A,$C29,INPUT_DATA!$C:$C,"S"))</f>
        <v>4545.7299999999996</v>
      </c>
      <c r="O29" s="738">
        <f>IF($C29=0,"",SUMIFS(INPUT_DATA!BF:BF,INPUT_DATA!$A:$A,$C29,INPUT_DATA!$C:$C,"S"))</f>
        <v>0</v>
      </c>
      <c r="P29" s="738">
        <f>IF($C29=0,"",SUMIFS(INPUT_DATA!BG:BG,INPUT_DATA!$A:$A,$C29,INPUT_DATA!$C:$C,"S"))</f>
        <v>0</v>
      </c>
      <c r="Q29" s="744">
        <f t="shared" si="5"/>
        <v>777654.33999999845</v>
      </c>
      <c r="R29" s="746">
        <f>IF($C29=0,"",SUMIFS(INPUT_DATA!BI:BI,INPUT_DATA!$A:$A,$C29,INPUT_DATA!$C:$C,"S"))</f>
        <v>0</v>
      </c>
      <c r="S29" s="746">
        <f>IF($C29=0,"",SUMIFS(INPUT_DATA!BJ:BJ,INPUT_DATA!$A:$A,$C29,INPUT_DATA!$C:$C,"S"))</f>
        <v>0</v>
      </c>
      <c r="T29" s="744">
        <f t="shared" si="6"/>
        <v>6054459.4099999946</v>
      </c>
      <c r="U29" s="749">
        <f>IF($C29=0,"",SUMIFS(INPUT_DATA!BM:BM,INPUT_DATA!$A:$A,$C29,INPUT_DATA!$C:$C,"S"))</f>
        <v>6054459.410000016</v>
      </c>
      <c r="V29" s="155">
        <f t="shared" si="1"/>
        <v>-2.1420419216156006E-8</v>
      </c>
      <c r="W29" s="149"/>
      <c r="X29" s="726">
        <f>IF($C29=0,"",SUMIFS(INPUT_DATA!AV:AV,INPUT_DATA!$A:$A,$C29,INPUT_DATA!$C:$C,"D"))</f>
        <v>0</v>
      </c>
      <c r="Y29" s="738">
        <f>IF($C29=0,"",SUMIFS(INPUT_DATA!AW:AW,INPUT_DATA!$A:$A,$C29,INPUT_DATA!$C:$C,"D"))</f>
        <v>11333.300000000001</v>
      </c>
      <c r="Z29" s="738">
        <f>IF($C29=0,"",SUMIFS(INPUT_DATA!AX:AX,INPUT_DATA!$A:$A,$C29,INPUT_DATA!$C:$C,"D"))</f>
        <v>0</v>
      </c>
      <c r="AA29" s="739">
        <f t="shared" si="2"/>
        <v>11333.300000000001</v>
      </c>
      <c r="AB29" s="738">
        <f>IF($C29=0,"",SUMIFS(INPUT_DATA!AZ:AZ,INPUT_DATA!$A:$A,$C29,INPUT_DATA!$C:$C,"D"))</f>
        <v>263.42</v>
      </c>
      <c r="AC29" s="738">
        <f>IF($C29=0,"",SUMIFS(INPUT_DATA!BA:BA,INPUT_DATA!$A:$A,$C29,INPUT_DATA!$C:$C,"D"))</f>
        <v>686.02</v>
      </c>
      <c r="AD29" s="738">
        <f>IF($C29=0,"",SUMIFS(INPUT_DATA!BB:BB,INPUT_DATA!$A:$A,$C29,INPUT_DATA!$C:$C,"D"))</f>
        <v>55.290000000000006</v>
      </c>
      <c r="AE29" s="738">
        <f>IF($C29=0,"",SUMIFS(INPUT_DATA!BC:BC,INPUT_DATA!$A:$A,$C29,INPUT_DATA!$C:$C,"D"))</f>
        <v>83.1</v>
      </c>
      <c r="AF29" s="738">
        <f>IF($C29=0,"",SUMIFS(INPUT_DATA!BD:BD,INPUT_DATA!$A:$A,$C29,INPUT_DATA!$C:$C,"D"))</f>
        <v>0</v>
      </c>
      <c r="AG29" s="738">
        <f>IF($C29=0,"",SUMIFS(INPUT_DATA!BE:BE,INPUT_DATA!$A:$A,$C29,INPUT_DATA!$C:$C,"D"))</f>
        <v>0</v>
      </c>
      <c r="AH29" s="738">
        <f>IF($C29=0,"",SUMIFS(INPUT_DATA!BF:BF,INPUT_DATA!$A:$A,$C29,INPUT_DATA!$C:$C,"D"))</f>
        <v>0</v>
      </c>
      <c r="AI29" s="738">
        <f>IF($C29=0,"",SUMIFS(INPUT_DATA!BG:BG,INPUT_DATA!$A:$A,$C29,INPUT_DATA!$C:$C,"D"))</f>
        <v>0</v>
      </c>
      <c r="AJ29" s="299">
        <f t="shared" si="3"/>
        <v>1087.83</v>
      </c>
      <c r="AK29" s="746">
        <f>IF($C29=0,"",SUMIFS(INPUT_DATA!BI:BI,INPUT_DATA!$A:$A,$C29,INPUT_DATA!$C:$C,"D"))</f>
        <v>0</v>
      </c>
      <c r="AL29" s="746">
        <f>IF($C29=0,"",SUMIFS(INPUT_DATA!BJ:BJ,INPUT_DATA!$A:$A,$C29,INPUT_DATA!$C:$C,"D"))</f>
        <v>0</v>
      </c>
      <c r="AM29" s="746">
        <f>IF($C29=0,"",SUMIFS(INPUT_DATA!BK:BK,INPUT_DATA!$A:$A,$C29,INPUT_DATA!$C:$C,"D"))</f>
        <v>0</v>
      </c>
      <c r="AN29" s="744">
        <f t="shared" si="7"/>
        <v>12421.130000000001</v>
      </c>
      <c r="AO29" s="749">
        <f>IF($C29=0,"",SUMIFS(INPUT_DATA!BM:BM,INPUT_DATA!$A:$A,$C29,INPUT_DATA!$C:$C,"D"))</f>
        <v>12421.130000000001</v>
      </c>
      <c r="AP29" s="338">
        <f t="shared" si="8"/>
        <v>0</v>
      </c>
      <c r="AQ29" s="149"/>
      <c r="AS29" s="338">
        <f t="shared" si="9"/>
        <v>6066880.5399999944</v>
      </c>
      <c r="AU29" s="361">
        <f>IF($C29=0,"",'03 - Monthly Asset Follow up'!F33+'03 - Monthly Asset Follow up'!G33-'03 - Monthly Asset Follow up'!V33+'03 - Monthly Asset Follow up'!Y33-H29)</f>
        <v>3.7252902984619141E-9</v>
      </c>
      <c r="AV29" s="361">
        <f>IF($C29=0,"",'03 - Monthly Asset Follow up'!BE33+'03 - Monthly Asset Follow up'!BF33-'03 - Monthly Asset Follow up'!BU33+'03 - Monthly Asset Follow up'!BX33-AA29)</f>
        <v>0</v>
      </c>
      <c r="AX29" s="154"/>
    </row>
    <row r="30" spans="2:50">
      <c r="B30" s="730">
        <f t="shared" si="4"/>
        <v>45658</v>
      </c>
      <c r="C30" s="733">
        <f>'03 - Monthly Asset Follow up'!B34</f>
        <v>45688</v>
      </c>
      <c r="D30" s="149"/>
      <c r="E30" s="726">
        <f>IF($C30=0,"",SUMIFS(INPUT_DATA!AV:AV,INPUT_DATA!$A:$A,$C30,INPUT_DATA!$C:$C,"S"))</f>
        <v>4695829.1300000111</v>
      </c>
      <c r="F30" s="738">
        <f>IF($C30=0,"",SUMIFS(INPUT_DATA!AW:AW,INPUT_DATA!$A:$A,$C30,INPUT_DATA!$C:$C,"S"))</f>
        <v>73036.719999999987</v>
      </c>
      <c r="G30" s="738">
        <f>IF($C30=0,"",SUMIFS(INPUT_DATA!AX:AX,INPUT_DATA!$A:$A,$C30,INPUT_DATA!$C:$C,"S"))</f>
        <v>1194425.79</v>
      </c>
      <c r="H30" s="740">
        <f t="shared" si="0"/>
        <v>5963291.6400000108</v>
      </c>
      <c r="I30" s="738">
        <f>IF($C30=0,"",SUMIFS(INPUT_DATA!AZ:AZ,INPUT_DATA!$A:$A,$C30,INPUT_DATA!$C:$C,"S"))</f>
        <v>772612.07000000076</v>
      </c>
      <c r="J30" s="738">
        <f>IF($C30=0,"",SUMIFS(INPUT_DATA!BA:BA,INPUT_DATA!$A:$A,$C30,INPUT_DATA!$C:$C,"S"))</f>
        <v>5981.5499999999993</v>
      </c>
      <c r="K30" s="738">
        <f>IF($C30=0,"",SUMIFS(INPUT_DATA!BB:BB,INPUT_DATA!$A:$A,$C30,INPUT_DATA!$C:$C,"S"))</f>
        <v>100.40999999999997</v>
      </c>
      <c r="L30" s="738">
        <f>IF($C30=0,"",SUMIFS(INPUT_DATA!BC:BC,INPUT_DATA!$A:$A,$C30,INPUT_DATA!$C:$C,"S"))</f>
        <v>146.09</v>
      </c>
      <c r="M30" s="738">
        <f>IF($C30=0,"",SUMIFS(INPUT_DATA!BD:BD,INPUT_DATA!$A:$A,$C30,INPUT_DATA!$C:$C,"S"))</f>
        <v>0</v>
      </c>
      <c r="N30" s="738">
        <f>IF($C30=0,"",SUMIFS(INPUT_DATA!BE:BE,INPUT_DATA!$A:$A,$C30,INPUT_DATA!$C:$C,"S"))</f>
        <v>3128.91</v>
      </c>
      <c r="O30" s="738">
        <f>IF($C30=0,"",SUMIFS(INPUT_DATA!BF:BF,INPUT_DATA!$A:$A,$C30,INPUT_DATA!$C:$C,"S"))</f>
        <v>0</v>
      </c>
      <c r="P30" s="738">
        <f>IF($C30=0,"",SUMIFS(INPUT_DATA!BG:BG,INPUT_DATA!$A:$A,$C30,INPUT_DATA!$C:$C,"S"))</f>
        <v>0</v>
      </c>
      <c r="Q30" s="744">
        <f t="shared" si="5"/>
        <v>781969.03000000084</v>
      </c>
      <c r="R30" s="746">
        <f>IF($C30=0,"",SUMIFS(INPUT_DATA!BI:BI,INPUT_DATA!$A:$A,$C30,INPUT_DATA!$C:$C,"S"))</f>
        <v>0</v>
      </c>
      <c r="S30" s="746">
        <f>IF($C30=0,"",SUMIFS(INPUT_DATA!BJ:BJ,INPUT_DATA!$A:$A,$C30,INPUT_DATA!$C:$C,"S"))</f>
        <v>0</v>
      </c>
      <c r="T30" s="744">
        <f t="shared" si="6"/>
        <v>6745260.670000012</v>
      </c>
      <c r="U30" s="749">
        <f>IF($C30=0,"",SUMIFS(INPUT_DATA!BM:BM,INPUT_DATA!$A:$A,$C30,INPUT_DATA!$C:$C,"S"))</f>
        <v>6745260.6700000297</v>
      </c>
      <c r="V30" s="155">
        <f t="shared" si="1"/>
        <v>-1.7695128917694092E-8</v>
      </c>
      <c r="W30" s="149"/>
      <c r="X30" s="726">
        <f>IF($C30=0,"",SUMIFS(INPUT_DATA!AV:AV,INPUT_DATA!$A:$A,$C30,INPUT_DATA!$C:$C,"D"))</f>
        <v>0</v>
      </c>
      <c r="Y30" s="738">
        <f>IF($C30=0,"",SUMIFS(INPUT_DATA!AW:AW,INPUT_DATA!$A:$A,$C30,INPUT_DATA!$C:$C,"D"))</f>
        <v>3413.13</v>
      </c>
      <c r="Z30" s="738">
        <f>IF($C30=0,"",SUMIFS(INPUT_DATA!AX:AX,INPUT_DATA!$A:$A,$C30,INPUT_DATA!$C:$C,"D"))</f>
        <v>0</v>
      </c>
      <c r="AA30" s="739">
        <f t="shared" si="2"/>
        <v>3413.13</v>
      </c>
      <c r="AB30" s="738">
        <f>IF($C30=0,"",SUMIFS(INPUT_DATA!AZ:AZ,INPUT_DATA!$A:$A,$C30,INPUT_DATA!$C:$C,"D"))</f>
        <v>246.08</v>
      </c>
      <c r="AC30" s="738">
        <f>IF($C30=0,"",SUMIFS(INPUT_DATA!BA:BA,INPUT_DATA!$A:$A,$C30,INPUT_DATA!$C:$C,"D"))</f>
        <v>343.14</v>
      </c>
      <c r="AD30" s="738">
        <f>IF($C30=0,"",SUMIFS(INPUT_DATA!BB:BB,INPUT_DATA!$A:$A,$C30,INPUT_DATA!$C:$C,"D"))</f>
        <v>12.139999999999999</v>
      </c>
      <c r="AE30" s="738">
        <f>IF($C30=0,"",SUMIFS(INPUT_DATA!BC:BC,INPUT_DATA!$A:$A,$C30,INPUT_DATA!$C:$C,"D"))</f>
        <v>37.270000000000003</v>
      </c>
      <c r="AF30" s="738">
        <f>IF($C30=0,"",SUMIFS(INPUT_DATA!BD:BD,INPUT_DATA!$A:$A,$C30,INPUT_DATA!$C:$C,"D"))</f>
        <v>0</v>
      </c>
      <c r="AG30" s="738">
        <f>IF($C30=0,"",SUMIFS(INPUT_DATA!BE:BE,INPUT_DATA!$A:$A,$C30,INPUT_DATA!$C:$C,"D"))</f>
        <v>0</v>
      </c>
      <c r="AH30" s="738">
        <f>IF($C30=0,"",SUMIFS(INPUT_DATA!BF:BF,INPUT_DATA!$A:$A,$C30,INPUT_DATA!$C:$C,"D"))</f>
        <v>0</v>
      </c>
      <c r="AI30" s="738">
        <f>IF($C30=0,"",SUMIFS(INPUT_DATA!BG:BG,INPUT_DATA!$A:$A,$C30,INPUT_DATA!$C:$C,"D"))</f>
        <v>0</v>
      </c>
      <c r="AJ30" s="299">
        <f t="shared" si="3"/>
        <v>638.63</v>
      </c>
      <c r="AK30" s="746">
        <f>IF($C30=0,"",SUMIFS(INPUT_DATA!BI:BI,INPUT_DATA!$A:$A,$C30,INPUT_DATA!$C:$C,"D"))</f>
        <v>0</v>
      </c>
      <c r="AL30" s="746">
        <f>IF($C30=0,"",SUMIFS(INPUT_DATA!BJ:BJ,INPUT_DATA!$A:$A,$C30,INPUT_DATA!$C:$C,"D"))</f>
        <v>0</v>
      </c>
      <c r="AM30" s="746">
        <f>IF($C30=0,"",SUMIFS(INPUT_DATA!BK:BK,INPUT_DATA!$A:$A,$C30,INPUT_DATA!$C:$C,"D"))</f>
        <v>0</v>
      </c>
      <c r="AN30" s="744">
        <f t="shared" si="7"/>
        <v>4051.76</v>
      </c>
      <c r="AO30" s="749">
        <f>IF($C30=0,"",SUMIFS(INPUT_DATA!BM:BM,INPUT_DATA!$A:$A,$C30,INPUT_DATA!$C:$C,"D"))</f>
        <v>4051.76</v>
      </c>
      <c r="AP30" s="338">
        <f t="shared" si="8"/>
        <v>0</v>
      </c>
      <c r="AQ30" s="149"/>
      <c r="AS30" s="338">
        <f t="shared" si="9"/>
        <v>6749312.4300000118</v>
      </c>
      <c r="AU30" s="361">
        <f>IF($C30=0,"",'03 - Monthly Asset Follow up'!F34+'03 - Monthly Asset Follow up'!G34-'03 - Monthly Asset Follow up'!V34+'03 - Monthly Asset Follow up'!Y34-H30)</f>
        <v>-9.3132257461547852E-10</v>
      </c>
      <c r="AV30" s="361">
        <f>IF($C30=0,"",'03 - Monthly Asset Follow up'!BE34+'03 - Monthly Asset Follow up'!BF34-'03 - Monthly Asset Follow up'!BU34+'03 - Monthly Asset Follow up'!BX34-AA30)</f>
        <v>0</v>
      </c>
      <c r="AX30" s="154"/>
    </row>
    <row r="31" spans="2:50">
      <c r="B31" s="730">
        <f t="shared" si="4"/>
        <v>45627</v>
      </c>
      <c r="C31" s="733">
        <f>'03 - Monthly Asset Follow up'!B35</f>
        <v>45657</v>
      </c>
      <c r="D31" s="149"/>
      <c r="E31" s="726">
        <f>IF($C31=0,"",SUMIFS(INPUT_DATA!AV:AV,INPUT_DATA!$A:$A,$C31,INPUT_DATA!$C:$C,"S"))</f>
        <v>4952526.04</v>
      </c>
      <c r="F31" s="738">
        <f>IF($C31=0,"",SUMIFS(INPUT_DATA!AW:AW,INPUT_DATA!$A:$A,$C31,INPUT_DATA!$C:$C,"S"))</f>
        <v>67344.490000000005</v>
      </c>
      <c r="G31" s="738">
        <f>IF($C31=0,"",SUMIFS(INPUT_DATA!AX:AX,INPUT_DATA!$A:$A,$C31,INPUT_DATA!$C:$C,"S"))</f>
        <v>982640.81</v>
      </c>
      <c r="H31" s="740">
        <f t="shared" si="0"/>
        <v>6002511.3399999999</v>
      </c>
      <c r="I31" s="738">
        <f>IF($C31=0,"",SUMIFS(INPUT_DATA!AZ:AZ,INPUT_DATA!$A:$A,$C31,INPUT_DATA!$C:$C,"S"))</f>
        <v>784644.39</v>
      </c>
      <c r="J31" s="738">
        <f>IF($C31=0,"",SUMIFS(INPUT_DATA!BA:BA,INPUT_DATA!$A:$A,$C31,INPUT_DATA!$C:$C,"S"))</f>
        <v>6578.26</v>
      </c>
      <c r="K31" s="738">
        <f>IF($C31=0,"",SUMIFS(INPUT_DATA!BB:BB,INPUT_DATA!$A:$A,$C31,INPUT_DATA!$C:$C,"S"))</f>
        <v>95.45</v>
      </c>
      <c r="L31" s="738">
        <f>IF($C31=0,"",SUMIFS(INPUT_DATA!BC:BC,INPUT_DATA!$A:$A,$C31,INPUT_DATA!$C:$C,"S"))</f>
        <v>111.14</v>
      </c>
      <c r="M31" s="738">
        <f>IF($C31=0,"",SUMIFS(INPUT_DATA!BD:BD,INPUT_DATA!$A:$A,$C31,INPUT_DATA!$C:$C,"S"))</f>
        <v>0</v>
      </c>
      <c r="N31" s="738">
        <f>IF($C31=0,"",SUMIFS(INPUT_DATA!BE:BE,INPUT_DATA!$A:$A,$C31,INPUT_DATA!$C:$C,"S"))</f>
        <v>1201.3</v>
      </c>
      <c r="O31" s="738">
        <f>IF($C31=0,"",SUMIFS(INPUT_DATA!BF:BF,INPUT_DATA!$A:$A,$C31,INPUT_DATA!$C:$C,"S"))</f>
        <v>103.61</v>
      </c>
      <c r="P31" s="738">
        <f>IF($C31=0,"",SUMIFS(INPUT_DATA!BG:BG,INPUT_DATA!$A:$A,$C31,INPUT_DATA!$C:$C,"S"))</f>
        <v>0</v>
      </c>
      <c r="Q31" s="744">
        <f t="shared" si="5"/>
        <v>792734.15</v>
      </c>
      <c r="R31" s="746">
        <f>IF($C31=0,"",SUMIFS(INPUT_DATA!BI:BI,INPUT_DATA!$A:$A,$C31,INPUT_DATA!$C:$C,"S"))</f>
        <v>0</v>
      </c>
      <c r="S31" s="746">
        <f>IF($C31=0,"",SUMIFS(INPUT_DATA!BJ:BJ,INPUT_DATA!$A:$A,$C31,INPUT_DATA!$C:$C,"S"))</f>
        <v>0</v>
      </c>
      <c r="T31" s="744">
        <f t="shared" si="6"/>
        <v>6795245.4900000002</v>
      </c>
      <c r="U31" s="749">
        <f>IF($C31=0,"",SUMIFS(INPUT_DATA!BM:BM,INPUT_DATA!$A:$A,$C31,INPUT_DATA!$C:$C,"S"))</f>
        <v>6795245.4900000002</v>
      </c>
      <c r="V31" s="155">
        <f t="shared" si="1"/>
        <v>0</v>
      </c>
      <c r="W31" s="149"/>
      <c r="X31" s="726">
        <f>IF($C31=0,"",SUMIFS(INPUT_DATA!AV:AV,INPUT_DATA!$A:$A,$C31,INPUT_DATA!$C:$C,"D"))</f>
        <v>0</v>
      </c>
      <c r="Y31" s="738">
        <f>IF($C31=0,"",SUMIFS(INPUT_DATA!AW:AW,INPUT_DATA!$A:$A,$C31,INPUT_DATA!$C:$C,"D"))</f>
        <v>5387.83</v>
      </c>
      <c r="Z31" s="738">
        <f>IF($C31=0,"",SUMIFS(INPUT_DATA!AX:AX,INPUT_DATA!$A:$A,$C31,INPUT_DATA!$C:$C,"D"))</f>
        <v>0</v>
      </c>
      <c r="AA31" s="739">
        <f t="shared" si="2"/>
        <v>5387.83</v>
      </c>
      <c r="AB31" s="738">
        <f>IF($C31=0,"",SUMIFS(INPUT_DATA!AZ:AZ,INPUT_DATA!$A:$A,$C31,INPUT_DATA!$C:$C,"D"))</f>
        <v>0</v>
      </c>
      <c r="AC31" s="738">
        <f>IF($C31=0,"",SUMIFS(INPUT_DATA!BA:BA,INPUT_DATA!$A:$A,$C31,INPUT_DATA!$C:$C,"D"))</f>
        <v>413.3</v>
      </c>
      <c r="AD31" s="738">
        <f>IF($C31=0,"",SUMIFS(INPUT_DATA!BB:BB,INPUT_DATA!$A:$A,$C31,INPUT_DATA!$C:$C,"D"))</f>
        <v>13.23</v>
      </c>
      <c r="AE31" s="738">
        <f>IF($C31=0,"",SUMIFS(INPUT_DATA!BC:BC,INPUT_DATA!$A:$A,$C31,INPUT_DATA!$C:$C,"D"))</f>
        <v>39.07</v>
      </c>
      <c r="AF31" s="738">
        <f>IF($C31=0,"",SUMIFS(INPUT_DATA!BD:BD,INPUT_DATA!$A:$A,$C31,INPUT_DATA!$C:$C,"D"))</f>
        <v>0</v>
      </c>
      <c r="AG31" s="738">
        <f>IF($C31=0,"",SUMIFS(INPUT_DATA!BE:BE,INPUT_DATA!$A:$A,$C31,INPUT_DATA!$C:$C,"D"))</f>
        <v>0</v>
      </c>
      <c r="AH31" s="738">
        <f>IF($C31=0,"",SUMIFS(INPUT_DATA!BF:BF,INPUT_DATA!$A:$A,$C31,INPUT_DATA!$C:$C,"D"))</f>
        <v>0</v>
      </c>
      <c r="AI31" s="738">
        <f>IF($C31=0,"",SUMIFS(INPUT_DATA!BG:BG,INPUT_DATA!$A:$A,$C31,INPUT_DATA!$C:$C,"D"))</f>
        <v>0</v>
      </c>
      <c r="AJ31" s="299">
        <f t="shared" si="3"/>
        <v>465.6</v>
      </c>
      <c r="AK31" s="746">
        <f>IF($C31=0,"",SUMIFS(INPUT_DATA!BI:BI,INPUT_DATA!$A:$A,$C31,INPUT_DATA!$C:$C,"D"))</f>
        <v>0</v>
      </c>
      <c r="AL31" s="746">
        <f>IF($C31=0,"",SUMIFS(INPUT_DATA!BJ:BJ,INPUT_DATA!$A:$A,$C31,INPUT_DATA!$C:$C,"D"))</f>
        <v>0</v>
      </c>
      <c r="AM31" s="746">
        <f>IF($C31=0,"",SUMIFS(INPUT_DATA!BK:BK,INPUT_DATA!$A:$A,$C31,INPUT_DATA!$C:$C,"D"))</f>
        <v>0</v>
      </c>
      <c r="AN31" s="744">
        <f t="shared" si="7"/>
        <v>5853.43</v>
      </c>
      <c r="AO31" s="749">
        <f>IF($C31=0,"",SUMIFS(INPUT_DATA!BM:BM,INPUT_DATA!$A:$A,$C31,INPUT_DATA!$C:$C,"D"))</f>
        <v>5853.43</v>
      </c>
      <c r="AP31" s="338">
        <f t="shared" si="8"/>
        <v>0</v>
      </c>
      <c r="AQ31" s="149"/>
      <c r="AS31" s="338">
        <f t="shared" si="9"/>
        <v>6801098.9199999999</v>
      </c>
      <c r="AU31" s="361">
        <f>IF($C31=0,"",'03 - Monthly Asset Follow up'!F35+'03 - Monthly Asset Follow up'!G35-'03 - Monthly Asset Follow up'!V35+'03 - Monthly Asset Follow up'!Y35-H31)</f>
        <v>9.3132257461547852E-10</v>
      </c>
      <c r="AV31" s="361">
        <f>IF($C31=0,"",'03 - Monthly Asset Follow up'!BE35+'03 - Monthly Asset Follow up'!BF35-'03 - Monthly Asset Follow up'!BU35+'03 - Monthly Asset Follow up'!BX35-AA31)</f>
        <v>0</v>
      </c>
      <c r="AX31" s="154"/>
    </row>
    <row r="32" spans="2:50">
      <c r="B32" s="730">
        <f t="shared" si="4"/>
        <v>45597</v>
      </c>
      <c r="C32" s="733">
        <f>'03 - Monthly Asset Follow up'!B36</f>
        <v>45626</v>
      </c>
      <c r="D32" s="149"/>
      <c r="E32" s="726">
        <f>IF($C32=0,"",SUMIFS(INPUT_DATA!AV:AV,INPUT_DATA!$A:$A,$C32,INPUT_DATA!$C:$C,"S"))</f>
        <v>4708052.9899999974</v>
      </c>
      <c r="F32" s="738">
        <f>IF($C32=0,"",SUMIFS(INPUT_DATA!AW:AW,INPUT_DATA!$A:$A,$C32,INPUT_DATA!$C:$C,"S"))</f>
        <v>47282.84</v>
      </c>
      <c r="G32" s="738">
        <f>IF($C32=0,"",SUMIFS(INPUT_DATA!AX:AX,INPUT_DATA!$A:$A,$C32,INPUT_DATA!$C:$C,"S"))</f>
        <v>479363.94000000006</v>
      </c>
      <c r="H32" s="740">
        <f t="shared" si="0"/>
        <v>5234699.7699999977</v>
      </c>
      <c r="I32" s="738">
        <f>IF($C32=0,"",SUMIFS(INPUT_DATA!AZ:AZ,INPUT_DATA!$A:$A,$C32,INPUT_DATA!$C:$C,"S"))</f>
        <v>789777.86000000173</v>
      </c>
      <c r="J32" s="738">
        <f>IF($C32=0,"",SUMIFS(INPUT_DATA!BA:BA,INPUT_DATA!$A:$A,$C32,INPUT_DATA!$C:$C,"S"))</f>
        <v>3265.62</v>
      </c>
      <c r="K32" s="738">
        <f>IF($C32=0,"",SUMIFS(INPUT_DATA!BB:BB,INPUT_DATA!$A:$A,$C32,INPUT_DATA!$C:$C,"S"))</f>
        <v>89.2</v>
      </c>
      <c r="L32" s="738">
        <f>IF($C32=0,"",SUMIFS(INPUT_DATA!BC:BC,INPUT_DATA!$A:$A,$C32,INPUT_DATA!$C:$C,"S"))</f>
        <v>98.70999999999998</v>
      </c>
      <c r="M32" s="738">
        <f>IF($C32=0,"",SUMIFS(INPUT_DATA!BD:BD,INPUT_DATA!$A:$A,$C32,INPUT_DATA!$C:$C,"S"))</f>
        <v>0</v>
      </c>
      <c r="N32" s="738">
        <f>IF($C32=0,"",SUMIFS(INPUT_DATA!BE:BE,INPUT_DATA!$A:$A,$C32,INPUT_DATA!$C:$C,"S"))</f>
        <v>1253.1799999999998</v>
      </c>
      <c r="O32" s="738">
        <f>IF($C32=0,"",SUMIFS(INPUT_DATA!BF:BF,INPUT_DATA!$A:$A,$C32,INPUT_DATA!$C:$C,"S"))</f>
        <v>0</v>
      </c>
      <c r="P32" s="738">
        <f>IF($C32=0,"",SUMIFS(INPUT_DATA!BG:BG,INPUT_DATA!$A:$A,$C32,INPUT_DATA!$C:$C,"S"))</f>
        <v>0</v>
      </c>
      <c r="Q32" s="744">
        <f t="shared" si="5"/>
        <v>794484.5700000017</v>
      </c>
      <c r="R32" s="746">
        <f>IF($C32=0,"",SUMIFS(INPUT_DATA!BI:BI,INPUT_DATA!$A:$A,$C32,INPUT_DATA!$C:$C,"S"))</f>
        <v>0</v>
      </c>
      <c r="S32" s="746">
        <f>IF($C32=0,"",SUMIFS(INPUT_DATA!BJ:BJ,INPUT_DATA!$A:$A,$C32,INPUT_DATA!$C:$C,"S"))</f>
        <v>0</v>
      </c>
      <c r="T32" s="744">
        <f t="shared" si="6"/>
        <v>6029184.3399999999</v>
      </c>
      <c r="U32" s="749">
        <f>IF($C32=0,"",SUMIFS(INPUT_DATA!BM:BM,INPUT_DATA!$A:$A,$C32,INPUT_DATA!$C:$C,"S"))</f>
        <v>6029184.3400000008</v>
      </c>
      <c r="V32" s="155">
        <f t="shared" si="1"/>
        <v>-9.3132257461547852E-10</v>
      </c>
      <c r="W32" s="149"/>
      <c r="X32" s="726">
        <f>IF($C32=0,"",SUMIFS(INPUT_DATA!AV:AV,INPUT_DATA!$A:$A,$C32,INPUT_DATA!$C:$C,"D"))</f>
        <v>0</v>
      </c>
      <c r="Y32" s="738">
        <f>IF($C32=0,"",SUMIFS(INPUT_DATA!AW:AW,INPUT_DATA!$A:$A,$C32,INPUT_DATA!$C:$C,"D"))</f>
        <v>0</v>
      </c>
      <c r="Z32" s="738">
        <f>IF($C32=0,"",SUMIFS(INPUT_DATA!AX:AX,INPUT_DATA!$A:$A,$C32,INPUT_DATA!$C:$C,"D"))</f>
        <v>0</v>
      </c>
      <c r="AA32" s="739">
        <f t="shared" si="2"/>
        <v>0</v>
      </c>
      <c r="AB32" s="738">
        <f>IF($C32=0,"",SUMIFS(INPUT_DATA!AZ:AZ,INPUT_DATA!$A:$A,$C32,INPUT_DATA!$C:$C,"D"))</f>
        <v>0</v>
      </c>
      <c r="AC32" s="738">
        <f>IF($C32=0,"",SUMIFS(INPUT_DATA!BA:BA,INPUT_DATA!$A:$A,$C32,INPUT_DATA!$C:$C,"D"))</f>
        <v>0</v>
      </c>
      <c r="AD32" s="738">
        <f>IF($C32=0,"",SUMIFS(INPUT_DATA!BB:BB,INPUT_DATA!$A:$A,$C32,INPUT_DATA!$C:$C,"D"))</f>
        <v>0</v>
      </c>
      <c r="AE32" s="738">
        <f>IF($C32=0,"",SUMIFS(INPUT_DATA!BC:BC,INPUT_DATA!$A:$A,$C32,INPUT_DATA!$C:$C,"D"))</f>
        <v>0</v>
      </c>
      <c r="AF32" s="738">
        <f>IF($C32=0,"",SUMIFS(INPUT_DATA!BD:BD,INPUT_DATA!$A:$A,$C32,INPUT_DATA!$C:$C,"D"))</f>
        <v>0</v>
      </c>
      <c r="AG32" s="738">
        <f>IF($C32=0,"",SUMIFS(INPUT_DATA!BE:BE,INPUT_DATA!$A:$A,$C32,INPUT_DATA!$C:$C,"D"))</f>
        <v>0</v>
      </c>
      <c r="AH32" s="738">
        <f>IF($C32=0,"",SUMIFS(INPUT_DATA!BF:BF,INPUT_DATA!$A:$A,$C32,INPUT_DATA!$C:$C,"D"))</f>
        <v>0</v>
      </c>
      <c r="AI32" s="738">
        <f>IF($C32=0,"",SUMIFS(INPUT_DATA!BG:BG,INPUT_DATA!$A:$A,$C32,INPUT_DATA!$C:$C,"D"))</f>
        <v>0</v>
      </c>
      <c r="AJ32" s="299">
        <f t="shared" si="3"/>
        <v>0</v>
      </c>
      <c r="AK32" s="746">
        <f>IF($C32=0,"",SUMIFS(INPUT_DATA!BI:BI,INPUT_DATA!$A:$A,$C32,INPUT_DATA!$C:$C,"D"))</f>
        <v>0</v>
      </c>
      <c r="AL32" s="746">
        <f>IF($C32=0,"",SUMIFS(INPUT_DATA!BJ:BJ,INPUT_DATA!$A:$A,$C32,INPUT_DATA!$C:$C,"D"))</f>
        <v>0</v>
      </c>
      <c r="AM32" s="746">
        <f>IF($C32=0,"",SUMIFS(INPUT_DATA!BK:BK,INPUT_DATA!$A:$A,$C32,INPUT_DATA!$C:$C,"D"))</f>
        <v>0</v>
      </c>
      <c r="AN32" s="744">
        <f t="shared" si="7"/>
        <v>0</v>
      </c>
      <c r="AO32" s="749">
        <f>IF($C32=0,"",SUMIFS(INPUT_DATA!BM:BM,INPUT_DATA!$A:$A,$C32,INPUT_DATA!$C:$C,"D"))</f>
        <v>0</v>
      </c>
      <c r="AP32" s="338">
        <f t="shared" si="8"/>
        <v>0</v>
      </c>
      <c r="AQ32" s="149"/>
      <c r="AS32" s="338">
        <f t="shared" si="9"/>
        <v>6029184.3399999999</v>
      </c>
      <c r="AU32" s="361">
        <f>IF($C32=0,"",'03 - Monthly Asset Follow up'!F36+'03 - Monthly Asset Follow up'!G36-'03 - Monthly Asset Follow up'!V36+'03 - Monthly Asset Follow up'!Y36-H32)</f>
        <v>-3.7252902984619141E-9</v>
      </c>
      <c r="AV32" s="361">
        <f>IF($C32=0,"",'03 - Monthly Asset Follow up'!BE36+'03 - Monthly Asset Follow up'!BF36-'03 - Monthly Asset Follow up'!BU36+'03 - Monthly Asset Follow up'!BX36-AA32)</f>
        <v>0</v>
      </c>
      <c r="AX32" s="154"/>
    </row>
    <row r="33" spans="2:50">
      <c r="B33" s="730">
        <f t="shared" si="4"/>
        <v>45566</v>
      </c>
      <c r="C33" s="733">
        <f>'03 - Monthly Asset Follow up'!B37</f>
        <v>45596</v>
      </c>
      <c r="D33" s="149"/>
      <c r="E33" s="726">
        <f>IF($C33=0,"",SUMIFS(INPUT_DATA!AV:AV,INPUT_DATA!$A:$A,$C33,INPUT_DATA!$C:$C,"S"))</f>
        <v>6779531.1799999997</v>
      </c>
      <c r="F33" s="738">
        <f>IF($C33=0,"",SUMIFS(INPUT_DATA!AW:AW,INPUT_DATA!$A:$A,$C33,INPUT_DATA!$C:$C,"S"))</f>
        <v>52632.169999999991</v>
      </c>
      <c r="G33" s="738">
        <f>IF($C33=0,"",SUMIFS(INPUT_DATA!AX:AX,INPUT_DATA!$A:$A,$C33,INPUT_DATA!$C:$C,"S"))</f>
        <v>847789.26</v>
      </c>
      <c r="H33" s="740">
        <f t="shared" si="0"/>
        <v>7679952.6099999994</v>
      </c>
      <c r="I33" s="738">
        <f>IF($C33=0,"",SUMIFS(INPUT_DATA!AZ:AZ,INPUT_DATA!$A:$A,$C33,INPUT_DATA!$C:$C,"S"))</f>
        <v>811483.23999999696</v>
      </c>
      <c r="J33" s="738">
        <f>IF($C33=0,"",SUMIFS(INPUT_DATA!BA:BA,INPUT_DATA!$A:$A,$C33,INPUT_DATA!$C:$C,"S"))</f>
        <v>3529.0200000000009</v>
      </c>
      <c r="K33" s="738">
        <f>IF($C33=0,"",SUMIFS(INPUT_DATA!BB:BB,INPUT_DATA!$A:$A,$C33,INPUT_DATA!$C:$C,"S"))</f>
        <v>84.580000000000027</v>
      </c>
      <c r="L33" s="738">
        <f>IF($C33=0,"",SUMIFS(INPUT_DATA!BC:BC,INPUT_DATA!$A:$A,$C33,INPUT_DATA!$C:$C,"S"))</f>
        <v>84.080000000000013</v>
      </c>
      <c r="M33" s="738">
        <f>IF($C33=0,"",SUMIFS(INPUT_DATA!BD:BD,INPUT_DATA!$A:$A,$C33,INPUT_DATA!$C:$C,"S"))</f>
        <v>0</v>
      </c>
      <c r="N33" s="738">
        <f>IF($C33=0,"",SUMIFS(INPUT_DATA!BE:BE,INPUT_DATA!$A:$A,$C33,INPUT_DATA!$C:$C,"S"))</f>
        <v>3385.6400000000003</v>
      </c>
      <c r="O33" s="738">
        <f>IF($C33=0,"",SUMIFS(INPUT_DATA!BF:BF,INPUT_DATA!$A:$A,$C33,INPUT_DATA!$C:$C,"S"))</f>
        <v>115.12</v>
      </c>
      <c r="P33" s="738">
        <f>IF($C33=0,"",SUMIFS(INPUT_DATA!BG:BG,INPUT_DATA!$A:$A,$C33,INPUT_DATA!$C:$C,"S"))</f>
        <v>0</v>
      </c>
      <c r="Q33" s="744">
        <f t="shared" si="5"/>
        <v>818681.67999999691</v>
      </c>
      <c r="R33" s="746">
        <f>IF($C33=0,"",SUMIFS(INPUT_DATA!BI:BI,INPUT_DATA!$A:$A,$C33,INPUT_DATA!$C:$C,"S"))</f>
        <v>0</v>
      </c>
      <c r="S33" s="746">
        <f>IF($C33=0,"",SUMIFS(INPUT_DATA!BJ:BJ,INPUT_DATA!$A:$A,$C33,INPUT_DATA!$C:$C,"S"))</f>
        <v>0</v>
      </c>
      <c r="T33" s="744">
        <f t="shared" si="6"/>
        <v>8498634.2899999954</v>
      </c>
      <c r="U33" s="749">
        <f>IF($C33=0,"",SUMIFS(INPUT_DATA!BM:BM,INPUT_DATA!$A:$A,$C33,INPUT_DATA!$C:$C,"S"))</f>
        <v>8498634.2899999935</v>
      </c>
      <c r="V33" s="155">
        <f t="shared" si="1"/>
        <v>1.862645149230957E-9</v>
      </c>
      <c r="W33" s="149"/>
      <c r="X33" s="726">
        <f>IF($C33=0,"",SUMIFS(INPUT_DATA!AV:AV,INPUT_DATA!$A:$A,$C33,INPUT_DATA!$C:$C,"D"))</f>
        <v>0</v>
      </c>
      <c r="Y33" s="738">
        <f>IF($C33=0,"",SUMIFS(INPUT_DATA!AW:AW,INPUT_DATA!$A:$A,$C33,INPUT_DATA!$C:$C,"D"))</f>
        <v>1918.85</v>
      </c>
      <c r="Z33" s="738">
        <f>IF($C33=0,"",SUMIFS(INPUT_DATA!AX:AX,INPUT_DATA!$A:$A,$C33,INPUT_DATA!$C:$C,"D"))</f>
        <v>0</v>
      </c>
      <c r="AA33" s="739">
        <f t="shared" si="2"/>
        <v>1918.85</v>
      </c>
      <c r="AB33" s="738">
        <f>IF($C33=0,"",SUMIFS(INPUT_DATA!AZ:AZ,INPUT_DATA!$A:$A,$C33,INPUT_DATA!$C:$C,"D"))</f>
        <v>0</v>
      </c>
      <c r="AC33" s="738">
        <f>IF($C33=0,"",SUMIFS(INPUT_DATA!BA:BA,INPUT_DATA!$A:$A,$C33,INPUT_DATA!$C:$C,"D"))</f>
        <v>33.25</v>
      </c>
      <c r="AD33" s="738">
        <f>IF($C33=0,"",SUMIFS(INPUT_DATA!BB:BB,INPUT_DATA!$A:$A,$C33,INPUT_DATA!$C:$C,"D"))</f>
        <v>29.720000000000002</v>
      </c>
      <c r="AE33" s="738">
        <f>IF($C33=0,"",SUMIFS(INPUT_DATA!BC:BC,INPUT_DATA!$A:$A,$C33,INPUT_DATA!$C:$C,"D"))</f>
        <v>18.18</v>
      </c>
      <c r="AF33" s="738">
        <f>IF($C33=0,"",SUMIFS(INPUT_DATA!BD:BD,INPUT_DATA!$A:$A,$C33,INPUT_DATA!$C:$C,"D"))</f>
        <v>0</v>
      </c>
      <c r="AG33" s="738">
        <f>IF($C33=0,"",SUMIFS(INPUT_DATA!BE:BE,INPUT_DATA!$A:$A,$C33,INPUT_DATA!$C:$C,"D"))</f>
        <v>0</v>
      </c>
      <c r="AH33" s="738">
        <f>IF($C33=0,"",SUMIFS(INPUT_DATA!BF:BF,INPUT_DATA!$A:$A,$C33,INPUT_DATA!$C:$C,"D"))</f>
        <v>0</v>
      </c>
      <c r="AI33" s="738">
        <f>IF($C33=0,"",SUMIFS(INPUT_DATA!BG:BG,INPUT_DATA!$A:$A,$C33,INPUT_DATA!$C:$C,"D"))</f>
        <v>0</v>
      </c>
      <c r="AJ33" s="299">
        <f t="shared" si="3"/>
        <v>81.150000000000006</v>
      </c>
      <c r="AK33" s="746">
        <f>IF($C33=0,"",SUMIFS(INPUT_DATA!BI:BI,INPUT_DATA!$A:$A,$C33,INPUT_DATA!$C:$C,"D"))</f>
        <v>0</v>
      </c>
      <c r="AL33" s="746">
        <f>IF($C33=0,"",SUMIFS(INPUT_DATA!BJ:BJ,INPUT_DATA!$A:$A,$C33,INPUT_DATA!$C:$C,"D"))</f>
        <v>0</v>
      </c>
      <c r="AM33" s="746">
        <f>IF($C33=0,"",SUMIFS(INPUT_DATA!BK:BK,INPUT_DATA!$A:$A,$C33,INPUT_DATA!$C:$C,"D"))</f>
        <v>0</v>
      </c>
      <c r="AN33" s="744">
        <f t="shared" si="7"/>
        <v>2000</v>
      </c>
      <c r="AO33" s="749">
        <f>IF($C33=0,"",SUMIFS(INPUT_DATA!BM:BM,INPUT_DATA!$A:$A,$C33,INPUT_DATA!$C:$C,"D"))</f>
        <v>2000</v>
      </c>
      <c r="AP33" s="338">
        <f t="shared" si="8"/>
        <v>0</v>
      </c>
      <c r="AQ33" s="149"/>
      <c r="AS33" s="338">
        <f t="shared" si="9"/>
        <v>8500634.2899999954</v>
      </c>
      <c r="AU33" s="361">
        <f>IF($C33=0,"",'03 - Monthly Asset Follow up'!F37+'03 - Monthly Asset Follow up'!G37-'03 - Monthly Asset Follow up'!V37+'03 - Monthly Asset Follow up'!Y37-H33)</f>
        <v>-3.7252902984619141E-9</v>
      </c>
      <c r="AV33" s="361">
        <f>IF($C33=0,"",'03 - Monthly Asset Follow up'!BE37+'03 - Monthly Asset Follow up'!BF37-'03 - Monthly Asset Follow up'!BU37+'03 - Monthly Asset Follow up'!BX37-AA33)</f>
        <v>0</v>
      </c>
      <c r="AX33" s="154"/>
    </row>
    <row r="34" spans="2:50">
      <c r="B34" s="730">
        <f t="shared" si="4"/>
        <v>45536</v>
      </c>
      <c r="C34" s="733">
        <f>'03 - Monthly Asset Follow up'!B38</f>
        <v>45565</v>
      </c>
      <c r="D34" s="149"/>
      <c r="E34" s="726">
        <f>IF($C34=0,"",SUMIFS(INPUT_DATA!AV:AV,INPUT_DATA!$A:$A,$C34,INPUT_DATA!$C:$C,"S"))</f>
        <v>4762733.2199999914</v>
      </c>
      <c r="F34" s="738">
        <f>IF($C34=0,"",SUMIFS(INPUT_DATA!AW:AW,INPUT_DATA!$A:$A,$C34,INPUT_DATA!$C:$C,"S"))</f>
        <v>52388.180000000015</v>
      </c>
      <c r="G34" s="738">
        <f>IF($C34=0,"",SUMIFS(INPUT_DATA!AX:AX,INPUT_DATA!$A:$A,$C34,INPUT_DATA!$C:$C,"S"))</f>
        <v>806173.41</v>
      </c>
      <c r="H34" s="740">
        <f t="shared" si="0"/>
        <v>5621294.8099999912</v>
      </c>
      <c r="I34" s="738">
        <f>IF($C34=0,"",SUMIFS(INPUT_DATA!AZ:AZ,INPUT_DATA!$A:$A,$C34,INPUT_DATA!$C:$C,"S"))</f>
        <v>817489.45999999822</v>
      </c>
      <c r="J34" s="738">
        <f>IF($C34=0,"",SUMIFS(INPUT_DATA!BA:BA,INPUT_DATA!$A:$A,$C34,INPUT_DATA!$C:$C,"S"))</f>
        <v>2606.0200000000004</v>
      </c>
      <c r="K34" s="738">
        <f>IF($C34=0,"",SUMIFS(INPUT_DATA!BB:BB,INPUT_DATA!$A:$A,$C34,INPUT_DATA!$C:$C,"S"))</f>
        <v>119.48</v>
      </c>
      <c r="L34" s="738">
        <f>IF($C34=0,"",SUMIFS(INPUT_DATA!BC:BC,INPUT_DATA!$A:$A,$C34,INPUT_DATA!$C:$C,"S"))</f>
        <v>124.23000000000002</v>
      </c>
      <c r="M34" s="738">
        <f>IF($C34=0,"",SUMIFS(INPUT_DATA!BD:BD,INPUT_DATA!$A:$A,$C34,INPUT_DATA!$C:$C,"S"))</f>
        <v>0</v>
      </c>
      <c r="N34" s="738">
        <f>IF($C34=0,"",SUMIFS(INPUT_DATA!BE:BE,INPUT_DATA!$A:$A,$C34,INPUT_DATA!$C:$C,"S"))</f>
        <v>2669.09</v>
      </c>
      <c r="O34" s="738">
        <f>IF($C34=0,"",SUMIFS(INPUT_DATA!BF:BF,INPUT_DATA!$A:$A,$C34,INPUT_DATA!$C:$C,"S"))</f>
        <v>33.29</v>
      </c>
      <c r="P34" s="738">
        <f>IF($C34=0,"",SUMIFS(INPUT_DATA!BG:BG,INPUT_DATA!$A:$A,$C34,INPUT_DATA!$C:$C,"S"))</f>
        <v>0</v>
      </c>
      <c r="Q34" s="744">
        <f t="shared" si="5"/>
        <v>823041.5699999982</v>
      </c>
      <c r="R34" s="746">
        <f>IF($C34=0,"",SUMIFS(INPUT_DATA!BI:BI,INPUT_DATA!$A:$A,$C34,INPUT_DATA!$C:$C,"S"))</f>
        <v>0</v>
      </c>
      <c r="S34" s="746">
        <f>IF($C34=0,"",SUMIFS(INPUT_DATA!BJ:BJ,INPUT_DATA!$A:$A,$C34,INPUT_DATA!$C:$C,"S"))</f>
        <v>0</v>
      </c>
      <c r="T34" s="744">
        <f t="shared" si="6"/>
        <v>6444336.3799999896</v>
      </c>
      <c r="U34" s="749">
        <f>IF($C34=0,"",SUMIFS(INPUT_DATA!BM:BM,INPUT_DATA!$A:$A,$C34,INPUT_DATA!$C:$C,"S"))</f>
        <v>6444336.3800000008</v>
      </c>
      <c r="V34" s="155">
        <f t="shared" si="1"/>
        <v>-1.1175870895385742E-8</v>
      </c>
      <c r="W34" s="149"/>
      <c r="X34" s="726">
        <f>IF($C34=0,"",SUMIFS(INPUT_DATA!AV:AV,INPUT_DATA!$A:$A,$C34,INPUT_DATA!$C:$C,"D"))</f>
        <v>0</v>
      </c>
      <c r="Y34" s="738">
        <f>IF($C34=0,"",SUMIFS(INPUT_DATA!AW:AW,INPUT_DATA!$A:$A,$C34,INPUT_DATA!$C:$C,"D"))</f>
        <v>3272.83</v>
      </c>
      <c r="Z34" s="738">
        <f>IF($C34=0,"",SUMIFS(INPUT_DATA!AX:AX,INPUT_DATA!$A:$A,$C34,INPUT_DATA!$C:$C,"D"))</f>
        <v>0</v>
      </c>
      <c r="AA34" s="739">
        <f t="shared" si="2"/>
        <v>3272.83</v>
      </c>
      <c r="AB34" s="738">
        <f>IF($C34=0,"",SUMIFS(INPUT_DATA!AZ:AZ,INPUT_DATA!$A:$A,$C34,INPUT_DATA!$C:$C,"D"))</f>
        <v>0</v>
      </c>
      <c r="AC34" s="738">
        <f>IF($C34=0,"",SUMIFS(INPUT_DATA!BA:BA,INPUT_DATA!$A:$A,$C34,INPUT_DATA!$C:$C,"D"))</f>
        <v>0</v>
      </c>
      <c r="AD34" s="738">
        <f>IF($C34=0,"",SUMIFS(INPUT_DATA!BB:BB,INPUT_DATA!$A:$A,$C34,INPUT_DATA!$C:$C,"D"))</f>
        <v>14.7</v>
      </c>
      <c r="AE34" s="738">
        <f>IF($C34=0,"",SUMIFS(INPUT_DATA!BC:BC,INPUT_DATA!$A:$A,$C34,INPUT_DATA!$C:$C,"D"))</f>
        <v>39.54</v>
      </c>
      <c r="AF34" s="738">
        <f>IF($C34=0,"",SUMIFS(INPUT_DATA!BD:BD,INPUT_DATA!$A:$A,$C34,INPUT_DATA!$C:$C,"D"))</f>
        <v>0</v>
      </c>
      <c r="AG34" s="738">
        <f>IF($C34=0,"",SUMIFS(INPUT_DATA!BE:BE,INPUT_DATA!$A:$A,$C34,INPUT_DATA!$C:$C,"D"))</f>
        <v>0</v>
      </c>
      <c r="AH34" s="738">
        <f>IF($C34=0,"",SUMIFS(INPUT_DATA!BF:BF,INPUT_DATA!$A:$A,$C34,INPUT_DATA!$C:$C,"D"))</f>
        <v>0</v>
      </c>
      <c r="AI34" s="738">
        <f>IF($C34=0,"",SUMIFS(INPUT_DATA!BG:BG,INPUT_DATA!$A:$A,$C34,INPUT_DATA!$C:$C,"D"))</f>
        <v>0</v>
      </c>
      <c r="AJ34" s="299">
        <f t="shared" si="3"/>
        <v>54.239999999999995</v>
      </c>
      <c r="AK34" s="746">
        <f>IF($C34=0,"",SUMIFS(INPUT_DATA!BI:BI,INPUT_DATA!$A:$A,$C34,INPUT_DATA!$C:$C,"D"))</f>
        <v>0</v>
      </c>
      <c r="AL34" s="746">
        <f>IF($C34=0,"",SUMIFS(INPUT_DATA!BJ:BJ,INPUT_DATA!$A:$A,$C34,INPUT_DATA!$C:$C,"D"))</f>
        <v>0</v>
      </c>
      <c r="AM34" s="746">
        <f>IF($C34=0,"",SUMIFS(INPUT_DATA!BK:BK,INPUT_DATA!$A:$A,$C34,INPUT_DATA!$C:$C,"D"))</f>
        <v>0</v>
      </c>
      <c r="AN34" s="744">
        <f t="shared" si="7"/>
        <v>3327.0699999999997</v>
      </c>
      <c r="AO34" s="749">
        <f>IF($C34=0,"",SUMIFS(INPUT_DATA!BM:BM,INPUT_DATA!$A:$A,$C34,INPUT_DATA!$C:$C,"D"))</f>
        <v>3327.0699999999997</v>
      </c>
      <c r="AP34" s="338">
        <f t="shared" si="8"/>
        <v>0</v>
      </c>
      <c r="AQ34" s="149"/>
      <c r="AS34" s="338">
        <f t="shared" si="9"/>
        <v>6447663.4499999899</v>
      </c>
      <c r="AU34" s="361">
        <f>IF($C34=0,"",'03 - Monthly Asset Follow up'!F38+'03 - Monthly Asset Follow up'!G38-'03 - Monthly Asset Follow up'!V38+'03 - Monthly Asset Follow up'!Y38-H34)</f>
        <v>-1.862645149230957E-9</v>
      </c>
      <c r="AV34" s="361">
        <f>IF($C34=0,"",'03 - Monthly Asset Follow up'!BE38+'03 - Monthly Asset Follow up'!BF38-'03 - Monthly Asset Follow up'!BU38+'03 - Monthly Asset Follow up'!BX38-AA34)</f>
        <v>0</v>
      </c>
      <c r="AX34" s="154"/>
    </row>
    <row r="35" spans="2:50">
      <c r="B35" s="730">
        <f t="shared" si="4"/>
        <v>45505</v>
      </c>
      <c r="C35" s="733">
        <f>'03 - Monthly Asset Follow up'!B39</f>
        <v>45535</v>
      </c>
      <c r="D35" s="149"/>
      <c r="E35" s="726">
        <f>IF($C35=0,"",SUMIFS(INPUT_DATA!AV:AV,INPUT_DATA!$A:$A,$C35,INPUT_DATA!$C:$C,"S"))</f>
        <v>4785608.7199999951</v>
      </c>
      <c r="F35" s="738">
        <f>IF($C35=0,"",SUMIFS(INPUT_DATA!AW:AW,INPUT_DATA!$A:$A,$C35,INPUT_DATA!$C:$C,"S"))</f>
        <v>60516.070000000022</v>
      </c>
      <c r="G35" s="738">
        <f>IF($C35=0,"",SUMIFS(INPUT_DATA!AX:AX,INPUT_DATA!$A:$A,$C35,INPUT_DATA!$C:$C,"S"))</f>
        <v>2003699.8000000003</v>
      </c>
      <c r="H35" s="740">
        <f t="shared" si="0"/>
        <v>6849824.5899999961</v>
      </c>
      <c r="I35" s="738">
        <f>IF($C35=0,"",SUMIFS(INPUT_DATA!AZ:AZ,INPUT_DATA!$A:$A,$C35,INPUT_DATA!$C:$C,"S"))</f>
        <v>827128.17999999854</v>
      </c>
      <c r="J35" s="738">
        <f>IF($C35=0,"",SUMIFS(INPUT_DATA!BA:BA,INPUT_DATA!$A:$A,$C35,INPUT_DATA!$C:$C,"S"))</f>
        <v>10050.6</v>
      </c>
      <c r="K35" s="738">
        <f>IF($C35=0,"",SUMIFS(INPUT_DATA!BB:BB,INPUT_DATA!$A:$A,$C35,INPUT_DATA!$C:$C,"S"))</f>
        <v>97.660000000000025</v>
      </c>
      <c r="L35" s="738">
        <f>IF($C35=0,"",SUMIFS(INPUT_DATA!BC:BC,INPUT_DATA!$A:$A,$C35,INPUT_DATA!$C:$C,"S"))</f>
        <v>103.45000000000003</v>
      </c>
      <c r="M35" s="738">
        <f>IF($C35=0,"",SUMIFS(INPUT_DATA!BD:BD,INPUT_DATA!$A:$A,$C35,INPUT_DATA!$C:$C,"S"))</f>
        <v>0</v>
      </c>
      <c r="N35" s="738">
        <f>IF($C35=0,"",SUMIFS(INPUT_DATA!BE:BE,INPUT_DATA!$A:$A,$C35,INPUT_DATA!$C:$C,"S"))</f>
        <v>8134.32</v>
      </c>
      <c r="O35" s="738">
        <f>IF($C35=0,"",SUMIFS(INPUT_DATA!BF:BF,INPUT_DATA!$A:$A,$C35,INPUT_DATA!$C:$C,"S"))</f>
        <v>169.44</v>
      </c>
      <c r="P35" s="738">
        <f>IF($C35=0,"",SUMIFS(INPUT_DATA!BG:BG,INPUT_DATA!$A:$A,$C35,INPUT_DATA!$C:$C,"S"))</f>
        <v>0</v>
      </c>
      <c r="Q35" s="744">
        <f t="shared" si="5"/>
        <v>845683.64999999839</v>
      </c>
      <c r="R35" s="746">
        <f>IF($C35=0,"",SUMIFS(INPUT_DATA!BI:BI,INPUT_DATA!$A:$A,$C35,INPUT_DATA!$C:$C,"S"))</f>
        <v>0</v>
      </c>
      <c r="S35" s="746">
        <f>IF($C35=0,"",SUMIFS(INPUT_DATA!BJ:BJ,INPUT_DATA!$A:$A,$C35,INPUT_DATA!$C:$C,"S"))</f>
        <v>0</v>
      </c>
      <c r="T35" s="744">
        <f t="shared" si="6"/>
        <v>7695508.2399999946</v>
      </c>
      <c r="U35" s="749">
        <f>IF($C35=0,"",SUMIFS(INPUT_DATA!BM:BM,INPUT_DATA!$A:$A,$C35,INPUT_DATA!$C:$C,"S"))</f>
        <v>7695508.2400000012</v>
      </c>
      <c r="V35" s="155">
        <f t="shared" si="1"/>
        <v>-6.5192580223083496E-9</v>
      </c>
      <c r="W35" s="149"/>
      <c r="X35" s="726">
        <f>IF($C35=0,"",SUMIFS(INPUT_DATA!AV:AV,INPUT_DATA!$A:$A,$C35,INPUT_DATA!$C:$C,"D"))</f>
        <v>0</v>
      </c>
      <c r="Y35" s="738">
        <f>IF($C35=0,"",SUMIFS(INPUT_DATA!AW:AW,INPUT_DATA!$A:$A,$C35,INPUT_DATA!$C:$C,"D"))</f>
        <v>0</v>
      </c>
      <c r="Z35" s="738">
        <f>IF($C35=0,"",SUMIFS(INPUT_DATA!AX:AX,INPUT_DATA!$A:$A,$C35,INPUT_DATA!$C:$C,"D"))</f>
        <v>0</v>
      </c>
      <c r="AA35" s="739">
        <f t="shared" si="2"/>
        <v>0</v>
      </c>
      <c r="AB35" s="738">
        <f>IF($C35=0,"",SUMIFS(INPUT_DATA!AZ:AZ,INPUT_DATA!$A:$A,$C35,INPUT_DATA!$C:$C,"D"))</f>
        <v>0</v>
      </c>
      <c r="AC35" s="738">
        <f>IF($C35=0,"",SUMIFS(INPUT_DATA!BA:BA,INPUT_DATA!$A:$A,$C35,INPUT_DATA!$C:$C,"D"))</f>
        <v>0</v>
      </c>
      <c r="AD35" s="738">
        <f>IF($C35=0,"",SUMIFS(INPUT_DATA!BB:BB,INPUT_DATA!$A:$A,$C35,INPUT_DATA!$C:$C,"D"))</f>
        <v>0</v>
      </c>
      <c r="AE35" s="738">
        <f>IF($C35=0,"",SUMIFS(INPUT_DATA!BC:BC,INPUT_DATA!$A:$A,$C35,INPUT_DATA!$C:$C,"D"))</f>
        <v>0</v>
      </c>
      <c r="AF35" s="738">
        <f>IF($C35=0,"",SUMIFS(INPUT_DATA!BD:BD,INPUT_DATA!$A:$A,$C35,INPUT_DATA!$C:$C,"D"))</f>
        <v>0</v>
      </c>
      <c r="AG35" s="738">
        <f>IF($C35=0,"",SUMIFS(INPUT_DATA!BE:BE,INPUT_DATA!$A:$A,$C35,INPUT_DATA!$C:$C,"D"))</f>
        <v>0</v>
      </c>
      <c r="AH35" s="738">
        <f>IF($C35=0,"",SUMIFS(INPUT_DATA!BF:BF,INPUT_DATA!$A:$A,$C35,INPUT_DATA!$C:$C,"D"))</f>
        <v>0</v>
      </c>
      <c r="AI35" s="738">
        <f>IF($C35=0,"",SUMIFS(INPUT_DATA!BG:BG,INPUT_DATA!$A:$A,$C35,INPUT_DATA!$C:$C,"D"))</f>
        <v>0</v>
      </c>
      <c r="AJ35" s="299">
        <f t="shared" si="3"/>
        <v>0</v>
      </c>
      <c r="AK35" s="746">
        <f>IF($C35=0,"",SUMIFS(INPUT_DATA!BI:BI,INPUT_DATA!$A:$A,$C35,INPUT_DATA!$C:$C,"D"))</f>
        <v>0</v>
      </c>
      <c r="AL35" s="746">
        <f>IF($C35=0,"",SUMIFS(INPUT_DATA!BJ:BJ,INPUT_DATA!$A:$A,$C35,INPUT_DATA!$C:$C,"D"))</f>
        <v>0</v>
      </c>
      <c r="AM35" s="746">
        <f>IF($C35=0,"",SUMIFS(INPUT_DATA!BK:BK,INPUT_DATA!$A:$A,$C35,INPUT_DATA!$C:$C,"D"))</f>
        <v>0</v>
      </c>
      <c r="AN35" s="744">
        <f t="shared" si="7"/>
        <v>0</v>
      </c>
      <c r="AO35" s="749">
        <f>IF($C35=0,"",SUMIFS(INPUT_DATA!BM:BM,INPUT_DATA!$A:$A,$C35,INPUT_DATA!$C:$C,"D"))</f>
        <v>0</v>
      </c>
      <c r="AP35" s="338">
        <f t="shared" si="8"/>
        <v>0</v>
      </c>
      <c r="AQ35" s="149"/>
      <c r="AS35" s="338">
        <f t="shared" si="9"/>
        <v>7695508.2399999946</v>
      </c>
      <c r="AU35" s="361">
        <f>IF($C35=0,"",'03 - Monthly Asset Follow up'!F39+'03 - Monthly Asset Follow up'!G39-'03 - Monthly Asset Follow up'!V39+'03 - Monthly Asset Follow up'!Y39-H35)</f>
        <v>-1.862645149230957E-9</v>
      </c>
      <c r="AV35" s="361">
        <f>IF($C35=0,"",'03 - Monthly Asset Follow up'!BE39+'03 - Monthly Asset Follow up'!BF39-'03 - Monthly Asset Follow up'!BU39+'03 - Monthly Asset Follow up'!BX39-AA35)</f>
        <v>0</v>
      </c>
      <c r="AX35" s="154"/>
    </row>
    <row r="36" spans="2:50">
      <c r="B36" s="730">
        <f t="shared" si="4"/>
        <v>45474</v>
      </c>
      <c r="C36" s="733">
        <f>'03 - Monthly Asset Follow up'!B40</f>
        <v>45504</v>
      </c>
      <c r="D36" s="149"/>
      <c r="E36" s="726">
        <f>IF($C36=0,"",SUMIFS(INPUT_DATA!AV:AV,INPUT_DATA!$A:$A,$C36,INPUT_DATA!$C:$C,"S"))</f>
        <v>4869903.3800000055</v>
      </c>
      <c r="F36" s="738">
        <f>IF($C36=0,"",SUMIFS(INPUT_DATA!AW:AW,INPUT_DATA!$A:$A,$C36,INPUT_DATA!$C:$C,"S"))</f>
        <v>92195.04</v>
      </c>
      <c r="G36" s="738">
        <f>IF($C36=0,"",SUMIFS(INPUT_DATA!AX:AX,INPUT_DATA!$A:$A,$C36,INPUT_DATA!$C:$C,"S"))</f>
        <v>917582.09000000008</v>
      </c>
      <c r="H36" s="740">
        <f t="shared" si="0"/>
        <v>5879680.5100000054</v>
      </c>
      <c r="I36" s="738">
        <f>IF($C36=0,"",SUMIFS(INPUT_DATA!AZ:AZ,INPUT_DATA!$A:$A,$C36,INPUT_DATA!$C:$C,"S"))</f>
        <v>835676.32000000228</v>
      </c>
      <c r="J36" s="738">
        <f>IF($C36=0,"",SUMIFS(INPUT_DATA!BA:BA,INPUT_DATA!$A:$A,$C36,INPUT_DATA!$C:$C,"S"))</f>
        <v>11927.030000000002</v>
      </c>
      <c r="K36" s="738">
        <f>IF($C36=0,"",SUMIFS(INPUT_DATA!BB:BB,INPUT_DATA!$A:$A,$C36,INPUT_DATA!$C:$C,"S"))</f>
        <v>85.460000000000022</v>
      </c>
      <c r="L36" s="738">
        <f>IF($C36=0,"",SUMIFS(INPUT_DATA!BC:BC,INPUT_DATA!$A:$A,$C36,INPUT_DATA!$C:$C,"S"))</f>
        <v>101.62</v>
      </c>
      <c r="M36" s="738">
        <f>IF($C36=0,"",SUMIFS(INPUT_DATA!BD:BD,INPUT_DATA!$A:$A,$C36,INPUT_DATA!$C:$C,"S"))</f>
        <v>0</v>
      </c>
      <c r="N36" s="738">
        <f>IF($C36=0,"",SUMIFS(INPUT_DATA!BE:BE,INPUT_DATA!$A:$A,$C36,INPUT_DATA!$C:$C,"S"))</f>
        <v>5107.01</v>
      </c>
      <c r="O36" s="738">
        <f>IF($C36=0,"",SUMIFS(INPUT_DATA!BF:BF,INPUT_DATA!$A:$A,$C36,INPUT_DATA!$C:$C,"S"))</f>
        <v>0</v>
      </c>
      <c r="P36" s="738">
        <f>IF($C36=0,"",SUMIFS(INPUT_DATA!BG:BG,INPUT_DATA!$A:$A,$C36,INPUT_DATA!$C:$C,"S"))</f>
        <v>0</v>
      </c>
      <c r="Q36" s="744">
        <f t="shared" si="5"/>
        <v>852897.44000000227</v>
      </c>
      <c r="R36" s="746">
        <f>IF($C36=0,"",SUMIFS(INPUT_DATA!BI:BI,INPUT_DATA!$A:$A,$C36,INPUT_DATA!$C:$C,"S"))</f>
        <v>0</v>
      </c>
      <c r="S36" s="746">
        <f>IF($C36=0,"",SUMIFS(INPUT_DATA!BJ:BJ,INPUT_DATA!$A:$A,$C36,INPUT_DATA!$C:$C,"S"))</f>
        <v>0</v>
      </c>
      <c r="T36" s="744">
        <f t="shared" si="6"/>
        <v>6732577.9500000076</v>
      </c>
      <c r="U36" s="749">
        <f>IF($C36=0,"",SUMIFS(INPUT_DATA!BM:BM,INPUT_DATA!$A:$A,$C36,INPUT_DATA!$C:$C,"S"))</f>
        <v>6732577.9500000132</v>
      </c>
      <c r="V36" s="155">
        <f t="shared" si="1"/>
        <v>-5.5879354476928711E-9</v>
      </c>
      <c r="W36" s="149"/>
      <c r="X36" s="726">
        <f>IF($C36=0,"",SUMIFS(INPUT_DATA!AV:AV,INPUT_DATA!$A:$A,$C36,INPUT_DATA!$C:$C,"D"))</f>
        <v>0</v>
      </c>
      <c r="Y36" s="738">
        <f>IF($C36=0,"",SUMIFS(INPUT_DATA!AW:AW,INPUT_DATA!$A:$A,$C36,INPUT_DATA!$C:$C,"D"))</f>
        <v>0</v>
      </c>
      <c r="Z36" s="738">
        <f>IF($C36=0,"",SUMIFS(INPUT_DATA!AX:AX,INPUT_DATA!$A:$A,$C36,INPUT_DATA!$C:$C,"D"))</f>
        <v>0</v>
      </c>
      <c r="AA36" s="739">
        <f t="shared" si="2"/>
        <v>0</v>
      </c>
      <c r="AB36" s="738">
        <f>IF($C36=0,"",SUMIFS(INPUT_DATA!AZ:AZ,INPUT_DATA!$A:$A,$C36,INPUT_DATA!$C:$C,"D"))</f>
        <v>0</v>
      </c>
      <c r="AC36" s="738">
        <f>IF($C36=0,"",SUMIFS(INPUT_DATA!BA:BA,INPUT_DATA!$A:$A,$C36,INPUT_DATA!$C:$C,"D"))</f>
        <v>0</v>
      </c>
      <c r="AD36" s="738">
        <f>IF($C36=0,"",SUMIFS(INPUT_DATA!BB:BB,INPUT_DATA!$A:$A,$C36,INPUT_DATA!$C:$C,"D"))</f>
        <v>0</v>
      </c>
      <c r="AE36" s="738">
        <f>IF($C36=0,"",SUMIFS(INPUT_DATA!BC:BC,INPUT_DATA!$A:$A,$C36,INPUT_DATA!$C:$C,"D"))</f>
        <v>0</v>
      </c>
      <c r="AF36" s="738">
        <f>IF($C36=0,"",SUMIFS(INPUT_DATA!BD:BD,INPUT_DATA!$A:$A,$C36,INPUT_DATA!$C:$C,"D"))</f>
        <v>0</v>
      </c>
      <c r="AG36" s="738">
        <f>IF($C36=0,"",SUMIFS(INPUT_DATA!BE:BE,INPUT_DATA!$A:$A,$C36,INPUT_DATA!$C:$C,"D"))</f>
        <v>0</v>
      </c>
      <c r="AH36" s="738">
        <f>IF($C36=0,"",SUMIFS(INPUT_DATA!BF:BF,INPUT_DATA!$A:$A,$C36,INPUT_DATA!$C:$C,"D"))</f>
        <v>0</v>
      </c>
      <c r="AI36" s="738">
        <f>IF($C36=0,"",SUMIFS(INPUT_DATA!BG:BG,INPUT_DATA!$A:$A,$C36,INPUT_DATA!$C:$C,"D"))</f>
        <v>0</v>
      </c>
      <c r="AJ36" s="299">
        <f t="shared" si="3"/>
        <v>0</v>
      </c>
      <c r="AK36" s="746">
        <f>IF($C36=0,"",SUMIFS(INPUT_DATA!BI:BI,INPUT_DATA!$A:$A,$C36,INPUT_DATA!$C:$C,"D"))</f>
        <v>0</v>
      </c>
      <c r="AL36" s="746">
        <f>IF($C36=0,"",SUMIFS(INPUT_DATA!BJ:BJ,INPUT_DATA!$A:$A,$C36,INPUT_DATA!$C:$C,"D"))</f>
        <v>0</v>
      </c>
      <c r="AM36" s="746">
        <f>IF($C36=0,"",SUMIFS(INPUT_DATA!BK:BK,INPUT_DATA!$A:$A,$C36,INPUT_DATA!$C:$C,"D"))</f>
        <v>0</v>
      </c>
      <c r="AN36" s="744">
        <f t="shared" si="7"/>
        <v>0</v>
      </c>
      <c r="AO36" s="749">
        <f>IF($C36=0,"",SUMIFS(INPUT_DATA!BM:BM,INPUT_DATA!$A:$A,$C36,INPUT_DATA!$C:$C,"D"))</f>
        <v>0</v>
      </c>
      <c r="AP36" s="338">
        <f t="shared" si="8"/>
        <v>0</v>
      </c>
      <c r="AQ36" s="149"/>
      <c r="AS36" s="338">
        <f t="shared" si="9"/>
        <v>6732577.9500000076</v>
      </c>
      <c r="AU36" s="361">
        <f>IF($C36=0,"",'03 - Monthly Asset Follow up'!F40+'03 - Monthly Asset Follow up'!G40-'03 - Monthly Asset Follow up'!V40+'03 - Monthly Asset Follow up'!Y40-H36)</f>
        <v>2.7939677238464355E-9</v>
      </c>
      <c r="AV36" s="361">
        <f>IF($C36=0,"",'03 - Monthly Asset Follow up'!BE40+'03 - Monthly Asset Follow up'!BF40-'03 - Monthly Asset Follow up'!BU40+'03 - Monthly Asset Follow up'!BX40-AA36)</f>
        <v>0</v>
      </c>
      <c r="AX36" s="154"/>
    </row>
    <row r="37" spans="2:50">
      <c r="B37" s="730">
        <f t="shared" si="4"/>
        <v>45444</v>
      </c>
      <c r="C37" s="733">
        <f>'03 - Monthly Asset Follow up'!B41</f>
        <v>45473</v>
      </c>
      <c r="D37" s="149"/>
      <c r="E37" s="726">
        <f>IF($C37=0,"",SUMIFS(INPUT_DATA!AV:AV,INPUT_DATA!$A:$A,$C37,INPUT_DATA!$C:$C,"S"))</f>
        <v>4795029.0699999994</v>
      </c>
      <c r="F37" s="738">
        <f>IF($C37=0,"",SUMIFS(INPUT_DATA!AW:AW,INPUT_DATA!$A:$A,$C37,INPUT_DATA!$C:$C,"S"))</f>
        <v>45633.520000000019</v>
      </c>
      <c r="G37" s="738">
        <f>IF($C37=0,"",SUMIFS(INPUT_DATA!AX:AX,INPUT_DATA!$A:$A,$C37,INPUT_DATA!$C:$C,"S"))</f>
        <v>667655.79</v>
      </c>
      <c r="H37" s="740">
        <f t="shared" si="0"/>
        <v>5508318.3799999999</v>
      </c>
      <c r="I37" s="738">
        <f>IF($C37=0,"",SUMIFS(INPUT_DATA!AZ:AZ,INPUT_DATA!$A:$A,$C37,INPUT_DATA!$C:$C,"S"))</f>
        <v>836869.96000000054</v>
      </c>
      <c r="J37" s="738">
        <f>IF($C37=0,"",SUMIFS(INPUT_DATA!BA:BA,INPUT_DATA!$A:$A,$C37,INPUT_DATA!$C:$C,"S"))</f>
        <v>6985.619999999999</v>
      </c>
      <c r="K37" s="738">
        <f>IF($C37=0,"",SUMIFS(INPUT_DATA!BB:BB,INPUT_DATA!$A:$A,$C37,INPUT_DATA!$C:$C,"S"))</f>
        <v>66.449999999999989</v>
      </c>
      <c r="L37" s="738">
        <f>IF($C37=0,"",SUMIFS(INPUT_DATA!BC:BC,INPUT_DATA!$A:$A,$C37,INPUT_DATA!$C:$C,"S"))</f>
        <v>94.960000000000022</v>
      </c>
      <c r="M37" s="738">
        <f>IF($C37=0,"",SUMIFS(INPUT_DATA!BD:BD,INPUT_DATA!$A:$A,$C37,INPUT_DATA!$C:$C,"S"))</f>
        <v>0</v>
      </c>
      <c r="N37" s="738">
        <f>IF($C37=0,"",SUMIFS(INPUT_DATA!BE:BE,INPUT_DATA!$A:$A,$C37,INPUT_DATA!$C:$C,"S"))</f>
        <v>746.26</v>
      </c>
      <c r="O37" s="738">
        <f>IF($C37=0,"",SUMIFS(INPUT_DATA!BF:BF,INPUT_DATA!$A:$A,$C37,INPUT_DATA!$C:$C,"S"))</f>
        <v>334.82</v>
      </c>
      <c r="P37" s="738">
        <f>IF($C37=0,"",SUMIFS(INPUT_DATA!BG:BG,INPUT_DATA!$A:$A,$C37,INPUT_DATA!$C:$C,"S"))</f>
        <v>0</v>
      </c>
      <c r="Q37" s="744">
        <f t="shared" si="5"/>
        <v>845098.07000000041</v>
      </c>
      <c r="R37" s="746">
        <f>IF($C37=0,"",SUMIFS(INPUT_DATA!BI:BI,INPUT_DATA!$A:$A,$C37,INPUT_DATA!$C:$C,"S"))</f>
        <v>0</v>
      </c>
      <c r="S37" s="746">
        <f>IF($C37=0,"",SUMIFS(INPUT_DATA!BJ:BJ,INPUT_DATA!$A:$A,$C37,INPUT_DATA!$C:$C,"S"))</f>
        <v>0</v>
      </c>
      <c r="T37" s="744">
        <f t="shared" si="6"/>
        <v>6353416.4500000002</v>
      </c>
      <c r="U37" s="749">
        <f>IF($C37=0,"",SUMIFS(INPUT_DATA!BM:BM,INPUT_DATA!$A:$A,$C37,INPUT_DATA!$C:$C,"S"))</f>
        <v>6353416.4499999927</v>
      </c>
      <c r="V37" s="155">
        <f t="shared" si="1"/>
        <v>7.4505805969238281E-9</v>
      </c>
      <c r="W37" s="149"/>
      <c r="X37" s="726">
        <f>IF($C37=0,"",SUMIFS(INPUT_DATA!AV:AV,INPUT_DATA!$A:$A,$C37,INPUT_DATA!$C:$C,"D"))</f>
        <v>0</v>
      </c>
      <c r="Y37" s="738">
        <f>IF($C37=0,"",SUMIFS(INPUT_DATA!AW:AW,INPUT_DATA!$A:$A,$C37,INPUT_DATA!$C:$C,"D"))</f>
        <v>0</v>
      </c>
      <c r="Z37" s="738">
        <f>IF($C37=0,"",SUMIFS(INPUT_DATA!AX:AX,INPUT_DATA!$A:$A,$C37,INPUT_DATA!$C:$C,"D"))</f>
        <v>0</v>
      </c>
      <c r="AA37" s="739">
        <f t="shared" si="2"/>
        <v>0</v>
      </c>
      <c r="AB37" s="738">
        <f>IF($C37=0,"",SUMIFS(INPUT_DATA!AZ:AZ,INPUT_DATA!$A:$A,$C37,INPUT_DATA!$C:$C,"D"))</f>
        <v>0</v>
      </c>
      <c r="AC37" s="738">
        <f>IF($C37=0,"",SUMIFS(INPUT_DATA!BA:BA,INPUT_DATA!$A:$A,$C37,INPUT_DATA!$C:$C,"D"))</f>
        <v>0</v>
      </c>
      <c r="AD37" s="738">
        <f>IF($C37=0,"",SUMIFS(INPUT_DATA!BB:BB,INPUT_DATA!$A:$A,$C37,INPUT_DATA!$C:$C,"D"))</f>
        <v>0</v>
      </c>
      <c r="AE37" s="738">
        <f>IF($C37=0,"",SUMIFS(INPUT_DATA!BC:BC,INPUT_DATA!$A:$A,$C37,INPUT_DATA!$C:$C,"D"))</f>
        <v>0</v>
      </c>
      <c r="AF37" s="738">
        <f>IF($C37=0,"",SUMIFS(INPUT_DATA!BD:BD,INPUT_DATA!$A:$A,$C37,INPUT_DATA!$C:$C,"D"))</f>
        <v>0</v>
      </c>
      <c r="AG37" s="738">
        <f>IF($C37=0,"",SUMIFS(INPUT_DATA!BE:BE,INPUT_DATA!$A:$A,$C37,INPUT_DATA!$C:$C,"D"))</f>
        <v>0</v>
      </c>
      <c r="AH37" s="738">
        <f>IF($C37=0,"",SUMIFS(INPUT_DATA!BF:BF,INPUT_DATA!$A:$A,$C37,INPUT_DATA!$C:$C,"D"))</f>
        <v>0</v>
      </c>
      <c r="AI37" s="738">
        <f>IF($C37=0,"",SUMIFS(INPUT_DATA!BG:BG,INPUT_DATA!$A:$A,$C37,INPUT_DATA!$C:$C,"D"))</f>
        <v>0</v>
      </c>
      <c r="AJ37" s="299">
        <f t="shared" si="3"/>
        <v>0</v>
      </c>
      <c r="AK37" s="746">
        <f>IF($C37=0,"",SUMIFS(INPUT_DATA!BI:BI,INPUT_DATA!$A:$A,$C37,INPUT_DATA!$C:$C,"D"))</f>
        <v>0</v>
      </c>
      <c r="AL37" s="746">
        <f>IF($C37=0,"",SUMIFS(INPUT_DATA!BJ:BJ,INPUT_DATA!$A:$A,$C37,INPUT_DATA!$C:$C,"D"))</f>
        <v>0</v>
      </c>
      <c r="AM37" s="746">
        <f>IF($C37=0,"",SUMIFS(INPUT_DATA!BK:BK,INPUT_DATA!$A:$A,$C37,INPUT_DATA!$C:$C,"D"))</f>
        <v>0</v>
      </c>
      <c r="AN37" s="744">
        <f t="shared" si="7"/>
        <v>0</v>
      </c>
      <c r="AO37" s="749">
        <f>IF($C37=0,"",SUMIFS(INPUT_DATA!BM:BM,INPUT_DATA!$A:$A,$C37,INPUT_DATA!$C:$C,"D"))</f>
        <v>0</v>
      </c>
      <c r="AP37" s="338">
        <f t="shared" si="8"/>
        <v>0</v>
      </c>
      <c r="AQ37" s="149"/>
      <c r="AS37" s="338">
        <f t="shared" si="9"/>
        <v>6353416.4500000002</v>
      </c>
      <c r="AU37" s="361">
        <f>IF($C37=0,"",'03 - Monthly Asset Follow up'!F41+'03 - Monthly Asset Follow up'!G41-'03 - Monthly Asset Follow up'!V41+'03 - Monthly Asset Follow up'!Y41-H37)</f>
        <v>-2.7939677238464355E-9</v>
      </c>
      <c r="AV37" s="361">
        <f>IF($C37=0,"",'03 - Monthly Asset Follow up'!BE41+'03 - Monthly Asset Follow up'!BF41-'03 - Monthly Asset Follow up'!BU41+'03 - Monthly Asset Follow up'!BX41-AA37)</f>
        <v>0</v>
      </c>
      <c r="AX37" s="154"/>
    </row>
    <row r="38" spans="2:50">
      <c r="B38" s="730">
        <f t="shared" si="4"/>
        <v>45413</v>
      </c>
      <c r="C38" s="733">
        <f>'03 - Monthly Asset Follow up'!B42</f>
        <v>45443</v>
      </c>
      <c r="D38" s="149"/>
      <c r="E38" s="726">
        <f>IF($C38=0,"",SUMIFS(INPUT_DATA!AV:AV,INPUT_DATA!$A:$A,$C38,INPUT_DATA!$C:$C,"S"))</f>
        <v>4846408.2700000014</v>
      </c>
      <c r="F38" s="738">
        <f>IF($C38=0,"",SUMIFS(INPUT_DATA!AW:AW,INPUT_DATA!$A:$A,$C38,INPUT_DATA!$C:$C,"S"))</f>
        <v>71288.189999999988</v>
      </c>
      <c r="G38" s="738">
        <f>IF($C38=0,"",SUMIFS(INPUT_DATA!AX:AX,INPUT_DATA!$A:$A,$C38,INPUT_DATA!$C:$C,"S"))</f>
        <v>581914.99</v>
      </c>
      <c r="H38" s="740">
        <f t="shared" si="0"/>
        <v>5499611.450000002</v>
      </c>
      <c r="I38" s="738">
        <f>IF($C38=0,"",SUMIFS(INPUT_DATA!AZ:AZ,INPUT_DATA!$A:$A,$C38,INPUT_DATA!$C:$C,"S"))</f>
        <v>848277.42000000027</v>
      </c>
      <c r="J38" s="738">
        <f>IF($C38=0,"",SUMIFS(INPUT_DATA!BA:BA,INPUT_DATA!$A:$A,$C38,INPUT_DATA!$C:$C,"S"))</f>
        <v>4392.8799999999992</v>
      </c>
      <c r="K38" s="738">
        <f>IF($C38=0,"",SUMIFS(INPUT_DATA!BB:BB,INPUT_DATA!$A:$A,$C38,INPUT_DATA!$C:$C,"S"))</f>
        <v>66.680000000000021</v>
      </c>
      <c r="L38" s="738">
        <f>IF($C38=0,"",SUMIFS(INPUT_DATA!BC:BC,INPUT_DATA!$A:$A,$C38,INPUT_DATA!$C:$C,"S"))</f>
        <v>83.94999999999996</v>
      </c>
      <c r="M38" s="738">
        <f>IF($C38=0,"",SUMIFS(INPUT_DATA!BD:BD,INPUT_DATA!$A:$A,$C38,INPUT_DATA!$C:$C,"S"))</f>
        <v>0</v>
      </c>
      <c r="N38" s="738">
        <f>IF($C38=0,"",SUMIFS(INPUT_DATA!BE:BE,INPUT_DATA!$A:$A,$C38,INPUT_DATA!$C:$C,"S"))</f>
        <v>1290.83</v>
      </c>
      <c r="O38" s="738">
        <f>IF($C38=0,"",SUMIFS(INPUT_DATA!BF:BF,INPUT_DATA!$A:$A,$C38,INPUT_DATA!$C:$C,"S"))</f>
        <v>11.33</v>
      </c>
      <c r="P38" s="738">
        <f>IF($C38=0,"",SUMIFS(INPUT_DATA!BG:BG,INPUT_DATA!$A:$A,$C38,INPUT_DATA!$C:$C,"S"))</f>
        <v>0</v>
      </c>
      <c r="Q38" s="744">
        <f t="shared" si="5"/>
        <v>854123.0900000002</v>
      </c>
      <c r="R38" s="746">
        <f>IF($C38=0,"",SUMIFS(INPUT_DATA!BI:BI,INPUT_DATA!$A:$A,$C38,INPUT_DATA!$C:$C,"S"))</f>
        <v>0</v>
      </c>
      <c r="S38" s="746">
        <f>IF($C38=0,"",SUMIFS(INPUT_DATA!BJ:BJ,INPUT_DATA!$A:$A,$C38,INPUT_DATA!$C:$C,"S"))</f>
        <v>0</v>
      </c>
      <c r="T38" s="744">
        <f t="shared" si="6"/>
        <v>6353734.5400000019</v>
      </c>
      <c r="U38" s="749">
        <f>IF($C38=0,"",SUMIFS(INPUT_DATA!BM:BM,INPUT_DATA!$A:$A,$C38,INPUT_DATA!$C:$C,"S"))</f>
        <v>6353734.540000001</v>
      </c>
      <c r="V38" s="155">
        <f t="shared" si="1"/>
        <v>9.3132257461547852E-10</v>
      </c>
      <c r="W38" s="149"/>
      <c r="X38" s="726">
        <f>IF($C38=0,"",SUMIFS(INPUT_DATA!AV:AV,INPUT_DATA!$A:$A,$C38,INPUT_DATA!$C:$C,"D"))</f>
        <v>0</v>
      </c>
      <c r="Y38" s="738">
        <f>IF($C38=0,"",SUMIFS(INPUT_DATA!AW:AW,INPUT_DATA!$A:$A,$C38,INPUT_DATA!$C:$C,"D"))</f>
        <v>0</v>
      </c>
      <c r="Z38" s="738">
        <f>IF($C38=0,"",SUMIFS(INPUT_DATA!AX:AX,INPUT_DATA!$A:$A,$C38,INPUT_DATA!$C:$C,"D"))</f>
        <v>0</v>
      </c>
      <c r="AA38" s="739">
        <f t="shared" si="2"/>
        <v>0</v>
      </c>
      <c r="AB38" s="738">
        <f>IF($C38=0,"",SUMIFS(INPUT_DATA!AZ:AZ,INPUT_DATA!$A:$A,$C38,INPUT_DATA!$C:$C,"D"))</f>
        <v>0</v>
      </c>
      <c r="AC38" s="738">
        <f>IF($C38=0,"",SUMIFS(INPUT_DATA!BA:BA,INPUT_DATA!$A:$A,$C38,INPUT_DATA!$C:$C,"D"))</f>
        <v>0</v>
      </c>
      <c r="AD38" s="738">
        <f>IF($C38=0,"",SUMIFS(INPUT_DATA!BB:BB,INPUT_DATA!$A:$A,$C38,INPUT_DATA!$C:$C,"D"))</f>
        <v>0</v>
      </c>
      <c r="AE38" s="738">
        <f>IF($C38=0,"",SUMIFS(INPUT_DATA!BC:BC,INPUT_DATA!$A:$A,$C38,INPUT_DATA!$C:$C,"D"))</f>
        <v>0</v>
      </c>
      <c r="AF38" s="738">
        <f>IF($C38=0,"",SUMIFS(INPUT_DATA!BD:BD,INPUT_DATA!$A:$A,$C38,INPUT_DATA!$C:$C,"D"))</f>
        <v>0</v>
      </c>
      <c r="AG38" s="738">
        <f>IF($C38=0,"",SUMIFS(INPUT_DATA!BE:BE,INPUT_DATA!$A:$A,$C38,INPUT_DATA!$C:$C,"D"))</f>
        <v>0</v>
      </c>
      <c r="AH38" s="738">
        <f>IF($C38=0,"",SUMIFS(INPUT_DATA!BF:BF,INPUT_DATA!$A:$A,$C38,INPUT_DATA!$C:$C,"D"))</f>
        <v>0</v>
      </c>
      <c r="AI38" s="738">
        <f>IF($C38=0,"",SUMIFS(INPUT_DATA!BG:BG,INPUT_DATA!$A:$A,$C38,INPUT_DATA!$C:$C,"D"))</f>
        <v>0</v>
      </c>
      <c r="AJ38" s="299">
        <f t="shared" si="3"/>
        <v>0</v>
      </c>
      <c r="AK38" s="746">
        <f>IF($C38=0,"",SUMIFS(INPUT_DATA!BI:BI,INPUT_DATA!$A:$A,$C38,INPUT_DATA!$C:$C,"D"))</f>
        <v>0</v>
      </c>
      <c r="AL38" s="746">
        <f>IF($C38=0,"",SUMIFS(INPUT_DATA!BJ:BJ,INPUT_DATA!$A:$A,$C38,INPUT_DATA!$C:$C,"D"))</f>
        <v>0</v>
      </c>
      <c r="AM38" s="746">
        <f>IF($C38=0,"",SUMIFS(INPUT_DATA!BK:BK,INPUT_DATA!$A:$A,$C38,INPUT_DATA!$C:$C,"D"))</f>
        <v>0</v>
      </c>
      <c r="AN38" s="744">
        <f t="shared" si="7"/>
        <v>0</v>
      </c>
      <c r="AO38" s="749">
        <f>IF($C38=0,"",SUMIFS(INPUT_DATA!BM:BM,INPUT_DATA!$A:$A,$C38,INPUT_DATA!$C:$C,"D"))</f>
        <v>0</v>
      </c>
      <c r="AP38" s="338">
        <f t="shared" si="8"/>
        <v>0</v>
      </c>
      <c r="AQ38" s="149"/>
      <c r="AS38" s="338">
        <f t="shared" si="9"/>
        <v>6353734.5400000019</v>
      </c>
      <c r="AU38" s="361">
        <f>IF($C38=0,"",'03 - Monthly Asset Follow up'!F42+'03 - Monthly Asset Follow up'!G42-'03 - Monthly Asset Follow up'!V42+'03 - Monthly Asset Follow up'!Y42-H38)</f>
        <v>9.3132257461547852E-10</v>
      </c>
      <c r="AV38" s="361">
        <f>IF($C38=0,"",'03 - Monthly Asset Follow up'!BE42+'03 - Monthly Asset Follow up'!BF42-'03 - Monthly Asset Follow up'!BU42+'03 - Monthly Asset Follow up'!BX42-AA38)</f>
        <v>0</v>
      </c>
      <c r="AX38" s="154"/>
    </row>
    <row r="39" spans="2:50">
      <c r="B39" s="730">
        <f t="shared" si="4"/>
        <v>45383</v>
      </c>
      <c r="C39" s="733">
        <f>'03 - Monthly Asset Follow up'!B43</f>
        <v>45412</v>
      </c>
      <c r="D39" s="149"/>
      <c r="E39" s="726">
        <f>IF($C39=0,"",SUMIFS(INPUT_DATA!AV:AV,INPUT_DATA!$A:$A,$C39,INPUT_DATA!$C:$C,"S"))</f>
        <v>4880763.589999998</v>
      </c>
      <c r="F39" s="738">
        <f>IF($C39=0,"",SUMIFS(INPUT_DATA!AW:AW,INPUT_DATA!$A:$A,$C39,INPUT_DATA!$C:$C,"S"))</f>
        <v>75454.919999999984</v>
      </c>
      <c r="G39" s="738">
        <f>IF($C39=0,"",SUMIFS(INPUT_DATA!AX:AX,INPUT_DATA!$A:$A,$C39,INPUT_DATA!$C:$C,"S"))</f>
        <v>515506.72</v>
      </c>
      <c r="H39" s="740">
        <f t="shared" si="0"/>
        <v>5471725.2299999977</v>
      </c>
      <c r="I39" s="738">
        <f>IF($C39=0,"",SUMIFS(INPUT_DATA!AZ:AZ,INPUT_DATA!$A:$A,$C39,INPUT_DATA!$C:$C,"S"))</f>
        <v>863157.00999999978</v>
      </c>
      <c r="J39" s="738">
        <f>IF($C39=0,"",SUMIFS(INPUT_DATA!BA:BA,INPUT_DATA!$A:$A,$C39,INPUT_DATA!$C:$C,"S"))</f>
        <v>4831.4800000000014</v>
      </c>
      <c r="K39" s="738">
        <f>IF($C39=0,"",SUMIFS(INPUT_DATA!BB:BB,INPUT_DATA!$A:$A,$C39,INPUT_DATA!$C:$C,"S"))</f>
        <v>94.38000000000001</v>
      </c>
      <c r="L39" s="738">
        <f>IF($C39=0,"",SUMIFS(INPUT_DATA!BC:BC,INPUT_DATA!$A:$A,$C39,INPUT_DATA!$C:$C,"S"))</f>
        <v>118.33999999999997</v>
      </c>
      <c r="M39" s="738">
        <f>IF($C39=0,"",SUMIFS(INPUT_DATA!BD:BD,INPUT_DATA!$A:$A,$C39,INPUT_DATA!$C:$C,"S"))</f>
        <v>0</v>
      </c>
      <c r="N39" s="738">
        <f>IF($C39=0,"",SUMIFS(INPUT_DATA!BE:BE,INPUT_DATA!$A:$A,$C39,INPUT_DATA!$C:$C,"S"))</f>
        <v>3335.81</v>
      </c>
      <c r="O39" s="738">
        <f>IF($C39=0,"",SUMIFS(INPUT_DATA!BF:BF,INPUT_DATA!$A:$A,$C39,INPUT_DATA!$C:$C,"S"))</f>
        <v>42.980000000000004</v>
      </c>
      <c r="P39" s="738">
        <f>IF($C39=0,"",SUMIFS(INPUT_DATA!BG:BG,INPUT_DATA!$A:$A,$C39,INPUT_DATA!$C:$C,"S"))</f>
        <v>0</v>
      </c>
      <c r="Q39" s="744">
        <f t="shared" si="5"/>
        <v>871579.99999999977</v>
      </c>
      <c r="R39" s="746">
        <f>IF($C39=0,"",SUMIFS(INPUT_DATA!BI:BI,INPUT_DATA!$A:$A,$C39,INPUT_DATA!$C:$C,"S"))</f>
        <v>0</v>
      </c>
      <c r="S39" s="746">
        <f>IF($C39=0,"",SUMIFS(INPUT_DATA!BJ:BJ,INPUT_DATA!$A:$A,$C39,INPUT_DATA!$C:$C,"S"))</f>
        <v>0</v>
      </c>
      <c r="T39" s="744">
        <f t="shared" si="6"/>
        <v>6343305.2299999977</v>
      </c>
      <c r="U39" s="749">
        <f>IF($C39=0,"",SUMIFS(INPUT_DATA!BM:BM,INPUT_DATA!$A:$A,$C39,INPUT_DATA!$C:$C,"S"))</f>
        <v>6343305.2299999986</v>
      </c>
      <c r="V39" s="155">
        <f t="shared" si="1"/>
        <v>-9.3132257461547852E-10</v>
      </c>
      <c r="W39" s="149"/>
      <c r="X39" s="726">
        <f>IF($C39=0,"",SUMIFS(INPUT_DATA!AV:AV,INPUT_DATA!$A:$A,$C39,INPUT_DATA!$C:$C,"D"))</f>
        <v>0</v>
      </c>
      <c r="Y39" s="738">
        <f>IF($C39=0,"",SUMIFS(INPUT_DATA!AW:AW,INPUT_DATA!$A:$A,$C39,INPUT_DATA!$C:$C,"D"))</f>
        <v>0</v>
      </c>
      <c r="Z39" s="738">
        <f>IF($C39=0,"",SUMIFS(INPUT_DATA!AX:AX,INPUT_DATA!$A:$A,$C39,INPUT_DATA!$C:$C,"D"))</f>
        <v>0</v>
      </c>
      <c r="AA39" s="739">
        <f t="shared" si="2"/>
        <v>0</v>
      </c>
      <c r="AB39" s="738">
        <f>IF($C39=0,"",SUMIFS(INPUT_DATA!AZ:AZ,INPUT_DATA!$A:$A,$C39,INPUT_DATA!$C:$C,"D"))</f>
        <v>0</v>
      </c>
      <c r="AC39" s="738">
        <f>IF($C39=0,"",SUMIFS(INPUT_DATA!BA:BA,INPUT_DATA!$A:$A,$C39,INPUT_DATA!$C:$C,"D"))</f>
        <v>0</v>
      </c>
      <c r="AD39" s="738">
        <f>IF($C39=0,"",SUMIFS(INPUT_DATA!BB:BB,INPUT_DATA!$A:$A,$C39,INPUT_DATA!$C:$C,"D"))</f>
        <v>0</v>
      </c>
      <c r="AE39" s="738">
        <f>IF($C39=0,"",SUMIFS(INPUT_DATA!BC:BC,INPUT_DATA!$A:$A,$C39,INPUT_DATA!$C:$C,"D"))</f>
        <v>0</v>
      </c>
      <c r="AF39" s="738">
        <f>IF($C39=0,"",SUMIFS(INPUT_DATA!BD:BD,INPUT_DATA!$A:$A,$C39,INPUT_DATA!$C:$C,"D"))</f>
        <v>0</v>
      </c>
      <c r="AG39" s="738">
        <f>IF($C39=0,"",SUMIFS(INPUT_DATA!BE:BE,INPUT_DATA!$A:$A,$C39,INPUT_DATA!$C:$C,"D"))</f>
        <v>0</v>
      </c>
      <c r="AH39" s="738">
        <f>IF($C39=0,"",SUMIFS(INPUT_DATA!BF:BF,INPUT_DATA!$A:$A,$C39,INPUT_DATA!$C:$C,"D"))</f>
        <v>0</v>
      </c>
      <c r="AI39" s="738">
        <f>IF($C39=0,"",SUMIFS(INPUT_DATA!BG:BG,INPUT_DATA!$A:$A,$C39,INPUT_DATA!$C:$C,"D"))</f>
        <v>0</v>
      </c>
      <c r="AJ39" s="299">
        <f t="shared" si="3"/>
        <v>0</v>
      </c>
      <c r="AK39" s="746">
        <f>IF($C39=0,"",SUMIFS(INPUT_DATA!BI:BI,INPUT_DATA!$A:$A,$C39,INPUT_DATA!$C:$C,"D"))</f>
        <v>0</v>
      </c>
      <c r="AL39" s="746">
        <f>IF($C39=0,"",SUMIFS(INPUT_DATA!BJ:BJ,INPUT_DATA!$A:$A,$C39,INPUT_DATA!$C:$C,"D"))</f>
        <v>0</v>
      </c>
      <c r="AM39" s="746">
        <f>IF($C39=0,"",SUMIFS(INPUT_DATA!BK:BK,INPUT_DATA!$A:$A,$C39,INPUT_DATA!$C:$C,"D"))</f>
        <v>0</v>
      </c>
      <c r="AN39" s="744">
        <f t="shared" si="7"/>
        <v>0</v>
      </c>
      <c r="AO39" s="749">
        <f>IF($C39=0,"",SUMIFS(INPUT_DATA!BM:BM,INPUT_DATA!$A:$A,$C39,INPUT_DATA!$C:$C,"D"))</f>
        <v>0</v>
      </c>
      <c r="AP39" s="338">
        <f t="shared" si="8"/>
        <v>0</v>
      </c>
      <c r="AQ39" s="149"/>
      <c r="AS39" s="338">
        <f t="shared" si="9"/>
        <v>6343305.2299999977</v>
      </c>
      <c r="AU39" s="361">
        <f>IF($C39=0,"",'03 - Monthly Asset Follow up'!F43+'03 - Monthly Asset Follow up'!G43-'03 - Monthly Asset Follow up'!V43+'03 - Monthly Asset Follow up'!Y43-H39)</f>
        <v>2.7939677238464355E-9</v>
      </c>
      <c r="AV39" s="361">
        <f>IF($C39=0,"",'03 - Monthly Asset Follow up'!BE43+'03 - Monthly Asset Follow up'!BF43-'03 - Monthly Asset Follow up'!BU43+'03 - Monthly Asset Follow up'!BX43-AA39)</f>
        <v>0</v>
      </c>
      <c r="AX39" s="154"/>
    </row>
    <row r="40" spans="2:50">
      <c r="B40" s="730">
        <f t="shared" si="4"/>
        <v>45352</v>
      </c>
      <c r="C40" s="733">
        <f>'03 - Monthly Asset Follow up'!B44</f>
        <v>45382</v>
      </c>
      <c r="D40" s="149"/>
      <c r="E40" s="726">
        <f>IF($C40=0,"",SUMIFS(INPUT_DATA!AV:AV,INPUT_DATA!$A:$A,$C40,INPUT_DATA!$C:$C,"S"))</f>
        <v>4859520.2599999951</v>
      </c>
      <c r="F40" s="738">
        <f>IF($C40=0,"",SUMIFS(INPUT_DATA!AW:AW,INPUT_DATA!$A:$A,$C40,INPUT_DATA!$C:$C,"S"))</f>
        <v>72540.579999999973</v>
      </c>
      <c r="G40" s="738">
        <f>IF($C40=0,"",SUMIFS(INPUT_DATA!AX:AX,INPUT_DATA!$A:$A,$C40,INPUT_DATA!$C:$C,"S"))</f>
        <v>1371710.64</v>
      </c>
      <c r="H40" s="740">
        <f t="shared" si="0"/>
        <v>6303771.4799999949</v>
      </c>
      <c r="I40" s="738">
        <f>IF($C40=0,"",SUMIFS(INPUT_DATA!AZ:AZ,INPUT_DATA!$A:$A,$C40,INPUT_DATA!$C:$C,"S"))</f>
        <v>868476.57</v>
      </c>
      <c r="J40" s="738">
        <f>IF($C40=0,"",SUMIFS(INPUT_DATA!BA:BA,INPUT_DATA!$A:$A,$C40,INPUT_DATA!$C:$C,"S"))</f>
        <v>6105.58</v>
      </c>
      <c r="K40" s="738">
        <f>IF($C40=0,"",SUMIFS(INPUT_DATA!BB:BB,INPUT_DATA!$A:$A,$C40,INPUT_DATA!$C:$C,"S"))</f>
        <v>93.37</v>
      </c>
      <c r="L40" s="738">
        <f>IF($C40=0,"",SUMIFS(INPUT_DATA!BC:BC,INPUT_DATA!$A:$A,$C40,INPUT_DATA!$C:$C,"S"))</f>
        <v>98.68</v>
      </c>
      <c r="M40" s="738">
        <f>IF($C40=0,"",SUMIFS(INPUT_DATA!BD:BD,INPUT_DATA!$A:$A,$C40,INPUT_DATA!$C:$C,"S"))</f>
        <v>0</v>
      </c>
      <c r="N40" s="738">
        <f>IF($C40=0,"",SUMIFS(INPUT_DATA!BE:BE,INPUT_DATA!$A:$A,$C40,INPUT_DATA!$C:$C,"S"))</f>
        <v>9027.6500000000015</v>
      </c>
      <c r="O40" s="738">
        <f>IF($C40=0,"",SUMIFS(INPUT_DATA!BF:BF,INPUT_DATA!$A:$A,$C40,INPUT_DATA!$C:$C,"S"))</f>
        <v>57.430000000000007</v>
      </c>
      <c r="P40" s="738">
        <f>IF($C40=0,"",SUMIFS(INPUT_DATA!BG:BG,INPUT_DATA!$A:$A,$C40,INPUT_DATA!$C:$C,"S"))</f>
        <v>0</v>
      </c>
      <c r="Q40" s="744">
        <f t="shared" si="5"/>
        <v>883859.28</v>
      </c>
      <c r="R40" s="746">
        <f>IF($C40=0,"",SUMIFS(INPUT_DATA!BI:BI,INPUT_DATA!$A:$A,$C40,INPUT_DATA!$C:$C,"S"))</f>
        <v>0</v>
      </c>
      <c r="S40" s="746">
        <f>IF($C40=0,"",SUMIFS(INPUT_DATA!BJ:BJ,INPUT_DATA!$A:$A,$C40,INPUT_DATA!$C:$C,"S"))</f>
        <v>0</v>
      </c>
      <c r="T40" s="744">
        <f t="shared" si="6"/>
        <v>7187630.7599999951</v>
      </c>
      <c r="U40" s="749">
        <f>IF($C40=0,"",SUMIFS(INPUT_DATA!BM:BM,INPUT_DATA!$A:$A,$C40,INPUT_DATA!$C:$C,"S"))</f>
        <v>7187630.7599999998</v>
      </c>
      <c r="V40" s="155">
        <f t="shared" si="1"/>
        <v>-4.6566128730773926E-9</v>
      </c>
      <c r="W40" s="149"/>
      <c r="X40" s="726">
        <f>IF($C40=0,"",SUMIFS(INPUT_DATA!AV:AV,INPUT_DATA!$A:$A,$C40,INPUT_DATA!$C:$C,"D"))</f>
        <v>0</v>
      </c>
      <c r="Y40" s="738">
        <f>IF($C40=0,"",SUMIFS(INPUT_DATA!AW:AW,INPUT_DATA!$A:$A,$C40,INPUT_DATA!$C:$C,"D"))</f>
        <v>0</v>
      </c>
      <c r="Z40" s="738">
        <f>IF($C40=0,"",SUMIFS(INPUT_DATA!AX:AX,INPUT_DATA!$A:$A,$C40,INPUT_DATA!$C:$C,"D"))</f>
        <v>0</v>
      </c>
      <c r="AA40" s="739">
        <f t="shared" si="2"/>
        <v>0</v>
      </c>
      <c r="AB40" s="738">
        <f>IF($C40=0,"",SUMIFS(INPUT_DATA!AZ:AZ,INPUT_DATA!$A:$A,$C40,INPUT_DATA!$C:$C,"D"))</f>
        <v>0</v>
      </c>
      <c r="AC40" s="738">
        <f>IF($C40=0,"",SUMIFS(INPUT_DATA!BA:BA,INPUT_DATA!$A:$A,$C40,INPUT_DATA!$C:$C,"D"))</f>
        <v>0</v>
      </c>
      <c r="AD40" s="738">
        <f>IF($C40=0,"",SUMIFS(INPUT_DATA!BB:BB,INPUT_DATA!$A:$A,$C40,INPUT_DATA!$C:$C,"D"))</f>
        <v>0</v>
      </c>
      <c r="AE40" s="738">
        <f>IF($C40=0,"",SUMIFS(INPUT_DATA!BC:BC,INPUT_DATA!$A:$A,$C40,INPUT_DATA!$C:$C,"D"))</f>
        <v>0</v>
      </c>
      <c r="AF40" s="738">
        <f>IF($C40=0,"",SUMIFS(INPUT_DATA!BD:BD,INPUT_DATA!$A:$A,$C40,INPUT_DATA!$C:$C,"D"))</f>
        <v>0</v>
      </c>
      <c r="AG40" s="738">
        <f>IF($C40=0,"",SUMIFS(INPUT_DATA!BE:BE,INPUT_DATA!$A:$A,$C40,INPUT_DATA!$C:$C,"D"))</f>
        <v>0</v>
      </c>
      <c r="AH40" s="738">
        <f>IF($C40=0,"",SUMIFS(INPUT_DATA!BF:BF,INPUT_DATA!$A:$A,$C40,INPUT_DATA!$C:$C,"D"))</f>
        <v>0</v>
      </c>
      <c r="AI40" s="738">
        <f>IF($C40=0,"",SUMIFS(INPUT_DATA!BG:BG,INPUT_DATA!$A:$A,$C40,INPUT_DATA!$C:$C,"D"))</f>
        <v>0</v>
      </c>
      <c r="AJ40" s="299">
        <f t="shared" si="3"/>
        <v>0</v>
      </c>
      <c r="AK40" s="746">
        <f>IF($C40=0,"",SUMIFS(INPUT_DATA!BI:BI,INPUT_DATA!$A:$A,$C40,INPUT_DATA!$C:$C,"D"))</f>
        <v>0</v>
      </c>
      <c r="AL40" s="746">
        <f>IF($C40=0,"",SUMIFS(INPUT_DATA!BJ:BJ,INPUT_DATA!$A:$A,$C40,INPUT_DATA!$C:$C,"D"))</f>
        <v>0</v>
      </c>
      <c r="AM40" s="746">
        <f>IF($C40=0,"",SUMIFS(INPUT_DATA!BK:BK,INPUT_DATA!$A:$A,$C40,INPUT_DATA!$C:$C,"D"))</f>
        <v>0</v>
      </c>
      <c r="AN40" s="744">
        <f t="shared" si="7"/>
        <v>0</v>
      </c>
      <c r="AO40" s="749">
        <f>IF($C40=0,"",SUMIFS(INPUT_DATA!BM:BM,INPUT_DATA!$A:$A,$C40,INPUT_DATA!$C:$C,"D"))</f>
        <v>0</v>
      </c>
      <c r="AP40" s="338">
        <f t="shared" si="8"/>
        <v>0</v>
      </c>
      <c r="AQ40" s="149"/>
      <c r="AS40" s="338">
        <f t="shared" si="9"/>
        <v>7187630.7599999951</v>
      </c>
      <c r="AU40" s="361">
        <f>IF($C40=0,"",'03 - Monthly Asset Follow up'!F44+'03 - Monthly Asset Follow up'!G44-'03 - Monthly Asset Follow up'!V44+'03 - Monthly Asset Follow up'!Y44-H40)</f>
        <v>1.862645149230957E-9</v>
      </c>
      <c r="AV40" s="361">
        <f>IF($C40=0,"",'03 - Monthly Asset Follow up'!BE44+'03 - Monthly Asset Follow up'!BF44-'03 - Monthly Asset Follow up'!BU44+'03 - Monthly Asset Follow up'!BX44-AA40)</f>
        <v>0</v>
      </c>
      <c r="AX40" s="154"/>
    </row>
    <row r="41" spans="2:50">
      <c r="B41" s="730">
        <f t="shared" si="4"/>
        <v>45323</v>
      </c>
      <c r="C41" s="733">
        <f>'03 - Monthly Asset Follow up'!B45</f>
        <v>45351</v>
      </c>
      <c r="D41" s="149"/>
      <c r="E41" s="726">
        <f>IF($C41=0,"",SUMIFS(INPUT_DATA!AV:AV,INPUT_DATA!$A:$A,$C41,INPUT_DATA!$C:$C,"S"))</f>
        <v>4861727.45</v>
      </c>
      <c r="F41" s="738">
        <f>IF($C41=0,"",SUMIFS(INPUT_DATA!AW:AW,INPUT_DATA!$A:$A,$C41,INPUT_DATA!$C:$C,"S"))</f>
        <v>64572.6</v>
      </c>
      <c r="G41" s="738">
        <f>IF($C41=0,"",SUMIFS(INPUT_DATA!AX:AX,INPUT_DATA!$A:$A,$C41,INPUT_DATA!$C:$C,"S"))</f>
        <v>3676512.91</v>
      </c>
      <c r="H41" s="740">
        <f t="shared" si="0"/>
        <v>8602812.9600000009</v>
      </c>
      <c r="I41" s="738">
        <f>IF($C41=0,"",SUMIFS(INPUT_DATA!AZ:AZ,INPUT_DATA!$A:$A,$C41,INPUT_DATA!$C:$C,"S"))</f>
        <v>875993.2</v>
      </c>
      <c r="J41" s="738">
        <f>IF($C41=0,"",SUMIFS(INPUT_DATA!BA:BA,INPUT_DATA!$A:$A,$C41,INPUT_DATA!$C:$C,"S"))</f>
        <v>7158.66</v>
      </c>
      <c r="K41" s="738">
        <f>IF($C41=0,"",SUMIFS(INPUT_DATA!BB:BB,INPUT_DATA!$A:$A,$C41,INPUT_DATA!$C:$C,"S"))</f>
        <v>104.95</v>
      </c>
      <c r="L41" s="738">
        <f>IF($C41=0,"",SUMIFS(INPUT_DATA!BC:BC,INPUT_DATA!$A:$A,$C41,INPUT_DATA!$C:$C,"S"))</f>
        <v>115.6</v>
      </c>
      <c r="M41" s="738">
        <f>IF($C41=0,"",SUMIFS(INPUT_DATA!BD:BD,INPUT_DATA!$A:$A,$C41,INPUT_DATA!$C:$C,"S"))</f>
        <v>0</v>
      </c>
      <c r="N41" s="738">
        <f>IF($C41=0,"",SUMIFS(INPUT_DATA!BE:BE,INPUT_DATA!$A:$A,$C41,INPUT_DATA!$C:$C,"S"))</f>
        <v>1176.25</v>
      </c>
      <c r="O41" s="738">
        <f>IF($C41=0,"",SUMIFS(INPUT_DATA!BF:BF,INPUT_DATA!$A:$A,$C41,INPUT_DATA!$C:$C,"S"))</f>
        <v>4.59</v>
      </c>
      <c r="P41" s="738">
        <f>IF($C41=0,"",SUMIFS(INPUT_DATA!BG:BG,INPUT_DATA!$A:$A,$C41,INPUT_DATA!$C:$C,"S"))</f>
        <v>0</v>
      </c>
      <c r="Q41" s="744">
        <f t="shared" si="5"/>
        <v>884553.24999999988</v>
      </c>
      <c r="R41" s="746">
        <f>IF($C41=0,"",SUMIFS(INPUT_DATA!BI:BI,INPUT_DATA!$A:$A,$C41,INPUT_DATA!$C:$C,"S"))</f>
        <v>0</v>
      </c>
      <c r="S41" s="746">
        <f>IF($C41=0,"",SUMIFS(INPUT_DATA!BJ:BJ,INPUT_DATA!$A:$A,$C41,INPUT_DATA!$C:$C,"S"))</f>
        <v>0</v>
      </c>
      <c r="T41" s="744">
        <f t="shared" si="6"/>
        <v>9487366.2100000009</v>
      </c>
      <c r="U41" s="749">
        <f>IF($C41=0,"",SUMIFS(INPUT_DATA!BM:BM,INPUT_DATA!$A:$A,$C41,INPUT_DATA!$C:$C,"S"))</f>
        <v>9487366.2100000009</v>
      </c>
      <c r="V41" s="155">
        <f t="shared" si="1"/>
        <v>0</v>
      </c>
      <c r="W41" s="149"/>
      <c r="X41" s="726">
        <f>IF($C41=0,"",SUMIFS(INPUT_DATA!AV:AV,INPUT_DATA!$A:$A,$C41,INPUT_DATA!$C:$C,"D"))</f>
        <v>0</v>
      </c>
      <c r="Y41" s="738">
        <f>IF($C41=0,"",SUMIFS(INPUT_DATA!AW:AW,INPUT_DATA!$A:$A,$C41,INPUT_DATA!$C:$C,"D"))</f>
        <v>0</v>
      </c>
      <c r="Z41" s="738">
        <f>IF($C41=0,"",SUMIFS(INPUT_DATA!AX:AX,INPUT_DATA!$A:$A,$C41,INPUT_DATA!$C:$C,"D"))</f>
        <v>0</v>
      </c>
      <c r="AA41" s="739">
        <f t="shared" si="2"/>
        <v>0</v>
      </c>
      <c r="AB41" s="738">
        <f>IF($C41=0,"",SUMIFS(INPUT_DATA!AZ:AZ,INPUT_DATA!$A:$A,$C41,INPUT_DATA!$C:$C,"D"))</f>
        <v>0</v>
      </c>
      <c r="AC41" s="738">
        <f>IF($C41=0,"",SUMIFS(INPUT_DATA!BA:BA,INPUT_DATA!$A:$A,$C41,INPUT_DATA!$C:$C,"D"))</f>
        <v>0</v>
      </c>
      <c r="AD41" s="738">
        <f>IF($C41=0,"",SUMIFS(INPUT_DATA!BB:BB,INPUT_DATA!$A:$A,$C41,INPUT_DATA!$C:$C,"D"))</f>
        <v>0</v>
      </c>
      <c r="AE41" s="738">
        <f>IF($C41=0,"",SUMIFS(INPUT_DATA!BC:BC,INPUT_DATA!$A:$A,$C41,INPUT_DATA!$C:$C,"D"))</f>
        <v>0</v>
      </c>
      <c r="AF41" s="738">
        <f>IF($C41=0,"",SUMIFS(INPUT_DATA!BD:BD,INPUT_DATA!$A:$A,$C41,INPUT_DATA!$C:$C,"D"))</f>
        <v>0</v>
      </c>
      <c r="AG41" s="738">
        <f>IF($C41=0,"",SUMIFS(INPUT_DATA!BE:BE,INPUT_DATA!$A:$A,$C41,INPUT_DATA!$C:$C,"D"))</f>
        <v>0</v>
      </c>
      <c r="AH41" s="738">
        <f>IF($C41=0,"",SUMIFS(INPUT_DATA!BF:BF,INPUT_DATA!$A:$A,$C41,INPUT_DATA!$C:$C,"D"))</f>
        <v>0</v>
      </c>
      <c r="AI41" s="738">
        <f>IF($C41=0,"",SUMIFS(INPUT_DATA!BG:BG,INPUT_DATA!$A:$A,$C41,INPUT_DATA!$C:$C,"D"))</f>
        <v>0</v>
      </c>
      <c r="AJ41" s="299">
        <f t="shared" si="3"/>
        <v>0</v>
      </c>
      <c r="AK41" s="746">
        <f>IF($C41=0,"",SUMIFS(INPUT_DATA!BI:BI,INPUT_DATA!$A:$A,$C41,INPUT_DATA!$C:$C,"D"))</f>
        <v>0</v>
      </c>
      <c r="AL41" s="746">
        <f>IF($C41=0,"",SUMIFS(INPUT_DATA!BJ:BJ,INPUT_DATA!$A:$A,$C41,INPUT_DATA!$C:$C,"D"))</f>
        <v>0</v>
      </c>
      <c r="AM41" s="746">
        <f>IF($C41=0,"",SUMIFS(INPUT_DATA!BK:BK,INPUT_DATA!$A:$A,$C41,INPUT_DATA!$C:$C,"D"))</f>
        <v>0</v>
      </c>
      <c r="AN41" s="744">
        <f t="shared" si="7"/>
        <v>0</v>
      </c>
      <c r="AO41" s="749">
        <f>IF($C41=0,"",SUMIFS(INPUT_DATA!BM:BM,INPUT_DATA!$A:$A,$C41,INPUT_DATA!$C:$C,"D"))</f>
        <v>0</v>
      </c>
      <c r="AP41" s="338">
        <f t="shared" si="8"/>
        <v>0</v>
      </c>
      <c r="AQ41" s="149"/>
      <c r="AS41" s="338">
        <f t="shared" si="9"/>
        <v>9487366.2100000009</v>
      </c>
      <c r="AU41" s="361">
        <f>IF($C41=0,"",'03 - Monthly Asset Follow up'!F45+'03 - Monthly Asset Follow up'!G45-'03 - Monthly Asset Follow up'!V45+'03 - Monthly Asset Follow up'!Y45-H41)</f>
        <v>-1.862645149230957E-9</v>
      </c>
      <c r="AV41" s="361">
        <f>IF($C41=0,"",'03 - Monthly Asset Follow up'!BE45+'03 - Monthly Asset Follow up'!BF45-'03 - Monthly Asset Follow up'!BU45+'03 - Monthly Asset Follow up'!BX45-AA41)</f>
        <v>0</v>
      </c>
      <c r="AX41" s="154"/>
    </row>
    <row r="42" spans="2:50">
      <c r="B42" s="730">
        <f t="shared" si="4"/>
        <v>45292</v>
      </c>
      <c r="C42" s="733">
        <f>'03 - Monthly Asset Follow up'!B46</f>
        <v>45322</v>
      </c>
      <c r="D42" s="149"/>
      <c r="E42" s="726">
        <f>IF($C42=0,"",SUMIFS(INPUT_DATA!AV:AV,INPUT_DATA!$A:$A,$C42,INPUT_DATA!$C:$C,"S"))</f>
        <v>4932621.09</v>
      </c>
      <c r="F42" s="738">
        <f>IF($C42=0,"",SUMIFS(INPUT_DATA!AW:AW,INPUT_DATA!$A:$A,$C42,INPUT_DATA!$C:$C,"S"))</f>
        <v>87199.01</v>
      </c>
      <c r="G42" s="738">
        <f>IF($C42=0,"",SUMIFS(INPUT_DATA!AX:AX,INPUT_DATA!$A:$A,$C42,INPUT_DATA!$C:$C,"S"))</f>
        <v>1486537.02</v>
      </c>
      <c r="H42" s="740">
        <f t="shared" si="0"/>
        <v>6506357.1199999992</v>
      </c>
      <c r="I42" s="738">
        <f>IF($C42=0,"",SUMIFS(INPUT_DATA!AZ:AZ,INPUT_DATA!$A:$A,$C42,INPUT_DATA!$C:$C,"S"))</f>
        <v>886080.03</v>
      </c>
      <c r="J42" s="738">
        <f>IF($C42=0,"",SUMIFS(INPUT_DATA!BA:BA,INPUT_DATA!$A:$A,$C42,INPUT_DATA!$C:$C,"S"))</f>
        <v>9985.4699999999993</v>
      </c>
      <c r="K42" s="738">
        <f>IF($C42=0,"",SUMIFS(INPUT_DATA!BB:BB,INPUT_DATA!$A:$A,$C42,INPUT_DATA!$C:$C,"S"))</f>
        <v>108.96</v>
      </c>
      <c r="L42" s="738">
        <f>IF($C42=0,"",SUMIFS(INPUT_DATA!BC:BC,INPUT_DATA!$A:$A,$C42,INPUT_DATA!$C:$C,"S"))</f>
        <v>148.88</v>
      </c>
      <c r="M42" s="738">
        <f>IF($C42=0,"",SUMIFS(INPUT_DATA!BD:BD,INPUT_DATA!$A:$A,$C42,INPUT_DATA!$C:$C,"S"))</f>
        <v>0</v>
      </c>
      <c r="N42" s="738">
        <f>IF($C42=0,"",SUMIFS(INPUT_DATA!BE:BE,INPUT_DATA!$A:$A,$C42,INPUT_DATA!$C:$C,"S"))</f>
        <v>7187.84</v>
      </c>
      <c r="O42" s="738">
        <f>IF($C42=0,"",SUMIFS(INPUT_DATA!BF:BF,INPUT_DATA!$A:$A,$C42,INPUT_DATA!$C:$C,"S"))</f>
        <v>126.23</v>
      </c>
      <c r="P42" s="738">
        <f>IF($C42=0,"",SUMIFS(INPUT_DATA!BG:BG,INPUT_DATA!$A:$A,$C42,INPUT_DATA!$C:$C,"S"))</f>
        <v>0</v>
      </c>
      <c r="Q42" s="744">
        <f t="shared" si="5"/>
        <v>903637.40999999992</v>
      </c>
      <c r="R42" s="746">
        <f>IF($C42=0,"",SUMIFS(INPUT_DATA!BI:BI,INPUT_DATA!$A:$A,$C42,INPUT_DATA!$C:$C,"S"))</f>
        <v>0</v>
      </c>
      <c r="S42" s="746">
        <f>IF($C42=0,"",SUMIFS(INPUT_DATA!BJ:BJ,INPUT_DATA!$A:$A,$C42,INPUT_DATA!$C:$C,"S"))</f>
        <v>0</v>
      </c>
      <c r="T42" s="744">
        <f t="shared" si="6"/>
        <v>7409994.5299999993</v>
      </c>
      <c r="U42" s="749">
        <f>IF($C42=0,"",SUMIFS(INPUT_DATA!BM:BM,INPUT_DATA!$A:$A,$C42,INPUT_DATA!$C:$C,"S"))</f>
        <v>7409994.5300000003</v>
      </c>
      <c r="V42" s="155">
        <f t="shared" si="1"/>
        <v>-9.3132257461547852E-10</v>
      </c>
      <c r="W42" s="149"/>
      <c r="X42" s="726">
        <f>IF($C42=0,"",SUMIFS(INPUT_DATA!AV:AV,INPUT_DATA!$A:$A,$C42,INPUT_DATA!$C:$C,"D"))</f>
        <v>0</v>
      </c>
      <c r="Y42" s="738">
        <f>IF($C42=0,"",SUMIFS(INPUT_DATA!AW:AW,INPUT_DATA!$A:$A,$C42,INPUT_DATA!$C:$C,"D"))</f>
        <v>0</v>
      </c>
      <c r="Z42" s="738">
        <f>IF($C42=0,"",SUMIFS(INPUT_DATA!AX:AX,INPUT_DATA!$A:$A,$C42,INPUT_DATA!$C:$C,"D"))</f>
        <v>0</v>
      </c>
      <c r="AA42" s="739">
        <f t="shared" si="2"/>
        <v>0</v>
      </c>
      <c r="AB42" s="738">
        <f>IF($C42=0,"",SUMIFS(INPUT_DATA!AZ:AZ,INPUT_DATA!$A:$A,$C42,INPUT_DATA!$C:$C,"D"))</f>
        <v>0</v>
      </c>
      <c r="AC42" s="738">
        <f>IF($C42=0,"",SUMIFS(INPUT_DATA!BA:BA,INPUT_DATA!$A:$A,$C42,INPUT_DATA!$C:$C,"D"))</f>
        <v>0</v>
      </c>
      <c r="AD42" s="738">
        <f>IF($C42=0,"",SUMIFS(INPUT_DATA!BB:BB,INPUT_DATA!$A:$A,$C42,INPUT_DATA!$C:$C,"D"))</f>
        <v>0</v>
      </c>
      <c r="AE42" s="738">
        <f>IF($C42=0,"",SUMIFS(INPUT_DATA!BC:BC,INPUT_DATA!$A:$A,$C42,INPUT_DATA!$C:$C,"D"))</f>
        <v>0</v>
      </c>
      <c r="AF42" s="738">
        <f>IF($C42=0,"",SUMIFS(INPUT_DATA!BD:BD,INPUT_DATA!$A:$A,$C42,INPUT_DATA!$C:$C,"D"))</f>
        <v>0</v>
      </c>
      <c r="AG42" s="738">
        <f>IF($C42=0,"",SUMIFS(INPUT_DATA!BE:BE,INPUT_DATA!$A:$A,$C42,INPUT_DATA!$C:$C,"D"))</f>
        <v>0</v>
      </c>
      <c r="AH42" s="738">
        <f>IF($C42=0,"",SUMIFS(INPUT_DATA!BF:BF,INPUT_DATA!$A:$A,$C42,INPUT_DATA!$C:$C,"D"))</f>
        <v>0</v>
      </c>
      <c r="AI42" s="738">
        <f>IF($C42=0,"",SUMIFS(INPUT_DATA!BG:BG,INPUT_DATA!$A:$A,$C42,INPUT_DATA!$C:$C,"D"))</f>
        <v>0</v>
      </c>
      <c r="AJ42" s="299">
        <f t="shared" si="3"/>
        <v>0</v>
      </c>
      <c r="AK42" s="746">
        <f>IF($C42=0,"",SUMIFS(INPUT_DATA!BI:BI,INPUT_DATA!$A:$A,$C42,INPUT_DATA!$C:$C,"D"))</f>
        <v>0</v>
      </c>
      <c r="AL42" s="746">
        <f>IF($C42=0,"",SUMIFS(INPUT_DATA!BJ:BJ,INPUT_DATA!$A:$A,$C42,INPUT_DATA!$C:$C,"D"))</f>
        <v>0</v>
      </c>
      <c r="AM42" s="746">
        <f>IF($C42=0,"",SUMIFS(INPUT_DATA!BK:BK,INPUT_DATA!$A:$A,$C42,INPUT_DATA!$C:$C,"D"))</f>
        <v>0</v>
      </c>
      <c r="AN42" s="744">
        <f t="shared" si="7"/>
        <v>0</v>
      </c>
      <c r="AO42" s="749">
        <f>IF($C42=0,"",SUMIFS(INPUT_DATA!BM:BM,INPUT_DATA!$A:$A,$C42,INPUT_DATA!$C:$C,"D"))</f>
        <v>0</v>
      </c>
      <c r="AP42" s="338">
        <f t="shared" si="8"/>
        <v>0</v>
      </c>
      <c r="AQ42" s="149"/>
      <c r="AS42" s="338">
        <f t="shared" si="9"/>
        <v>7409994.5299999993</v>
      </c>
      <c r="AU42" s="361">
        <f>IF($C42=0,"",'03 - Monthly Asset Follow up'!F46+'03 - Monthly Asset Follow up'!G46-'03 - Monthly Asset Follow up'!V46+'03 - Monthly Asset Follow up'!Y46-H42)</f>
        <v>9.3132257461547852E-10</v>
      </c>
      <c r="AV42" s="361">
        <f>IF($C42=0,"",'03 - Monthly Asset Follow up'!BE46+'03 - Monthly Asset Follow up'!BF46-'03 - Monthly Asset Follow up'!BU46+'03 - Monthly Asset Follow up'!BX46-AA42)</f>
        <v>0</v>
      </c>
      <c r="AX42" s="154"/>
    </row>
    <row r="43" spans="2:50">
      <c r="B43" s="730">
        <f t="shared" si="4"/>
        <v>45261</v>
      </c>
      <c r="C43" s="733">
        <f>'03 - Monthly Asset Follow up'!B47</f>
        <v>45291</v>
      </c>
      <c r="D43" s="149"/>
      <c r="E43" s="726">
        <f>IF($C43=0,"",SUMIFS(INPUT_DATA!AV:AV,INPUT_DATA!$A:$A,$C43,INPUT_DATA!$C:$C,"S"))</f>
        <v>4911410.67</v>
      </c>
      <c r="F43" s="738">
        <f>IF($C43=0,"",SUMIFS(INPUT_DATA!AW:AW,INPUT_DATA!$A:$A,$C43,INPUT_DATA!$C:$C,"S"))</f>
        <v>60023.95</v>
      </c>
      <c r="G43" s="738">
        <f>IF($C43=0,"",SUMIFS(INPUT_DATA!AX:AX,INPUT_DATA!$A:$A,$C43,INPUT_DATA!$C:$C,"S"))</f>
        <v>616128.16</v>
      </c>
      <c r="H43" s="740">
        <f t="shared" si="0"/>
        <v>5587562.7800000003</v>
      </c>
      <c r="I43" s="738">
        <f>IF($C43=0,"",SUMIFS(INPUT_DATA!AZ:AZ,INPUT_DATA!$A:$A,$C43,INPUT_DATA!$C:$C,"S"))</f>
        <v>890581.77</v>
      </c>
      <c r="J43" s="738">
        <f>IF($C43=0,"",SUMIFS(INPUT_DATA!BA:BA,INPUT_DATA!$A:$A,$C43,INPUT_DATA!$C:$C,"S"))</f>
        <v>7913.99</v>
      </c>
      <c r="K43" s="738">
        <f>IF($C43=0,"",SUMIFS(INPUT_DATA!BB:BB,INPUT_DATA!$A:$A,$C43,INPUT_DATA!$C:$C,"S"))</f>
        <v>51.69</v>
      </c>
      <c r="L43" s="738">
        <f>IF($C43=0,"",SUMIFS(INPUT_DATA!BC:BC,INPUT_DATA!$A:$A,$C43,INPUT_DATA!$C:$C,"S"))</f>
        <v>73.59</v>
      </c>
      <c r="M43" s="738">
        <f>IF($C43=0,"",SUMIFS(INPUT_DATA!BD:BD,INPUT_DATA!$A:$A,$C43,INPUT_DATA!$C:$C,"S"))</f>
        <v>0</v>
      </c>
      <c r="N43" s="738">
        <f>IF($C43=0,"",SUMIFS(INPUT_DATA!BE:BE,INPUT_DATA!$A:$A,$C43,INPUT_DATA!$C:$C,"S"))</f>
        <v>3663.44</v>
      </c>
      <c r="O43" s="738">
        <f>IF($C43=0,"",SUMIFS(INPUT_DATA!BF:BF,INPUT_DATA!$A:$A,$C43,INPUT_DATA!$C:$C,"S"))</f>
        <v>206.23</v>
      </c>
      <c r="P43" s="738">
        <f>IF($C43=0,"",SUMIFS(INPUT_DATA!BG:BG,INPUT_DATA!$A:$A,$C43,INPUT_DATA!$C:$C,"S"))</f>
        <v>0</v>
      </c>
      <c r="Q43" s="744">
        <f t="shared" si="5"/>
        <v>902490.70999999985</v>
      </c>
      <c r="R43" s="746">
        <f>IF($C43=0,"",SUMIFS(INPUT_DATA!BI:BI,INPUT_DATA!$A:$A,$C43,INPUT_DATA!$C:$C,"S"))</f>
        <v>0</v>
      </c>
      <c r="S43" s="746">
        <f>IF($C43=0,"",SUMIFS(INPUT_DATA!BJ:BJ,INPUT_DATA!$A:$A,$C43,INPUT_DATA!$C:$C,"S"))</f>
        <v>0</v>
      </c>
      <c r="T43" s="744">
        <f t="shared" si="6"/>
        <v>6490053.4900000002</v>
      </c>
      <c r="U43" s="749">
        <f>IF($C43=0,"",SUMIFS(INPUT_DATA!BM:BM,INPUT_DATA!$A:$A,$C43,INPUT_DATA!$C:$C,"S"))</f>
        <v>6490053.4900000002</v>
      </c>
      <c r="V43" s="155">
        <f t="shared" si="1"/>
        <v>0</v>
      </c>
      <c r="W43" s="149"/>
      <c r="X43" s="726">
        <f>IF($C43=0,"",SUMIFS(INPUT_DATA!AV:AV,INPUT_DATA!$A:$A,$C43,INPUT_DATA!$C:$C,"D"))</f>
        <v>0</v>
      </c>
      <c r="Y43" s="738">
        <f>IF($C43=0,"",SUMIFS(INPUT_DATA!AW:AW,INPUT_DATA!$A:$A,$C43,INPUT_DATA!$C:$C,"D"))</f>
        <v>0</v>
      </c>
      <c r="Z43" s="738">
        <f>IF($C43=0,"",SUMIFS(INPUT_DATA!AX:AX,INPUT_DATA!$A:$A,$C43,INPUT_DATA!$C:$C,"D"))</f>
        <v>0</v>
      </c>
      <c r="AA43" s="739">
        <f t="shared" si="2"/>
        <v>0</v>
      </c>
      <c r="AB43" s="738">
        <f>IF($C43=0,"",SUMIFS(INPUT_DATA!AZ:AZ,INPUT_DATA!$A:$A,$C43,INPUT_DATA!$C:$C,"D"))</f>
        <v>0</v>
      </c>
      <c r="AC43" s="738">
        <f>IF($C43=0,"",SUMIFS(INPUT_DATA!BA:BA,INPUT_DATA!$A:$A,$C43,INPUT_DATA!$C:$C,"D"))</f>
        <v>0</v>
      </c>
      <c r="AD43" s="738">
        <f>IF($C43=0,"",SUMIFS(INPUT_DATA!BB:BB,INPUT_DATA!$A:$A,$C43,INPUT_DATA!$C:$C,"D"))</f>
        <v>0</v>
      </c>
      <c r="AE43" s="738">
        <f>IF($C43=0,"",SUMIFS(INPUT_DATA!BC:BC,INPUT_DATA!$A:$A,$C43,INPUT_DATA!$C:$C,"D"))</f>
        <v>0</v>
      </c>
      <c r="AF43" s="738">
        <f>IF($C43=0,"",SUMIFS(INPUT_DATA!BD:BD,INPUT_DATA!$A:$A,$C43,INPUT_DATA!$C:$C,"D"))</f>
        <v>0</v>
      </c>
      <c r="AG43" s="738">
        <f>IF($C43=0,"",SUMIFS(INPUT_DATA!BE:BE,INPUT_DATA!$A:$A,$C43,INPUT_DATA!$C:$C,"D"))</f>
        <v>0</v>
      </c>
      <c r="AH43" s="738">
        <f>IF($C43=0,"",SUMIFS(INPUT_DATA!BF:BF,INPUT_DATA!$A:$A,$C43,INPUT_DATA!$C:$C,"D"))</f>
        <v>0</v>
      </c>
      <c r="AI43" s="738">
        <f>IF($C43=0,"",SUMIFS(INPUT_DATA!BG:BG,INPUT_DATA!$A:$A,$C43,INPUT_DATA!$C:$C,"D"))</f>
        <v>0</v>
      </c>
      <c r="AJ43" s="299">
        <f t="shared" si="3"/>
        <v>0</v>
      </c>
      <c r="AK43" s="746">
        <f>IF($C43=0,"",SUMIFS(INPUT_DATA!BI:BI,INPUT_DATA!$A:$A,$C43,INPUT_DATA!$C:$C,"D"))</f>
        <v>0</v>
      </c>
      <c r="AL43" s="746">
        <f>IF($C43=0,"",SUMIFS(INPUT_DATA!BJ:BJ,INPUT_DATA!$A:$A,$C43,INPUT_DATA!$C:$C,"D"))</f>
        <v>0</v>
      </c>
      <c r="AM43" s="746">
        <f>IF($C43=0,"",SUMIFS(INPUT_DATA!BK:BK,INPUT_DATA!$A:$A,$C43,INPUT_DATA!$C:$C,"D"))</f>
        <v>0</v>
      </c>
      <c r="AN43" s="744">
        <f t="shared" si="7"/>
        <v>0</v>
      </c>
      <c r="AO43" s="749">
        <f>IF($C43=0,"",SUMIFS(INPUT_DATA!BM:BM,INPUT_DATA!$A:$A,$C43,INPUT_DATA!$C:$C,"D"))</f>
        <v>0</v>
      </c>
      <c r="AP43" s="338">
        <f t="shared" si="8"/>
        <v>0</v>
      </c>
      <c r="AQ43" s="149"/>
      <c r="AS43" s="338">
        <f t="shared" si="9"/>
        <v>6490053.4900000002</v>
      </c>
      <c r="AU43" s="361">
        <f>IF($C43=0,"",'03 - Monthly Asset Follow up'!F47+'03 - Monthly Asset Follow up'!G47-'03 - Monthly Asset Follow up'!V47+'03 - Monthly Asset Follow up'!Y47-H43)</f>
        <v>0</v>
      </c>
      <c r="AV43" s="361">
        <f>IF($C43=0,"",'03 - Monthly Asset Follow up'!BE47+'03 - Monthly Asset Follow up'!BF47-'03 - Monthly Asset Follow up'!BU47+'03 - Monthly Asset Follow up'!BX47-AA43)</f>
        <v>0</v>
      </c>
      <c r="AX43" s="154"/>
    </row>
    <row r="44" spans="2:50">
      <c r="B44" s="730">
        <f t="shared" si="4"/>
        <v>45231</v>
      </c>
      <c r="C44" s="733">
        <f>'03 - Monthly Asset Follow up'!B48</f>
        <v>45260</v>
      </c>
      <c r="D44" s="149"/>
      <c r="E44" s="726">
        <f>IF($C44=0,"",SUMIFS(INPUT_DATA!AV:AV,INPUT_DATA!$A:$A,$C44,INPUT_DATA!$C:$C,"S"))</f>
        <v>4933388.99</v>
      </c>
      <c r="F44" s="738">
        <f>IF($C44=0,"",SUMIFS(INPUT_DATA!AW:AW,INPUT_DATA!$A:$A,$C44,INPUT_DATA!$C:$C,"S"))</f>
        <v>0</v>
      </c>
      <c r="G44" s="738">
        <f>IF($C44=0,"",SUMIFS(INPUT_DATA!AX:AX,INPUT_DATA!$A:$A,$C44,INPUT_DATA!$C:$C,"S"))</f>
        <v>1285255.6299999999</v>
      </c>
      <c r="H44" s="740">
        <f t="shared" si="0"/>
        <v>6218644.6200000001</v>
      </c>
      <c r="I44" s="738">
        <f>IF($C44=0,"",SUMIFS(INPUT_DATA!AZ:AZ,INPUT_DATA!$A:$A,$C44,INPUT_DATA!$C:$C,"S"))</f>
        <v>893922.74</v>
      </c>
      <c r="J44" s="738">
        <f>IF($C44=0,"",SUMIFS(INPUT_DATA!BA:BA,INPUT_DATA!$A:$A,$C44,INPUT_DATA!$C:$C,"S"))</f>
        <v>0</v>
      </c>
      <c r="K44" s="738">
        <f>IF($C44=0,"",SUMIFS(INPUT_DATA!BB:BB,INPUT_DATA!$A:$A,$C44,INPUT_DATA!$C:$C,"S"))</f>
        <v>0</v>
      </c>
      <c r="L44" s="738">
        <f>IF($C44=0,"",SUMIFS(INPUT_DATA!BC:BC,INPUT_DATA!$A:$A,$C44,INPUT_DATA!$C:$C,"S"))</f>
        <v>0</v>
      </c>
      <c r="M44" s="738">
        <f>IF($C44=0,"",SUMIFS(INPUT_DATA!BD:BD,INPUT_DATA!$A:$A,$C44,INPUT_DATA!$C:$C,"S"))</f>
        <v>0</v>
      </c>
      <c r="N44" s="738">
        <f>IF($C44=0,"",SUMIFS(INPUT_DATA!BE:BE,INPUT_DATA!$A:$A,$C44,INPUT_DATA!$C:$C,"S"))</f>
        <v>8208.68</v>
      </c>
      <c r="O44" s="738">
        <f>IF($C44=0,"",SUMIFS(INPUT_DATA!BF:BF,INPUT_DATA!$A:$A,$C44,INPUT_DATA!$C:$C,"S"))</f>
        <v>349.35</v>
      </c>
      <c r="P44" s="738">
        <f>IF($C44=0,"",SUMIFS(INPUT_DATA!BG:BG,INPUT_DATA!$A:$A,$C44,INPUT_DATA!$C:$C,"S"))</f>
        <v>0</v>
      </c>
      <c r="Q44" s="744">
        <f t="shared" si="5"/>
        <v>902480.77</v>
      </c>
      <c r="R44" s="746">
        <f>IF($C44=0,"",SUMIFS(INPUT_DATA!BI:BI,INPUT_DATA!$A:$A,$C44,INPUT_DATA!$C:$C,"S"))</f>
        <v>0</v>
      </c>
      <c r="S44" s="746">
        <f>IF($C44=0,"",SUMIFS(INPUT_DATA!BJ:BJ,INPUT_DATA!$A:$A,$C44,INPUT_DATA!$C:$C,"S"))</f>
        <v>0</v>
      </c>
      <c r="T44" s="744">
        <f t="shared" si="6"/>
        <v>7121125.3900000006</v>
      </c>
      <c r="U44" s="749">
        <f>IF($C44=0,"",SUMIFS(INPUT_DATA!BM:BM,INPUT_DATA!$A:$A,$C44,INPUT_DATA!$C:$C,"S"))</f>
        <v>7121125.3899999997</v>
      </c>
      <c r="V44" s="155">
        <f t="shared" si="1"/>
        <v>9.3132257461547852E-10</v>
      </c>
      <c r="W44" s="149"/>
      <c r="X44" s="726">
        <f>IF($C44=0,"",SUMIFS(INPUT_DATA!AV:AV,INPUT_DATA!$A:$A,$C44,INPUT_DATA!$C:$C,"D"))</f>
        <v>0</v>
      </c>
      <c r="Y44" s="738">
        <f>IF($C44=0,"",SUMIFS(INPUT_DATA!AW:AW,INPUT_DATA!$A:$A,$C44,INPUT_DATA!$C:$C,"D"))</f>
        <v>0</v>
      </c>
      <c r="Z44" s="738">
        <f>IF($C44=0,"",SUMIFS(INPUT_DATA!AX:AX,INPUT_DATA!$A:$A,$C44,INPUT_DATA!$C:$C,"D"))</f>
        <v>0</v>
      </c>
      <c r="AA44" s="739">
        <f t="shared" si="2"/>
        <v>0</v>
      </c>
      <c r="AB44" s="738">
        <f>IF($C44=0,"",SUMIFS(INPUT_DATA!AZ:AZ,INPUT_DATA!$A:$A,$C44,INPUT_DATA!$C:$C,"D"))</f>
        <v>0</v>
      </c>
      <c r="AC44" s="738">
        <f>IF($C44=0,"",SUMIFS(INPUT_DATA!BA:BA,INPUT_DATA!$A:$A,$C44,INPUT_DATA!$C:$C,"D"))</f>
        <v>0</v>
      </c>
      <c r="AD44" s="738">
        <f>IF($C44=0,"",SUMIFS(INPUT_DATA!BB:BB,INPUT_DATA!$A:$A,$C44,INPUT_DATA!$C:$C,"D"))</f>
        <v>0</v>
      </c>
      <c r="AE44" s="738">
        <f>IF($C44=0,"",SUMIFS(INPUT_DATA!BC:BC,INPUT_DATA!$A:$A,$C44,INPUT_DATA!$C:$C,"D"))</f>
        <v>0</v>
      </c>
      <c r="AF44" s="738">
        <f>IF($C44=0,"",SUMIFS(INPUT_DATA!BD:BD,INPUT_DATA!$A:$A,$C44,INPUT_DATA!$C:$C,"D"))</f>
        <v>0</v>
      </c>
      <c r="AG44" s="738">
        <f>IF($C44=0,"",SUMIFS(INPUT_DATA!BE:BE,INPUT_DATA!$A:$A,$C44,INPUT_DATA!$C:$C,"D"))</f>
        <v>0</v>
      </c>
      <c r="AH44" s="738">
        <f>IF($C44=0,"",SUMIFS(INPUT_DATA!BF:BF,INPUT_DATA!$A:$A,$C44,INPUT_DATA!$C:$C,"D"))</f>
        <v>0</v>
      </c>
      <c r="AI44" s="738">
        <f>IF($C44=0,"",SUMIFS(INPUT_DATA!BG:BG,INPUT_DATA!$A:$A,$C44,INPUT_DATA!$C:$C,"D"))</f>
        <v>0</v>
      </c>
      <c r="AJ44" s="299">
        <f t="shared" si="3"/>
        <v>0</v>
      </c>
      <c r="AK44" s="746">
        <f>IF($C44=0,"",SUMIFS(INPUT_DATA!BI:BI,INPUT_DATA!$A:$A,$C44,INPUT_DATA!$C:$C,"D"))</f>
        <v>0</v>
      </c>
      <c r="AL44" s="746">
        <f>IF($C44=0,"",SUMIFS(INPUT_DATA!BJ:BJ,INPUT_DATA!$A:$A,$C44,INPUT_DATA!$C:$C,"D"))</f>
        <v>0</v>
      </c>
      <c r="AM44" s="746">
        <f>IF($C44=0,"",SUMIFS(INPUT_DATA!BK:BK,INPUT_DATA!$A:$A,$C44,INPUT_DATA!$C:$C,"D"))</f>
        <v>0</v>
      </c>
      <c r="AN44" s="744">
        <f t="shared" si="7"/>
        <v>0</v>
      </c>
      <c r="AO44" s="749">
        <f>IF($C44=0,"",SUMIFS(INPUT_DATA!BM:BM,INPUT_DATA!$A:$A,$C44,INPUT_DATA!$C:$C,"D"))</f>
        <v>0</v>
      </c>
      <c r="AP44" s="338">
        <f t="shared" si="8"/>
        <v>0</v>
      </c>
      <c r="AQ44" s="149"/>
      <c r="AS44" s="338">
        <f t="shared" si="9"/>
        <v>7121125.3900000006</v>
      </c>
      <c r="AU44" s="361">
        <f>IF($C44=0,"",'03 - Monthly Asset Follow up'!F48+'03 - Monthly Asset Follow up'!G48-'03 - Monthly Asset Follow up'!V48+'03 - Monthly Asset Follow up'!Y48-H44)</f>
        <v>0</v>
      </c>
      <c r="AV44" s="361">
        <f>IF($C44=0,"",'03 - Monthly Asset Follow up'!BE48+'03 - Monthly Asset Follow up'!BF48-'03 - Monthly Asset Follow up'!BU48+'03 - Monthly Asset Follow up'!BX48-AA44)</f>
        <v>0</v>
      </c>
      <c r="AX44" s="154"/>
    </row>
    <row r="45" spans="2:50">
      <c r="B45" s="730" t="str">
        <f t="shared" si="4"/>
        <v/>
      </c>
      <c r="C45" s="733">
        <f>'03 - Monthly Asset Follow up'!B49</f>
        <v>45230</v>
      </c>
      <c r="D45" s="149"/>
      <c r="E45" s="726">
        <f>IF($C45=0,"",SUMIFS(INPUT_DATA!AV:AV,INPUT_DATA!$A:$A,$C45,INPUT_DATA!$C:$C,"S"))</f>
        <v>0</v>
      </c>
      <c r="F45" s="738">
        <f>IF($C45=0,"",SUMIFS(INPUT_DATA!AW:AW,INPUT_DATA!$A:$A,$C45,INPUT_DATA!$C:$C,"S"))</f>
        <v>0</v>
      </c>
      <c r="G45" s="738">
        <f>IF($C45=0,"",SUMIFS(INPUT_DATA!AX:AX,INPUT_DATA!$A:$A,$C45,INPUT_DATA!$C:$C,"S"))</f>
        <v>0</v>
      </c>
      <c r="H45" s="740">
        <f t="shared" si="0"/>
        <v>0</v>
      </c>
      <c r="I45" s="738">
        <f>IF($C45=0,"",SUMIFS(INPUT_DATA!AZ:AZ,INPUT_DATA!$A:$A,$C45,INPUT_DATA!$C:$C,"S"))</f>
        <v>0</v>
      </c>
      <c r="J45" s="738">
        <f>IF($C45=0,"",SUMIFS(INPUT_DATA!BA:BA,INPUT_DATA!$A:$A,$C45,INPUT_DATA!$C:$C,"S"))</f>
        <v>0</v>
      </c>
      <c r="K45" s="738">
        <f>IF($C45=0,"",SUMIFS(INPUT_DATA!BB:BB,INPUT_DATA!$A:$A,$C45,INPUT_DATA!$C:$C,"S"))</f>
        <v>0</v>
      </c>
      <c r="L45" s="738">
        <f>IF($C45=0,"",SUMIFS(INPUT_DATA!BC:BC,INPUT_DATA!$A:$A,$C45,INPUT_DATA!$C:$C,"S"))</f>
        <v>0</v>
      </c>
      <c r="M45" s="738">
        <f>IF($C45=0,"",SUMIFS(INPUT_DATA!BD:BD,INPUT_DATA!$A:$A,$C45,INPUT_DATA!$C:$C,"S"))</f>
        <v>0</v>
      </c>
      <c r="N45" s="738">
        <f>IF($C45=0,"",SUMIFS(INPUT_DATA!BE:BE,INPUT_DATA!$A:$A,$C45,INPUT_DATA!$C:$C,"S"))</f>
        <v>0</v>
      </c>
      <c r="O45" s="738">
        <f>IF($C45=0,"",SUMIFS(INPUT_DATA!BF:BF,INPUT_DATA!$A:$A,$C45,INPUT_DATA!$C:$C,"S"))</f>
        <v>0</v>
      </c>
      <c r="P45" s="738">
        <f>IF($C45=0,"",SUMIFS(INPUT_DATA!BG:BG,INPUT_DATA!$A:$A,$C45,INPUT_DATA!$C:$C,"S"))</f>
        <v>0</v>
      </c>
      <c r="Q45" s="744">
        <f t="shared" si="5"/>
        <v>0</v>
      </c>
      <c r="R45" s="746">
        <f>IF($C45=0,"",SUMIFS(INPUT_DATA!BI:BI,INPUT_DATA!$A:$A,$C45,INPUT_DATA!$C:$C,"S"))</f>
        <v>0</v>
      </c>
      <c r="S45" s="746">
        <f>IF($C45=0,"",SUMIFS(INPUT_DATA!BJ:BJ,INPUT_DATA!$A:$A,$C45,INPUT_DATA!$C:$C,"S"))</f>
        <v>0</v>
      </c>
      <c r="T45" s="744">
        <f t="shared" si="6"/>
        <v>0</v>
      </c>
      <c r="U45" s="749">
        <f>IF($C45=0,"",SUMIFS(INPUT_DATA!BM:BM,INPUT_DATA!$A:$A,$C45,INPUT_DATA!$C:$C,"S"))</f>
        <v>0</v>
      </c>
      <c r="V45" s="155">
        <f t="shared" si="1"/>
        <v>0</v>
      </c>
      <c r="W45" s="149"/>
      <c r="X45" s="726">
        <f>IF($C45=0,"",SUMIFS(INPUT_DATA!AV:AV,INPUT_DATA!$A:$A,$C45,INPUT_DATA!$C:$C,"D"))</f>
        <v>0</v>
      </c>
      <c r="Y45" s="738">
        <f>IF($C45=0,"",SUMIFS(INPUT_DATA!AW:AW,INPUT_DATA!$A:$A,$C45,INPUT_DATA!$C:$C,"D"))</f>
        <v>0</v>
      </c>
      <c r="Z45" s="738">
        <f>IF($C45=0,"",SUMIFS(INPUT_DATA!AX:AX,INPUT_DATA!$A:$A,$C45,INPUT_DATA!$C:$C,"D"))</f>
        <v>0</v>
      </c>
      <c r="AA45" s="739">
        <f t="shared" si="2"/>
        <v>0</v>
      </c>
      <c r="AB45" s="738">
        <f>IF($C45=0,"",SUMIFS(INPUT_DATA!AZ:AZ,INPUT_DATA!$A:$A,$C45,INPUT_DATA!$C:$C,"D"))</f>
        <v>0</v>
      </c>
      <c r="AC45" s="738">
        <f>IF($C45=0,"",SUMIFS(INPUT_DATA!BA:BA,INPUT_DATA!$A:$A,$C45,INPUT_DATA!$C:$C,"D"))</f>
        <v>0</v>
      </c>
      <c r="AD45" s="738">
        <f>IF($C45=0,"",SUMIFS(INPUT_DATA!BB:BB,INPUT_DATA!$A:$A,$C45,INPUT_DATA!$C:$C,"D"))</f>
        <v>0</v>
      </c>
      <c r="AE45" s="738">
        <f>IF($C45=0,"",SUMIFS(INPUT_DATA!BC:BC,INPUT_DATA!$A:$A,$C45,INPUT_DATA!$C:$C,"D"))</f>
        <v>0</v>
      </c>
      <c r="AF45" s="738">
        <f>IF($C45=0,"",SUMIFS(INPUT_DATA!BD:BD,INPUT_DATA!$A:$A,$C45,INPUT_DATA!$C:$C,"D"))</f>
        <v>0</v>
      </c>
      <c r="AG45" s="738">
        <f>IF($C45=0,"",SUMIFS(INPUT_DATA!BE:BE,INPUT_DATA!$A:$A,$C45,INPUT_DATA!$C:$C,"D"))</f>
        <v>0</v>
      </c>
      <c r="AH45" s="738">
        <f>IF($C45=0,"",SUMIFS(INPUT_DATA!BF:BF,INPUT_DATA!$A:$A,$C45,INPUT_DATA!$C:$C,"D"))</f>
        <v>0</v>
      </c>
      <c r="AI45" s="738">
        <f>IF($C45=0,"",SUMIFS(INPUT_DATA!BG:BG,INPUT_DATA!$A:$A,$C45,INPUT_DATA!$C:$C,"D"))</f>
        <v>0</v>
      </c>
      <c r="AJ45" s="299">
        <f t="shared" si="3"/>
        <v>0</v>
      </c>
      <c r="AK45" s="746">
        <f>IF($C45=0,"",SUMIFS(INPUT_DATA!BI:BI,INPUT_DATA!$A:$A,$C45,INPUT_DATA!$C:$C,"D"))</f>
        <v>0</v>
      </c>
      <c r="AL45" s="746">
        <f>IF($C45=0,"",SUMIFS(INPUT_DATA!BJ:BJ,INPUT_DATA!$A:$A,$C45,INPUT_DATA!$C:$C,"D"))</f>
        <v>0</v>
      </c>
      <c r="AM45" s="746">
        <f>IF($C45=0,"",SUMIFS(INPUT_DATA!BK:BK,INPUT_DATA!$A:$A,$C45,INPUT_DATA!$C:$C,"D"))</f>
        <v>0</v>
      </c>
      <c r="AN45" s="744">
        <f t="shared" si="7"/>
        <v>0</v>
      </c>
      <c r="AO45" s="749">
        <f>IF($C45=0,"",SUMIFS(INPUT_DATA!BM:BM,INPUT_DATA!$A:$A,$C45,INPUT_DATA!$C:$C,"D"))</f>
        <v>0</v>
      </c>
      <c r="AP45" s="338">
        <f t="shared" si="8"/>
        <v>0</v>
      </c>
      <c r="AQ45" s="149"/>
      <c r="AS45" s="338">
        <f t="shared" si="9"/>
        <v>0</v>
      </c>
      <c r="AU45" s="361">
        <f>IF($C45=0,"",'03 - Monthly Asset Follow up'!F49+'03 - Monthly Asset Follow up'!G49-'03 - Monthly Asset Follow up'!V49+'03 - Monthly Asset Follow up'!Y49-H45)</f>
        <v>0</v>
      </c>
      <c r="AV45" s="361">
        <f>IF($C45=0,"",'03 - Monthly Asset Follow up'!BE49+'03 - Monthly Asset Follow up'!BF49-'03 - Monthly Asset Follow up'!BU49+'03 - Monthly Asset Follow up'!BX49-AA45)</f>
        <v>0</v>
      </c>
      <c r="AX45" s="154"/>
    </row>
    <row r="46" spans="2:50">
      <c r="B46" s="730" t="str">
        <f t="shared" si="4"/>
        <v/>
      </c>
      <c r="C46" s="733">
        <f>'03 - Monthly Asset Follow up'!B50</f>
        <v>0</v>
      </c>
      <c r="D46" s="149"/>
      <c r="E46" s="726" t="str">
        <f>IF($C46=0,"",SUMIFS(INPUT_DATA!AV:AV,INPUT_DATA!$A:$A,$C46,INPUT_DATA!$C:$C,"S"))</f>
        <v/>
      </c>
      <c r="F46" s="738" t="str">
        <f>IF($C46=0,"",SUMIFS(INPUT_DATA!AW:AW,INPUT_DATA!$A:$A,$C46,INPUT_DATA!$C:$C,"S"))</f>
        <v/>
      </c>
      <c r="G46" s="738" t="str">
        <f>IF($C46=0,"",SUMIFS(INPUT_DATA!AX:AX,INPUT_DATA!$A:$A,$C46,INPUT_DATA!$C:$C,"S"))</f>
        <v/>
      </c>
      <c r="H46" s="740" t="str">
        <f t="shared" si="0"/>
        <v/>
      </c>
      <c r="I46" s="738" t="str">
        <f>IF($C46=0,"",SUMIFS(INPUT_DATA!AZ:AZ,INPUT_DATA!$A:$A,$C46,INPUT_DATA!$C:$C,"S"))</f>
        <v/>
      </c>
      <c r="J46" s="738" t="str">
        <f>IF($C46=0,"",SUMIFS(INPUT_DATA!BA:BA,INPUT_DATA!$A:$A,$C46,INPUT_DATA!$C:$C,"S"))</f>
        <v/>
      </c>
      <c r="K46" s="738" t="str">
        <f>IF($C46=0,"",SUMIFS(INPUT_DATA!BB:BB,INPUT_DATA!$A:$A,$C46,INPUT_DATA!$C:$C,"S"))</f>
        <v/>
      </c>
      <c r="L46" s="738" t="str">
        <f>IF($C46=0,"",SUMIFS(INPUT_DATA!BC:BC,INPUT_DATA!$A:$A,$C46,INPUT_DATA!$C:$C,"S"))</f>
        <v/>
      </c>
      <c r="M46" s="738" t="str">
        <f>IF($C46=0,"",SUMIFS(INPUT_DATA!BD:BD,INPUT_DATA!$A:$A,$C46,INPUT_DATA!$C:$C,"S"))</f>
        <v/>
      </c>
      <c r="N46" s="738" t="str">
        <f>IF($C46=0,"",SUMIFS(INPUT_DATA!BE:BE,INPUT_DATA!$A:$A,$C46,INPUT_DATA!$C:$C,"S"))</f>
        <v/>
      </c>
      <c r="O46" s="738" t="str">
        <f>IF($C46=0,"",SUMIFS(INPUT_DATA!BF:BF,INPUT_DATA!$A:$A,$C46,INPUT_DATA!$C:$C,"S"))</f>
        <v/>
      </c>
      <c r="P46" s="738" t="str">
        <f>IF($C46=0,"",SUMIFS(INPUT_DATA!BG:BG,INPUT_DATA!$A:$A,$C46,INPUT_DATA!$C:$C,"S"))</f>
        <v/>
      </c>
      <c r="Q46" s="744" t="str">
        <f t="shared" si="5"/>
        <v/>
      </c>
      <c r="R46" s="746" t="str">
        <f>IF($C46=0,"",SUMIFS(INPUT_DATA!BI:BI,INPUT_DATA!$A:$A,$C46,INPUT_DATA!$C:$C,"S"))</f>
        <v/>
      </c>
      <c r="S46" s="746" t="str">
        <f>IF($C46=0,"",SUMIFS(INPUT_DATA!BJ:BJ,INPUT_DATA!$A:$A,$C46,INPUT_DATA!$C:$C,"S"))</f>
        <v/>
      </c>
      <c r="T46" s="744" t="str">
        <f t="shared" si="6"/>
        <v/>
      </c>
      <c r="U46" s="749" t="str">
        <f>IF($C46=0,"",SUMIFS(INPUT_DATA!BM:BM,INPUT_DATA!$A:$A,$C46,INPUT_DATA!$C:$C,"S"))</f>
        <v/>
      </c>
      <c r="V46" s="155" t="str">
        <f t="shared" si="1"/>
        <v/>
      </c>
      <c r="W46" s="149"/>
      <c r="X46" s="726" t="str">
        <f>IF($C46=0,"",SUMIFS(INPUT_DATA!AV:AV,INPUT_DATA!$A:$A,$C46,INPUT_DATA!$C:$C,"D"))</f>
        <v/>
      </c>
      <c r="Y46" s="738" t="str">
        <f>IF($C46=0,"",SUMIFS(INPUT_DATA!AW:AW,INPUT_DATA!$A:$A,$C46,INPUT_DATA!$C:$C,"D"))</f>
        <v/>
      </c>
      <c r="Z46" s="738" t="str">
        <f>IF($C46=0,"",SUMIFS(INPUT_DATA!AX:AX,INPUT_DATA!$A:$A,$C46,INPUT_DATA!$C:$C,"D"))</f>
        <v/>
      </c>
      <c r="AA46" s="739" t="str">
        <f t="shared" si="2"/>
        <v/>
      </c>
      <c r="AB46" s="738" t="str">
        <f>IF($C46=0,"",SUMIFS(INPUT_DATA!AZ:AZ,INPUT_DATA!$A:$A,$C46,INPUT_DATA!$C:$C,"D"))</f>
        <v/>
      </c>
      <c r="AC46" s="738" t="str">
        <f>IF($C46=0,"",SUMIFS(INPUT_DATA!BA:BA,INPUT_DATA!$A:$A,$C46,INPUT_DATA!$C:$C,"D"))</f>
        <v/>
      </c>
      <c r="AD46" s="738" t="str">
        <f>IF($C46=0,"",SUMIFS(INPUT_DATA!BB:BB,INPUT_DATA!$A:$A,$C46,INPUT_DATA!$C:$C,"D"))</f>
        <v/>
      </c>
      <c r="AE46" s="738" t="str">
        <f>IF($C46=0,"",SUMIFS(INPUT_DATA!BC:BC,INPUT_DATA!$A:$A,$C46,INPUT_DATA!$C:$C,"D"))</f>
        <v/>
      </c>
      <c r="AF46" s="738" t="str">
        <f>IF($C46=0,"",SUMIFS(INPUT_DATA!BD:BD,INPUT_DATA!$A:$A,$C46,INPUT_DATA!$C:$C,"D"))</f>
        <v/>
      </c>
      <c r="AG46" s="738" t="str">
        <f>IF($C46=0,"",SUMIFS(INPUT_DATA!BE:BE,INPUT_DATA!$A:$A,$C46,INPUT_DATA!$C:$C,"D"))</f>
        <v/>
      </c>
      <c r="AH46" s="738" t="str">
        <f>IF($C46=0,"",SUMIFS(INPUT_DATA!BF:BF,INPUT_DATA!$A:$A,$C46,INPUT_DATA!$C:$C,"D"))</f>
        <v/>
      </c>
      <c r="AI46" s="738" t="str">
        <f>IF($C46=0,"",SUMIFS(INPUT_DATA!BG:BG,INPUT_DATA!$A:$A,$C46,INPUT_DATA!$C:$C,"D"))</f>
        <v/>
      </c>
      <c r="AJ46" s="299" t="str">
        <f t="shared" si="3"/>
        <v/>
      </c>
      <c r="AK46" s="746" t="str">
        <f>IF($C46=0,"",SUMIFS(INPUT_DATA!BI:BI,INPUT_DATA!$A:$A,$C46,INPUT_DATA!$C:$C,"D"))</f>
        <v/>
      </c>
      <c r="AL46" s="746" t="str">
        <f>IF($C46=0,"",SUMIFS(INPUT_DATA!BJ:BJ,INPUT_DATA!$A:$A,$C46,INPUT_DATA!$C:$C,"D"))</f>
        <v/>
      </c>
      <c r="AM46" s="746" t="str">
        <f>IF($C46=0,"",SUMIFS(INPUT_DATA!BK:BK,INPUT_DATA!$A:$A,$C46,INPUT_DATA!$C:$C,"D"))</f>
        <v/>
      </c>
      <c r="AN46" s="744" t="str">
        <f t="shared" si="7"/>
        <v/>
      </c>
      <c r="AO46" s="749" t="str">
        <f>IF($C46=0,"",SUMIFS(INPUT_DATA!BM:BM,INPUT_DATA!$A:$A,$C46,INPUT_DATA!$C:$C,"D"))</f>
        <v/>
      </c>
      <c r="AP46" s="338" t="str">
        <f t="shared" si="8"/>
        <v/>
      </c>
      <c r="AQ46" s="149"/>
      <c r="AS46" s="338" t="str">
        <f t="shared" si="9"/>
        <v/>
      </c>
      <c r="AU46" s="361" t="str">
        <f>IF($C46=0,"",'03 - Monthly Asset Follow up'!F50+'03 - Monthly Asset Follow up'!G50-'03 - Monthly Asset Follow up'!V50+'03 - Monthly Asset Follow up'!Y50-H46)</f>
        <v/>
      </c>
      <c r="AV46" s="361" t="str">
        <f>IF($C46=0,"",'03 - Monthly Asset Follow up'!BE50+'03 - Monthly Asset Follow up'!BF50-'03 - Monthly Asset Follow up'!BU50+'03 - Monthly Asset Follow up'!BX50-AA46)</f>
        <v/>
      </c>
      <c r="AX46" s="154"/>
    </row>
    <row r="47" spans="2:50">
      <c r="B47" s="730" t="str">
        <f t="shared" si="4"/>
        <v/>
      </c>
      <c r="C47" s="733">
        <f>'03 - Monthly Asset Follow up'!B51</f>
        <v>0</v>
      </c>
      <c r="D47" s="149"/>
      <c r="E47" s="726" t="str">
        <f>IF($C47=0,"",SUMIFS(INPUT_DATA!AV:AV,INPUT_DATA!$A:$A,$C47,INPUT_DATA!$C:$C,"S"))</f>
        <v/>
      </c>
      <c r="F47" s="738" t="str">
        <f>IF($C47=0,"",SUMIFS(INPUT_DATA!AW:AW,INPUT_DATA!$A:$A,$C47,INPUT_DATA!$C:$C,"S"))</f>
        <v/>
      </c>
      <c r="G47" s="738" t="str">
        <f>IF($C47=0,"",SUMIFS(INPUT_DATA!AX:AX,INPUT_DATA!$A:$A,$C47,INPUT_DATA!$C:$C,"S"))</f>
        <v/>
      </c>
      <c r="H47" s="740" t="str">
        <f t="shared" si="0"/>
        <v/>
      </c>
      <c r="I47" s="738" t="str">
        <f>IF($C47=0,"",SUMIFS(INPUT_DATA!AZ:AZ,INPUT_DATA!$A:$A,$C47,INPUT_DATA!$C:$C,"S"))</f>
        <v/>
      </c>
      <c r="J47" s="738" t="str">
        <f>IF($C47=0,"",SUMIFS(INPUT_DATA!BA:BA,INPUT_DATA!$A:$A,$C47,INPUT_DATA!$C:$C,"S"))</f>
        <v/>
      </c>
      <c r="K47" s="738" t="str">
        <f>IF($C47=0,"",SUMIFS(INPUT_DATA!BB:BB,INPUT_DATA!$A:$A,$C47,INPUT_DATA!$C:$C,"S"))</f>
        <v/>
      </c>
      <c r="L47" s="738" t="str">
        <f>IF($C47=0,"",SUMIFS(INPUT_DATA!BC:BC,INPUT_DATA!$A:$A,$C47,INPUT_DATA!$C:$C,"S"))</f>
        <v/>
      </c>
      <c r="M47" s="738" t="str">
        <f>IF($C47=0,"",SUMIFS(INPUT_DATA!BD:BD,INPUT_DATA!$A:$A,$C47,INPUT_DATA!$C:$C,"S"))</f>
        <v/>
      </c>
      <c r="N47" s="738" t="str">
        <f>IF($C47=0,"",SUMIFS(INPUT_DATA!BE:BE,INPUT_DATA!$A:$A,$C47,INPUT_DATA!$C:$C,"S"))</f>
        <v/>
      </c>
      <c r="O47" s="738" t="str">
        <f>IF($C47=0,"",SUMIFS(INPUT_DATA!BF:BF,INPUT_DATA!$A:$A,$C47,INPUT_DATA!$C:$C,"S"))</f>
        <v/>
      </c>
      <c r="P47" s="738" t="str">
        <f>IF($C47=0,"",SUMIFS(INPUT_DATA!BG:BG,INPUT_DATA!$A:$A,$C47,INPUT_DATA!$C:$C,"S"))</f>
        <v/>
      </c>
      <c r="Q47" s="744" t="str">
        <f t="shared" si="5"/>
        <v/>
      </c>
      <c r="R47" s="746" t="str">
        <f>IF($C47=0,"",SUMIFS(INPUT_DATA!BI:BI,INPUT_DATA!$A:$A,$C47,INPUT_DATA!$C:$C,"S"))</f>
        <v/>
      </c>
      <c r="S47" s="746" t="str">
        <f>IF($C47=0,"",SUMIFS(INPUT_DATA!BJ:BJ,INPUT_DATA!$A:$A,$C47,INPUT_DATA!$C:$C,"S"))</f>
        <v/>
      </c>
      <c r="T47" s="744" t="str">
        <f t="shared" si="6"/>
        <v/>
      </c>
      <c r="U47" s="749" t="str">
        <f>IF($C47=0,"",SUMIFS(INPUT_DATA!BM:BM,INPUT_DATA!$A:$A,$C47,INPUT_DATA!$C:$C,"S"))</f>
        <v/>
      </c>
      <c r="V47" s="155" t="str">
        <f t="shared" si="1"/>
        <v/>
      </c>
      <c r="W47" s="149"/>
      <c r="X47" s="726" t="str">
        <f>IF($C47=0,"",SUMIFS(INPUT_DATA!AV:AV,INPUT_DATA!$A:$A,$C47,INPUT_DATA!$C:$C,"D"))</f>
        <v/>
      </c>
      <c r="Y47" s="738" t="str">
        <f>IF($C47=0,"",SUMIFS(INPUT_DATA!AW:AW,INPUT_DATA!$A:$A,$C47,INPUT_DATA!$C:$C,"D"))</f>
        <v/>
      </c>
      <c r="Z47" s="738" t="str">
        <f>IF($C47=0,"",SUMIFS(INPUT_DATA!AX:AX,INPUT_DATA!$A:$A,$C47,INPUT_DATA!$C:$C,"D"))</f>
        <v/>
      </c>
      <c r="AA47" s="739" t="str">
        <f t="shared" si="2"/>
        <v/>
      </c>
      <c r="AB47" s="738" t="str">
        <f>IF($C47=0,"",SUMIFS(INPUT_DATA!AZ:AZ,INPUT_DATA!$A:$A,$C47,INPUT_DATA!$C:$C,"D"))</f>
        <v/>
      </c>
      <c r="AC47" s="738" t="str">
        <f>IF($C47=0,"",SUMIFS(INPUT_DATA!BA:BA,INPUT_DATA!$A:$A,$C47,INPUT_DATA!$C:$C,"D"))</f>
        <v/>
      </c>
      <c r="AD47" s="738" t="str">
        <f>IF($C47=0,"",SUMIFS(INPUT_DATA!BB:BB,INPUT_DATA!$A:$A,$C47,INPUT_DATA!$C:$C,"D"))</f>
        <v/>
      </c>
      <c r="AE47" s="738" t="str">
        <f>IF($C47=0,"",SUMIFS(INPUT_DATA!BC:BC,INPUT_DATA!$A:$A,$C47,INPUT_DATA!$C:$C,"D"))</f>
        <v/>
      </c>
      <c r="AF47" s="738" t="str">
        <f>IF($C47=0,"",SUMIFS(INPUT_DATA!BD:BD,INPUT_DATA!$A:$A,$C47,INPUT_DATA!$C:$C,"D"))</f>
        <v/>
      </c>
      <c r="AG47" s="738" t="str">
        <f>IF($C47=0,"",SUMIFS(INPUT_DATA!BE:BE,INPUT_DATA!$A:$A,$C47,INPUT_DATA!$C:$C,"D"))</f>
        <v/>
      </c>
      <c r="AH47" s="738" t="str">
        <f>IF($C47=0,"",SUMIFS(INPUT_DATA!BF:BF,INPUT_DATA!$A:$A,$C47,INPUT_DATA!$C:$C,"D"))</f>
        <v/>
      </c>
      <c r="AI47" s="738" t="str">
        <f>IF($C47=0,"",SUMIFS(INPUT_DATA!BG:BG,INPUT_DATA!$A:$A,$C47,INPUT_DATA!$C:$C,"D"))</f>
        <v/>
      </c>
      <c r="AJ47" s="299" t="str">
        <f t="shared" si="3"/>
        <v/>
      </c>
      <c r="AK47" s="746" t="str">
        <f>IF($C47=0,"",SUMIFS(INPUT_DATA!BI:BI,INPUT_DATA!$A:$A,$C47,INPUT_DATA!$C:$C,"D"))</f>
        <v/>
      </c>
      <c r="AL47" s="746" t="str">
        <f>IF($C47=0,"",SUMIFS(INPUT_DATA!BJ:BJ,INPUT_DATA!$A:$A,$C47,INPUT_DATA!$C:$C,"D"))</f>
        <v/>
      </c>
      <c r="AM47" s="746" t="str">
        <f>IF($C47=0,"",SUMIFS(INPUT_DATA!BK:BK,INPUT_DATA!$A:$A,$C47,INPUT_DATA!$C:$C,"D"))</f>
        <v/>
      </c>
      <c r="AN47" s="744" t="str">
        <f t="shared" si="7"/>
        <v/>
      </c>
      <c r="AO47" s="749" t="str">
        <f>IF($C47=0,"",SUMIFS(INPUT_DATA!BM:BM,INPUT_DATA!$A:$A,$C47,INPUT_DATA!$C:$C,"D"))</f>
        <v/>
      </c>
      <c r="AP47" s="338" t="str">
        <f t="shared" si="8"/>
        <v/>
      </c>
      <c r="AQ47" s="149"/>
      <c r="AS47" s="338" t="str">
        <f t="shared" si="9"/>
        <v/>
      </c>
      <c r="AU47" s="361" t="str">
        <f>IF($C47=0,"",'03 - Monthly Asset Follow up'!F51+'03 - Monthly Asset Follow up'!G51-'03 - Monthly Asset Follow up'!V51+'03 - Monthly Asset Follow up'!Y51-H47)</f>
        <v/>
      </c>
      <c r="AV47" s="361" t="str">
        <f>IF($C47=0,"",'03 - Monthly Asset Follow up'!BE51+'03 - Monthly Asset Follow up'!BF51-'03 - Monthly Asset Follow up'!BU51+'03 - Monthly Asset Follow up'!BX51-AA47)</f>
        <v/>
      </c>
      <c r="AX47" s="154"/>
    </row>
    <row r="48" spans="2:50">
      <c r="B48" s="730" t="str">
        <f t="shared" si="4"/>
        <v/>
      </c>
      <c r="C48" s="733">
        <f>'03 - Monthly Asset Follow up'!B52</f>
        <v>0</v>
      </c>
      <c r="D48" s="149"/>
      <c r="E48" s="726" t="str">
        <f>IF($C48=0,"",SUMIFS(INPUT_DATA!AV:AV,INPUT_DATA!$A:$A,$C48,INPUT_DATA!$C:$C,"S"))</f>
        <v/>
      </c>
      <c r="F48" s="738" t="str">
        <f>IF($C48=0,"",SUMIFS(INPUT_DATA!AW:AW,INPUT_DATA!$A:$A,$C48,INPUT_DATA!$C:$C,"S"))</f>
        <v/>
      </c>
      <c r="G48" s="738" t="str">
        <f>IF($C48=0,"",SUMIFS(INPUT_DATA!AX:AX,INPUT_DATA!$A:$A,$C48,INPUT_DATA!$C:$C,"S"))</f>
        <v/>
      </c>
      <c r="H48" s="740" t="str">
        <f t="shared" si="0"/>
        <v/>
      </c>
      <c r="I48" s="738" t="str">
        <f>IF($C48=0,"",SUMIFS(INPUT_DATA!AZ:AZ,INPUT_DATA!$A:$A,$C48,INPUT_DATA!$C:$C,"S"))</f>
        <v/>
      </c>
      <c r="J48" s="738" t="str">
        <f>IF($C48=0,"",SUMIFS(INPUT_DATA!BA:BA,INPUT_DATA!$A:$A,$C48,INPUT_DATA!$C:$C,"S"))</f>
        <v/>
      </c>
      <c r="K48" s="738" t="str">
        <f>IF($C48=0,"",SUMIFS(INPUT_DATA!BB:BB,INPUT_DATA!$A:$A,$C48,INPUT_DATA!$C:$C,"S"))</f>
        <v/>
      </c>
      <c r="L48" s="738" t="str">
        <f>IF($C48=0,"",SUMIFS(INPUT_DATA!BC:BC,INPUT_DATA!$A:$A,$C48,INPUT_DATA!$C:$C,"S"))</f>
        <v/>
      </c>
      <c r="M48" s="738" t="str">
        <f>IF($C48=0,"",SUMIFS(INPUT_DATA!BD:BD,INPUT_DATA!$A:$A,$C48,INPUT_DATA!$C:$C,"S"))</f>
        <v/>
      </c>
      <c r="N48" s="738" t="str">
        <f>IF($C48=0,"",SUMIFS(INPUT_DATA!BE:BE,INPUT_DATA!$A:$A,$C48,INPUT_DATA!$C:$C,"S"))</f>
        <v/>
      </c>
      <c r="O48" s="738" t="str">
        <f>IF($C48=0,"",SUMIFS(INPUT_DATA!BF:BF,INPUT_DATA!$A:$A,$C48,INPUT_DATA!$C:$C,"S"))</f>
        <v/>
      </c>
      <c r="P48" s="738" t="str">
        <f>IF($C48=0,"",SUMIFS(INPUT_DATA!BG:BG,INPUT_DATA!$A:$A,$C48,INPUT_DATA!$C:$C,"S"))</f>
        <v/>
      </c>
      <c r="Q48" s="744" t="str">
        <f t="shared" si="5"/>
        <v/>
      </c>
      <c r="R48" s="746" t="str">
        <f>IF($C48=0,"",SUMIFS(INPUT_DATA!BI:BI,INPUT_DATA!$A:$A,$C48,INPUT_DATA!$C:$C,"S"))</f>
        <v/>
      </c>
      <c r="S48" s="746" t="str">
        <f>IF($C48=0,"",SUMIFS(INPUT_DATA!BJ:BJ,INPUT_DATA!$A:$A,$C48,INPUT_DATA!$C:$C,"S"))</f>
        <v/>
      </c>
      <c r="T48" s="744" t="str">
        <f t="shared" si="6"/>
        <v/>
      </c>
      <c r="U48" s="749" t="str">
        <f>IF($C48=0,"",SUMIFS(INPUT_DATA!BM:BM,INPUT_DATA!$A:$A,$C48,INPUT_DATA!$C:$C,"S"))</f>
        <v/>
      </c>
      <c r="V48" s="155" t="str">
        <f t="shared" si="1"/>
        <v/>
      </c>
      <c r="W48" s="149"/>
      <c r="X48" s="726" t="str">
        <f>IF($C48=0,"",SUMIFS(INPUT_DATA!AV:AV,INPUT_DATA!$A:$A,$C48,INPUT_DATA!$C:$C,"D"))</f>
        <v/>
      </c>
      <c r="Y48" s="738" t="str">
        <f>IF($C48=0,"",SUMIFS(INPUT_DATA!AW:AW,INPUT_DATA!$A:$A,$C48,INPUT_DATA!$C:$C,"D"))</f>
        <v/>
      </c>
      <c r="Z48" s="738" t="str">
        <f>IF($C48=0,"",SUMIFS(INPUT_DATA!AX:AX,INPUT_DATA!$A:$A,$C48,INPUT_DATA!$C:$C,"D"))</f>
        <v/>
      </c>
      <c r="AA48" s="739" t="str">
        <f t="shared" si="2"/>
        <v/>
      </c>
      <c r="AB48" s="738" t="str">
        <f>IF($C48=0,"",SUMIFS(INPUT_DATA!AZ:AZ,INPUT_DATA!$A:$A,$C48,INPUT_DATA!$C:$C,"D"))</f>
        <v/>
      </c>
      <c r="AC48" s="738" t="str">
        <f>IF($C48=0,"",SUMIFS(INPUT_DATA!BA:BA,INPUT_DATA!$A:$A,$C48,INPUT_DATA!$C:$C,"D"))</f>
        <v/>
      </c>
      <c r="AD48" s="738" t="str">
        <f>IF($C48=0,"",SUMIFS(INPUT_DATA!BB:BB,INPUT_DATA!$A:$A,$C48,INPUT_DATA!$C:$C,"D"))</f>
        <v/>
      </c>
      <c r="AE48" s="738" t="str">
        <f>IF($C48=0,"",SUMIFS(INPUT_DATA!BC:BC,INPUT_DATA!$A:$A,$C48,INPUT_DATA!$C:$C,"D"))</f>
        <v/>
      </c>
      <c r="AF48" s="738" t="str">
        <f>IF($C48=0,"",SUMIFS(INPUT_DATA!BD:BD,INPUT_DATA!$A:$A,$C48,INPUT_DATA!$C:$C,"D"))</f>
        <v/>
      </c>
      <c r="AG48" s="738" t="str">
        <f>IF($C48=0,"",SUMIFS(INPUT_DATA!BE:BE,INPUT_DATA!$A:$A,$C48,INPUT_DATA!$C:$C,"D"))</f>
        <v/>
      </c>
      <c r="AH48" s="738" t="str">
        <f>IF($C48=0,"",SUMIFS(INPUT_DATA!BF:BF,INPUT_DATA!$A:$A,$C48,INPUT_DATA!$C:$C,"D"))</f>
        <v/>
      </c>
      <c r="AI48" s="738" t="str">
        <f>IF($C48=0,"",SUMIFS(INPUT_DATA!BG:BG,INPUT_DATA!$A:$A,$C48,INPUT_DATA!$C:$C,"D"))</f>
        <v/>
      </c>
      <c r="AJ48" s="299" t="str">
        <f t="shared" si="3"/>
        <v/>
      </c>
      <c r="AK48" s="746" t="str">
        <f>IF($C48=0,"",SUMIFS(INPUT_DATA!BI:BI,INPUT_DATA!$A:$A,$C48,INPUT_DATA!$C:$C,"D"))</f>
        <v/>
      </c>
      <c r="AL48" s="746" t="str">
        <f>IF($C48=0,"",SUMIFS(INPUT_DATA!BJ:BJ,INPUT_DATA!$A:$A,$C48,INPUT_DATA!$C:$C,"D"))</f>
        <v/>
      </c>
      <c r="AM48" s="746" t="str">
        <f>IF($C48=0,"",SUMIFS(INPUT_DATA!BK:BK,INPUT_DATA!$A:$A,$C48,INPUT_DATA!$C:$C,"D"))</f>
        <v/>
      </c>
      <c r="AN48" s="744" t="str">
        <f t="shared" si="7"/>
        <v/>
      </c>
      <c r="AO48" s="749" t="str">
        <f>IF($C48=0,"",SUMIFS(INPUT_DATA!BM:BM,INPUT_DATA!$A:$A,$C48,INPUT_DATA!$C:$C,"D"))</f>
        <v/>
      </c>
      <c r="AP48" s="338" t="str">
        <f t="shared" si="8"/>
        <v/>
      </c>
      <c r="AQ48" s="149"/>
      <c r="AS48" s="338" t="str">
        <f t="shared" si="9"/>
        <v/>
      </c>
      <c r="AU48" s="361" t="str">
        <f>IF($C48=0,"",'03 - Monthly Asset Follow up'!F52+'03 - Monthly Asset Follow up'!G52-'03 - Monthly Asset Follow up'!V52+'03 - Monthly Asset Follow up'!Y52-H48)</f>
        <v/>
      </c>
      <c r="AV48" s="361" t="str">
        <f>IF($C48=0,"",'03 - Monthly Asset Follow up'!BE52+'03 - Monthly Asset Follow up'!BF52-'03 - Monthly Asset Follow up'!BU52+'03 - Monthly Asset Follow up'!BX52-AA48)</f>
        <v/>
      </c>
      <c r="AX48" s="154"/>
    </row>
    <row r="49" spans="2:50">
      <c r="B49" s="730" t="str">
        <f t="shared" si="4"/>
        <v/>
      </c>
      <c r="C49" s="733">
        <f>'03 - Monthly Asset Follow up'!B53</f>
        <v>0</v>
      </c>
      <c r="D49" s="149"/>
      <c r="E49" s="726" t="str">
        <f>IF($C49=0,"",SUMIFS(INPUT_DATA!AV:AV,INPUT_DATA!$A:$A,$C49,INPUT_DATA!$C:$C,"S"))</f>
        <v/>
      </c>
      <c r="F49" s="738" t="str">
        <f>IF($C49=0,"",SUMIFS(INPUT_DATA!AW:AW,INPUT_DATA!$A:$A,$C49,INPUT_DATA!$C:$C,"S"))</f>
        <v/>
      </c>
      <c r="G49" s="738" t="str">
        <f>IF($C49=0,"",SUMIFS(INPUT_DATA!AX:AX,INPUT_DATA!$A:$A,$C49,INPUT_DATA!$C:$C,"S"))</f>
        <v/>
      </c>
      <c r="H49" s="740" t="str">
        <f t="shared" si="0"/>
        <v/>
      </c>
      <c r="I49" s="738" t="str">
        <f>IF($C49=0,"",SUMIFS(INPUT_DATA!AZ:AZ,INPUT_DATA!$A:$A,$C49,INPUT_DATA!$C:$C,"S"))</f>
        <v/>
      </c>
      <c r="J49" s="738" t="str">
        <f>IF($C49=0,"",SUMIFS(INPUT_DATA!BA:BA,INPUT_DATA!$A:$A,$C49,INPUT_DATA!$C:$C,"S"))</f>
        <v/>
      </c>
      <c r="K49" s="738" t="str">
        <f>IF($C49=0,"",SUMIFS(INPUT_DATA!BB:BB,INPUT_DATA!$A:$A,$C49,INPUT_DATA!$C:$C,"S"))</f>
        <v/>
      </c>
      <c r="L49" s="738" t="str">
        <f>IF($C49=0,"",SUMIFS(INPUT_DATA!BC:BC,INPUT_DATA!$A:$A,$C49,INPUT_DATA!$C:$C,"S"))</f>
        <v/>
      </c>
      <c r="M49" s="738" t="str">
        <f>IF($C49=0,"",SUMIFS(INPUT_DATA!BD:BD,INPUT_DATA!$A:$A,$C49,INPUT_DATA!$C:$C,"S"))</f>
        <v/>
      </c>
      <c r="N49" s="738" t="str">
        <f>IF($C49=0,"",SUMIFS(INPUT_DATA!BE:BE,INPUT_DATA!$A:$A,$C49,INPUT_DATA!$C:$C,"S"))</f>
        <v/>
      </c>
      <c r="O49" s="738" t="str">
        <f>IF($C49=0,"",SUMIFS(INPUT_DATA!BF:BF,INPUT_DATA!$A:$A,$C49,INPUT_DATA!$C:$C,"S"))</f>
        <v/>
      </c>
      <c r="P49" s="738" t="str">
        <f>IF($C49=0,"",SUMIFS(INPUT_DATA!BG:BG,INPUT_DATA!$A:$A,$C49,INPUT_DATA!$C:$C,"S"))</f>
        <v/>
      </c>
      <c r="Q49" s="744" t="str">
        <f t="shared" si="5"/>
        <v/>
      </c>
      <c r="R49" s="746" t="str">
        <f>IF($C49=0,"",SUMIFS(INPUT_DATA!BI:BI,INPUT_DATA!$A:$A,$C49,INPUT_DATA!$C:$C,"S"))</f>
        <v/>
      </c>
      <c r="S49" s="746" t="str">
        <f>IF($C49=0,"",SUMIFS(INPUT_DATA!BJ:BJ,INPUT_DATA!$A:$A,$C49,INPUT_DATA!$C:$C,"S"))</f>
        <v/>
      </c>
      <c r="T49" s="744" t="str">
        <f t="shared" si="6"/>
        <v/>
      </c>
      <c r="U49" s="749" t="str">
        <f>IF($C49=0,"",SUMIFS(INPUT_DATA!BM:BM,INPUT_DATA!$A:$A,$C49,INPUT_DATA!$C:$C,"S"))</f>
        <v/>
      </c>
      <c r="V49" s="155" t="str">
        <f t="shared" si="1"/>
        <v/>
      </c>
      <c r="W49" s="149"/>
      <c r="X49" s="726" t="str">
        <f>IF($C49=0,"",SUMIFS(INPUT_DATA!AV:AV,INPUT_DATA!$A:$A,$C49,INPUT_DATA!$C:$C,"D"))</f>
        <v/>
      </c>
      <c r="Y49" s="738" t="str">
        <f>IF($C49=0,"",SUMIFS(INPUT_DATA!AW:AW,INPUT_DATA!$A:$A,$C49,INPUT_DATA!$C:$C,"D"))</f>
        <v/>
      </c>
      <c r="Z49" s="738" t="str">
        <f>IF($C49=0,"",SUMIFS(INPUT_DATA!AX:AX,INPUT_DATA!$A:$A,$C49,INPUT_DATA!$C:$C,"D"))</f>
        <v/>
      </c>
      <c r="AA49" s="739" t="str">
        <f t="shared" si="2"/>
        <v/>
      </c>
      <c r="AB49" s="738" t="str">
        <f>IF($C49=0,"",SUMIFS(INPUT_DATA!AZ:AZ,INPUT_DATA!$A:$A,$C49,INPUT_DATA!$C:$C,"D"))</f>
        <v/>
      </c>
      <c r="AC49" s="738" t="str">
        <f>IF($C49=0,"",SUMIFS(INPUT_DATA!BA:BA,INPUT_DATA!$A:$A,$C49,INPUT_DATA!$C:$C,"D"))</f>
        <v/>
      </c>
      <c r="AD49" s="738" t="str">
        <f>IF($C49=0,"",SUMIFS(INPUT_DATA!BB:BB,INPUT_DATA!$A:$A,$C49,INPUT_DATA!$C:$C,"D"))</f>
        <v/>
      </c>
      <c r="AE49" s="738" t="str">
        <f>IF($C49=0,"",SUMIFS(INPUT_DATA!BC:BC,INPUT_DATA!$A:$A,$C49,INPUT_DATA!$C:$C,"D"))</f>
        <v/>
      </c>
      <c r="AF49" s="738" t="str">
        <f>IF($C49=0,"",SUMIFS(INPUT_DATA!BD:BD,INPUT_DATA!$A:$A,$C49,INPUT_DATA!$C:$C,"D"))</f>
        <v/>
      </c>
      <c r="AG49" s="738" t="str">
        <f>IF($C49=0,"",SUMIFS(INPUT_DATA!BE:BE,INPUT_DATA!$A:$A,$C49,INPUT_DATA!$C:$C,"D"))</f>
        <v/>
      </c>
      <c r="AH49" s="738" t="str">
        <f>IF($C49=0,"",SUMIFS(INPUT_DATA!BF:BF,INPUT_DATA!$A:$A,$C49,INPUT_DATA!$C:$C,"D"))</f>
        <v/>
      </c>
      <c r="AI49" s="738" t="str">
        <f>IF($C49=0,"",SUMIFS(INPUT_DATA!BG:BG,INPUT_DATA!$A:$A,$C49,INPUT_DATA!$C:$C,"D"))</f>
        <v/>
      </c>
      <c r="AJ49" s="299" t="str">
        <f t="shared" si="3"/>
        <v/>
      </c>
      <c r="AK49" s="746" t="str">
        <f>IF($C49=0,"",SUMIFS(INPUT_DATA!BI:BI,INPUT_DATA!$A:$A,$C49,INPUT_DATA!$C:$C,"D"))</f>
        <v/>
      </c>
      <c r="AL49" s="746" t="str">
        <f>IF($C49=0,"",SUMIFS(INPUT_DATA!BJ:BJ,INPUT_DATA!$A:$A,$C49,INPUT_DATA!$C:$C,"D"))</f>
        <v/>
      </c>
      <c r="AM49" s="746" t="str">
        <f>IF($C49=0,"",SUMIFS(INPUT_DATA!BK:BK,INPUT_DATA!$A:$A,$C49,INPUT_DATA!$C:$C,"D"))</f>
        <v/>
      </c>
      <c r="AN49" s="744" t="str">
        <f t="shared" si="7"/>
        <v/>
      </c>
      <c r="AO49" s="749" t="str">
        <f>IF($C49=0,"",SUMIFS(INPUT_DATA!BM:BM,INPUT_DATA!$A:$A,$C49,INPUT_DATA!$C:$C,"D"))</f>
        <v/>
      </c>
      <c r="AP49" s="338" t="str">
        <f t="shared" si="8"/>
        <v/>
      </c>
      <c r="AQ49" s="149"/>
      <c r="AS49" s="338" t="str">
        <f t="shared" si="9"/>
        <v/>
      </c>
      <c r="AU49" s="361" t="str">
        <f>IF($C49=0,"",'03 - Monthly Asset Follow up'!F53+'03 - Monthly Asset Follow up'!G53-'03 - Monthly Asset Follow up'!V53+'03 - Monthly Asset Follow up'!Y53-H49)</f>
        <v/>
      </c>
      <c r="AV49" s="361" t="str">
        <f>IF($C49=0,"",'03 - Monthly Asset Follow up'!BE53+'03 - Monthly Asset Follow up'!BF53-'03 - Monthly Asset Follow up'!BU53+'03 - Monthly Asset Follow up'!BX53-AA49)</f>
        <v/>
      </c>
      <c r="AX49" s="154"/>
    </row>
    <row r="50" spans="2:50">
      <c r="B50" s="730" t="str">
        <f t="shared" si="4"/>
        <v/>
      </c>
      <c r="C50" s="733">
        <f>'03 - Monthly Asset Follow up'!B54</f>
        <v>0</v>
      </c>
      <c r="D50" s="149"/>
      <c r="E50" s="726" t="str">
        <f>IF($C50=0,"",SUMIFS(INPUT_DATA!AV:AV,INPUT_DATA!$A:$A,$C50,INPUT_DATA!$C:$C,"S"))</f>
        <v/>
      </c>
      <c r="F50" s="738" t="str">
        <f>IF($C50=0,"",SUMIFS(INPUT_DATA!AW:AW,INPUT_DATA!$A:$A,$C50,INPUT_DATA!$C:$C,"S"))</f>
        <v/>
      </c>
      <c r="G50" s="738" t="str">
        <f>IF($C50=0,"",SUMIFS(INPUT_DATA!AX:AX,INPUT_DATA!$A:$A,$C50,INPUT_DATA!$C:$C,"S"))</f>
        <v/>
      </c>
      <c r="H50" s="740" t="str">
        <f t="shared" si="0"/>
        <v/>
      </c>
      <c r="I50" s="738" t="str">
        <f>IF($C50=0,"",SUMIFS(INPUT_DATA!AZ:AZ,INPUT_DATA!$A:$A,$C50,INPUT_DATA!$C:$C,"S"))</f>
        <v/>
      </c>
      <c r="J50" s="738" t="str">
        <f>IF($C50=0,"",SUMIFS(INPUT_DATA!BA:BA,INPUT_DATA!$A:$A,$C50,INPUT_DATA!$C:$C,"S"))</f>
        <v/>
      </c>
      <c r="K50" s="738" t="str">
        <f>IF($C50=0,"",SUMIFS(INPUT_DATA!BB:BB,INPUT_DATA!$A:$A,$C50,INPUT_DATA!$C:$C,"S"))</f>
        <v/>
      </c>
      <c r="L50" s="738" t="str">
        <f>IF($C50=0,"",SUMIFS(INPUT_DATA!BC:BC,INPUT_DATA!$A:$A,$C50,INPUT_DATA!$C:$C,"S"))</f>
        <v/>
      </c>
      <c r="M50" s="738" t="str">
        <f>IF($C50=0,"",SUMIFS(INPUT_DATA!BD:BD,INPUT_DATA!$A:$A,$C50,INPUT_DATA!$C:$C,"S"))</f>
        <v/>
      </c>
      <c r="N50" s="738" t="str">
        <f>IF($C50=0,"",SUMIFS(INPUT_DATA!BE:BE,INPUT_DATA!$A:$A,$C50,INPUT_DATA!$C:$C,"S"))</f>
        <v/>
      </c>
      <c r="O50" s="738" t="str">
        <f>IF($C50=0,"",SUMIFS(INPUT_DATA!BF:BF,INPUT_DATA!$A:$A,$C50,INPUT_DATA!$C:$C,"S"))</f>
        <v/>
      </c>
      <c r="P50" s="738" t="str">
        <f>IF($C50=0,"",SUMIFS(INPUT_DATA!BG:BG,INPUT_DATA!$A:$A,$C50,INPUT_DATA!$C:$C,"S"))</f>
        <v/>
      </c>
      <c r="Q50" s="744" t="str">
        <f t="shared" si="5"/>
        <v/>
      </c>
      <c r="R50" s="746" t="str">
        <f>IF($C50=0,"",SUMIFS(INPUT_DATA!BI:BI,INPUT_DATA!$A:$A,$C50,INPUT_DATA!$C:$C,"S"))</f>
        <v/>
      </c>
      <c r="S50" s="746" t="str">
        <f>IF($C50=0,"",SUMIFS(INPUT_DATA!BJ:BJ,INPUT_DATA!$A:$A,$C50,INPUT_DATA!$C:$C,"S"))</f>
        <v/>
      </c>
      <c r="T50" s="744" t="str">
        <f t="shared" si="6"/>
        <v/>
      </c>
      <c r="U50" s="749" t="str">
        <f>IF($C50=0,"",SUMIFS(INPUT_DATA!BM:BM,INPUT_DATA!$A:$A,$C50,INPUT_DATA!$C:$C,"S"))</f>
        <v/>
      </c>
      <c r="V50" s="155" t="str">
        <f t="shared" si="1"/>
        <v/>
      </c>
      <c r="W50" s="149"/>
      <c r="X50" s="726" t="str">
        <f>IF($C50=0,"",SUMIFS(INPUT_DATA!AV:AV,INPUT_DATA!$A:$A,$C50,INPUT_DATA!$C:$C,"D"))</f>
        <v/>
      </c>
      <c r="Y50" s="738" t="str">
        <f>IF($C50=0,"",SUMIFS(INPUT_DATA!AW:AW,INPUT_DATA!$A:$A,$C50,INPUT_DATA!$C:$C,"D"))</f>
        <v/>
      </c>
      <c r="Z50" s="738" t="str">
        <f>IF($C50=0,"",SUMIFS(INPUT_DATA!AX:AX,INPUT_DATA!$A:$A,$C50,INPUT_DATA!$C:$C,"D"))</f>
        <v/>
      </c>
      <c r="AA50" s="739" t="str">
        <f t="shared" si="2"/>
        <v/>
      </c>
      <c r="AB50" s="738" t="str">
        <f>IF($C50=0,"",SUMIFS(INPUT_DATA!AZ:AZ,INPUT_DATA!$A:$A,$C50,INPUT_DATA!$C:$C,"D"))</f>
        <v/>
      </c>
      <c r="AC50" s="738" t="str">
        <f>IF($C50=0,"",SUMIFS(INPUT_DATA!BA:BA,INPUT_DATA!$A:$A,$C50,INPUT_DATA!$C:$C,"D"))</f>
        <v/>
      </c>
      <c r="AD50" s="738" t="str">
        <f>IF($C50=0,"",SUMIFS(INPUT_DATA!BB:BB,INPUT_DATA!$A:$A,$C50,INPUT_DATA!$C:$C,"D"))</f>
        <v/>
      </c>
      <c r="AE50" s="738" t="str">
        <f>IF($C50=0,"",SUMIFS(INPUT_DATA!BC:BC,INPUT_DATA!$A:$A,$C50,INPUT_DATA!$C:$C,"D"))</f>
        <v/>
      </c>
      <c r="AF50" s="738" t="str">
        <f>IF($C50=0,"",SUMIFS(INPUT_DATA!BD:BD,INPUT_DATA!$A:$A,$C50,INPUT_DATA!$C:$C,"D"))</f>
        <v/>
      </c>
      <c r="AG50" s="738" t="str">
        <f>IF($C50=0,"",SUMIFS(INPUT_DATA!BE:BE,INPUT_DATA!$A:$A,$C50,INPUT_DATA!$C:$C,"D"))</f>
        <v/>
      </c>
      <c r="AH50" s="738" t="str">
        <f>IF($C50=0,"",SUMIFS(INPUT_DATA!BF:BF,INPUT_DATA!$A:$A,$C50,INPUT_DATA!$C:$C,"D"))</f>
        <v/>
      </c>
      <c r="AI50" s="738" t="str">
        <f>IF($C50=0,"",SUMIFS(INPUT_DATA!BG:BG,INPUT_DATA!$A:$A,$C50,INPUT_DATA!$C:$C,"D"))</f>
        <v/>
      </c>
      <c r="AJ50" s="299" t="str">
        <f t="shared" si="3"/>
        <v/>
      </c>
      <c r="AK50" s="746" t="str">
        <f>IF($C50=0,"",SUMIFS(INPUT_DATA!BI:BI,INPUT_DATA!$A:$A,$C50,INPUT_DATA!$C:$C,"D"))</f>
        <v/>
      </c>
      <c r="AL50" s="746" t="str">
        <f>IF($C50=0,"",SUMIFS(INPUT_DATA!BJ:BJ,INPUT_DATA!$A:$A,$C50,INPUT_DATA!$C:$C,"D"))</f>
        <v/>
      </c>
      <c r="AM50" s="746" t="str">
        <f>IF($C50=0,"",SUMIFS(INPUT_DATA!BK:BK,INPUT_DATA!$A:$A,$C50,INPUT_DATA!$C:$C,"D"))</f>
        <v/>
      </c>
      <c r="AN50" s="744" t="str">
        <f t="shared" si="7"/>
        <v/>
      </c>
      <c r="AO50" s="749" t="str">
        <f>IF($C50=0,"",SUMIFS(INPUT_DATA!BM:BM,INPUT_DATA!$A:$A,$C50,INPUT_DATA!$C:$C,"D"))</f>
        <v/>
      </c>
      <c r="AP50" s="338" t="str">
        <f t="shared" si="8"/>
        <v/>
      </c>
      <c r="AQ50" s="149"/>
      <c r="AS50" s="338" t="str">
        <f t="shared" si="9"/>
        <v/>
      </c>
      <c r="AU50" s="361" t="str">
        <f>IF($C50=0,"",'03 - Monthly Asset Follow up'!F54+'03 - Monthly Asset Follow up'!G54-'03 - Monthly Asset Follow up'!V54+'03 - Monthly Asset Follow up'!Y54-H50)</f>
        <v/>
      </c>
      <c r="AV50" s="361" t="str">
        <f>IF($C50=0,"",'03 - Monthly Asset Follow up'!BE54+'03 - Monthly Asset Follow up'!BF54-'03 - Monthly Asset Follow up'!BU54+'03 - Monthly Asset Follow up'!BX54-AA50)</f>
        <v/>
      </c>
      <c r="AX50" s="154"/>
    </row>
    <row r="51" spans="2:50">
      <c r="B51" s="730" t="str">
        <f t="shared" si="4"/>
        <v/>
      </c>
      <c r="C51" s="733">
        <f>'03 - Monthly Asset Follow up'!B55</f>
        <v>0</v>
      </c>
      <c r="D51" s="149"/>
      <c r="E51" s="726" t="str">
        <f>IF($C51=0,"",SUMIFS(INPUT_DATA!AV:AV,INPUT_DATA!$A:$A,$C51,INPUT_DATA!$C:$C,"S"))</f>
        <v/>
      </c>
      <c r="F51" s="738" t="str">
        <f>IF($C51=0,"",SUMIFS(INPUT_DATA!AW:AW,INPUT_DATA!$A:$A,$C51,INPUT_DATA!$C:$C,"S"))</f>
        <v/>
      </c>
      <c r="G51" s="738" t="str">
        <f>IF($C51=0,"",SUMIFS(INPUT_DATA!AX:AX,INPUT_DATA!$A:$A,$C51,INPUT_DATA!$C:$C,"S"))</f>
        <v/>
      </c>
      <c r="H51" s="740" t="str">
        <f t="shared" si="0"/>
        <v/>
      </c>
      <c r="I51" s="738" t="str">
        <f>IF($C51=0,"",SUMIFS(INPUT_DATA!AZ:AZ,INPUT_DATA!$A:$A,$C51,INPUT_DATA!$C:$C,"S"))</f>
        <v/>
      </c>
      <c r="J51" s="738" t="str">
        <f>IF($C51=0,"",SUMIFS(INPUT_DATA!BA:BA,INPUT_DATA!$A:$A,$C51,INPUT_DATA!$C:$C,"S"))</f>
        <v/>
      </c>
      <c r="K51" s="738" t="str">
        <f>IF($C51=0,"",SUMIFS(INPUT_DATA!BB:BB,INPUT_DATA!$A:$A,$C51,INPUT_DATA!$C:$C,"S"))</f>
        <v/>
      </c>
      <c r="L51" s="738" t="str">
        <f>IF($C51=0,"",SUMIFS(INPUT_DATA!BC:BC,INPUT_DATA!$A:$A,$C51,INPUT_DATA!$C:$C,"S"))</f>
        <v/>
      </c>
      <c r="M51" s="738" t="str">
        <f>IF($C51=0,"",SUMIFS(INPUT_DATA!BD:BD,INPUT_DATA!$A:$A,$C51,INPUT_DATA!$C:$C,"S"))</f>
        <v/>
      </c>
      <c r="N51" s="738" t="str">
        <f>IF($C51=0,"",SUMIFS(INPUT_DATA!BE:BE,INPUT_DATA!$A:$A,$C51,INPUT_DATA!$C:$C,"S"))</f>
        <v/>
      </c>
      <c r="O51" s="738" t="str">
        <f>IF($C51=0,"",SUMIFS(INPUT_DATA!BF:BF,INPUT_DATA!$A:$A,$C51,INPUT_DATA!$C:$C,"S"))</f>
        <v/>
      </c>
      <c r="P51" s="738" t="str">
        <f>IF($C51=0,"",SUMIFS(INPUT_DATA!BG:BG,INPUT_DATA!$A:$A,$C51,INPUT_DATA!$C:$C,"S"))</f>
        <v/>
      </c>
      <c r="Q51" s="744" t="str">
        <f t="shared" si="5"/>
        <v/>
      </c>
      <c r="R51" s="746" t="str">
        <f>IF($C51=0,"",SUMIFS(INPUT_DATA!BI:BI,INPUT_DATA!$A:$A,$C51,INPUT_DATA!$C:$C,"S"))</f>
        <v/>
      </c>
      <c r="S51" s="746" t="str">
        <f>IF($C51=0,"",SUMIFS(INPUT_DATA!BJ:BJ,INPUT_DATA!$A:$A,$C51,INPUT_DATA!$C:$C,"S"))</f>
        <v/>
      </c>
      <c r="T51" s="744" t="str">
        <f t="shared" si="6"/>
        <v/>
      </c>
      <c r="U51" s="749" t="str">
        <f>IF($C51=0,"",SUMIFS(INPUT_DATA!BM:BM,INPUT_DATA!$A:$A,$C51,INPUT_DATA!$C:$C,"S"))</f>
        <v/>
      </c>
      <c r="V51" s="155" t="str">
        <f t="shared" si="1"/>
        <v/>
      </c>
      <c r="W51" s="149"/>
      <c r="X51" s="726" t="str">
        <f>IF($C51=0,"",SUMIFS(INPUT_DATA!AV:AV,INPUT_DATA!$A:$A,$C51,INPUT_DATA!$C:$C,"D"))</f>
        <v/>
      </c>
      <c r="Y51" s="738" t="str">
        <f>IF($C51=0,"",SUMIFS(INPUT_DATA!AW:AW,INPUT_DATA!$A:$A,$C51,INPUT_DATA!$C:$C,"D"))</f>
        <v/>
      </c>
      <c r="Z51" s="738" t="str">
        <f>IF($C51=0,"",SUMIFS(INPUT_DATA!AX:AX,INPUT_DATA!$A:$A,$C51,INPUT_DATA!$C:$C,"D"))</f>
        <v/>
      </c>
      <c r="AA51" s="739" t="str">
        <f t="shared" si="2"/>
        <v/>
      </c>
      <c r="AB51" s="738" t="str">
        <f>IF($C51=0,"",SUMIFS(INPUT_DATA!AZ:AZ,INPUT_DATA!$A:$A,$C51,INPUT_DATA!$C:$C,"D"))</f>
        <v/>
      </c>
      <c r="AC51" s="738" t="str">
        <f>IF($C51=0,"",SUMIFS(INPUT_DATA!BA:BA,INPUT_DATA!$A:$A,$C51,INPUT_DATA!$C:$C,"D"))</f>
        <v/>
      </c>
      <c r="AD51" s="738" t="str">
        <f>IF($C51=0,"",SUMIFS(INPUT_DATA!BB:BB,INPUT_DATA!$A:$A,$C51,INPUT_DATA!$C:$C,"D"))</f>
        <v/>
      </c>
      <c r="AE51" s="738" t="str">
        <f>IF($C51=0,"",SUMIFS(INPUT_DATA!BC:BC,INPUT_DATA!$A:$A,$C51,INPUT_DATA!$C:$C,"D"))</f>
        <v/>
      </c>
      <c r="AF51" s="738" t="str">
        <f>IF($C51=0,"",SUMIFS(INPUT_DATA!BD:BD,INPUT_DATA!$A:$A,$C51,INPUT_DATA!$C:$C,"D"))</f>
        <v/>
      </c>
      <c r="AG51" s="738" t="str">
        <f>IF($C51=0,"",SUMIFS(INPUT_DATA!BE:BE,INPUT_DATA!$A:$A,$C51,INPUT_DATA!$C:$C,"D"))</f>
        <v/>
      </c>
      <c r="AH51" s="738" t="str">
        <f>IF($C51=0,"",SUMIFS(INPUT_DATA!BF:BF,INPUT_DATA!$A:$A,$C51,INPUT_DATA!$C:$C,"D"))</f>
        <v/>
      </c>
      <c r="AI51" s="738" t="str">
        <f>IF($C51=0,"",SUMIFS(INPUT_DATA!BG:BG,INPUT_DATA!$A:$A,$C51,INPUT_DATA!$C:$C,"D"))</f>
        <v/>
      </c>
      <c r="AJ51" s="299" t="str">
        <f t="shared" si="3"/>
        <v/>
      </c>
      <c r="AK51" s="746" t="str">
        <f>IF($C51=0,"",SUMIFS(INPUT_DATA!BI:BI,INPUT_DATA!$A:$A,$C51,INPUT_DATA!$C:$C,"D"))</f>
        <v/>
      </c>
      <c r="AL51" s="746" t="str">
        <f>IF($C51=0,"",SUMIFS(INPUT_DATA!BJ:BJ,INPUT_DATA!$A:$A,$C51,INPUT_DATA!$C:$C,"D"))</f>
        <v/>
      </c>
      <c r="AM51" s="746" t="str">
        <f>IF($C51=0,"",SUMIFS(INPUT_DATA!BK:BK,INPUT_DATA!$A:$A,$C51,INPUT_DATA!$C:$C,"D"))</f>
        <v/>
      </c>
      <c r="AN51" s="744" t="str">
        <f t="shared" si="7"/>
        <v/>
      </c>
      <c r="AO51" s="749" t="str">
        <f>IF($C51=0,"",SUMIFS(INPUT_DATA!BM:BM,INPUT_DATA!$A:$A,$C51,INPUT_DATA!$C:$C,"D"))</f>
        <v/>
      </c>
      <c r="AP51" s="338" t="str">
        <f t="shared" si="8"/>
        <v/>
      </c>
      <c r="AQ51" s="149"/>
      <c r="AS51" s="338" t="str">
        <f t="shared" si="9"/>
        <v/>
      </c>
      <c r="AU51" s="361" t="str">
        <f>IF($C51=0,"",'03 - Monthly Asset Follow up'!F55+'03 - Monthly Asset Follow up'!G55-'03 - Monthly Asset Follow up'!V55+'03 - Monthly Asset Follow up'!Y55-H51)</f>
        <v/>
      </c>
      <c r="AV51" s="361" t="str">
        <f>IF($C51=0,"",'03 - Monthly Asset Follow up'!BE55+'03 - Monthly Asset Follow up'!BF55-'03 - Monthly Asset Follow up'!BU55+'03 - Monthly Asset Follow up'!BX55-AA51)</f>
        <v/>
      </c>
      <c r="AX51" s="154"/>
    </row>
    <row r="52" spans="2:50">
      <c r="B52" s="730" t="str">
        <f t="shared" si="4"/>
        <v/>
      </c>
      <c r="C52" s="733">
        <f>'03 - Monthly Asset Follow up'!B56</f>
        <v>0</v>
      </c>
      <c r="D52" s="149"/>
      <c r="E52" s="726" t="str">
        <f>IF($C52=0,"",SUMIFS(INPUT_DATA!AV:AV,INPUT_DATA!$A:$A,$C52,INPUT_DATA!$C:$C,"S"))</f>
        <v/>
      </c>
      <c r="F52" s="738" t="str">
        <f>IF($C52=0,"",SUMIFS(INPUT_DATA!AW:AW,INPUT_DATA!$A:$A,$C52,INPUT_DATA!$C:$C,"S"))</f>
        <v/>
      </c>
      <c r="G52" s="738" t="str">
        <f>IF($C52=0,"",SUMIFS(INPUT_DATA!AX:AX,INPUT_DATA!$A:$A,$C52,INPUT_DATA!$C:$C,"S"))</f>
        <v/>
      </c>
      <c r="H52" s="740" t="str">
        <f t="shared" si="0"/>
        <v/>
      </c>
      <c r="I52" s="738" t="str">
        <f>IF($C52=0,"",SUMIFS(INPUT_DATA!AZ:AZ,INPUT_DATA!$A:$A,$C52,INPUT_DATA!$C:$C,"S"))</f>
        <v/>
      </c>
      <c r="J52" s="738" t="str">
        <f>IF($C52=0,"",SUMIFS(INPUT_DATA!BA:BA,INPUT_DATA!$A:$A,$C52,INPUT_DATA!$C:$C,"S"))</f>
        <v/>
      </c>
      <c r="K52" s="738" t="str">
        <f>IF($C52=0,"",SUMIFS(INPUT_DATA!BB:BB,INPUT_DATA!$A:$A,$C52,INPUT_DATA!$C:$C,"S"))</f>
        <v/>
      </c>
      <c r="L52" s="738" t="str">
        <f>IF($C52=0,"",SUMIFS(INPUT_DATA!BC:BC,INPUT_DATA!$A:$A,$C52,INPUT_DATA!$C:$C,"S"))</f>
        <v/>
      </c>
      <c r="M52" s="738" t="str">
        <f>IF($C52=0,"",SUMIFS(INPUT_DATA!BD:BD,INPUT_DATA!$A:$A,$C52,INPUT_DATA!$C:$C,"S"))</f>
        <v/>
      </c>
      <c r="N52" s="738" t="str">
        <f>IF($C52=0,"",SUMIFS(INPUT_DATA!BE:BE,INPUT_DATA!$A:$A,$C52,INPUT_DATA!$C:$C,"S"))</f>
        <v/>
      </c>
      <c r="O52" s="738" t="str">
        <f>IF($C52=0,"",SUMIFS(INPUT_DATA!BF:BF,INPUT_DATA!$A:$A,$C52,INPUT_DATA!$C:$C,"S"))</f>
        <v/>
      </c>
      <c r="P52" s="738" t="str">
        <f>IF($C52=0,"",SUMIFS(INPUT_DATA!BG:BG,INPUT_DATA!$A:$A,$C52,INPUT_DATA!$C:$C,"S"))</f>
        <v/>
      </c>
      <c r="Q52" s="744" t="str">
        <f t="shared" si="5"/>
        <v/>
      </c>
      <c r="R52" s="746" t="str">
        <f>IF($C52=0,"",SUMIFS(INPUT_DATA!BI:BI,INPUT_DATA!$A:$A,$C52,INPUT_DATA!$C:$C,"S"))</f>
        <v/>
      </c>
      <c r="S52" s="746" t="str">
        <f>IF($C52=0,"",SUMIFS(INPUT_DATA!BJ:BJ,INPUT_DATA!$A:$A,$C52,INPUT_DATA!$C:$C,"S"))</f>
        <v/>
      </c>
      <c r="T52" s="744" t="str">
        <f t="shared" si="6"/>
        <v/>
      </c>
      <c r="U52" s="749" t="str">
        <f>IF($C52=0,"",SUMIFS(INPUT_DATA!BM:BM,INPUT_DATA!$A:$A,$C52,INPUT_DATA!$C:$C,"S"))</f>
        <v/>
      </c>
      <c r="V52" s="155" t="str">
        <f t="shared" si="1"/>
        <v/>
      </c>
      <c r="W52" s="149"/>
      <c r="X52" s="726" t="str">
        <f>IF($C52=0,"",SUMIFS(INPUT_DATA!AV:AV,INPUT_DATA!$A:$A,$C52,INPUT_DATA!$C:$C,"D"))</f>
        <v/>
      </c>
      <c r="Y52" s="738" t="str">
        <f>IF($C52=0,"",SUMIFS(INPUT_DATA!AW:AW,INPUT_DATA!$A:$A,$C52,INPUT_DATA!$C:$C,"D"))</f>
        <v/>
      </c>
      <c r="Z52" s="738" t="str">
        <f>IF($C52=0,"",SUMIFS(INPUT_DATA!AX:AX,INPUT_DATA!$A:$A,$C52,INPUT_DATA!$C:$C,"D"))</f>
        <v/>
      </c>
      <c r="AA52" s="739" t="str">
        <f t="shared" si="2"/>
        <v/>
      </c>
      <c r="AB52" s="738" t="str">
        <f>IF($C52=0,"",SUMIFS(INPUT_DATA!AZ:AZ,INPUT_DATA!$A:$A,$C52,INPUT_DATA!$C:$C,"D"))</f>
        <v/>
      </c>
      <c r="AC52" s="738" t="str">
        <f>IF($C52=0,"",SUMIFS(INPUT_DATA!BA:BA,INPUT_DATA!$A:$A,$C52,INPUT_DATA!$C:$C,"D"))</f>
        <v/>
      </c>
      <c r="AD52" s="738" t="str">
        <f>IF($C52=0,"",SUMIFS(INPUT_DATA!BB:BB,INPUT_DATA!$A:$A,$C52,INPUT_DATA!$C:$C,"D"))</f>
        <v/>
      </c>
      <c r="AE52" s="738" t="str">
        <f>IF($C52=0,"",SUMIFS(INPUT_DATA!BC:BC,INPUT_DATA!$A:$A,$C52,INPUT_DATA!$C:$C,"D"))</f>
        <v/>
      </c>
      <c r="AF52" s="738" t="str">
        <f>IF($C52=0,"",SUMIFS(INPUT_DATA!BD:BD,INPUT_DATA!$A:$A,$C52,INPUT_DATA!$C:$C,"D"))</f>
        <v/>
      </c>
      <c r="AG52" s="738" t="str">
        <f>IF($C52=0,"",SUMIFS(INPUT_DATA!BE:BE,INPUT_DATA!$A:$A,$C52,INPUT_DATA!$C:$C,"D"))</f>
        <v/>
      </c>
      <c r="AH52" s="738" t="str">
        <f>IF($C52=0,"",SUMIFS(INPUT_DATA!BF:BF,INPUT_DATA!$A:$A,$C52,INPUT_DATA!$C:$C,"D"))</f>
        <v/>
      </c>
      <c r="AI52" s="738" t="str">
        <f>IF($C52=0,"",SUMIFS(INPUT_DATA!BG:BG,INPUT_DATA!$A:$A,$C52,INPUT_DATA!$C:$C,"D"))</f>
        <v/>
      </c>
      <c r="AJ52" s="299" t="str">
        <f t="shared" si="3"/>
        <v/>
      </c>
      <c r="AK52" s="746" t="str">
        <f>IF($C52=0,"",SUMIFS(INPUT_DATA!BI:BI,INPUT_DATA!$A:$A,$C52,INPUT_DATA!$C:$C,"D"))</f>
        <v/>
      </c>
      <c r="AL52" s="746" t="str">
        <f>IF($C52=0,"",SUMIFS(INPUT_DATA!BJ:BJ,INPUT_DATA!$A:$A,$C52,INPUT_DATA!$C:$C,"D"))</f>
        <v/>
      </c>
      <c r="AM52" s="746" t="str">
        <f>IF($C52=0,"",SUMIFS(INPUT_DATA!BK:BK,INPUT_DATA!$A:$A,$C52,INPUT_DATA!$C:$C,"D"))</f>
        <v/>
      </c>
      <c r="AN52" s="744" t="str">
        <f t="shared" si="7"/>
        <v/>
      </c>
      <c r="AO52" s="749" t="str">
        <f>IF($C52=0,"",SUMIFS(INPUT_DATA!BM:BM,INPUT_DATA!$A:$A,$C52,INPUT_DATA!$C:$C,"D"))</f>
        <v/>
      </c>
      <c r="AP52" s="338" t="str">
        <f t="shared" si="8"/>
        <v/>
      </c>
      <c r="AQ52" s="149"/>
      <c r="AS52" s="338" t="str">
        <f t="shared" si="9"/>
        <v/>
      </c>
      <c r="AU52" s="361" t="str">
        <f>IF($C52=0,"",'03 - Monthly Asset Follow up'!F56+'03 - Monthly Asset Follow up'!G56-'03 - Monthly Asset Follow up'!V56+'03 - Monthly Asset Follow up'!Y56-H52)</f>
        <v/>
      </c>
      <c r="AV52" s="361" t="str">
        <f>IF($C52=0,"",'03 - Monthly Asset Follow up'!BE56+'03 - Monthly Asset Follow up'!BF56-'03 - Monthly Asset Follow up'!BU56+'03 - Monthly Asset Follow up'!BX56-AA52)</f>
        <v/>
      </c>
      <c r="AX52" s="154"/>
    </row>
    <row r="53" spans="2:50">
      <c r="B53" s="730" t="str">
        <f t="shared" si="4"/>
        <v/>
      </c>
      <c r="C53" s="733">
        <f>'03 - Monthly Asset Follow up'!B57</f>
        <v>0</v>
      </c>
      <c r="D53" s="149"/>
      <c r="E53" s="726" t="str">
        <f>IF($C53=0,"",SUMIFS(INPUT_DATA!AV:AV,INPUT_DATA!$A:$A,$C53,INPUT_DATA!$C:$C,"S"))</f>
        <v/>
      </c>
      <c r="F53" s="738" t="str">
        <f>IF($C53=0,"",SUMIFS(INPUT_DATA!AW:AW,INPUT_DATA!$A:$A,$C53,INPUT_DATA!$C:$C,"S"))</f>
        <v/>
      </c>
      <c r="G53" s="738" t="str">
        <f>IF($C53=0,"",SUMIFS(INPUT_DATA!AX:AX,INPUT_DATA!$A:$A,$C53,INPUT_DATA!$C:$C,"S"))</f>
        <v/>
      </c>
      <c r="H53" s="740" t="str">
        <f t="shared" si="0"/>
        <v/>
      </c>
      <c r="I53" s="738" t="str">
        <f>IF($C53=0,"",SUMIFS(INPUT_DATA!AZ:AZ,INPUT_DATA!$A:$A,$C53,INPUT_DATA!$C:$C,"S"))</f>
        <v/>
      </c>
      <c r="J53" s="738" t="str">
        <f>IF($C53=0,"",SUMIFS(INPUT_DATA!BA:BA,INPUT_DATA!$A:$A,$C53,INPUT_DATA!$C:$C,"S"))</f>
        <v/>
      </c>
      <c r="K53" s="738" t="str">
        <f>IF($C53=0,"",SUMIFS(INPUT_DATA!BB:BB,INPUT_DATA!$A:$A,$C53,INPUT_DATA!$C:$C,"S"))</f>
        <v/>
      </c>
      <c r="L53" s="738" t="str">
        <f>IF($C53=0,"",SUMIFS(INPUT_DATA!BC:BC,INPUT_DATA!$A:$A,$C53,INPUT_DATA!$C:$C,"S"))</f>
        <v/>
      </c>
      <c r="M53" s="738" t="str">
        <f>IF($C53=0,"",SUMIFS(INPUT_DATA!BD:BD,INPUT_DATA!$A:$A,$C53,INPUT_DATA!$C:$C,"S"))</f>
        <v/>
      </c>
      <c r="N53" s="738" t="str">
        <f>IF($C53=0,"",SUMIFS(INPUT_DATA!BE:BE,INPUT_DATA!$A:$A,$C53,INPUT_DATA!$C:$C,"S"))</f>
        <v/>
      </c>
      <c r="O53" s="738" t="str">
        <f>IF($C53=0,"",SUMIFS(INPUT_DATA!BF:BF,INPUT_DATA!$A:$A,$C53,INPUT_DATA!$C:$C,"S"))</f>
        <v/>
      </c>
      <c r="P53" s="738" t="str">
        <f>IF($C53=0,"",SUMIFS(INPUT_DATA!BG:BG,INPUT_DATA!$A:$A,$C53,INPUT_DATA!$C:$C,"S"))</f>
        <v/>
      </c>
      <c r="Q53" s="744" t="str">
        <f t="shared" si="5"/>
        <v/>
      </c>
      <c r="R53" s="746" t="str">
        <f>IF($C53=0,"",SUMIFS(INPUT_DATA!BI:BI,INPUT_DATA!$A:$A,$C53,INPUT_DATA!$C:$C,"S"))</f>
        <v/>
      </c>
      <c r="S53" s="746" t="str">
        <f>IF($C53=0,"",SUMIFS(INPUT_DATA!BJ:BJ,INPUT_DATA!$A:$A,$C53,INPUT_DATA!$C:$C,"S"))</f>
        <v/>
      </c>
      <c r="T53" s="744" t="str">
        <f t="shared" si="6"/>
        <v/>
      </c>
      <c r="U53" s="749" t="str">
        <f>IF($C53=0,"",SUMIFS(INPUT_DATA!BM:BM,INPUT_DATA!$A:$A,$C53,INPUT_DATA!$C:$C,"S"))</f>
        <v/>
      </c>
      <c r="V53" s="155" t="str">
        <f t="shared" si="1"/>
        <v/>
      </c>
      <c r="W53" s="149"/>
      <c r="X53" s="726" t="str">
        <f>IF($C53=0,"",SUMIFS(INPUT_DATA!AV:AV,INPUT_DATA!$A:$A,$C53,INPUT_DATA!$C:$C,"D"))</f>
        <v/>
      </c>
      <c r="Y53" s="738" t="str">
        <f>IF($C53=0,"",SUMIFS(INPUT_DATA!AW:AW,INPUT_DATA!$A:$A,$C53,INPUT_DATA!$C:$C,"D"))</f>
        <v/>
      </c>
      <c r="Z53" s="738" t="str">
        <f>IF($C53=0,"",SUMIFS(INPUT_DATA!AX:AX,INPUT_DATA!$A:$A,$C53,INPUT_DATA!$C:$C,"D"))</f>
        <v/>
      </c>
      <c r="AA53" s="739" t="str">
        <f t="shared" si="2"/>
        <v/>
      </c>
      <c r="AB53" s="738" t="str">
        <f>IF($C53=0,"",SUMIFS(INPUT_DATA!AZ:AZ,INPUT_DATA!$A:$A,$C53,INPUT_DATA!$C:$C,"D"))</f>
        <v/>
      </c>
      <c r="AC53" s="738" t="str">
        <f>IF($C53=0,"",SUMIFS(INPUT_DATA!BA:BA,INPUT_DATA!$A:$A,$C53,INPUT_DATA!$C:$C,"D"))</f>
        <v/>
      </c>
      <c r="AD53" s="738" t="str">
        <f>IF($C53=0,"",SUMIFS(INPUT_DATA!BB:BB,INPUT_DATA!$A:$A,$C53,INPUT_DATA!$C:$C,"D"))</f>
        <v/>
      </c>
      <c r="AE53" s="738" t="str">
        <f>IF($C53=0,"",SUMIFS(INPUT_DATA!BC:BC,INPUT_DATA!$A:$A,$C53,INPUT_DATA!$C:$C,"D"))</f>
        <v/>
      </c>
      <c r="AF53" s="738" t="str">
        <f>IF($C53=0,"",SUMIFS(INPUT_DATA!BD:BD,INPUT_DATA!$A:$A,$C53,INPUT_DATA!$C:$C,"D"))</f>
        <v/>
      </c>
      <c r="AG53" s="738" t="str">
        <f>IF($C53=0,"",SUMIFS(INPUT_DATA!BE:BE,INPUT_DATA!$A:$A,$C53,INPUT_DATA!$C:$C,"D"))</f>
        <v/>
      </c>
      <c r="AH53" s="738" t="str">
        <f>IF($C53=0,"",SUMIFS(INPUT_DATA!BF:BF,INPUT_DATA!$A:$A,$C53,INPUT_DATA!$C:$C,"D"))</f>
        <v/>
      </c>
      <c r="AI53" s="738" t="str">
        <f>IF($C53=0,"",SUMIFS(INPUT_DATA!BG:BG,INPUT_DATA!$A:$A,$C53,INPUT_DATA!$C:$C,"D"))</f>
        <v/>
      </c>
      <c r="AJ53" s="299" t="str">
        <f t="shared" si="3"/>
        <v/>
      </c>
      <c r="AK53" s="746" t="str">
        <f>IF($C53=0,"",SUMIFS(INPUT_DATA!BI:BI,INPUT_DATA!$A:$A,$C53,INPUT_DATA!$C:$C,"D"))</f>
        <v/>
      </c>
      <c r="AL53" s="746" t="str">
        <f>IF($C53=0,"",SUMIFS(INPUT_DATA!BJ:BJ,INPUT_DATA!$A:$A,$C53,INPUT_DATA!$C:$C,"D"))</f>
        <v/>
      </c>
      <c r="AM53" s="746" t="str">
        <f>IF($C53=0,"",SUMIFS(INPUT_DATA!BK:BK,INPUT_DATA!$A:$A,$C53,INPUT_DATA!$C:$C,"D"))</f>
        <v/>
      </c>
      <c r="AN53" s="744" t="str">
        <f t="shared" si="7"/>
        <v/>
      </c>
      <c r="AO53" s="749" t="str">
        <f>IF($C53=0,"",SUMIFS(INPUT_DATA!BM:BM,INPUT_DATA!$A:$A,$C53,INPUT_DATA!$C:$C,"D"))</f>
        <v/>
      </c>
      <c r="AP53" s="338" t="str">
        <f t="shared" si="8"/>
        <v/>
      </c>
      <c r="AQ53" s="149"/>
      <c r="AS53" s="338" t="str">
        <f t="shared" si="9"/>
        <v/>
      </c>
      <c r="AU53" s="361" t="str">
        <f>IF($C53=0,"",'03 - Monthly Asset Follow up'!F57+'03 - Monthly Asset Follow up'!G57-'03 - Monthly Asset Follow up'!V57+'03 - Monthly Asset Follow up'!Y57-H53)</f>
        <v/>
      </c>
      <c r="AV53" s="361" t="str">
        <f>IF($C53=0,"",'03 - Monthly Asset Follow up'!BE57+'03 - Monthly Asset Follow up'!BF57-'03 - Monthly Asset Follow up'!BU57+'03 - Monthly Asset Follow up'!BX57-AA53)</f>
        <v/>
      </c>
      <c r="AX53" s="154"/>
    </row>
    <row r="54" spans="2:50">
      <c r="B54" s="730" t="str">
        <f t="shared" si="4"/>
        <v/>
      </c>
      <c r="C54" s="733">
        <f>'03 - Monthly Asset Follow up'!B58</f>
        <v>0</v>
      </c>
      <c r="D54" s="149"/>
      <c r="E54" s="726" t="str">
        <f>IF($C54=0,"",SUMIFS(INPUT_DATA!AV:AV,INPUT_DATA!$A:$A,$C54,INPUT_DATA!$C:$C,"S"))</f>
        <v/>
      </c>
      <c r="F54" s="738" t="str">
        <f>IF($C54=0,"",SUMIFS(INPUT_DATA!AW:AW,INPUT_DATA!$A:$A,$C54,INPUT_DATA!$C:$C,"S"))</f>
        <v/>
      </c>
      <c r="G54" s="738" t="str">
        <f>IF($C54=0,"",SUMIFS(INPUT_DATA!AX:AX,INPUT_DATA!$A:$A,$C54,INPUT_DATA!$C:$C,"S"))</f>
        <v/>
      </c>
      <c r="H54" s="740" t="str">
        <f t="shared" si="0"/>
        <v/>
      </c>
      <c r="I54" s="738" t="str">
        <f>IF($C54=0,"",SUMIFS(INPUT_DATA!AZ:AZ,INPUT_DATA!$A:$A,$C54,INPUT_DATA!$C:$C,"S"))</f>
        <v/>
      </c>
      <c r="J54" s="738" t="str">
        <f>IF($C54=0,"",SUMIFS(INPUT_DATA!BA:BA,INPUT_DATA!$A:$A,$C54,INPUT_DATA!$C:$C,"S"))</f>
        <v/>
      </c>
      <c r="K54" s="738" t="str">
        <f>IF($C54=0,"",SUMIFS(INPUT_DATA!BB:BB,INPUT_DATA!$A:$A,$C54,INPUT_DATA!$C:$C,"S"))</f>
        <v/>
      </c>
      <c r="L54" s="738" t="str">
        <f>IF($C54=0,"",SUMIFS(INPUT_DATA!BC:BC,INPUT_DATA!$A:$A,$C54,INPUT_DATA!$C:$C,"S"))</f>
        <v/>
      </c>
      <c r="M54" s="738" t="str">
        <f>IF($C54=0,"",SUMIFS(INPUT_DATA!BD:BD,INPUT_DATA!$A:$A,$C54,INPUT_DATA!$C:$C,"S"))</f>
        <v/>
      </c>
      <c r="N54" s="738" t="str">
        <f>IF($C54=0,"",SUMIFS(INPUT_DATA!BE:BE,INPUT_DATA!$A:$A,$C54,INPUT_DATA!$C:$C,"S"))</f>
        <v/>
      </c>
      <c r="O54" s="738" t="str">
        <f>IF($C54=0,"",SUMIFS(INPUT_DATA!BF:BF,INPUT_DATA!$A:$A,$C54,INPUT_DATA!$C:$C,"S"))</f>
        <v/>
      </c>
      <c r="P54" s="738" t="str">
        <f>IF($C54=0,"",SUMIFS(INPUT_DATA!BG:BG,INPUT_DATA!$A:$A,$C54,INPUT_DATA!$C:$C,"S"))</f>
        <v/>
      </c>
      <c r="Q54" s="744" t="str">
        <f t="shared" si="5"/>
        <v/>
      </c>
      <c r="R54" s="746" t="str">
        <f>IF($C54=0,"",SUMIFS(INPUT_DATA!BI:BI,INPUT_DATA!$A:$A,$C54,INPUT_DATA!$C:$C,"S"))</f>
        <v/>
      </c>
      <c r="S54" s="746" t="str">
        <f>IF($C54=0,"",SUMIFS(INPUT_DATA!BJ:BJ,INPUT_DATA!$A:$A,$C54,INPUT_DATA!$C:$C,"S"))</f>
        <v/>
      </c>
      <c r="T54" s="744" t="str">
        <f t="shared" si="6"/>
        <v/>
      </c>
      <c r="U54" s="749" t="str">
        <f>IF($C54=0,"",SUMIFS(INPUT_DATA!BM:BM,INPUT_DATA!$A:$A,$C54,INPUT_DATA!$C:$C,"S"))</f>
        <v/>
      </c>
      <c r="V54" s="155" t="str">
        <f t="shared" si="1"/>
        <v/>
      </c>
      <c r="W54" s="149"/>
      <c r="X54" s="726" t="str">
        <f>IF($C54=0,"",SUMIFS(INPUT_DATA!AV:AV,INPUT_DATA!$A:$A,$C54,INPUT_DATA!$C:$C,"D"))</f>
        <v/>
      </c>
      <c r="Y54" s="738" t="str">
        <f>IF($C54=0,"",SUMIFS(INPUT_DATA!AW:AW,INPUT_DATA!$A:$A,$C54,INPUT_DATA!$C:$C,"D"))</f>
        <v/>
      </c>
      <c r="Z54" s="738" t="str">
        <f>IF($C54=0,"",SUMIFS(INPUT_DATA!AX:AX,INPUT_DATA!$A:$A,$C54,INPUT_DATA!$C:$C,"D"))</f>
        <v/>
      </c>
      <c r="AA54" s="739" t="str">
        <f t="shared" si="2"/>
        <v/>
      </c>
      <c r="AB54" s="738" t="str">
        <f>IF($C54=0,"",SUMIFS(INPUT_DATA!AZ:AZ,INPUT_DATA!$A:$A,$C54,INPUT_DATA!$C:$C,"D"))</f>
        <v/>
      </c>
      <c r="AC54" s="738" t="str">
        <f>IF($C54=0,"",SUMIFS(INPUT_DATA!BA:BA,INPUT_DATA!$A:$A,$C54,INPUT_DATA!$C:$C,"D"))</f>
        <v/>
      </c>
      <c r="AD54" s="738" t="str">
        <f>IF($C54=0,"",SUMIFS(INPUT_DATA!BB:BB,INPUT_DATA!$A:$A,$C54,INPUT_DATA!$C:$C,"D"))</f>
        <v/>
      </c>
      <c r="AE54" s="738" t="str">
        <f>IF($C54=0,"",SUMIFS(INPUT_DATA!BC:BC,INPUT_DATA!$A:$A,$C54,INPUT_DATA!$C:$C,"D"))</f>
        <v/>
      </c>
      <c r="AF54" s="738" t="str">
        <f>IF($C54=0,"",SUMIFS(INPUT_DATA!BD:BD,INPUT_DATA!$A:$A,$C54,INPUT_DATA!$C:$C,"D"))</f>
        <v/>
      </c>
      <c r="AG54" s="738" t="str">
        <f>IF($C54=0,"",SUMIFS(INPUT_DATA!BE:BE,INPUT_DATA!$A:$A,$C54,INPUT_DATA!$C:$C,"D"))</f>
        <v/>
      </c>
      <c r="AH54" s="738" t="str">
        <f>IF($C54=0,"",SUMIFS(INPUT_DATA!BF:BF,INPUT_DATA!$A:$A,$C54,INPUT_DATA!$C:$C,"D"))</f>
        <v/>
      </c>
      <c r="AI54" s="738" t="str">
        <f>IF($C54=0,"",SUMIFS(INPUT_DATA!BG:BG,INPUT_DATA!$A:$A,$C54,INPUT_DATA!$C:$C,"D"))</f>
        <v/>
      </c>
      <c r="AJ54" s="299" t="str">
        <f t="shared" si="3"/>
        <v/>
      </c>
      <c r="AK54" s="746" t="str">
        <f>IF($C54=0,"",SUMIFS(INPUT_DATA!BI:BI,INPUT_DATA!$A:$A,$C54,INPUT_DATA!$C:$C,"D"))</f>
        <v/>
      </c>
      <c r="AL54" s="746" t="str">
        <f>IF($C54=0,"",SUMIFS(INPUT_DATA!BJ:BJ,INPUT_DATA!$A:$A,$C54,INPUT_DATA!$C:$C,"D"))</f>
        <v/>
      </c>
      <c r="AM54" s="746" t="str">
        <f>IF($C54=0,"",SUMIFS(INPUT_DATA!BK:BK,INPUT_DATA!$A:$A,$C54,INPUT_DATA!$C:$C,"D"))</f>
        <v/>
      </c>
      <c r="AN54" s="744" t="str">
        <f t="shared" si="7"/>
        <v/>
      </c>
      <c r="AO54" s="749" t="str">
        <f>IF($C54=0,"",SUMIFS(INPUT_DATA!BM:BM,INPUT_DATA!$A:$A,$C54,INPUT_DATA!$C:$C,"D"))</f>
        <v/>
      </c>
      <c r="AP54" s="338" t="str">
        <f t="shared" si="8"/>
        <v/>
      </c>
      <c r="AQ54" s="149"/>
      <c r="AS54" s="338" t="str">
        <f t="shared" si="9"/>
        <v/>
      </c>
      <c r="AU54" s="361" t="str">
        <f>IF($C54=0,"",'03 - Monthly Asset Follow up'!F58+'03 - Monthly Asset Follow up'!G58-'03 - Monthly Asset Follow up'!V58+'03 - Monthly Asset Follow up'!Y58-H54)</f>
        <v/>
      </c>
      <c r="AV54" s="361" t="str">
        <f>IF($C54=0,"",'03 - Monthly Asset Follow up'!BE58+'03 - Monthly Asset Follow up'!BF58-'03 - Monthly Asset Follow up'!BU58+'03 - Monthly Asset Follow up'!BX58-AA54)</f>
        <v/>
      </c>
      <c r="AX54" s="154"/>
    </row>
    <row r="55" spans="2:50">
      <c r="B55" s="730" t="str">
        <f t="shared" si="4"/>
        <v/>
      </c>
      <c r="C55" s="733">
        <f>'03 - Monthly Asset Follow up'!B59</f>
        <v>0</v>
      </c>
      <c r="D55" s="149"/>
      <c r="E55" s="726" t="str">
        <f>IF($C55=0,"",SUMIFS(INPUT_DATA!AV:AV,INPUT_DATA!$A:$A,$C55,INPUT_DATA!$C:$C,"S"))</f>
        <v/>
      </c>
      <c r="F55" s="738" t="str">
        <f>IF($C55=0,"",SUMIFS(INPUT_DATA!AW:AW,INPUT_DATA!$A:$A,$C55,INPUT_DATA!$C:$C,"S"))</f>
        <v/>
      </c>
      <c r="G55" s="738" t="str">
        <f>IF($C55=0,"",SUMIFS(INPUT_DATA!AX:AX,INPUT_DATA!$A:$A,$C55,INPUT_DATA!$C:$C,"S"))</f>
        <v/>
      </c>
      <c r="H55" s="740" t="str">
        <f t="shared" si="0"/>
        <v/>
      </c>
      <c r="I55" s="738" t="str">
        <f>IF($C55=0,"",SUMIFS(INPUT_DATA!AZ:AZ,INPUT_DATA!$A:$A,$C55,INPUT_DATA!$C:$C,"S"))</f>
        <v/>
      </c>
      <c r="J55" s="738" t="str">
        <f>IF($C55=0,"",SUMIFS(INPUT_DATA!BA:BA,INPUT_DATA!$A:$A,$C55,INPUT_DATA!$C:$C,"S"))</f>
        <v/>
      </c>
      <c r="K55" s="738" t="str">
        <f>IF($C55=0,"",SUMIFS(INPUT_DATA!BB:BB,INPUT_DATA!$A:$A,$C55,INPUT_DATA!$C:$C,"S"))</f>
        <v/>
      </c>
      <c r="L55" s="738" t="str">
        <f>IF($C55=0,"",SUMIFS(INPUT_DATA!BC:BC,INPUT_DATA!$A:$A,$C55,INPUT_DATA!$C:$C,"S"))</f>
        <v/>
      </c>
      <c r="M55" s="738" t="str">
        <f>IF($C55=0,"",SUMIFS(INPUT_DATA!BD:BD,INPUT_DATA!$A:$A,$C55,INPUT_DATA!$C:$C,"S"))</f>
        <v/>
      </c>
      <c r="N55" s="738" t="str">
        <f>IF($C55=0,"",SUMIFS(INPUT_DATA!BE:BE,INPUT_DATA!$A:$A,$C55,INPUT_DATA!$C:$C,"S"))</f>
        <v/>
      </c>
      <c r="O55" s="738" t="str">
        <f>IF($C55=0,"",SUMIFS(INPUT_DATA!BF:BF,INPUT_DATA!$A:$A,$C55,INPUT_DATA!$C:$C,"S"))</f>
        <v/>
      </c>
      <c r="P55" s="738" t="str">
        <f>IF($C55=0,"",SUMIFS(INPUT_DATA!BG:BG,INPUT_DATA!$A:$A,$C55,INPUT_DATA!$C:$C,"S"))</f>
        <v/>
      </c>
      <c r="Q55" s="744" t="str">
        <f t="shared" si="5"/>
        <v/>
      </c>
      <c r="R55" s="746" t="str">
        <f>IF($C55=0,"",SUMIFS(INPUT_DATA!BI:BI,INPUT_DATA!$A:$A,$C55,INPUT_DATA!$C:$C,"S"))</f>
        <v/>
      </c>
      <c r="S55" s="746" t="str">
        <f>IF($C55=0,"",SUMIFS(INPUT_DATA!BJ:BJ,INPUT_DATA!$A:$A,$C55,INPUT_DATA!$C:$C,"S"))</f>
        <v/>
      </c>
      <c r="T55" s="744" t="str">
        <f t="shared" si="6"/>
        <v/>
      </c>
      <c r="U55" s="749" t="str">
        <f>IF($C55=0,"",SUMIFS(INPUT_DATA!BM:BM,INPUT_DATA!$A:$A,$C55,INPUT_DATA!$C:$C,"S"))</f>
        <v/>
      </c>
      <c r="V55" s="155" t="str">
        <f t="shared" si="1"/>
        <v/>
      </c>
      <c r="W55" s="149"/>
      <c r="X55" s="726" t="str">
        <f>IF($C55=0,"",SUMIFS(INPUT_DATA!AV:AV,INPUT_DATA!$A:$A,$C55,INPUT_DATA!$C:$C,"D"))</f>
        <v/>
      </c>
      <c r="Y55" s="738" t="str">
        <f>IF($C55=0,"",SUMIFS(INPUT_DATA!AW:AW,INPUT_DATA!$A:$A,$C55,INPUT_DATA!$C:$C,"D"))</f>
        <v/>
      </c>
      <c r="Z55" s="738" t="str">
        <f>IF($C55=0,"",SUMIFS(INPUT_DATA!AX:AX,INPUT_DATA!$A:$A,$C55,INPUT_DATA!$C:$C,"D"))</f>
        <v/>
      </c>
      <c r="AA55" s="739" t="str">
        <f t="shared" si="2"/>
        <v/>
      </c>
      <c r="AB55" s="738" t="str">
        <f>IF($C55=0,"",SUMIFS(INPUT_DATA!AZ:AZ,INPUT_DATA!$A:$A,$C55,INPUT_DATA!$C:$C,"D"))</f>
        <v/>
      </c>
      <c r="AC55" s="738" t="str">
        <f>IF($C55=0,"",SUMIFS(INPUT_DATA!BA:BA,INPUT_DATA!$A:$A,$C55,INPUT_DATA!$C:$C,"D"))</f>
        <v/>
      </c>
      <c r="AD55" s="738" t="str">
        <f>IF($C55=0,"",SUMIFS(INPUT_DATA!BB:BB,INPUT_DATA!$A:$A,$C55,INPUT_DATA!$C:$C,"D"))</f>
        <v/>
      </c>
      <c r="AE55" s="738" t="str">
        <f>IF($C55=0,"",SUMIFS(INPUT_DATA!BC:BC,INPUT_DATA!$A:$A,$C55,INPUT_DATA!$C:$C,"D"))</f>
        <v/>
      </c>
      <c r="AF55" s="738" t="str">
        <f>IF($C55=0,"",SUMIFS(INPUT_DATA!BD:BD,INPUT_DATA!$A:$A,$C55,INPUT_DATA!$C:$C,"D"))</f>
        <v/>
      </c>
      <c r="AG55" s="738" t="str">
        <f>IF($C55=0,"",SUMIFS(INPUT_DATA!BE:BE,INPUT_DATA!$A:$A,$C55,INPUT_DATA!$C:$C,"D"))</f>
        <v/>
      </c>
      <c r="AH55" s="738" t="str">
        <f>IF($C55=0,"",SUMIFS(INPUT_DATA!BF:BF,INPUT_DATA!$A:$A,$C55,INPUT_DATA!$C:$C,"D"))</f>
        <v/>
      </c>
      <c r="AI55" s="738" t="str">
        <f>IF($C55=0,"",SUMIFS(INPUT_DATA!BG:BG,INPUT_DATA!$A:$A,$C55,INPUT_DATA!$C:$C,"D"))</f>
        <v/>
      </c>
      <c r="AJ55" s="299" t="str">
        <f t="shared" si="3"/>
        <v/>
      </c>
      <c r="AK55" s="746" t="str">
        <f>IF($C55=0,"",SUMIFS(INPUT_DATA!BI:BI,INPUT_DATA!$A:$A,$C55,INPUT_DATA!$C:$C,"D"))</f>
        <v/>
      </c>
      <c r="AL55" s="746" t="str">
        <f>IF($C55=0,"",SUMIFS(INPUT_DATA!BJ:BJ,INPUT_DATA!$A:$A,$C55,INPUT_DATA!$C:$C,"D"))</f>
        <v/>
      </c>
      <c r="AM55" s="746" t="str">
        <f>IF($C55=0,"",SUMIFS(INPUT_DATA!BK:BK,INPUT_DATA!$A:$A,$C55,INPUT_DATA!$C:$C,"D"))</f>
        <v/>
      </c>
      <c r="AN55" s="744" t="str">
        <f t="shared" si="7"/>
        <v/>
      </c>
      <c r="AO55" s="749" t="str">
        <f>IF($C55=0,"",SUMIFS(INPUT_DATA!BM:BM,INPUT_DATA!$A:$A,$C55,INPUT_DATA!$C:$C,"D"))</f>
        <v/>
      </c>
      <c r="AP55" s="338" t="str">
        <f t="shared" si="8"/>
        <v/>
      </c>
      <c r="AQ55" s="149"/>
      <c r="AS55" s="338" t="str">
        <f t="shared" si="9"/>
        <v/>
      </c>
      <c r="AU55" s="361" t="str">
        <f>IF($C55=0,"",'03 - Monthly Asset Follow up'!F59+'03 - Monthly Asset Follow up'!G59-'03 - Monthly Asset Follow up'!V59+'03 - Monthly Asset Follow up'!Y59-H55)</f>
        <v/>
      </c>
      <c r="AV55" s="361" t="str">
        <f>IF($C55=0,"",'03 - Monthly Asset Follow up'!BE59+'03 - Monthly Asset Follow up'!BF59-'03 - Monthly Asset Follow up'!BU59+'03 - Monthly Asset Follow up'!BX59-AA55)</f>
        <v/>
      </c>
      <c r="AX55" s="154"/>
    </row>
    <row r="56" spans="2:50">
      <c r="B56" s="730" t="str">
        <f t="shared" si="4"/>
        <v/>
      </c>
      <c r="C56" s="733">
        <f>'03 - Monthly Asset Follow up'!B60</f>
        <v>0</v>
      </c>
      <c r="D56" s="149"/>
      <c r="E56" s="726" t="str">
        <f>IF($C56=0,"",SUMIFS(INPUT_DATA!AV:AV,INPUT_DATA!$A:$A,$C56,INPUT_DATA!$C:$C,"S"))</f>
        <v/>
      </c>
      <c r="F56" s="738" t="str">
        <f>IF($C56=0,"",SUMIFS(INPUT_DATA!AW:AW,INPUT_DATA!$A:$A,$C56,INPUT_DATA!$C:$C,"S"))</f>
        <v/>
      </c>
      <c r="G56" s="738" t="str">
        <f>IF($C56=0,"",SUMIFS(INPUT_DATA!AX:AX,INPUT_DATA!$A:$A,$C56,INPUT_DATA!$C:$C,"S"))</f>
        <v/>
      </c>
      <c r="H56" s="740" t="str">
        <f t="shared" si="0"/>
        <v/>
      </c>
      <c r="I56" s="738" t="str">
        <f>IF($C56=0,"",SUMIFS(INPUT_DATA!AZ:AZ,INPUT_DATA!$A:$A,$C56,INPUT_DATA!$C:$C,"S"))</f>
        <v/>
      </c>
      <c r="J56" s="738" t="str">
        <f>IF($C56=0,"",SUMIFS(INPUT_DATA!BA:BA,INPUT_DATA!$A:$A,$C56,INPUT_DATA!$C:$C,"S"))</f>
        <v/>
      </c>
      <c r="K56" s="738" t="str">
        <f>IF($C56=0,"",SUMIFS(INPUT_DATA!BB:BB,INPUT_DATA!$A:$A,$C56,INPUT_DATA!$C:$C,"S"))</f>
        <v/>
      </c>
      <c r="L56" s="738" t="str">
        <f>IF($C56=0,"",SUMIFS(INPUT_DATA!BC:BC,INPUT_DATA!$A:$A,$C56,INPUT_DATA!$C:$C,"S"))</f>
        <v/>
      </c>
      <c r="M56" s="738" t="str">
        <f>IF($C56=0,"",SUMIFS(INPUT_DATA!BD:BD,INPUT_DATA!$A:$A,$C56,INPUT_DATA!$C:$C,"S"))</f>
        <v/>
      </c>
      <c r="N56" s="738" t="str">
        <f>IF($C56=0,"",SUMIFS(INPUT_DATA!BE:BE,INPUT_DATA!$A:$A,$C56,INPUT_DATA!$C:$C,"S"))</f>
        <v/>
      </c>
      <c r="O56" s="738" t="str">
        <f>IF($C56=0,"",SUMIFS(INPUT_DATA!BF:BF,INPUT_DATA!$A:$A,$C56,INPUT_DATA!$C:$C,"S"))</f>
        <v/>
      </c>
      <c r="P56" s="738" t="str">
        <f>IF($C56=0,"",SUMIFS(INPUT_DATA!BG:BG,INPUT_DATA!$A:$A,$C56,INPUT_DATA!$C:$C,"S"))</f>
        <v/>
      </c>
      <c r="Q56" s="744" t="str">
        <f t="shared" si="5"/>
        <v/>
      </c>
      <c r="R56" s="746" t="str">
        <f>IF($C56=0,"",SUMIFS(INPUT_DATA!BI:BI,INPUT_DATA!$A:$A,$C56,INPUT_DATA!$C:$C,"S"))</f>
        <v/>
      </c>
      <c r="S56" s="746" t="str">
        <f>IF($C56=0,"",SUMIFS(INPUT_DATA!BJ:BJ,INPUT_DATA!$A:$A,$C56,INPUT_DATA!$C:$C,"S"))</f>
        <v/>
      </c>
      <c r="T56" s="744" t="str">
        <f t="shared" si="6"/>
        <v/>
      </c>
      <c r="U56" s="749" t="str">
        <f>IF($C56=0,"",SUMIFS(INPUT_DATA!BM:BM,INPUT_DATA!$A:$A,$C56,INPUT_DATA!$C:$C,"S"))</f>
        <v/>
      </c>
      <c r="V56" s="155" t="str">
        <f t="shared" si="1"/>
        <v/>
      </c>
      <c r="W56" s="149"/>
      <c r="X56" s="726" t="str">
        <f>IF($C56=0,"",SUMIFS(INPUT_DATA!AV:AV,INPUT_DATA!$A:$A,$C56,INPUT_DATA!$C:$C,"D"))</f>
        <v/>
      </c>
      <c r="Y56" s="738" t="str">
        <f>IF($C56=0,"",SUMIFS(INPUT_DATA!AW:AW,INPUT_DATA!$A:$A,$C56,INPUT_DATA!$C:$C,"D"))</f>
        <v/>
      </c>
      <c r="Z56" s="738" t="str">
        <f>IF($C56=0,"",SUMIFS(INPUT_DATA!AX:AX,INPUT_DATA!$A:$A,$C56,INPUT_DATA!$C:$C,"D"))</f>
        <v/>
      </c>
      <c r="AA56" s="739" t="str">
        <f t="shared" si="2"/>
        <v/>
      </c>
      <c r="AB56" s="738" t="str">
        <f>IF($C56=0,"",SUMIFS(INPUT_DATA!AZ:AZ,INPUT_DATA!$A:$A,$C56,INPUT_DATA!$C:$C,"D"))</f>
        <v/>
      </c>
      <c r="AC56" s="738" t="str">
        <f>IF($C56=0,"",SUMIFS(INPUT_DATA!BA:BA,INPUT_DATA!$A:$A,$C56,INPUT_DATA!$C:$C,"D"))</f>
        <v/>
      </c>
      <c r="AD56" s="738" t="str">
        <f>IF($C56=0,"",SUMIFS(INPUT_DATA!BB:BB,INPUT_DATA!$A:$A,$C56,INPUT_DATA!$C:$C,"D"))</f>
        <v/>
      </c>
      <c r="AE56" s="738" t="str">
        <f>IF($C56=0,"",SUMIFS(INPUT_DATA!BC:BC,INPUT_DATA!$A:$A,$C56,INPUT_DATA!$C:$C,"D"))</f>
        <v/>
      </c>
      <c r="AF56" s="738" t="str">
        <f>IF($C56=0,"",SUMIFS(INPUT_DATA!BD:BD,INPUT_DATA!$A:$A,$C56,INPUT_DATA!$C:$C,"D"))</f>
        <v/>
      </c>
      <c r="AG56" s="738" t="str">
        <f>IF($C56=0,"",SUMIFS(INPUT_DATA!BE:BE,INPUT_DATA!$A:$A,$C56,INPUT_DATA!$C:$C,"D"))</f>
        <v/>
      </c>
      <c r="AH56" s="738" t="str">
        <f>IF($C56=0,"",SUMIFS(INPUT_DATA!BF:BF,INPUT_DATA!$A:$A,$C56,INPUT_DATA!$C:$C,"D"))</f>
        <v/>
      </c>
      <c r="AI56" s="738" t="str">
        <f>IF($C56=0,"",SUMIFS(INPUT_DATA!BG:BG,INPUT_DATA!$A:$A,$C56,INPUT_DATA!$C:$C,"D"))</f>
        <v/>
      </c>
      <c r="AJ56" s="299" t="str">
        <f t="shared" si="3"/>
        <v/>
      </c>
      <c r="AK56" s="746" t="str">
        <f>IF($C56=0,"",SUMIFS(INPUT_DATA!BI:BI,INPUT_DATA!$A:$A,$C56,INPUT_DATA!$C:$C,"D"))</f>
        <v/>
      </c>
      <c r="AL56" s="746" t="str">
        <f>IF($C56=0,"",SUMIFS(INPUT_DATA!BJ:BJ,INPUT_DATA!$A:$A,$C56,INPUT_DATA!$C:$C,"D"))</f>
        <v/>
      </c>
      <c r="AM56" s="746" t="str">
        <f>IF($C56=0,"",SUMIFS(INPUT_DATA!BK:BK,INPUT_DATA!$A:$A,$C56,INPUT_DATA!$C:$C,"D"))</f>
        <v/>
      </c>
      <c r="AN56" s="744" t="str">
        <f t="shared" si="7"/>
        <v/>
      </c>
      <c r="AO56" s="749" t="str">
        <f>IF($C56=0,"",SUMIFS(INPUT_DATA!BM:BM,INPUT_DATA!$A:$A,$C56,INPUT_DATA!$C:$C,"D"))</f>
        <v/>
      </c>
      <c r="AP56" s="338" t="str">
        <f t="shared" si="8"/>
        <v/>
      </c>
      <c r="AQ56" s="149"/>
      <c r="AS56" s="338" t="str">
        <f t="shared" si="9"/>
        <v/>
      </c>
      <c r="AU56" s="361" t="str">
        <f>IF($C56=0,"",'03 - Monthly Asset Follow up'!F60+'03 - Monthly Asset Follow up'!G60-'03 - Monthly Asset Follow up'!V60+'03 - Monthly Asset Follow up'!Y60-H56)</f>
        <v/>
      </c>
      <c r="AV56" s="361" t="str">
        <f>IF($C56=0,"",'03 - Monthly Asset Follow up'!BE60+'03 - Monthly Asset Follow up'!BF60-'03 - Monthly Asset Follow up'!BU60+'03 - Monthly Asset Follow up'!BX60-AA56)</f>
        <v/>
      </c>
      <c r="AX56" s="154"/>
    </row>
    <row r="57" spans="2:50">
      <c r="B57" s="730" t="str">
        <f t="shared" si="4"/>
        <v/>
      </c>
      <c r="C57" s="733">
        <f>'03 - Monthly Asset Follow up'!B61</f>
        <v>0</v>
      </c>
      <c r="D57" s="149"/>
      <c r="E57" s="726" t="str">
        <f>IF($C57=0,"",SUMIFS(INPUT_DATA!AV:AV,INPUT_DATA!$A:$A,$C57,INPUT_DATA!$C:$C,"S"))</f>
        <v/>
      </c>
      <c r="F57" s="738" t="str">
        <f>IF($C57=0,"",SUMIFS(INPUT_DATA!AW:AW,INPUT_DATA!$A:$A,$C57,INPUT_DATA!$C:$C,"S"))</f>
        <v/>
      </c>
      <c r="G57" s="738" t="str">
        <f>IF($C57=0,"",SUMIFS(INPUT_DATA!AX:AX,INPUT_DATA!$A:$A,$C57,INPUT_DATA!$C:$C,"S"))</f>
        <v/>
      </c>
      <c r="H57" s="740" t="str">
        <f t="shared" si="0"/>
        <v/>
      </c>
      <c r="I57" s="738" t="str">
        <f>IF($C57=0,"",SUMIFS(INPUT_DATA!AZ:AZ,INPUT_DATA!$A:$A,$C57,INPUT_DATA!$C:$C,"S"))</f>
        <v/>
      </c>
      <c r="J57" s="738" t="str">
        <f>IF($C57=0,"",SUMIFS(INPUT_DATA!BA:BA,INPUT_DATA!$A:$A,$C57,INPUT_DATA!$C:$C,"S"))</f>
        <v/>
      </c>
      <c r="K57" s="738" t="str">
        <f>IF($C57=0,"",SUMIFS(INPUT_DATA!BB:BB,INPUT_DATA!$A:$A,$C57,INPUT_DATA!$C:$C,"S"))</f>
        <v/>
      </c>
      <c r="L57" s="738" t="str">
        <f>IF($C57=0,"",SUMIFS(INPUT_DATA!BC:BC,INPUT_DATA!$A:$A,$C57,INPUT_DATA!$C:$C,"S"))</f>
        <v/>
      </c>
      <c r="M57" s="738" t="str">
        <f>IF($C57=0,"",SUMIFS(INPUT_DATA!BD:BD,INPUT_DATA!$A:$A,$C57,INPUT_DATA!$C:$C,"S"))</f>
        <v/>
      </c>
      <c r="N57" s="738" t="str">
        <f>IF($C57=0,"",SUMIFS(INPUT_DATA!BE:BE,INPUT_DATA!$A:$A,$C57,INPUT_DATA!$C:$C,"S"))</f>
        <v/>
      </c>
      <c r="O57" s="738" t="str">
        <f>IF($C57=0,"",SUMIFS(INPUT_DATA!BF:BF,INPUT_DATA!$A:$A,$C57,INPUT_DATA!$C:$C,"S"))</f>
        <v/>
      </c>
      <c r="P57" s="738" t="str">
        <f>IF($C57=0,"",SUMIFS(INPUT_DATA!BG:BG,INPUT_DATA!$A:$A,$C57,INPUT_DATA!$C:$C,"S"))</f>
        <v/>
      </c>
      <c r="Q57" s="744" t="str">
        <f t="shared" si="5"/>
        <v/>
      </c>
      <c r="R57" s="746" t="str">
        <f>IF($C57=0,"",SUMIFS(INPUT_DATA!BI:BI,INPUT_DATA!$A:$A,$C57,INPUT_DATA!$C:$C,"S"))</f>
        <v/>
      </c>
      <c r="S57" s="746" t="str">
        <f>IF($C57=0,"",SUMIFS(INPUT_DATA!BJ:BJ,INPUT_DATA!$A:$A,$C57,INPUT_DATA!$C:$C,"S"))</f>
        <v/>
      </c>
      <c r="T57" s="744" t="str">
        <f t="shared" si="6"/>
        <v/>
      </c>
      <c r="U57" s="749" t="str">
        <f>IF($C57=0,"",SUMIFS(INPUT_DATA!BM:BM,INPUT_DATA!$A:$A,$C57,INPUT_DATA!$C:$C,"S"))</f>
        <v/>
      </c>
      <c r="V57" s="155" t="str">
        <f t="shared" si="1"/>
        <v/>
      </c>
      <c r="W57" s="149"/>
      <c r="X57" s="726" t="str">
        <f>IF($C57=0,"",SUMIFS(INPUT_DATA!AV:AV,INPUT_DATA!$A:$A,$C57,INPUT_DATA!$C:$C,"D"))</f>
        <v/>
      </c>
      <c r="Y57" s="738" t="str">
        <f>IF($C57=0,"",SUMIFS(INPUT_DATA!AW:AW,INPUT_DATA!$A:$A,$C57,INPUT_DATA!$C:$C,"D"))</f>
        <v/>
      </c>
      <c r="Z57" s="738" t="str">
        <f>IF($C57=0,"",SUMIFS(INPUT_DATA!AX:AX,INPUT_DATA!$A:$A,$C57,INPUT_DATA!$C:$C,"D"))</f>
        <v/>
      </c>
      <c r="AA57" s="739" t="str">
        <f t="shared" si="2"/>
        <v/>
      </c>
      <c r="AB57" s="738" t="str">
        <f>IF($C57=0,"",SUMIFS(INPUT_DATA!AZ:AZ,INPUT_DATA!$A:$A,$C57,INPUT_DATA!$C:$C,"D"))</f>
        <v/>
      </c>
      <c r="AC57" s="738" t="str">
        <f>IF($C57=0,"",SUMIFS(INPUT_DATA!BA:BA,INPUT_DATA!$A:$A,$C57,INPUT_DATA!$C:$C,"D"))</f>
        <v/>
      </c>
      <c r="AD57" s="738" t="str">
        <f>IF($C57=0,"",SUMIFS(INPUT_DATA!BB:BB,INPUT_DATA!$A:$A,$C57,INPUT_DATA!$C:$C,"D"))</f>
        <v/>
      </c>
      <c r="AE57" s="738" t="str">
        <f>IF($C57=0,"",SUMIFS(INPUT_DATA!BC:BC,INPUT_DATA!$A:$A,$C57,INPUT_DATA!$C:$C,"D"))</f>
        <v/>
      </c>
      <c r="AF57" s="738" t="str">
        <f>IF($C57=0,"",SUMIFS(INPUT_DATA!BD:BD,INPUT_DATA!$A:$A,$C57,INPUT_DATA!$C:$C,"D"))</f>
        <v/>
      </c>
      <c r="AG57" s="738" t="str">
        <f>IF($C57=0,"",SUMIFS(INPUT_DATA!BE:BE,INPUT_DATA!$A:$A,$C57,INPUT_DATA!$C:$C,"D"))</f>
        <v/>
      </c>
      <c r="AH57" s="738" t="str">
        <f>IF($C57=0,"",SUMIFS(INPUT_DATA!BF:BF,INPUT_DATA!$A:$A,$C57,INPUT_DATA!$C:$C,"D"))</f>
        <v/>
      </c>
      <c r="AI57" s="738" t="str">
        <f>IF($C57=0,"",SUMIFS(INPUT_DATA!BG:BG,INPUT_DATA!$A:$A,$C57,INPUT_DATA!$C:$C,"D"))</f>
        <v/>
      </c>
      <c r="AJ57" s="299" t="str">
        <f t="shared" si="3"/>
        <v/>
      </c>
      <c r="AK57" s="746" t="str">
        <f>IF($C57=0,"",SUMIFS(INPUT_DATA!BI:BI,INPUT_DATA!$A:$A,$C57,INPUT_DATA!$C:$C,"D"))</f>
        <v/>
      </c>
      <c r="AL57" s="746" t="str">
        <f>IF($C57=0,"",SUMIFS(INPUT_DATA!BJ:BJ,INPUT_DATA!$A:$A,$C57,INPUT_DATA!$C:$C,"D"))</f>
        <v/>
      </c>
      <c r="AM57" s="746" t="str">
        <f>IF($C57=0,"",SUMIFS(INPUT_DATA!BK:BK,INPUT_DATA!$A:$A,$C57,INPUT_DATA!$C:$C,"D"))</f>
        <v/>
      </c>
      <c r="AN57" s="744" t="str">
        <f t="shared" si="7"/>
        <v/>
      </c>
      <c r="AO57" s="749" t="str">
        <f>IF($C57=0,"",SUMIFS(INPUT_DATA!BM:BM,INPUT_DATA!$A:$A,$C57,INPUT_DATA!$C:$C,"D"))</f>
        <v/>
      </c>
      <c r="AP57" s="338" t="str">
        <f t="shared" si="8"/>
        <v/>
      </c>
      <c r="AQ57" s="149"/>
      <c r="AS57" s="338" t="str">
        <f t="shared" si="9"/>
        <v/>
      </c>
      <c r="AU57" s="361" t="str">
        <f>IF($C57=0,"",'03 - Monthly Asset Follow up'!F61+'03 - Monthly Asset Follow up'!G61-'03 - Monthly Asset Follow up'!V61+'03 - Monthly Asset Follow up'!Y61-H57)</f>
        <v/>
      </c>
      <c r="AV57" s="361" t="str">
        <f>IF($C57=0,"",'03 - Monthly Asset Follow up'!BE61+'03 - Monthly Asset Follow up'!BF61-'03 - Monthly Asset Follow up'!BU61+'03 - Monthly Asset Follow up'!BX61-AA57)</f>
        <v/>
      </c>
      <c r="AX57" s="154"/>
    </row>
    <row r="58" spans="2:50">
      <c r="B58" s="730" t="str">
        <f t="shared" si="4"/>
        <v/>
      </c>
      <c r="C58" s="733">
        <f>'03 - Monthly Asset Follow up'!B62</f>
        <v>0</v>
      </c>
      <c r="D58" s="149"/>
      <c r="E58" s="726" t="str">
        <f>IF($C58=0,"",SUMIFS(INPUT_DATA!AV:AV,INPUT_DATA!$A:$A,$C58,INPUT_DATA!$C:$C,"S"))</f>
        <v/>
      </c>
      <c r="F58" s="738" t="str">
        <f>IF($C58=0,"",SUMIFS(INPUT_DATA!AW:AW,INPUT_DATA!$A:$A,$C58,INPUT_DATA!$C:$C,"S"))</f>
        <v/>
      </c>
      <c r="G58" s="738" t="str">
        <f>IF($C58=0,"",SUMIFS(INPUT_DATA!AX:AX,INPUT_DATA!$A:$A,$C58,INPUT_DATA!$C:$C,"S"))</f>
        <v/>
      </c>
      <c r="H58" s="740" t="str">
        <f t="shared" si="0"/>
        <v/>
      </c>
      <c r="I58" s="738" t="str">
        <f>IF($C58=0,"",SUMIFS(INPUT_DATA!AZ:AZ,INPUT_DATA!$A:$A,$C58,INPUT_DATA!$C:$C,"S"))</f>
        <v/>
      </c>
      <c r="J58" s="738" t="str">
        <f>IF($C58=0,"",SUMIFS(INPUT_DATA!BA:BA,INPUT_DATA!$A:$A,$C58,INPUT_DATA!$C:$C,"S"))</f>
        <v/>
      </c>
      <c r="K58" s="738" t="str">
        <f>IF($C58=0,"",SUMIFS(INPUT_DATA!BB:BB,INPUT_DATA!$A:$A,$C58,INPUT_DATA!$C:$C,"S"))</f>
        <v/>
      </c>
      <c r="L58" s="738" t="str">
        <f>IF($C58=0,"",SUMIFS(INPUT_DATA!BC:BC,INPUT_DATA!$A:$A,$C58,INPUT_DATA!$C:$C,"S"))</f>
        <v/>
      </c>
      <c r="M58" s="738" t="str">
        <f>IF($C58=0,"",SUMIFS(INPUT_DATA!BD:BD,INPUT_DATA!$A:$A,$C58,INPUT_DATA!$C:$C,"S"))</f>
        <v/>
      </c>
      <c r="N58" s="738" t="str">
        <f>IF($C58=0,"",SUMIFS(INPUT_DATA!BE:BE,INPUT_DATA!$A:$A,$C58,INPUT_DATA!$C:$C,"S"))</f>
        <v/>
      </c>
      <c r="O58" s="738" t="str">
        <f>IF($C58=0,"",SUMIFS(INPUT_DATA!BF:BF,INPUT_DATA!$A:$A,$C58,INPUT_DATA!$C:$C,"S"))</f>
        <v/>
      </c>
      <c r="P58" s="738" t="str">
        <f>IF($C58=0,"",SUMIFS(INPUT_DATA!BG:BG,INPUT_DATA!$A:$A,$C58,INPUT_DATA!$C:$C,"S"))</f>
        <v/>
      </c>
      <c r="Q58" s="744" t="str">
        <f t="shared" si="5"/>
        <v/>
      </c>
      <c r="R58" s="746" t="str">
        <f>IF($C58=0,"",SUMIFS(INPUT_DATA!BI:BI,INPUT_DATA!$A:$A,$C58,INPUT_DATA!$C:$C,"S"))</f>
        <v/>
      </c>
      <c r="S58" s="746" t="str">
        <f>IF($C58=0,"",SUMIFS(INPUT_DATA!BJ:BJ,INPUT_DATA!$A:$A,$C58,INPUT_DATA!$C:$C,"S"))</f>
        <v/>
      </c>
      <c r="T58" s="744" t="str">
        <f t="shared" si="6"/>
        <v/>
      </c>
      <c r="U58" s="749" t="str">
        <f>IF($C58=0,"",SUMIFS(INPUT_DATA!BM:BM,INPUT_DATA!$A:$A,$C58,INPUT_DATA!$C:$C,"S"))</f>
        <v/>
      </c>
      <c r="V58" s="155" t="str">
        <f t="shared" si="1"/>
        <v/>
      </c>
      <c r="W58" s="149"/>
      <c r="X58" s="726" t="str">
        <f>IF($C58=0,"",SUMIFS(INPUT_DATA!AV:AV,INPUT_DATA!$A:$A,$C58,INPUT_DATA!$C:$C,"D"))</f>
        <v/>
      </c>
      <c r="Y58" s="738" t="str">
        <f>IF($C58=0,"",SUMIFS(INPUT_DATA!AW:AW,INPUT_DATA!$A:$A,$C58,INPUT_DATA!$C:$C,"D"))</f>
        <v/>
      </c>
      <c r="Z58" s="738" t="str">
        <f>IF($C58=0,"",SUMIFS(INPUT_DATA!AX:AX,INPUT_DATA!$A:$A,$C58,INPUT_DATA!$C:$C,"D"))</f>
        <v/>
      </c>
      <c r="AA58" s="739" t="str">
        <f t="shared" si="2"/>
        <v/>
      </c>
      <c r="AB58" s="738" t="str">
        <f>IF($C58=0,"",SUMIFS(INPUT_DATA!AZ:AZ,INPUT_DATA!$A:$A,$C58,INPUT_DATA!$C:$C,"D"))</f>
        <v/>
      </c>
      <c r="AC58" s="738" t="str">
        <f>IF($C58=0,"",SUMIFS(INPUT_DATA!BA:BA,INPUT_DATA!$A:$A,$C58,INPUT_DATA!$C:$C,"D"))</f>
        <v/>
      </c>
      <c r="AD58" s="738" t="str">
        <f>IF($C58=0,"",SUMIFS(INPUT_DATA!BB:BB,INPUT_DATA!$A:$A,$C58,INPUT_DATA!$C:$C,"D"))</f>
        <v/>
      </c>
      <c r="AE58" s="738" t="str">
        <f>IF($C58=0,"",SUMIFS(INPUT_DATA!BC:BC,INPUT_DATA!$A:$A,$C58,INPUT_DATA!$C:$C,"D"))</f>
        <v/>
      </c>
      <c r="AF58" s="738" t="str">
        <f>IF($C58=0,"",SUMIFS(INPUT_DATA!BD:BD,INPUT_DATA!$A:$A,$C58,INPUT_DATA!$C:$C,"D"))</f>
        <v/>
      </c>
      <c r="AG58" s="738" t="str">
        <f>IF($C58=0,"",SUMIFS(INPUT_DATA!BE:BE,INPUT_DATA!$A:$A,$C58,INPUT_DATA!$C:$C,"D"))</f>
        <v/>
      </c>
      <c r="AH58" s="738" t="str">
        <f>IF($C58=0,"",SUMIFS(INPUT_DATA!BF:BF,INPUT_DATA!$A:$A,$C58,INPUT_DATA!$C:$C,"D"))</f>
        <v/>
      </c>
      <c r="AI58" s="738" t="str">
        <f>IF($C58=0,"",SUMIFS(INPUT_DATA!BG:BG,INPUT_DATA!$A:$A,$C58,INPUT_DATA!$C:$C,"D"))</f>
        <v/>
      </c>
      <c r="AJ58" s="299" t="str">
        <f t="shared" si="3"/>
        <v/>
      </c>
      <c r="AK58" s="746" t="str">
        <f>IF($C58=0,"",SUMIFS(INPUT_DATA!BI:BI,INPUT_DATA!$A:$A,$C58,INPUT_DATA!$C:$C,"D"))</f>
        <v/>
      </c>
      <c r="AL58" s="746" t="str">
        <f>IF($C58=0,"",SUMIFS(INPUT_DATA!BJ:BJ,INPUT_DATA!$A:$A,$C58,INPUT_DATA!$C:$C,"D"))</f>
        <v/>
      </c>
      <c r="AM58" s="746" t="str">
        <f>IF($C58=0,"",SUMIFS(INPUT_DATA!BK:BK,INPUT_DATA!$A:$A,$C58,INPUT_DATA!$C:$C,"D"))</f>
        <v/>
      </c>
      <c r="AN58" s="744" t="str">
        <f t="shared" si="7"/>
        <v/>
      </c>
      <c r="AO58" s="749" t="str">
        <f>IF($C58=0,"",SUMIFS(INPUT_DATA!BM:BM,INPUT_DATA!$A:$A,$C58,INPUT_DATA!$C:$C,"D"))</f>
        <v/>
      </c>
      <c r="AP58" s="338" t="str">
        <f t="shared" si="8"/>
        <v/>
      </c>
      <c r="AQ58" s="149"/>
      <c r="AS58" s="338" t="str">
        <f t="shared" si="9"/>
        <v/>
      </c>
      <c r="AU58" s="361" t="str">
        <f>IF($C58=0,"",'03 - Monthly Asset Follow up'!F62+'03 - Monthly Asset Follow up'!G62-'03 - Monthly Asset Follow up'!V62+'03 - Monthly Asset Follow up'!Y62-H58)</f>
        <v/>
      </c>
      <c r="AV58" s="361" t="str">
        <f>IF($C58=0,"",'03 - Monthly Asset Follow up'!BE62+'03 - Monthly Asset Follow up'!BF62-'03 - Monthly Asset Follow up'!BU62+'03 - Monthly Asset Follow up'!BX62-AA58)</f>
        <v/>
      </c>
      <c r="AX58" s="154"/>
    </row>
    <row r="59" spans="2:50">
      <c r="B59" s="730" t="str">
        <f t="shared" si="4"/>
        <v/>
      </c>
      <c r="C59" s="733">
        <f>'03 - Monthly Asset Follow up'!B63</f>
        <v>0</v>
      </c>
      <c r="D59" s="149"/>
      <c r="E59" s="726" t="str">
        <f>IF($C59=0,"",SUMIFS(INPUT_DATA!AV:AV,INPUT_DATA!$A:$A,$C59,INPUT_DATA!$C:$C,"S"))</f>
        <v/>
      </c>
      <c r="F59" s="738" t="str">
        <f>IF($C59=0,"",SUMIFS(INPUT_DATA!AW:AW,INPUT_DATA!$A:$A,$C59,INPUT_DATA!$C:$C,"S"))</f>
        <v/>
      </c>
      <c r="G59" s="738" t="str">
        <f>IF($C59=0,"",SUMIFS(INPUT_DATA!AX:AX,INPUT_DATA!$A:$A,$C59,INPUT_DATA!$C:$C,"S"))</f>
        <v/>
      </c>
      <c r="H59" s="740" t="str">
        <f t="shared" si="0"/>
        <v/>
      </c>
      <c r="I59" s="738" t="str">
        <f>IF($C59=0,"",SUMIFS(INPUT_DATA!AZ:AZ,INPUT_DATA!$A:$A,$C59,INPUT_DATA!$C:$C,"S"))</f>
        <v/>
      </c>
      <c r="J59" s="738" t="str">
        <f>IF($C59=0,"",SUMIFS(INPUT_DATA!BA:BA,INPUT_DATA!$A:$A,$C59,INPUT_DATA!$C:$C,"S"))</f>
        <v/>
      </c>
      <c r="K59" s="738" t="str">
        <f>IF($C59=0,"",SUMIFS(INPUT_DATA!BB:BB,INPUT_DATA!$A:$A,$C59,INPUT_DATA!$C:$C,"S"))</f>
        <v/>
      </c>
      <c r="L59" s="738" t="str">
        <f>IF($C59=0,"",SUMIFS(INPUT_DATA!BC:BC,INPUT_DATA!$A:$A,$C59,INPUT_DATA!$C:$C,"S"))</f>
        <v/>
      </c>
      <c r="M59" s="738" t="str">
        <f>IF($C59=0,"",SUMIFS(INPUT_DATA!BD:BD,INPUT_DATA!$A:$A,$C59,INPUT_DATA!$C:$C,"S"))</f>
        <v/>
      </c>
      <c r="N59" s="738" t="str">
        <f>IF($C59=0,"",SUMIFS(INPUT_DATA!BE:BE,INPUT_DATA!$A:$A,$C59,INPUT_DATA!$C:$C,"S"))</f>
        <v/>
      </c>
      <c r="O59" s="738" t="str">
        <f>IF($C59=0,"",SUMIFS(INPUT_DATA!BF:BF,INPUT_DATA!$A:$A,$C59,INPUT_DATA!$C:$C,"S"))</f>
        <v/>
      </c>
      <c r="P59" s="738" t="str">
        <f>IF($C59=0,"",SUMIFS(INPUT_DATA!BG:BG,INPUT_DATA!$A:$A,$C59,INPUT_DATA!$C:$C,"S"))</f>
        <v/>
      </c>
      <c r="Q59" s="744" t="str">
        <f t="shared" si="5"/>
        <v/>
      </c>
      <c r="R59" s="746" t="str">
        <f>IF($C59=0,"",SUMIFS(INPUT_DATA!BI:BI,INPUT_DATA!$A:$A,$C59,INPUT_DATA!$C:$C,"S"))</f>
        <v/>
      </c>
      <c r="S59" s="746" t="str">
        <f>IF($C59=0,"",SUMIFS(INPUT_DATA!BJ:BJ,INPUT_DATA!$A:$A,$C59,INPUT_DATA!$C:$C,"S"))</f>
        <v/>
      </c>
      <c r="T59" s="744" t="str">
        <f t="shared" si="6"/>
        <v/>
      </c>
      <c r="U59" s="749" t="str">
        <f>IF($C59=0,"",SUMIFS(INPUT_DATA!BM:BM,INPUT_DATA!$A:$A,$C59,INPUT_DATA!$C:$C,"S"))</f>
        <v/>
      </c>
      <c r="V59" s="155" t="str">
        <f t="shared" si="1"/>
        <v/>
      </c>
      <c r="W59" s="149"/>
      <c r="X59" s="726" t="str">
        <f>IF($C59=0,"",SUMIFS(INPUT_DATA!AV:AV,INPUT_DATA!$A:$A,$C59,INPUT_DATA!$C:$C,"D"))</f>
        <v/>
      </c>
      <c r="Y59" s="738" t="str">
        <f>IF($C59=0,"",SUMIFS(INPUT_DATA!AW:AW,INPUT_DATA!$A:$A,$C59,INPUT_DATA!$C:$C,"D"))</f>
        <v/>
      </c>
      <c r="Z59" s="738" t="str">
        <f>IF($C59=0,"",SUMIFS(INPUT_DATA!AX:AX,INPUT_DATA!$A:$A,$C59,INPUT_DATA!$C:$C,"D"))</f>
        <v/>
      </c>
      <c r="AA59" s="739" t="str">
        <f t="shared" si="2"/>
        <v/>
      </c>
      <c r="AB59" s="738" t="str">
        <f>IF($C59=0,"",SUMIFS(INPUT_DATA!AZ:AZ,INPUT_DATA!$A:$A,$C59,INPUT_DATA!$C:$C,"D"))</f>
        <v/>
      </c>
      <c r="AC59" s="738" t="str">
        <f>IF($C59=0,"",SUMIFS(INPUT_DATA!BA:BA,INPUT_DATA!$A:$A,$C59,INPUT_DATA!$C:$C,"D"))</f>
        <v/>
      </c>
      <c r="AD59" s="738" t="str">
        <f>IF($C59=0,"",SUMIFS(INPUT_DATA!BB:BB,INPUT_DATA!$A:$A,$C59,INPUT_DATA!$C:$C,"D"))</f>
        <v/>
      </c>
      <c r="AE59" s="738" t="str">
        <f>IF($C59=0,"",SUMIFS(INPUT_DATA!BC:BC,INPUT_DATA!$A:$A,$C59,INPUT_DATA!$C:$C,"D"))</f>
        <v/>
      </c>
      <c r="AF59" s="738" t="str">
        <f>IF($C59=0,"",SUMIFS(INPUT_DATA!BD:BD,INPUT_DATA!$A:$A,$C59,INPUT_DATA!$C:$C,"D"))</f>
        <v/>
      </c>
      <c r="AG59" s="738" t="str">
        <f>IF($C59=0,"",SUMIFS(INPUT_DATA!BE:BE,INPUT_DATA!$A:$A,$C59,INPUT_DATA!$C:$C,"D"))</f>
        <v/>
      </c>
      <c r="AH59" s="738" t="str">
        <f>IF($C59=0,"",SUMIFS(INPUT_DATA!BF:BF,INPUT_DATA!$A:$A,$C59,INPUT_DATA!$C:$C,"D"))</f>
        <v/>
      </c>
      <c r="AI59" s="738" t="str">
        <f>IF($C59=0,"",SUMIFS(INPUT_DATA!BG:BG,INPUT_DATA!$A:$A,$C59,INPUT_DATA!$C:$C,"D"))</f>
        <v/>
      </c>
      <c r="AJ59" s="299" t="str">
        <f t="shared" si="3"/>
        <v/>
      </c>
      <c r="AK59" s="746" t="str">
        <f>IF($C59=0,"",SUMIFS(INPUT_DATA!BI:BI,INPUT_DATA!$A:$A,$C59,INPUT_DATA!$C:$C,"D"))</f>
        <v/>
      </c>
      <c r="AL59" s="746" t="str">
        <f>IF($C59=0,"",SUMIFS(INPUT_DATA!BJ:BJ,INPUT_DATA!$A:$A,$C59,INPUT_DATA!$C:$C,"D"))</f>
        <v/>
      </c>
      <c r="AM59" s="746" t="str">
        <f>IF($C59=0,"",SUMIFS(INPUT_DATA!BK:BK,INPUT_DATA!$A:$A,$C59,INPUT_DATA!$C:$C,"D"))</f>
        <v/>
      </c>
      <c r="AN59" s="744" t="str">
        <f t="shared" si="7"/>
        <v/>
      </c>
      <c r="AO59" s="749" t="str">
        <f>IF($C59=0,"",SUMIFS(INPUT_DATA!BM:BM,INPUT_DATA!$A:$A,$C59,INPUT_DATA!$C:$C,"D"))</f>
        <v/>
      </c>
      <c r="AP59" s="338" t="str">
        <f t="shared" si="8"/>
        <v/>
      </c>
      <c r="AQ59" s="149"/>
      <c r="AS59" s="338" t="str">
        <f t="shared" si="9"/>
        <v/>
      </c>
      <c r="AU59" s="361" t="str">
        <f>IF($C59=0,"",'03 - Monthly Asset Follow up'!F63+'03 - Monthly Asset Follow up'!G63-'03 - Monthly Asset Follow up'!V63+'03 - Monthly Asset Follow up'!Y63-H59)</f>
        <v/>
      </c>
      <c r="AV59" s="361" t="str">
        <f>IF($C59=0,"",'03 - Monthly Asset Follow up'!BE63+'03 - Monthly Asset Follow up'!BF63-'03 - Monthly Asset Follow up'!BU63+'03 - Monthly Asset Follow up'!BX63-AA59)</f>
        <v/>
      </c>
      <c r="AX59" s="154"/>
    </row>
    <row r="60" spans="2:50">
      <c r="B60" s="730" t="str">
        <f t="shared" si="4"/>
        <v/>
      </c>
      <c r="C60" s="733">
        <f>'03 - Monthly Asset Follow up'!B64</f>
        <v>0</v>
      </c>
      <c r="D60" s="149"/>
      <c r="E60" s="726" t="str">
        <f>IF($C60=0,"",SUMIFS(INPUT_DATA!AV:AV,INPUT_DATA!$A:$A,$C60,INPUT_DATA!$C:$C,"S"))</f>
        <v/>
      </c>
      <c r="F60" s="738" t="str">
        <f>IF($C60=0,"",SUMIFS(INPUT_DATA!AW:AW,INPUT_DATA!$A:$A,$C60,INPUT_DATA!$C:$C,"S"))</f>
        <v/>
      </c>
      <c r="G60" s="738" t="str">
        <f>IF($C60=0,"",SUMIFS(INPUT_DATA!AX:AX,INPUT_DATA!$A:$A,$C60,INPUT_DATA!$C:$C,"S"))</f>
        <v/>
      </c>
      <c r="H60" s="740" t="str">
        <f t="shared" si="0"/>
        <v/>
      </c>
      <c r="I60" s="738" t="str">
        <f>IF($C60=0,"",SUMIFS(INPUT_DATA!AZ:AZ,INPUT_DATA!$A:$A,$C60,INPUT_DATA!$C:$C,"S"))</f>
        <v/>
      </c>
      <c r="J60" s="738" t="str">
        <f>IF($C60=0,"",SUMIFS(INPUT_DATA!BA:BA,INPUT_DATA!$A:$A,$C60,INPUT_DATA!$C:$C,"S"))</f>
        <v/>
      </c>
      <c r="K60" s="738" t="str">
        <f>IF($C60=0,"",SUMIFS(INPUT_DATA!BB:BB,INPUT_DATA!$A:$A,$C60,INPUT_DATA!$C:$C,"S"))</f>
        <v/>
      </c>
      <c r="L60" s="738" t="str">
        <f>IF($C60=0,"",SUMIFS(INPUT_DATA!BC:BC,INPUT_DATA!$A:$A,$C60,INPUT_DATA!$C:$C,"S"))</f>
        <v/>
      </c>
      <c r="M60" s="738" t="str">
        <f>IF($C60=0,"",SUMIFS(INPUT_DATA!BD:BD,INPUT_DATA!$A:$A,$C60,INPUT_DATA!$C:$C,"S"))</f>
        <v/>
      </c>
      <c r="N60" s="738" t="str">
        <f>IF($C60=0,"",SUMIFS(INPUT_DATA!BE:BE,INPUT_DATA!$A:$A,$C60,INPUT_DATA!$C:$C,"S"))</f>
        <v/>
      </c>
      <c r="O60" s="738" t="str">
        <f>IF($C60=0,"",SUMIFS(INPUT_DATA!BF:BF,INPUT_DATA!$A:$A,$C60,INPUT_DATA!$C:$C,"S"))</f>
        <v/>
      </c>
      <c r="P60" s="738" t="str">
        <f>IF($C60=0,"",SUMIFS(INPUT_DATA!BG:BG,INPUT_DATA!$A:$A,$C60,INPUT_DATA!$C:$C,"S"))</f>
        <v/>
      </c>
      <c r="Q60" s="744" t="str">
        <f t="shared" si="5"/>
        <v/>
      </c>
      <c r="R60" s="746" t="str">
        <f>IF($C60=0,"",SUMIFS(INPUT_DATA!BI:BI,INPUT_DATA!$A:$A,$C60,INPUT_DATA!$C:$C,"S"))</f>
        <v/>
      </c>
      <c r="S60" s="746" t="str">
        <f>IF($C60=0,"",SUMIFS(INPUT_DATA!BJ:BJ,INPUT_DATA!$A:$A,$C60,INPUT_DATA!$C:$C,"S"))</f>
        <v/>
      </c>
      <c r="T60" s="744" t="str">
        <f t="shared" si="6"/>
        <v/>
      </c>
      <c r="U60" s="749" t="str">
        <f>IF($C60=0,"",SUMIFS(INPUT_DATA!BM:BM,INPUT_DATA!$A:$A,$C60,INPUT_DATA!$C:$C,"S"))</f>
        <v/>
      </c>
      <c r="V60" s="155" t="str">
        <f t="shared" si="1"/>
        <v/>
      </c>
      <c r="W60" s="149"/>
      <c r="X60" s="726" t="str">
        <f>IF($C60=0,"",SUMIFS(INPUT_DATA!AV:AV,INPUT_DATA!$A:$A,$C60,INPUT_DATA!$C:$C,"D"))</f>
        <v/>
      </c>
      <c r="Y60" s="738" t="str">
        <f>IF($C60=0,"",SUMIFS(INPUT_DATA!AW:AW,INPUT_DATA!$A:$A,$C60,INPUT_DATA!$C:$C,"D"))</f>
        <v/>
      </c>
      <c r="Z60" s="738" t="str">
        <f>IF($C60=0,"",SUMIFS(INPUT_DATA!AX:AX,INPUT_DATA!$A:$A,$C60,INPUT_DATA!$C:$C,"D"))</f>
        <v/>
      </c>
      <c r="AA60" s="739" t="str">
        <f t="shared" si="2"/>
        <v/>
      </c>
      <c r="AB60" s="738" t="str">
        <f>IF($C60=0,"",SUMIFS(INPUT_DATA!AZ:AZ,INPUT_DATA!$A:$A,$C60,INPUT_DATA!$C:$C,"D"))</f>
        <v/>
      </c>
      <c r="AC60" s="738" t="str">
        <f>IF($C60=0,"",SUMIFS(INPUT_DATA!BA:BA,INPUT_DATA!$A:$A,$C60,INPUT_DATA!$C:$C,"D"))</f>
        <v/>
      </c>
      <c r="AD60" s="738" t="str">
        <f>IF($C60=0,"",SUMIFS(INPUT_DATA!BB:BB,INPUT_DATA!$A:$A,$C60,INPUT_DATA!$C:$C,"D"))</f>
        <v/>
      </c>
      <c r="AE60" s="738" t="str">
        <f>IF($C60=0,"",SUMIFS(INPUT_DATA!BC:BC,INPUT_DATA!$A:$A,$C60,INPUT_DATA!$C:$C,"D"))</f>
        <v/>
      </c>
      <c r="AF60" s="738" t="str">
        <f>IF($C60=0,"",SUMIFS(INPUT_DATA!BD:BD,INPUT_DATA!$A:$A,$C60,INPUT_DATA!$C:$C,"D"))</f>
        <v/>
      </c>
      <c r="AG60" s="738" t="str">
        <f>IF($C60=0,"",SUMIFS(INPUT_DATA!BE:BE,INPUT_DATA!$A:$A,$C60,INPUT_DATA!$C:$C,"D"))</f>
        <v/>
      </c>
      <c r="AH60" s="738" t="str">
        <f>IF($C60=0,"",SUMIFS(INPUT_DATA!BF:BF,INPUT_DATA!$A:$A,$C60,INPUT_DATA!$C:$C,"D"))</f>
        <v/>
      </c>
      <c r="AI60" s="738" t="str">
        <f>IF($C60=0,"",SUMIFS(INPUT_DATA!BG:BG,INPUT_DATA!$A:$A,$C60,INPUT_DATA!$C:$C,"D"))</f>
        <v/>
      </c>
      <c r="AJ60" s="299" t="str">
        <f t="shared" si="3"/>
        <v/>
      </c>
      <c r="AK60" s="746" t="str">
        <f>IF($C60=0,"",SUMIFS(INPUT_DATA!BI:BI,INPUT_DATA!$A:$A,$C60,INPUT_DATA!$C:$C,"D"))</f>
        <v/>
      </c>
      <c r="AL60" s="746" t="str">
        <f>IF($C60=0,"",SUMIFS(INPUT_DATA!BJ:BJ,INPUT_DATA!$A:$A,$C60,INPUT_DATA!$C:$C,"D"))</f>
        <v/>
      </c>
      <c r="AM60" s="746" t="str">
        <f>IF($C60=0,"",SUMIFS(INPUT_DATA!BK:BK,INPUT_DATA!$A:$A,$C60,INPUT_DATA!$C:$C,"D"))</f>
        <v/>
      </c>
      <c r="AN60" s="744" t="str">
        <f t="shared" si="7"/>
        <v/>
      </c>
      <c r="AO60" s="749" t="str">
        <f>IF($C60=0,"",SUMIFS(INPUT_DATA!BM:BM,INPUT_DATA!$A:$A,$C60,INPUT_DATA!$C:$C,"D"))</f>
        <v/>
      </c>
      <c r="AP60" s="338" t="str">
        <f t="shared" si="8"/>
        <v/>
      </c>
      <c r="AQ60" s="149"/>
      <c r="AS60" s="338" t="str">
        <f t="shared" si="9"/>
        <v/>
      </c>
      <c r="AU60" s="361" t="str">
        <f>IF($C60=0,"",'03 - Monthly Asset Follow up'!F64+'03 - Monthly Asset Follow up'!G64-'03 - Monthly Asset Follow up'!V64+'03 - Monthly Asset Follow up'!Y64-H60)</f>
        <v/>
      </c>
      <c r="AV60" s="361" t="str">
        <f>IF($C60=0,"",'03 - Monthly Asset Follow up'!BE64+'03 - Monthly Asset Follow up'!BF64-'03 - Monthly Asset Follow up'!BU64+'03 - Monthly Asset Follow up'!BX64-AA60)</f>
        <v/>
      </c>
      <c r="AX60" s="154"/>
    </row>
    <row r="61" spans="2:50">
      <c r="B61" s="730" t="str">
        <f t="shared" si="4"/>
        <v/>
      </c>
      <c r="C61" s="733">
        <f>'03 - Monthly Asset Follow up'!B65</f>
        <v>0</v>
      </c>
      <c r="D61" s="149"/>
      <c r="E61" s="726" t="str">
        <f>IF($C61=0,"",SUMIFS(INPUT_DATA!AV:AV,INPUT_DATA!$A:$A,$C61,INPUT_DATA!$C:$C,"S"))</f>
        <v/>
      </c>
      <c r="F61" s="738" t="str">
        <f>IF($C61=0,"",SUMIFS(INPUT_DATA!AW:AW,INPUT_DATA!$A:$A,$C61,INPUT_DATA!$C:$C,"S"))</f>
        <v/>
      </c>
      <c r="G61" s="738" t="str">
        <f>IF($C61=0,"",SUMIFS(INPUT_DATA!AX:AX,INPUT_DATA!$A:$A,$C61,INPUT_DATA!$C:$C,"S"))</f>
        <v/>
      </c>
      <c r="H61" s="740" t="str">
        <f t="shared" si="0"/>
        <v/>
      </c>
      <c r="I61" s="738" t="str">
        <f>IF($C61=0,"",SUMIFS(INPUT_DATA!AZ:AZ,INPUT_DATA!$A:$A,$C61,INPUT_DATA!$C:$C,"S"))</f>
        <v/>
      </c>
      <c r="J61" s="738" t="str">
        <f>IF($C61=0,"",SUMIFS(INPUT_DATA!BA:BA,INPUT_DATA!$A:$A,$C61,INPUT_DATA!$C:$C,"S"))</f>
        <v/>
      </c>
      <c r="K61" s="738" t="str">
        <f>IF($C61=0,"",SUMIFS(INPUT_DATA!BB:BB,INPUT_DATA!$A:$A,$C61,INPUT_DATA!$C:$C,"S"))</f>
        <v/>
      </c>
      <c r="L61" s="738" t="str">
        <f>IF($C61=0,"",SUMIFS(INPUT_DATA!BC:BC,INPUT_DATA!$A:$A,$C61,INPUT_DATA!$C:$C,"S"))</f>
        <v/>
      </c>
      <c r="M61" s="738" t="str">
        <f>IF($C61=0,"",SUMIFS(INPUT_DATA!BD:BD,INPUT_DATA!$A:$A,$C61,INPUT_DATA!$C:$C,"S"))</f>
        <v/>
      </c>
      <c r="N61" s="738" t="str">
        <f>IF($C61=0,"",SUMIFS(INPUT_DATA!BE:BE,INPUT_DATA!$A:$A,$C61,INPUT_DATA!$C:$C,"S"))</f>
        <v/>
      </c>
      <c r="O61" s="738" t="str">
        <f>IF($C61=0,"",SUMIFS(INPUT_DATA!BF:BF,INPUT_DATA!$A:$A,$C61,INPUT_DATA!$C:$C,"S"))</f>
        <v/>
      </c>
      <c r="P61" s="738" t="str">
        <f>IF($C61=0,"",SUMIFS(INPUT_DATA!BG:BG,INPUT_DATA!$A:$A,$C61,INPUT_DATA!$C:$C,"S"))</f>
        <v/>
      </c>
      <c r="Q61" s="744" t="str">
        <f t="shared" si="5"/>
        <v/>
      </c>
      <c r="R61" s="746" t="str">
        <f>IF($C61=0,"",SUMIFS(INPUT_DATA!BI:BI,INPUT_DATA!$A:$A,$C61,INPUT_DATA!$C:$C,"S"))</f>
        <v/>
      </c>
      <c r="S61" s="746" t="str">
        <f>IF($C61=0,"",SUMIFS(INPUT_DATA!BJ:BJ,INPUT_DATA!$A:$A,$C61,INPUT_DATA!$C:$C,"S"))</f>
        <v/>
      </c>
      <c r="T61" s="744" t="str">
        <f t="shared" si="6"/>
        <v/>
      </c>
      <c r="U61" s="749" t="str">
        <f>IF($C61=0,"",SUMIFS(INPUT_DATA!BM:BM,INPUT_DATA!$A:$A,$C61,INPUT_DATA!$C:$C,"S"))</f>
        <v/>
      </c>
      <c r="V61" s="155" t="str">
        <f t="shared" si="1"/>
        <v/>
      </c>
      <c r="W61" s="149"/>
      <c r="X61" s="726" t="str">
        <f>IF($C61=0,"",SUMIFS(INPUT_DATA!AV:AV,INPUT_DATA!$A:$A,$C61,INPUT_DATA!$C:$C,"D"))</f>
        <v/>
      </c>
      <c r="Y61" s="738" t="str">
        <f>IF($C61=0,"",SUMIFS(INPUT_DATA!AW:AW,INPUT_DATA!$A:$A,$C61,INPUT_DATA!$C:$C,"D"))</f>
        <v/>
      </c>
      <c r="Z61" s="738" t="str">
        <f>IF($C61=0,"",SUMIFS(INPUT_DATA!AX:AX,INPUT_DATA!$A:$A,$C61,INPUT_DATA!$C:$C,"D"))</f>
        <v/>
      </c>
      <c r="AA61" s="739" t="str">
        <f t="shared" si="2"/>
        <v/>
      </c>
      <c r="AB61" s="738" t="str">
        <f>IF($C61=0,"",SUMIFS(INPUT_DATA!AZ:AZ,INPUT_DATA!$A:$A,$C61,INPUT_DATA!$C:$C,"D"))</f>
        <v/>
      </c>
      <c r="AC61" s="738" t="str">
        <f>IF($C61=0,"",SUMIFS(INPUT_DATA!BA:BA,INPUT_DATA!$A:$A,$C61,INPUT_DATA!$C:$C,"D"))</f>
        <v/>
      </c>
      <c r="AD61" s="738" t="str">
        <f>IF($C61=0,"",SUMIFS(INPUT_DATA!BB:BB,INPUT_DATA!$A:$A,$C61,INPUT_DATA!$C:$C,"D"))</f>
        <v/>
      </c>
      <c r="AE61" s="738" t="str">
        <f>IF($C61=0,"",SUMIFS(INPUT_DATA!BC:BC,INPUT_DATA!$A:$A,$C61,INPUT_DATA!$C:$C,"D"))</f>
        <v/>
      </c>
      <c r="AF61" s="738" t="str">
        <f>IF($C61=0,"",SUMIFS(INPUT_DATA!BD:BD,INPUT_DATA!$A:$A,$C61,INPUT_DATA!$C:$C,"D"))</f>
        <v/>
      </c>
      <c r="AG61" s="738" t="str">
        <f>IF($C61=0,"",SUMIFS(INPUT_DATA!BE:BE,INPUT_DATA!$A:$A,$C61,INPUT_DATA!$C:$C,"D"))</f>
        <v/>
      </c>
      <c r="AH61" s="738" t="str">
        <f>IF($C61=0,"",SUMIFS(INPUT_DATA!BF:BF,INPUT_DATA!$A:$A,$C61,INPUT_DATA!$C:$C,"D"))</f>
        <v/>
      </c>
      <c r="AI61" s="738" t="str">
        <f>IF($C61=0,"",SUMIFS(INPUT_DATA!BG:BG,INPUT_DATA!$A:$A,$C61,INPUT_DATA!$C:$C,"D"))</f>
        <v/>
      </c>
      <c r="AJ61" s="299" t="str">
        <f t="shared" si="3"/>
        <v/>
      </c>
      <c r="AK61" s="746" t="str">
        <f>IF($C61=0,"",SUMIFS(INPUT_DATA!BI:BI,INPUT_DATA!$A:$A,$C61,INPUT_DATA!$C:$C,"D"))</f>
        <v/>
      </c>
      <c r="AL61" s="746" t="str">
        <f>IF($C61=0,"",SUMIFS(INPUT_DATA!BJ:BJ,INPUT_DATA!$A:$A,$C61,INPUT_DATA!$C:$C,"D"))</f>
        <v/>
      </c>
      <c r="AM61" s="746" t="str">
        <f>IF($C61=0,"",SUMIFS(INPUT_DATA!BK:BK,INPUT_DATA!$A:$A,$C61,INPUT_DATA!$C:$C,"D"))</f>
        <v/>
      </c>
      <c r="AN61" s="744" t="str">
        <f t="shared" si="7"/>
        <v/>
      </c>
      <c r="AO61" s="749" t="str">
        <f>IF($C61=0,"",SUMIFS(INPUT_DATA!BM:BM,INPUT_DATA!$A:$A,$C61,INPUT_DATA!$C:$C,"D"))</f>
        <v/>
      </c>
      <c r="AP61" s="338" t="str">
        <f t="shared" si="8"/>
        <v/>
      </c>
      <c r="AQ61" s="149"/>
      <c r="AS61" s="338" t="str">
        <f t="shared" si="9"/>
        <v/>
      </c>
      <c r="AU61" s="361" t="str">
        <f>IF($C61=0,"",'03 - Monthly Asset Follow up'!F65+'03 - Monthly Asset Follow up'!G65-'03 - Monthly Asset Follow up'!V65+'03 - Monthly Asset Follow up'!Y65-H61)</f>
        <v/>
      </c>
      <c r="AV61" s="361" t="str">
        <f>IF($C61=0,"",'03 - Monthly Asset Follow up'!BE65+'03 - Monthly Asset Follow up'!BF65-'03 - Monthly Asset Follow up'!BU65+'03 - Monthly Asset Follow up'!BX65-AA61)</f>
        <v/>
      </c>
      <c r="AX61" s="154"/>
    </row>
    <row r="62" spans="2:50">
      <c r="B62" s="730" t="str">
        <f t="shared" si="4"/>
        <v/>
      </c>
      <c r="C62" s="733">
        <f>'03 - Monthly Asset Follow up'!B66</f>
        <v>0</v>
      </c>
      <c r="D62" s="149"/>
      <c r="E62" s="726" t="str">
        <f>IF($C62=0,"",SUMIFS(INPUT_DATA!AV:AV,INPUT_DATA!$A:$A,$C62,INPUT_DATA!$C:$C,"S"))</f>
        <v/>
      </c>
      <c r="F62" s="738" t="str">
        <f>IF($C62=0,"",SUMIFS(INPUT_DATA!AW:AW,INPUT_DATA!$A:$A,$C62,INPUT_DATA!$C:$C,"S"))</f>
        <v/>
      </c>
      <c r="G62" s="738" t="str">
        <f>IF($C62=0,"",SUMIFS(INPUT_DATA!AX:AX,INPUT_DATA!$A:$A,$C62,INPUT_DATA!$C:$C,"S"))</f>
        <v/>
      </c>
      <c r="H62" s="740" t="str">
        <f t="shared" si="0"/>
        <v/>
      </c>
      <c r="I62" s="738" t="str">
        <f>IF($C62=0,"",SUMIFS(INPUT_DATA!AZ:AZ,INPUT_DATA!$A:$A,$C62,INPUT_DATA!$C:$C,"S"))</f>
        <v/>
      </c>
      <c r="J62" s="738" t="str">
        <f>IF($C62=0,"",SUMIFS(INPUT_DATA!BA:BA,INPUT_DATA!$A:$A,$C62,INPUT_DATA!$C:$C,"S"))</f>
        <v/>
      </c>
      <c r="K62" s="738" t="str">
        <f>IF($C62=0,"",SUMIFS(INPUT_DATA!BB:BB,INPUT_DATA!$A:$A,$C62,INPUT_DATA!$C:$C,"S"))</f>
        <v/>
      </c>
      <c r="L62" s="738" t="str">
        <f>IF($C62=0,"",SUMIFS(INPUT_DATA!BC:BC,INPUT_DATA!$A:$A,$C62,INPUT_DATA!$C:$C,"S"))</f>
        <v/>
      </c>
      <c r="M62" s="738" t="str">
        <f>IF($C62=0,"",SUMIFS(INPUT_DATA!BD:BD,INPUT_DATA!$A:$A,$C62,INPUT_DATA!$C:$C,"S"))</f>
        <v/>
      </c>
      <c r="N62" s="738" t="str">
        <f>IF($C62=0,"",SUMIFS(INPUT_DATA!BE:BE,INPUT_DATA!$A:$A,$C62,INPUT_DATA!$C:$C,"S"))</f>
        <v/>
      </c>
      <c r="O62" s="738" t="str">
        <f>IF($C62=0,"",SUMIFS(INPUT_DATA!BF:BF,INPUT_DATA!$A:$A,$C62,INPUT_DATA!$C:$C,"S"))</f>
        <v/>
      </c>
      <c r="P62" s="738" t="str">
        <f>IF($C62=0,"",SUMIFS(INPUT_DATA!BG:BG,INPUT_DATA!$A:$A,$C62,INPUT_DATA!$C:$C,"S"))</f>
        <v/>
      </c>
      <c r="Q62" s="744" t="str">
        <f t="shared" si="5"/>
        <v/>
      </c>
      <c r="R62" s="746" t="str">
        <f>IF($C62=0,"",SUMIFS(INPUT_DATA!BI:BI,INPUT_DATA!$A:$A,$C62,INPUT_DATA!$C:$C,"S"))</f>
        <v/>
      </c>
      <c r="S62" s="746" t="str">
        <f>IF($C62=0,"",SUMIFS(INPUT_DATA!BJ:BJ,INPUT_DATA!$A:$A,$C62,INPUT_DATA!$C:$C,"S"))</f>
        <v/>
      </c>
      <c r="T62" s="744" t="str">
        <f t="shared" si="6"/>
        <v/>
      </c>
      <c r="U62" s="749" t="str">
        <f>IF($C62=0,"",SUMIFS(INPUT_DATA!BM:BM,INPUT_DATA!$A:$A,$C62,INPUT_DATA!$C:$C,"S"))</f>
        <v/>
      </c>
      <c r="V62" s="155" t="str">
        <f t="shared" si="1"/>
        <v/>
      </c>
      <c r="W62" s="149"/>
      <c r="X62" s="726" t="str">
        <f>IF($C62=0,"",SUMIFS(INPUT_DATA!AV:AV,INPUT_DATA!$A:$A,$C62,INPUT_DATA!$C:$C,"D"))</f>
        <v/>
      </c>
      <c r="Y62" s="738" t="str">
        <f>IF($C62=0,"",SUMIFS(INPUT_DATA!AW:AW,INPUT_DATA!$A:$A,$C62,INPUT_DATA!$C:$C,"D"))</f>
        <v/>
      </c>
      <c r="Z62" s="738" t="str">
        <f>IF($C62=0,"",SUMIFS(INPUT_DATA!AX:AX,INPUT_DATA!$A:$A,$C62,INPUT_DATA!$C:$C,"D"))</f>
        <v/>
      </c>
      <c r="AA62" s="739" t="str">
        <f t="shared" si="2"/>
        <v/>
      </c>
      <c r="AB62" s="738" t="str">
        <f>IF($C62=0,"",SUMIFS(INPUT_DATA!AZ:AZ,INPUT_DATA!$A:$A,$C62,INPUT_DATA!$C:$C,"D"))</f>
        <v/>
      </c>
      <c r="AC62" s="738" t="str">
        <f>IF($C62=0,"",SUMIFS(INPUT_DATA!BA:BA,INPUT_DATA!$A:$A,$C62,INPUT_DATA!$C:$C,"D"))</f>
        <v/>
      </c>
      <c r="AD62" s="738" t="str">
        <f>IF($C62=0,"",SUMIFS(INPUT_DATA!BB:BB,INPUT_DATA!$A:$A,$C62,INPUT_DATA!$C:$C,"D"))</f>
        <v/>
      </c>
      <c r="AE62" s="738" t="str">
        <f>IF($C62=0,"",SUMIFS(INPUT_DATA!BC:BC,INPUT_DATA!$A:$A,$C62,INPUT_DATA!$C:$C,"D"))</f>
        <v/>
      </c>
      <c r="AF62" s="738" t="str">
        <f>IF($C62=0,"",SUMIFS(INPUT_DATA!BD:BD,INPUT_DATA!$A:$A,$C62,INPUT_DATA!$C:$C,"D"))</f>
        <v/>
      </c>
      <c r="AG62" s="738" t="str">
        <f>IF($C62=0,"",SUMIFS(INPUT_DATA!BE:BE,INPUT_DATA!$A:$A,$C62,INPUT_DATA!$C:$C,"D"))</f>
        <v/>
      </c>
      <c r="AH62" s="738" t="str">
        <f>IF($C62=0,"",SUMIFS(INPUT_DATA!BF:BF,INPUT_DATA!$A:$A,$C62,INPUT_DATA!$C:$C,"D"))</f>
        <v/>
      </c>
      <c r="AI62" s="738" t="str">
        <f>IF($C62=0,"",SUMIFS(INPUT_DATA!BG:BG,INPUT_DATA!$A:$A,$C62,INPUT_DATA!$C:$C,"D"))</f>
        <v/>
      </c>
      <c r="AJ62" s="299" t="str">
        <f t="shared" si="3"/>
        <v/>
      </c>
      <c r="AK62" s="746" t="str">
        <f>IF($C62=0,"",SUMIFS(INPUT_DATA!BI:BI,INPUT_DATA!$A:$A,$C62,INPUT_DATA!$C:$C,"D"))</f>
        <v/>
      </c>
      <c r="AL62" s="746" t="str">
        <f>IF($C62=0,"",SUMIFS(INPUT_DATA!BJ:BJ,INPUT_DATA!$A:$A,$C62,INPUT_DATA!$C:$C,"D"))</f>
        <v/>
      </c>
      <c r="AM62" s="746" t="str">
        <f>IF($C62=0,"",SUMIFS(INPUT_DATA!BK:BK,INPUT_DATA!$A:$A,$C62,INPUT_DATA!$C:$C,"D"))</f>
        <v/>
      </c>
      <c r="AN62" s="744" t="str">
        <f t="shared" si="7"/>
        <v/>
      </c>
      <c r="AO62" s="749" t="str">
        <f>IF($C62=0,"",SUMIFS(INPUT_DATA!BM:BM,INPUT_DATA!$A:$A,$C62,INPUT_DATA!$C:$C,"D"))</f>
        <v/>
      </c>
      <c r="AP62" s="338" t="str">
        <f t="shared" si="8"/>
        <v/>
      </c>
      <c r="AQ62" s="149"/>
      <c r="AS62" s="338" t="str">
        <f t="shared" si="9"/>
        <v/>
      </c>
      <c r="AU62" s="361" t="str">
        <f>IF($C62=0,"",'03 - Monthly Asset Follow up'!F66+'03 - Monthly Asset Follow up'!G66-'03 - Monthly Asset Follow up'!V66+'03 - Monthly Asset Follow up'!Y66-H62)</f>
        <v/>
      </c>
      <c r="AV62" s="361" t="str">
        <f>IF($C62=0,"",'03 - Monthly Asset Follow up'!BE66+'03 - Monthly Asset Follow up'!BF66-'03 - Monthly Asset Follow up'!BU66+'03 - Monthly Asset Follow up'!BX66-AA62)</f>
        <v/>
      </c>
      <c r="AX62" s="154"/>
    </row>
    <row r="63" spans="2:50">
      <c r="B63" s="730" t="str">
        <f t="shared" si="4"/>
        <v/>
      </c>
      <c r="C63" s="733">
        <f>'03 - Monthly Asset Follow up'!B67</f>
        <v>0</v>
      </c>
      <c r="D63" s="149"/>
      <c r="E63" s="726" t="str">
        <f>IF($C63=0,"",SUMIFS(INPUT_DATA!AV:AV,INPUT_DATA!$A:$A,$C63,INPUT_DATA!$C:$C,"S"))</f>
        <v/>
      </c>
      <c r="F63" s="738" t="str">
        <f>IF($C63=0,"",SUMIFS(INPUT_DATA!AW:AW,INPUT_DATA!$A:$A,$C63,INPUT_DATA!$C:$C,"S"))</f>
        <v/>
      </c>
      <c r="G63" s="738" t="str">
        <f>IF($C63=0,"",SUMIFS(INPUT_DATA!AX:AX,INPUT_DATA!$A:$A,$C63,INPUT_DATA!$C:$C,"S"))</f>
        <v/>
      </c>
      <c r="H63" s="740" t="str">
        <f t="shared" si="0"/>
        <v/>
      </c>
      <c r="I63" s="738" t="str">
        <f>IF($C63=0,"",SUMIFS(INPUT_DATA!AZ:AZ,INPUT_DATA!$A:$A,$C63,INPUT_DATA!$C:$C,"S"))</f>
        <v/>
      </c>
      <c r="J63" s="738" t="str">
        <f>IF($C63=0,"",SUMIFS(INPUT_DATA!BA:BA,INPUT_DATA!$A:$A,$C63,INPUT_DATA!$C:$C,"S"))</f>
        <v/>
      </c>
      <c r="K63" s="738" t="str">
        <f>IF($C63=0,"",SUMIFS(INPUT_DATA!BB:BB,INPUT_DATA!$A:$A,$C63,INPUT_DATA!$C:$C,"S"))</f>
        <v/>
      </c>
      <c r="L63" s="738" t="str">
        <f>IF($C63=0,"",SUMIFS(INPUT_DATA!BC:BC,INPUT_DATA!$A:$A,$C63,INPUT_DATA!$C:$C,"S"))</f>
        <v/>
      </c>
      <c r="M63" s="738" t="str">
        <f>IF($C63=0,"",SUMIFS(INPUT_DATA!BD:BD,INPUT_DATA!$A:$A,$C63,INPUT_DATA!$C:$C,"S"))</f>
        <v/>
      </c>
      <c r="N63" s="738" t="str">
        <f>IF($C63=0,"",SUMIFS(INPUT_DATA!BE:BE,INPUT_DATA!$A:$A,$C63,INPUT_DATA!$C:$C,"S"))</f>
        <v/>
      </c>
      <c r="O63" s="738" t="str">
        <f>IF($C63=0,"",SUMIFS(INPUT_DATA!BF:BF,INPUT_DATA!$A:$A,$C63,INPUT_DATA!$C:$C,"S"))</f>
        <v/>
      </c>
      <c r="P63" s="738" t="str">
        <f>IF($C63=0,"",SUMIFS(INPUT_DATA!BG:BG,INPUT_DATA!$A:$A,$C63,INPUT_DATA!$C:$C,"S"))</f>
        <v/>
      </c>
      <c r="Q63" s="744" t="str">
        <f t="shared" si="5"/>
        <v/>
      </c>
      <c r="R63" s="746" t="str">
        <f>IF($C63=0,"",SUMIFS(INPUT_DATA!BI:BI,INPUT_DATA!$A:$A,$C63,INPUT_DATA!$C:$C,"S"))</f>
        <v/>
      </c>
      <c r="S63" s="746" t="str">
        <f>IF($C63=0,"",SUMIFS(INPUT_DATA!BJ:BJ,INPUT_DATA!$A:$A,$C63,INPUT_DATA!$C:$C,"S"))</f>
        <v/>
      </c>
      <c r="T63" s="744" t="str">
        <f t="shared" si="6"/>
        <v/>
      </c>
      <c r="U63" s="749" t="str">
        <f>IF($C63=0,"",SUMIFS(INPUT_DATA!BM:BM,INPUT_DATA!$A:$A,$C63,INPUT_DATA!$C:$C,"S"))</f>
        <v/>
      </c>
      <c r="V63" s="155" t="str">
        <f t="shared" si="1"/>
        <v/>
      </c>
      <c r="W63" s="149"/>
      <c r="X63" s="726" t="str">
        <f>IF($C63=0,"",SUMIFS(INPUT_DATA!AV:AV,INPUT_DATA!$A:$A,$C63,INPUT_DATA!$C:$C,"D"))</f>
        <v/>
      </c>
      <c r="Y63" s="738" t="str">
        <f>IF($C63=0,"",SUMIFS(INPUT_DATA!AW:AW,INPUT_DATA!$A:$A,$C63,INPUT_DATA!$C:$C,"D"))</f>
        <v/>
      </c>
      <c r="Z63" s="738" t="str">
        <f>IF($C63=0,"",SUMIFS(INPUT_DATA!AX:AX,INPUT_DATA!$A:$A,$C63,INPUT_DATA!$C:$C,"D"))</f>
        <v/>
      </c>
      <c r="AA63" s="739" t="str">
        <f t="shared" si="2"/>
        <v/>
      </c>
      <c r="AB63" s="738" t="str">
        <f>IF($C63=0,"",SUMIFS(INPUT_DATA!AZ:AZ,INPUT_DATA!$A:$A,$C63,INPUT_DATA!$C:$C,"D"))</f>
        <v/>
      </c>
      <c r="AC63" s="738" t="str">
        <f>IF($C63=0,"",SUMIFS(INPUT_DATA!BA:BA,INPUT_DATA!$A:$A,$C63,INPUT_DATA!$C:$C,"D"))</f>
        <v/>
      </c>
      <c r="AD63" s="738" t="str">
        <f>IF($C63=0,"",SUMIFS(INPUT_DATA!BB:BB,INPUT_DATA!$A:$A,$C63,INPUT_DATA!$C:$C,"D"))</f>
        <v/>
      </c>
      <c r="AE63" s="738" t="str">
        <f>IF($C63=0,"",SUMIFS(INPUT_DATA!BC:BC,INPUT_DATA!$A:$A,$C63,INPUT_DATA!$C:$C,"D"))</f>
        <v/>
      </c>
      <c r="AF63" s="738" t="str">
        <f>IF($C63=0,"",SUMIFS(INPUT_DATA!BD:BD,INPUT_DATA!$A:$A,$C63,INPUT_DATA!$C:$C,"D"))</f>
        <v/>
      </c>
      <c r="AG63" s="738" t="str">
        <f>IF($C63=0,"",SUMIFS(INPUT_DATA!BE:BE,INPUT_DATA!$A:$A,$C63,INPUT_DATA!$C:$C,"D"))</f>
        <v/>
      </c>
      <c r="AH63" s="738" t="str">
        <f>IF($C63=0,"",SUMIFS(INPUT_DATA!BF:BF,INPUT_DATA!$A:$A,$C63,INPUT_DATA!$C:$C,"D"))</f>
        <v/>
      </c>
      <c r="AI63" s="738" t="str">
        <f>IF($C63=0,"",SUMIFS(INPUT_DATA!BG:BG,INPUT_DATA!$A:$A,$C63,INPUT_DATA!$C:$C,"D"))</f>
        <v/>
      </c>
      <c r="AJ63" s="299" t="str">
        <f t="shared" si="3"/>
        <v/>
      </c>
      <c r="AK63" s="746" t="str">
        <f>IF($C63=0,"",SUMIFS(INPUT_DATA!BI:BI,INPUT_DATA!$A:$A,$C63,INPUT_DATA!$C:$C,"D"))</f>
        <v/>
      </c>
      <c r="AL63" s="746" t="str">
        <f>IF($C63=0,"",SUMIFS(INPUT_DATA!BJ:BJ,INPUT_DATA!$A:$A,$C63,INPUT_DATA!$C:$C,"D"))</f>
        <v/>
      </c>
      <c r="AM63" s="746" t="str">
        <f>IF($C63=0,"",SUMIFS(INPUT_DATA!BK:BK,INPUT_DATA!$A:$A,$C63,INPUT_DATA!$C:$C,"D"))</f>
        <v/>
      </c>
      <c r="AN63" s="744" t="str">
        <f t="shared" si="7"/>
        <v/>
      </c>
      <c r="AO63" s="749" t="str">
        <f>IF($C63=0,"",SUMIFS(INPUT_DATA!BM:BM,INPUT_DATA!$A:$A,$C63,INPUT_DATA!$C:$C,"D"))</f>
        <v/>
      </c>
      <c r="AP63" s="338" t="str">
        <f t="shared" si="8"/>
        <v/>
      </c>
      <c r="AQ63" s="149"/>
      <c r="AS63" s="338" t="str">
        <f t="shared" si="9"/>
        <v/>
      </c>
      <c r="AU63" s="361" t="str">
        <f>IF($C63=0,"",'03 - Monthly Asset Follow up'!F67+'03 - Monthly Asset Follow up'!G67-'03 - Monthly Asset Follow up'!V67+'03 - Monthly Asset Follow up'!Y67-H63)</f>
        <v/>
      </c>
      <c r="AV63" s="361" t="str">
        <f>IF($C63=0,"",'03 - Monthly Asset Follow up'!BE67+'03 - Monthly Asset Follow up'!BF67-'03 - Monthly Asset Follow up'!BU67+'03 - Monthly Asset Follow up'!BX67-AA63)</f>
        <v/>
      </c>
      <c r="AX63" s="154"/>
    </row>
    <row r="64" spans="2:50">
      <c r="B64" s="730" t="str">
        <f t="shared" si="4"/>
        <v/>
      </c>
      <c r="C64" s="733">
        <f>'03 - Monthly Asset Follow up'!B68</f>
        <v>0</v>
      </c>
      <c r="D64" s="149"/>
      <c r="E64" s="726" t="str">
        <f>IF($C64=0,"",SUMIFS(INPUT_DATA!AV:AV,INPUT_DATA!$A:$A,$C64,INPUT_DATA!$C:$C,"S"))</f>
        <v/>
      </c>
      <c r="F64" s="738" t="str">
        <f>IF($C64=0,"",SUMIFS(INPUT_DATA!AW:AW,INPUT_DATA!$A:$A,$C64,INPUT_DATA!$C:$C,"S"))</f>
        <v/>
      </c>
      <c r="G64" s="738" t="str">
        <f>IF($C64=0,"",SUMIFS(INPUT_DATA!AX:AX,INPUT_DATA!$A:$A,$C64,INPUT_DATA!$C:$C,"S"))</f>
        <v/>
      </c>
      <c r="H64" s="740" t="str">
        <f t="shared" si="0"/>
        <v/>
      </c>
      <c r="I64" s="738" t="str">
        <f>IF($C64=0,"",SUMIFS(INPUT_DATA!AZ:AZ,INPUT_DATA!$A:$A,$C64,INPUT_DATA!$C:$C,"S"))</f>
        <v/>
      </c>
      <c r="J64" s="738" t="str">
        <f>IF($C64=0,"",SUMIFS(INPUT_DATA!BA:BA,INPUT_DATA!$A:$A,$C64,INPUT_DATA!$C:$C,"S"))</f>
        <v/>
      </c>
      <c r="K64" s="738" t="str">
        <f>IF($C64=0,"",SUMIFS(INPUT_DATA!BB:BB,INPUT_DATA!$A:$A,$C64,INPUT_DATA!$C:$C,"S"))</f>
        <v/>
      </c>
      <c r="L64" s="738" t="str">
        <f>IF($C64=0,"",SUMIFS(INPUT_DATA!BC:BC,INPUT_DATA!$A:$A,$C64,INPUT_DATA!$C:$C,"S"))</f>
        <v/>
      </c>
      <c r="M64" s="738" t="str">
        <f>IF($C64=0,"",SUMIFS(INPUT_DATA!BD:BD,INPUT_DATA!$A:$A,$C64,INPUT_DATA!$C:$C,"S"))</f>
        <v/>
      </c>
      <c r="N64" s="738" t="str">
        <f>IF($C64=0,"",SUMIFS(INPUT_DATA!BE:BE,INPUT_DATA!$A:$A,$C64,INPUT_DATA!$C:$C,"S"))</f>
        <v/>
      </c>
      <c r="O64" s="738" t="str">
        <f>IF($C64=0,"",SUMIFS(INPUT_DATA!BF:BF,INPUT_DATA!$A:$A,$C64,INPUT_DATA!$C:$C,"S"))</f>
        <v/>
      </c>
      <c r="P64" s="738" t="str">
        <f>IF($C64=0,"",SUMIFS(INPUT_DATA!BG:BG,INPUT_DATA!$A:$A,$C64,INPUT_DATA!$C:$C,"S"))</f>
        <v/>
      </c>
      <c r="Q64" s="744" t="str">
        <f t="shared" si="5"/>
        <v/>
      </c>
      <c r="R64" s="746" t="str">
        <f>IF($C64=0,"",SUMIFS(INPUT_DATA!BI:BI,INPUT_DATA!$A:$A,$C64,INPUT_DATA!$C:$C,"S"))</f>
        <v/>
      </c>
      <c r="S64" s="746" t="str">
        <f>IF($C64=0,"",SUMIFS(INPUT_DATA!BJ:BJ,INPUT_DATA!$A:$A,$C64,INPUT_DATA!$C:$C,"S"))</f>
        <v/>
      </c>
      <c r="T64" s="744" t="str">
        <f t="shared" si="6"/>
        <v/>
      </c>
      <c r="U64" s="749" t="str">
        <f>IF($C64=0,"",SUMIFS(INPUT_DATA!BM:BM,INPUT_DATA!$A:$A,$C64,INPUT_DATA!$C:$C,"S"))</f>
        <v/>
      </c>
      <c r="V64" s="155" t="str">
        <f t="shared" si="1"/>
        <v/>
      </c>
      <c r="W64" s="149"/>
      <c r="X64" s="726" t="str">
        <f>IF($C64=0,"",SUMIFS(INPUT_DATA!AV:AV,INPUT_DATA!$A:$A,$C64,INPUT_DATA!$C:$C,"D"))</f>
        <v/>
      </c>
      <c r="Y64" s="738" t="str">
        <f>IF($C64=0,"",SUMIFS(INPUT_DATA!AW:AW,INPUT_DATA!$A:$A,$C64,INPUT_DATA!$C:$C,"D"))</f>
        <v/>
      </c>
      <c r="Z64" s="738" t="str">
        <f>IF($C64=0,"",SUMIFS(INPUT_DATA!AX:AX,INPUT_DATA!$A:$A,$C64,INPUT_DATA!$C:$C,"D"))</f>
        <v/>
      </c>
      <c r="AA64" s="739" t="str">
        <f t="shared" si="2"/>
        <v/>
      </c>
      <c r="AB64" s="738" t="str">
        <f>IF($C64=0,"",SUMIFS(INPUT_DATA!AZ:AZ,INPUT_DATA!$A:$A,$C64,INPUT_DATA!$C:$C,"D"))</f>
        <v/>
      </c>
      <c r="AC64" s="738" t="str">
        <f>IF($C64=0,"",SUMIFS(INPUT_DATA!BA:BA,INPUT_DATA!$A:$A,$C64,INPUT_DATA!$C:$C,"D"))</f>
        <v/>
      </c>
      <c r="AD64" s="738" t="str">
        <f>IF($C64=0,"",SUMIFS(INPUT_DATA!BB:BB,INPUT_DATA!$A:$A,$C64,INPUT_DATA!$C:$C,"D"))</f>
        <v/>
      </c>
      <c r="AE64" s="738" t="str">
        <f>IF($C64=0,"",SUMIFS(INPUT_DATA!BC:BC,INPUT_DATA!$A:$A,$C64,INPUT_DATA!$C:$C,"D"))</f>
        <v/>
      </c>
      <c r="AF64" s="738" t="str">
        <f>IF($C64=0,"",SUMIFS(INPUT_DATA!BD:BD,INPUT_DATA!$A:$A,$C64,INPUT_DATA!$C:$C,"D"))</f>
        <v/>
      </c>
      <c r="AG64" s="738" t="str">
        <f>IF($C64=0,"",SUMIFS(INPUT_DATA!BE:BE,INPUT_DATA!$A:$A,$C64,INPUT_DATA!$C:$C,"D"))</f>
        <v/>
      </c>
      <c r="AH64" s="738" t="str">
        <f>IF($C64=0,"",SUMIFS(INPUT_DATA!BF:BF,INPUT_DATA!$A:$A,$C64,INPUT_DATA!$C:$C,"D"))</f>
        <v/>
      </c>
      <c r="AI64" s="738" t="str">
        <f>IF($C64=0,"",SUMIFS(INPUT_DATA!BG:BG,INPUT_DATA!$A:$A,$C64,INPUT_DATA!$C:$C,"D"))</f>
        <v/>
      </c>
      <c r="AJ64" s="299" t="str">
        <f t="shared" si="3"/>
        <v/>
      </c>
      <c r="AK64" s="746" t="str">
        <f>IF($C64=0,"",SUMIFS(INPUT_DATA!BI:BI,INPUT_DATA!$A:$A,$C64,INPUT_DATA!$C:$C,"D"))</f>
        <v/>
      </c>
      <c r="AL64" s="746" t="str">
        <f>IF($C64=0,"",SUMIFS(INPUT_DATA!BJ:BJ,INPUT_DATA!$A:$A,$C64,INPUT_DATA!$C:$C,"D"))</f>
        <v/>
      </c>
      <c r="AM64" s="746" t="str">
        <f>IF($C64=0,"",SUMIFS(INPUT_DATA!BK:BK,INPUT_DATA!$A:$A,$C64,INPUT_DATA!$C:$C,"D"))</f>
        <v/>
      </c>
      <c r="AN64" s="744" t="str">
        <f t="shared" si="7"/>
        <v/>
      </c>
      <c r="AO64" s="749" t="str">
        <f>IF($C64=0,"",SUMIFS(INPUT_DATA!BM:BM,INPUT_DATA!$A:$A,$C64,INPUT_DATA!$C:$C,"D"))</f>
        <v/>
      </c>
      <c r="AP64" s="338" t="str">
        <f t="shared" si="8"/>
        <v/>
      </c>
      <c r="AQ64" s="149"/>
      <c r="AS64" s="338" t="str">
        <f t="shared" si="9"/>
        <v/>
      </c>
      <c r="AU64" s="361" t="str">
        <f>IF($C64=0,"",'03 - Monthly Asset Follow up'!F68+'03 - Monthly Asset Follow up'!G68-'03 - Monthly Asset Follow up'!V68+'03 - Monthly Asset Follow up'!Y68-H64)</f>
        <v/>
      </c>
      <c r="AV64" s="361" t="str">
        <f>IF($C64=0,"",'03 - Monthly Asset Follow up'!BE68+'03 - Monthly Asset Follow up'!BF68-'03 - Monthly Asset Follow up'!BU68+'03 - Monthly Asset Follow up'!BX68-AA64)</f>
        <v/>
      </c>
      <c r="AX64" s="154"/>
    </row>
    <row r="65" spans="2:50">
      <c r="B65" s="730" t="str">
        <f t="shared" si="4"/>
        <v/>
      </c>
      <c r="C65" s="733">
        <f>'03 - Monthly Asset Follow up'!B69</f>
        <v>0</v>
      </c>
      <c r="D65" s="149"/>
      <c r="E65" s="726" t="str">
        <f>IF($C65=0,"",SUMIFS(INPUT_DATA!AV:AV,INPUT_DATA!$A:$A,$C65,INPUT_DATA!$C:$C,"S"))</f>
        <v/>
      </c>
      <c r="F65" s="738" t="str">
        <f>IF($C65=0,"",SUMIFS(INPUT_DATA!AW:AW,INPUT_DATA!$A:$A,$C65,INPUT_DATA!$C:$C,"S"))</f>
        <v/>
      </c>
      <c r="G65" s="738" t="str">
        <f>IF($C65=0,"",SUMIFS(INPUT_DATA!AX:AX,INPUT_DATA!$A:$A,$C65,INPUT_DATA!$C:$C,"S"))</f>
        <v/>
      </c>
      <c r="H65" s="740" t="str">
        <f t="shared" si="0"/>
        <v/>
      </c>
      <c r="I65" s="738" t="str">
        <f>IF($C65=0,"",SUMIFS(INPUT_DATA!AZ:AZ,INPUT_DATA!$A:$A,$C65,INPUT_DATA!$C:$C,"S"))</f>
        <v/>
      </c>
      <c r="J65" s="738" t="str">
        <f>IF($C65=0,"",SUMIFS(INPUT_DATA!BA:BA,INPUT_DATA!$A:$A,$C65,INPUT_DATA!$C:$C,"S"))</f>
        <v/>
      </c>
      <c r="K65" s="738" t="str">
        <f>IF($C65=0,"",SUMIFS(INPUT_DATA!BB:BB,INPUT_DATA!$A:$A,$C65,INPUT_DATA!$C:$C,"S"))</f>
        <v/>
      </c>
      <c r="L65" s="738" t="str">
        <f>IF($C65=0,"",SUMIFS(INPUT_DATA!BC:BC,INPUT_DATA!$A:$A,$C65,INPUT_DATA!$C:$C,"S"))</f>
        <v/>
      </c>
      <c r="M65" s="738" t="str">
        <f>IF($C65=0,"",SUMIFS(INPUT_DATA!BD:BD,INPUT_DATA!$A:$A,$C65,INPUT_DATA!$C:$C,"S"))</f>
        <v/>
      </c>
      <c r="N65" s="738" t="str">
        <f>IF($C65=0,"",SUMIFS(INPUT_DATA!BE:BE,INPUT_DATA!$A:$A,$C65,INPUT_DATA!$C:$C,"S"))</f>
        <v/>
      </c>
      <c r="O65" s="738" t="str">
        <f>IF($C65=0,"",SUMIFS(INPUT_DATA!BF:BF,INPUT_DATA!$A:$A,$C65,INPUT_DATA!$C:$C,"S"))</f>
        <v/>
      </c>
      <c r="P65" s="738" t="str">
        <f>IF($C65=0,"",SUMIFS(INPUT_DATA!BG:BG,INPUT_DATA!$A:$A,$C65,INPUT_DATA!$C:$C,"S"))</f>
        <v/>
      </c>
      <c r="Q65" s="744" t="str">
        <f t="shared" si="5"/>
        <v/>
      </c>
      <c r="R65" s="746" t="str">
        <f>IF($C65=0,"",SUMIFS(INPUT_DATA!BI:BI,INPUT_DATA!$A:$A,$C65,INPUT_DATA!$C:$C,"S"))</f>
        <v/>
      </c>
      <c r="S65" s="746" t="str">
        <f>IF($C65=0,"",SUMIFS(INPUT_DATA!BJ:BJ,INPUT_DATA!$A:$A,$C65,INPUT_DATA!$C:$C,"S"))</f>
        <v/>
      </c>
      <c r="T65" s="744" t="str">
        <f t="shared" si="6"/>
        <v/>
      </c>
      <c r="U65" s="749" t="str">
        <f>IF($C65=0,"",SUMIFS(INPUT_DATA!BM:BM,INPUT_DATA!$A:$A,$C65,INPUT_DATA!$C:$C,"S"))</f>
        <v/>
      </c>
      <c r="V65" s="155" t="str">
        <f t="shared" si="1"/>
        <v/>
      </c>
      <c r="W65" s="149"/>
      <c r="X65" s="726" t="str">
        <f>IF($C65=0,"",SUMIFS(INPUT_DATA!AV:AV,INPUT_DATA!$A:$A,$C65,INPUT_DATA!$C:$C,"D"))</f>
        <v/>
      </c>
      <c r="Y65" s="738" t="str">
        <f>IF($C65=0,"",SUMIFS(INPUT_DATA!AW:AW,INPUT_DATA!$A:$A,$C65,INPUT_DATA!$C:$C,"D"))</f>
        <v/>
      </c>
      <c r="Z65" s="738" t="str">
        <f>IF($C65=0,"",SUMIFS(INPUT_DATA!AX:AX,INPUT_DATA!$A:$A,$C65,INPUT_DATA!$C:$C,"D"))</f>
        <v/>
      </c>
      <c r="AA65" s="739" t="str">
        <f t="shared" si="2"/>
        <v/>
      </c>
      <c r="AB65" s="738" t="str">
        <f>IF($C65=0,"",SUMIFS(INPUT_DATA!AZ:AZ,INPUT_DATA!$A:$A,$C65,INPUT_DATA!$C:$C,"D"))</f>
        <v/>
      </c>
      <c r="AC65" s="738" t="str">
        <f>IF($C65=0,"",SUMIFS(INPUT_DATA!BA:BA,INPUT_DATA!$A:$A,$C65,INPUT_DATA!$C:$C,"D"))</f>
        <v/>
      </c>
      <c r="AD65" s="738" t="str">
        <f>IF($C65=0,"",SUMIFS(INPUT_DATA!BB:BB,INPUT_DATA!$A:$A,$C65,INPUT_DATA!$C:$C,"D"))</f>
        <v/>
      </c>
      <c r="AE65" s="738" t="str">
        <f>IF($C65=0,"",SUMIFS(INPUT_DATA!BC:BC,INPUT_DATA!$A:$A,$C65,INPUT_DATA!$C:$C,"D"))</f>
        <v/>
      </c>
      <c r="AF65" s="738" t="str">
        <f>IF($C65=0,"",SUMIFS(INPUT_DATA!BD:BD,INPUT_DATA!$A:$A,$C65,INPUT_DATA!$C:$C,"D"))</f>
        <v/>
      </c>
      <c r="AG65" s="738" t="str">
        <f>IF($C65=0,"",SUMIFS(INPUT_DATA!BE:BE,INPUT_DATA!$A:$A,$C65,INPUT_DATA!$C:$C,"D"))</f>
        <v/>
      </c>
      <c r="AH65" s="738" t="str">
        <f>IF($C65=0,"",SUMIFS(INPUT_DATA!BF:BF,INPUT_DATA!$A:$A,$C65,INPUT_DATA!$C:$C,"D"))</f>
        <v/>
      </c>
      <c r="AI65" s="738" t="str">
        <f>IF($C65=0,"",SUMIFS(INPUT_DATA!BG:BG,INPUT_DATA!$A:$A,$C65,INPUT_DATA!$C:$C,"D"))</f>
        <v/>
      </c>
      <c r="AJ65" s="299" t="str">
        <f t="shared" si="3"/>
        <v/>
      </c>
      <c r="AK65" s="746" t="str">
        <f>IF($C65=0,"",SUMIFS(INPUT_DATA!BI:BI,INPUT_DATA!$A:$A,$C65,INPUT_DATA!$C:$C,"D"))</f>
        <v/>
      </c>
      <c r="AL65" s="746" t="str">
        <f>IF($C65=0,"",SUMIFS(INPUT_DATA!BJ:BJ,INPUT_DATA!$A:$A,$C65,INPUT_DATA!$C:$C,"D"))</f>
        <v/>
      </c>
      <c r="AM65" s="746" t="str">
        <f>IF($C65=0,"",SUMIFS(INPUT_DATA!BK:BK,INPUT_DATA!$A:$A,$C65,INPUT_DATA!$C:$C,"D"))</f>
        <v/>
      </c>
      <c r="AN65" s="744" t="str">
        <f t="shared" si="7"/>
        <v/>
      </c>
      <c r="AO65" s="749" t="str">
        <f>IF($C65=0,"",SUMIFS(INPUT_DATA!BM:BM,INPUT_DATA!$A:$A,$C65,INPUT_DATA!$C:$C,"D"))</f>
        <v/>
      </c>
      <c r="AP65" s="338" t="str">
        <f t="shared" si="8"/>
        <v/>
      </c>
      <c r="AQ65" s="149"/>
      <c r="AS65" s="338" t="str">
        <f t="shared" si="9"/>
        <v/>
      </c>
      <c r="AU65" s="361" t="str">
        <f>IF($C65=0,"",'03 - Monthly Asset Follow up'!F69+'03 - Monthly Asset Follow up'!G69-'03 - Monthly Asset Follow up'!V69+'03 - Monthly Asset Follow up'!Y69-H65)</f>
        <v/>
      </c>
      <c r="AV65" s="361" t="str">
        <f>IF($C65=0,"",'03 - Monthly Asset Follow up'!BE69+'03 - Monthly Asset Follow up'!BF69-'03 - Monthly Asset Follow up'!BU69+'03 - Monthly Asset Follow up'!BX69-AA65)</f>
        <v/>
      </c>
      <c r="AX65" s="154"/>
    </row>
    <row r="66" spans="2:50">
      <c r="B66" s="730" t="str">
        <f t="shared" si="4"/>
        <v/>
      </c>
      <c r="C66" s="733">
        <f>'03 - Monthly Asset Follow up'!B70</f>
        <v>0</v>
      </c>
      <c r="D66" s="149"/>
      <c r="E66" s="726" t="str">
        <f>IF($C66=0,"",SUMIFS(INPUT_DATA!AV:AV,INPUT_DATA!$A:$A,$C66,INPUT_DATA!$C:$C,"S"))</f>
        <v/>
      </c>
      <c r="F66" s="738" t="str">
        <f>IF($C66=0,"",SUMIFS(INPUT_DATA!AW:AW,INPUT_DATA!$A:$A,$C66,INPUT_DATA!$C:$C,"S"))</f>
        <v/>
      </c>
      <c r="G66" s="738" t="str">
        <f>IF($C66=0,"",SUMIFS(INPUT_DATA!AX:AX,INPUT_DATA!$A:$A,$C66,INPUT_DATA!$C:$C,"S"))</f>
        <v/>
      </c>
      <c r="H66" s="740" t="str">
        <f t="shared" si="0"/>
        <v/>
      </c>
      <c r="I66" s="738" t="str">
        <f>IF($C66=0,"",SUMIFS(INPUT_DATA!AZ:AZ,INPUT_DATA!$A:$A,$C66,INPUT_DATA!$C:$C,"S"))</f>
        <v/>
      </c>
      <c r="J66" s="738" t="str">
        <f>IF($C66=0,"",SUMIFS(INPUT_DATA!BA:BA,INPUT_DATA!$A:$A,$C66,INPUT_DATA!$C:$C,"S"))</f>
        <v/>
      </c>
      <c r="K66" s="738" t="str">
        <f>IF($C66=0,"",SUMIFS(INPUT_DATA!BB:BB,INPUT_DATA!$A:$A,$C66,INPUT_DATA!$C:$C,"S"))</f>
        <v/>
      </c>
      <c r="L66" s="738" t="str">
        <f>IF($C66=0,"",SUMIFS(INPUT_DATA!BC:BC,INPUT_DATA!$A:$A,$C66,INPUT_DATA!$C:$C,"S"))</f>
        <v/>
      </c>
      <c r="M66" s="738" t="str">
        <f>IF($C66=0,"",SUMIFS(INPUT_DATA!BD:BD,INPUT_DATA!$A:$A,$C66,INPUT_DATA!$C:$C,"S"))</f>
        <v/>
      </c>
      <c r="N66" s="738" t="str">
        <f>IF($C66=0,"",SUMIFS(INPUT_DATA!BE:BE,INPUT_DATA!$A:$A,$C66,INPUT_DATA!$C:$C,"S"))</f>
        <v/>
      </c>
      <c r="O66" s="738" t="str">
        <f>IF($C66=0,"",SUMIFS(INPUT_DATA!BF:BF,INPUT_DATA!$A:$A,$C66,INPUT_DATA!$C:$C,"S"))</f>
        <v/>
      </c>
      <c r="P66" s="738" t="str">
        <f>IF($C66=0,"",SUMIFS(INPUT_DATA!BG:BG,INPUT_DATA!$A:$A,$C66,INPUT_DATA!$C:$C,"S"))</f>
        <v/>
      </c>
      <c r="Q66" s="744" t="str">
        <f t="shared" si="5"/>
        <v/>
      </c>
      <c r="R66" s="746" t="str">
        <f>IF($C66=0,"",SUMIFS(INPUT_DATA!BI:BI,INPUT_DATA!$A:$A,$C66,INPUT_DATA!$C:$C,"S"))</f>
        <v/>
      </c>
      <c r="S66" s="746" t="str">
        <f>IF($C66=0,"",SUMIFS(INPUT_DATA!BJ:BJ,INPUT_DATA!$A:$A,$C66,INPUT_DATA!$C:$C,"S"))</f>
        <v/>
      </c>
      <c r="T66" s="744" t="str">
        <f t="shared" si="6"/>
        <v/>
      </c>
      <c r="U66" s="749" t="str">
        <f>IF($C66=0,"",SUMIFS(INPUT_DATA!BM:BM,INPUT_DATA!$A:$A,$C66,INPUT_DATA!$C:$C,"S"))</f>
        <v/>
      </c>
      <c r="V66" s="155" t="str">
        <f t="shared" si="1"/>
        <v/>
      </c>
      <c r="W66" s="149"/>
      <c r="X66" s="726" t="str">
        <f>IF($C66=0,"",SUMIFS(INPUT_DATA!AV:AV,INPUT_DATA!$A:$A,$C66,INPUT_DATA!$C:$C,"D"))</f>
        <v/>
      </c>
      <c r="Y66" s="738" t="str">
        <f>IF($C66=0,"",SUMIFS(INPUT_DATA!AW:AW,INPUT_DATA!$A:$A,$C66,INPUT_DATA!$C:$C,"D"))</f>
        <v/>
      </c>
      <c r="Z66" s="738" t="str">
        <f>IF($C66=0,"",SUMIFS(INPUT_DATA!AX:AX,INPUT_DATA!$A:$A,$C66,INPUT_DATA!$C:$C,"D"))</f>
        <v/>
      </c>
      <c r="AA66" s="739" t="str">
        <f t="shared" si="2"/>
        <v/>
      </c>
      <c r="AB66" s="738" t="str">
        <f>IF($C66=0,"",SUMIFS(INPUT_DATA!AZ:AZ,INPUT_DATA!$A:$A,$C66,INPUT_DATA!$C:$C,"D"))</f>
        <v/>
      </c>
      <c r="AC66" s="738" t="str">
        <f>IF($C66=0,"",SUMIFS(INPUT_DATA!BA:BA,INPUT_DATA!$A:$A,$C66,INPUT_DATA!$C:$C,"D"))</f>
        <v/>
      </c>
      <c r="AD66" s="738" t="str">
        <f>IF($C66=0,"",SUMIFS(INPUT_DATA!BB:BB,INPUT_DATA!$A:$A,$C66,INPUT_DATA!$C:$C,"D"))</f>
        <v/>
      </c>
      <c r="AE66" s="738" t="str">
        <f>IF($C66=0,"",SUMIFS(INPUT_DATA!BC:BC,INPUT_DATA!$A:$A,$C66,INPUT_DATA!$C:$C,"D"))</f>
        <v/>
      </c>
      <c r="AF66" s="738" t="str">
        <f>IF($C66=0,"",SUMIFS(INPUT_DATA!BD:BD,INPUT_DATA!$A:$A,$C66,INPUT_DATA!$C:$C,"D"))</f>
        <v/>
      </c>
      <c r="AG66" s="738" t="str">
        <f>IF($C66=0,"",SUMIFS(INPUT_DATA!BE:BE,INPUT_DATA!$A:$A,$C66,INPUT_DATA!$C:$C,"D"))</f>
        <v/>
      </c>
      <c r="AH66" s="738" t="str">
        <f>IF($C66=0,"",SUMIFS(INPUT_DATA!BF:BF,INPUT_DATA!$A:$A,$C66,INPUT_DATA!$C:$C,"D"))</f>
        <v/>
      </c>
      <c r="AI66" s="738" t="str">
        <f>IF($C66=0,"",SUMIFS(INPUT_DATA!BG:BG,INPUT_DATA!$A:$A,$C66,INPUT_DATA!$C:$C,"D"))</f>
        <v/>
      </c>
      <c r="AJ66" s="299" t="str">
        <f t="shared" si="3"/>
        <v/>
      </c>
      <c r="AK66" s="746" t="str">
        <f>IF($C66=0,"",SUMIFS(INPUT_DATA!BI:BI,INPUT_DATA!$A:$A,$C66,INPUT_DATA!$C:$C,"D"))</f>
        <v/>
      </c>
      <c r="AL66" s="746" t="str">
        <f>IF($C66=0,"",SUMIFS(INPUT_DATA!BJ:BJ,INPUT_DATA!$A:$A,$C66,INPUT_DATA!$C:$C,"D"))</f>
        <v/>
      </c>
      <c r="AM66" s="746" t="str">
        <f>IF($C66=0,"",SUMIFS(INPUT_DATA!BK:BK,INPUT_DATA!$A:$A,$C66,INPUT_DATA!$C:$C,"D"))</f>
        <v/>
      </c>
      <c r="AN66" s="744" t="str">
        <f t="shared" si="7"/>
        <v/>
      </c>
      <c r="AO66" s="749" t="str">
        <f>IF($C66=0,"",SUMIFS(INPUT_DATA!BM:BM,INPUT_DATA!$A:$A,$C66,INPUT_DATA!$C:$C,"D"))</f>
        <v/>
      </c>
      <c r="AP66" s="338" t="str">
        <f t="shared" si="8"/>
        <v/>
      </c>
      <c r="AQ66" s="149"/>
      <c r="AS66" s="338" t="str">
        <f t="shared" si="9"/>
        <v/>
      </c>
      <c r="AU66" s="361" t="str">
        <f>IF($C66=0,"",'03 - Monthly Asset Follow up'!F70+'03 - Monthly Asset Follow up'!G70-'03 - Monthly Asset Follow up'!V70+'03 - Monthly Asset Follow up'!Y70-H66)</f>
        <v/>
      </c>
      <c r="AV66" s="361" t="str">
        <f>IF($C66=0,"",'03 - Monthly Asset Follow up'!BE70+'03 - Monthly Asset Follow up'!BF70-'03 - Monthly Asset Follow up'!BU70+'03 - Monthly Asset Follow up'!BX70-AA66)</f>
        <v/>
      </c>
      <c r="AX66" s="154"/>
    </row>
    <row r="67" spans="2:50">
      <c r="B67" s="730" t="str">
        <f t="shared" si="4"/>
        <v/>
      </c>
      <c r="C67" s="733">
        <f>'03 - Monthly Asset Follow up'!B71</f>
        <v>0</v>
      </c>
      <c r="D67" s="149"/>
      <c r="E67" s="726" t="str">
        <f>IF($C67=0,"",SUMIFS(INPUT_DATA!AV:AV,INPUT_DATA!$A:$A,$C67,INPUT_DATA!$C:$C,"S"))</f>
        <v/>
      </c>
      <c r="F67" s="738" t="str">
        <f>IF($C67=0,"",SUMIFS(INPUT_DATA!AW:AW,INPUT_DATA!$A:$A,$C67,INPUT_DATA!$C:$C,"S"))</f>
        <v/>
      </c>
      <c r="G67" s="738" t="str">
        <f>IF($C67=0,"",SUMIFS(INPUT_DATA!AX:AX,INPUT_DATA!$A:$A,$C67,INPUT_DATA!$C:$C,"S"))</f>
        <v/>
      </c>
      <c r="H67" s="740" t="str">
        <f t="shared" si="0"/>
        <v/>
      </c>
      <c r="I67" s="738" t="str">
        <f>IF($C67=0,"",SUMIFS(INPUT_DATA!AZ:AZ,INPUT_DATA!$A:$A,$C67,INPUT_DATA!$C:$C,"S"))</f>
        <v/>
      </c>
      <c r="J67" s="738" t="str">
        <f>IF($C67=0,"",SUMIFS(INPUT_DATA!BA:BA,INPUT_DATA!$A:$A,$C67,INPUT_DATA!$C:$C,"S"))</f>
        <v/>
      </c>
      <c r="K67" s="738" t="str">
        <f>IF($C67=0,"",SUMIFS(INPUT_DATA!BB:BB,INPUT_DATA!$A:$A,$C67,INPUT_DATA!$C:$C,"S"))</f>
        <v/>
      </c>
      <c r="L67" s="738" t="str">
        <f>IF($C67=0,"",SUMIFS(INPUT_DATA!BC:BC,INPUT_DATA!$A:$A,$C67,INPUT_DATA!$C:$C,"S"))</f>
        <v/>
      </c>
      <c r="M67" s="738" t="str">
        <f>IF($C67=0,"",SUMIFS(INPUT_DATA!BD:BD,INPUT_DATA!$A:$A,$C67,INPUT_DATA!$C:$C,"S"))</f>
        <v/>
      </c>
      <c r="N67" s="738" t="str">
        <f>IF($C67=0,"",SUMIFS(INPUT_DATA!BE:BE,INPUT_DATA!$A:$A,$C67,INPUT_DATA!$C:$C,"S"))</f>
        <v/>
      </c>
      <c r="O67" s="738" t="str">
        <f>IF($C67=0,"",SUMIFS(INPUT_DATA!BF:BF,INPUT_DATA!$A:$A,$C67,INPUT_DATA!$C:$C,"S"))</f>
        <v/>
      </c>
      <c r="P67" s="738" t="str">
        <f>IF($C67=0,"",SUMIFS(INPUT_DATA!BG:BG,INPUT_DATA!$A:$A,$C67,INPUT_DATA!$C:$C,"S"))</f>
        <v/>
      </c>
      <c r="Q67" s="744" t="str">
        <f t="shared" si="5"/>
        <v/>
      </c>
      <c r="R67" s="746" t="str">
        <f>IF($C67=0,"",SUMIFS(INPUT_DATA!BI:BI,INPUT_DATA!$A:$A,$C67,INPUT_DATA!$C:$C,"S"))</f>
        <v/>
      </c>
      <c r="S67" s="746" t="str">
        <f>IF($C67=0,"",SUMIFS(INPUT_DATA!BJ:BJ,INPUT_DATA!$A:$A,$C67,INPUT_DATA!$C:$C,"S"))</f>
        <v/>
      </c>
      <c r="T67" s="744" t="str">
        <f t="shared" si="6"/>
        <v/>
      </c>
      <c r="U67" s="749" t="str">
        <f>IF($C67=0,"",SUMIFS(INPUT_DATA!BM:BM,INPUT_DATA!$A:$A,$C67,INPUT_DATA!$C:$C,"S"))</f>
        <v/>
      </c>
      <c r="V67" s="155" t="str">
        <f t="shared" si="1"/>
        <v/>
      </c>
      <c r="W67" s="149"/>
      <c r="X67" s="726" t="str">
        <f>IF($C67=0,"",SUMIFS(INPUT_DATA!AV:AV,INPUT_DATA!$A:$A,$C67,INPUT_DATA!$C:$C,"D"))</f>
        <v/>
      </c>
      <c r="Y67" s="738" t="str">
        <f>IF($C67=0,"",SUMIFS(INPUT_DATA!AW:AW,INPUT_DATA!$A:$A,$C67,INPUT_DATA!$C:$C,"D"))</f>
        <v/>
      </c>
      <c r="Z67" s="738" t="str">
        <f>IF($C67=0,"",SUMIFS(INPUT_DATA!AX:AX,INPUT_DATA!$A:$A,$C67,INPUT_DATA!$C:$C,"D"))</f>
        <v/>
      </c>
      <c r="AA67" s="739" t="str">
        <f t="shared" si="2"/>
        <v/>
      </c>
      <c r="AB67" s="738" t="str">
        <f>IF($C67=0,"",SUMIFS(INPUT_DATA!AZ:AZ,INPUT_DATA!$A:$A,$C67,INPUT_DATA!$C:$C,"D"))</f>
        <v/>
      </c>
      <c r="AC67" s="738" t="str">
        <f>IF($C67=0,"",SUMIFS(INPUT_DATA!BA:BA,INPUT_DATA!$A:$A,$C67,INPUT_DATA!$C:$C,"D"))</f>
        <v/>
      </c>
      <c r="AD67" s="738" t="str">
        <f>IF($C67=0,"",SUMIFS(INPUT_DATA!BB:BB,INPUT_DATA!$A:$A,$C67,INPUT_DATA!$C:$C,"D"))</f>
        <v/>
      </c>
      <c r="AE67" s="738" t="str">
        <f>IF($C67=0,"",SUMIFS(INPUT_DATA!BC:BC,INPUT_DATA!$A:$A,$C67,INPUT_DATA!$C:$C,"D"))</f>
        <v/>
      </c>
      <c r="AF67" s="738" t="str">
        <f>IF($C67=0,"",SUMIFS(INPUT_DATA!BD:BD,INPUT_DATA!$A:$A,$C67,INPUT_DATA!$C:$C,"D"))</f>
        <v/>
      </c>
      <c r="AG67" s="738" t="str">
        <f>IF($C67=0,"",SUMIFS(INPUT_DATA!BE:BE,INPUT_DATA!$A:$A,$C67,INPUT_DATA!$C:$C,"D"))</f>
        <v/>
      </c>
      <c r="AH67" s="738" t="str">
        <f>IF($C67=0,"",SUMIFS(INPUT_DATA!BF:BF,INPUT_DATA!$A:$A,$C67,INPUT_DATA!$C:$C,"D"))</f>
        <v/>
      </c>
      <c r="AI67" s="738" t="str">
        <f>IF($C67=0,"",SUMIFS(INPUT_DATA!BG:BG,INPUT_DATA!$A:$A,$C67,INPUT_DATA!$C:$C,"D"))</f>
        <v/>
      </c>
      <c r="AJ67" s="299" t="str">
        <f t="shared" si="3"/>
        <v/>
      </c>
      <c r="AK67" s="746" t="str">
        <f>IF($C67=0,"",SUMIFS(INPUT_DATA!BI:BI,INPUT_DATA!$A:$A,$C67,INPUT_DATA!$C:$C,"D"))</f>
        <v/>
      </c>
      <c r="AL67" s="746" t="str">
        <f>IF($C67=0,"",SUMIFS(INPUT_DATA!BJ:BJ,INPUT_DATA!$A:$A,$C67,INPUT_DATA!$C:$C,"D"))</f>
        <v/>
      </c>
      <c r="AM67" s="746" t="str">
        <f>IF($C67=0,"",SUMIFS(INPUT_DATA!BK:BK,INPUT_DATA!$A:$A,$C67,INPUT_DATA!$C:$C,"D"))</f>
        <v/>
      </c>
      <c r="AN67" s="744" t="str">
        <f t="shared" si="7"/>
        <v/>
      </c>
      <c r="AO67" s="749" t="str">
        <f>IF($C67=0,"",SUMIFS(INPUT_DATA!BM:BM,INPUT_DATA!$A:$A,$C67,INPUT_DATA!$C:$C,"D"))</f>
        <v/>
      </c>
      <c r="AP67" s="338" t="str">
        <f t="shared" si="8"/>
        <v/>
      </c>
      <c r="AQ67" s="149"/>
      <c r="AS67" s="338" t="str">
        <f t="shared" si="9"/>
        <v/>
      </c>
      <c r="AU67" s="361" t="str">
        <f>IF($C67=0,"",'03 - Monthly Asset Follow up'!F71+'03 - Monthly Asset Follow up'!G71-'03 - Monthly Asset Follow up'!V71+'03 - Monthly Asset Follow up'!Y71-H67)</f>
        <v/>
      </c>
      <c r="AV67" s="361" t="str">
        <f>IF($C67=0,"",'03 - Monthly Asset Follow up'!BE71+'03 - Monthly Asset Follow up'!BF71-'03 - Monthly Asset Follow up'!BU71+'03 - Monthly Asset Follow up'!BX71-AA67)</f>
        <v/>
      </c>
      <c r="AX67" s="154"/>
    </row>
    <row r="68" spans="2:50">
      <c r="B68" s="730" t="str">
        <f t="shared" si="4"/>
        <v/>
      </c>
      <c r="C68" s="733">
        <f>'03 - Monthly Asset Follow up'!B72</f>
        <v>0</v>
      </c>
      <c r="D68" s="149"/>
      <c r="E68" s="726" t="str">
        <f>IF($C68=0,"",SUMIFS(INPUT_DATA!AV:AV,INPUT_DATA!$A:$A,$C68,INPUT_DATA!$C:$C,"S"))</f>
        <v/>
      </c>
      <c r="F68" s="738" t="str">
        <f>IF($C68=0,"",SUMIFS(INPUT_DATA!AW:AW,INPUT_DATA!$A:$A,$C68,INPUT_DATA!$C:$C,"S"))</f>
        <v/>
      </c>
      <c r="G68" s="738" t="str">
        <f>IF($C68=0,"",SUMIFS(INPUT_DATA!AX:AX,INPUT_DATA!$A:$A,$C68,INPUT_DATA!$C:$C,"S"))</f>
        <v/>
      </c>
      <c r="H68" s="740" t="str">
        <f t="shared" si="0"/>
        <v/>
      </c>
      <c r="I68" s="738" t="str">
        <f>IF($C68=0,"",SUMIFS(INPUT_DATA!AZ:AZ,INPUT_DATA!$A:$A,$C68,INPUT_DATA!$C:$C,"S"))</f>
        <v/>
      </c>
      <c r="J68" s="738" t="str">
        <f>IF($C68=0,"",SUMIFS(INPUT_DATA!BA:BA,INPUT_DATA!$A:$A,$C68,INPUT_DATA!$C:$C,"S"))</f>
        <v/>
      </c>
      <c r="K68" s="738" t="str">
        <f>IF($C68=0,"",SUMIFS(INPUT_DATA!BB:BB,INPUT_DATA!$A:$A,$C68,INPUT_DATA!$C:$C,"S"))</f>
        <v/>
      </c>
      <c r="L68" s="738" t="str">
        <f>IF($C68=0,"",SUMIFS(INPUT_DATA!BC:BC,INPUT_DATA!$A:$A,$C68,INPUT_DATA!$C:$C,"S"))</f>
        <v/>
      </c>
      <c r="M68" s="738" t="str">
        <f>IF($C68=0,"",SUMIFS(INPUT_DATA!BD:BD,INPUT_DATA!$A:$A,$C68,INPUT_DATA!$C:$C,"S"))</f>
        <v/>
      </c>
      <c r="N68" s="738" t="str">
        <f>IF($C68=0,"",SUMIFS(INPUT_DATA!BE:BE,INPUT_DATA!$A:$A,$C68,INPUT_DATA!$C:$C,"S"))</f>
        <v/>
      </c>
      <c r="O68" s="738" t="str">
        <f>IF($C68=0,"",SUMIFS(INPUT_DATA!BF:BF,INPUT_DATA!$A:$A,$C68,INPUT_DATA!$C:$C,"S"))</f>
        <v/>
      </c>
      <c r="P68" s="738" t="str">
        <f>IF($C68=0,"",SUMIFS(INPUT_DATA!BG:BG,INPUT_DATA!$A:$A,$C68,INPUT_DATA!$C:$C,"S"))</f>
        <v/>
      </c>
      <c r="Q68" s="744" t="str">
        <f t="shared" si="5"/>
        <v/>
      </c>
      <c r="R68" s="746" t="str">
        <f>IF($C68=0,"",SUMIFS(INPUT_DATA!BI:BI,INPUT_DATA!$A:$A,$C68,INPUT_DATA!$C:$C,"S"))</f>
        <v/>
      </c>
      <c r="S68" s="746" t="str">
        <f>IF($C68=0,"",SUMIFS(INPUT_DATA!BJ:BJ,INPUT_DATA!$A:$A,$C68,INPUT_DATA!$C:$C,"S"))</f>
        <v/>
      </c>
      <c r="T68" s="744" t="str">
        <f t="shared" si="6"/>
        <v/>
      </c>
      <c r="U68" s="749" t="str">
        <f>IF($C68=0,"",SUMIFS(INPUT_DATA!BM:BM,INPUT_DATA!$A:$A,$C68,INPUT_DATA!$C:$C,"S"))</f>
        <v/>
      </c>
      <c r="V68" s="155" t="str">
        <f t="shared" si="1"/>
        <v/>
      </c>
      <c r="W68" s="149"/>
      <c r="X68" s="726" t="str">
        <f>IF($C68=0,"",SUMIFS(INPUT_DATA!AV:AV,INPUT_DATA!$A:$A,$C68,INPUT_DATA!$C:$C,"D"))</f>
        <v/>
      </c>
      <c r="Y68" s="738" t="str">
        <f>IF($C68=0,"",SUMIFS(INPUT_DATA!AW:AW,INPUT_DATA!$A:$A,$C68,INPUT_DATA!$C:$C,"D"))</f>
        <v/>
      </c>
      <c r="Z68" s="738" t="str">
        <f>IF($C68=0,"",SUMIFS(INPUT_DATA!AX:AX,INPUT_DATA!$A:$A,$C68,INPUT_DATA!$C:$C,"D"))</f>
        <v/>
      </c>
      <c r="AA68" s="739" t="str">
        <f t="shared" si="2"/>
        <v/>
      </c>
      <c r="AB68" s="738" t="str">
        <f>IF($C68=0,"",SUMIFS(INPUT_DATA!AZ:AZ,INPUT_DATA!$A:$A,$C68,INPUT_DATA!$C:$C,"D"))</f>
        <v/>
      </c>
      <c r="AC68" s="738" t="str">
        <f>IF($C68=0,"",SUMIFS(INPUT_DATA!BA:BA,INPUT_DATA!$A:$A,$C68,INPUT_DATA!$C:$C,"D"))</f>
        <v/>
      </c>
      <c r="AD68" s="738" t="str">
        <f>IF($C68=0,"",SUMIFS(INPUT_DATA!BB:BB,INPUT_DATA!$A:$A,$C68,INPUT_DATA!$C:$C,"D"))</f>
        <v/>
      </c>
      <c r="AE68" s="738" t="str">
        <f>IF($C68=0,"",SUMIFS(INPUT_DATA!BC:BC,INPUT_DATA!$A:$A,$C68,INPUT_DATA!$C:$C,"D"))</f>
        <v/>
      </c>
      <c r="AF68" s="738" t="str">
        <f>IF($C68=0,"",SUMIFS(INPUT_DATA!BD:BD,INPUT_DATA!$A:$A,$C68,INPUT_DATA!$C:$C,"D"))</f>
        <v/>
      </c>
      <c r="AG68" s="738" t="str">
        <f>IF($C68=0,"",SUMIFS(INPUT_DATA!BE:BE,INPUT_DATA!$A:$A,$C68,INPUT_DATA!$C:$C,"D"))</f>
        <v/>
      </c>
      <c r="AH68" s="738" t="str">
        <f>IF($C68=0,"",SUMIFS(INPUT_DATA!BF:BF,INPUT_DATA!$A:$A,$C68,INPUT_DATA!$C:$C,"D"))</f>
        <v/>
      </c>
      <c r="AI68" s="738" t="str">
        <f>IF($C68=0,"",SUMIFS(INPUT_DATA!BG:BG,INPUT_DATA!$A:$A,$C68,INPUT_DATA!$C:$C,"D"))</f>
        <v/>
      </c>
      <c r="AJ68" s="299" t="str">
        <f t="shared" si="3"/>
        <v/>
      </c>
      <c r="AK68" s="746" t="str">
        <f>IF($C68=0,"",SUMIFS(INPUT_DATA!BI:BI,INPUT_DATA!$A:$A,$C68,INPUT_DATA!$C:$C,"D"))</f>
        <v/>
      </c>
      <c r="AL68" s="746" t="str">
        <f>IF($C68=0,"",SUMIFS(INPUT_DATA!BJ:BJ,INPUT_DATA!$A:$A,$C68,INPUT_DATA!$C:$C,"D"))</f>
        <v/>
      </c>
      <c r="AM68" s="746" t="str">
        <f>IF($C68=0,"",SUMIFS(INPUT_DATA!BK:BK,INPUT_DATA!$A:$A,$C68,INPUT_DATA!$C:$C,"D"))</f>
        <v/>
      </c>
      <c r="AN68" s="744" t="str">
        <f t="shared" si="7"/>
        <v/>
      </c>
      <c r="AO68" s="749" t="str">
        <f>IF($C68=0,"",SUMIFS(INPUT_DATA!BM:BM,INPUT_DATA!$A:$A,$C68,INPUT_DATA!$C:$C,"D"))</f>
        <v/>
      </c>
      <c r="AP68" s="338" t="str">
        <f t="shared" si="8"/>
        <v/>
      </c>
      <c r="AQ68" s="149"/>
      <c r="AS68" s="338" t="str">
        <f t="shared" si="9"/>
        <v/>
      </c>
      <c r="AU68" s="361" t="str">
        <f>IF($C68=0,"",'03 - Monthly Asset Follow up'!F72+'03 - Monthly Asset Follow up'!G72-'03 - Monthly Asset Follow up'!V72+'03 - Monthly Asset Follow up'!Y72-H68)</f>
        <v/>
      </c>
      <c r="AV68" s="361" t="str">
        <f>IF($C68=0,"",'03 - Monthly Asset Follow up'!BE72+'03 - Monthly Asset Follow up'!BF72-'03 - Monthly Asset Follow up'!BU72+'03 - Monthly Asset Follow up'!BX72-AA68)</f>
        <v/>
      </c>
      <c r="AX68" s="154"/>
    </row>
    <row r="69" spans="2:50">
      <c r="B69" s="730" t="str">
        <f t="shared" si="4"/>
        <v/>
      </c>
      <c r="C69" s="733">
        <f>'03 - Monthly Asset Follow up'!B73</f>
        <v>0</v>
      </c>
      <c r="D69" s="149"/>
      <c r="E69" s="726" t="str">
        <f>IF($C69=0,"",SUMIFS(INPUT_DATA!AV:AV,INPUT_DATA!$A:$A,$C69,INPUT_DATA!$C:$C,"S"))</f>
        <v/>
      </c>
      <c r="F69" s="738" t="str">
        <f>IF($C69=0,"",SUMIFS(INPUT_DATA!AW:AW,INPUT_DATA!$A:$A,$C69,INPUT_DATA!$C:$C,"S"))</f>
        <v/>
      </c>
      <c r="G69" s="738" t="str">
        <f>IF($C69=0,"",SUMIFS(INPUT_DATA!AX:AX,INPUT_DATA!$A:$A,$C69,INPUT_DATA!$C:$C,"S"))</f>
        <v/>
      </c>
      <c r="H69" s="740" t="str">
        <f t="shared" si="0"/>
        <v/>
      </c>
      <c r="I69" s="738" t="str">
        <f>IF($C69=0,"",SUMIFS(INPUT_DATA!AZ:AZ,INPUT_DATA!$A:$A,$C69,INPUT_DATA!$C:$C,"S"))</f>
        <v/>
      </c>
      <c r="J69" s="738" t="str">
        <f>IF($C69=0,"",SUMIFS(INPUT_DATA!BA:BA,INPUT_DATA!$A:$A,$C69,INPUT_DATA!$C:$C,"S"))</f>
        <v/>
      </c>
      <c r="K69" s="738" t="str">
        <f>IF($C69=0,"",SUMIFS(INPUT_DATA!BB:BB,INPUT_DATA!$A:$A,$C69,INPUT_DATA!$C:$C,"S"))</f>
        <v/>
      </c>
      <c r="L69" s="738" t="str">
        <f>IF($C69=0,"",SUMIFS(INPUT_DATA!BC:BC,INPUT_DATA!$A:$A,$C69,INPUT_DATA!$C:$C,"S"))</f>
        <v/>
      </c>
      <c r="M69" s="738" t="str">
        <f>IF($C69=0,"",SUMIFS(INPUT_DATA!BD:BD,INPUT_DATA!$A:$A,$C69,INPUT_DATA!$C:$C,"S"))</f>
        <v/>
      </c>
      <c r="N69" s="738" t="str">
        <f>IF($C69=0,"",SUMIFS(INPUT_DATA!BE:BE,INPUT_DATA!$A:$A,$C69,INPUT_DATA!$C:$C,"S"))</f>
        <v/>
      </c>
      <c r="O69" s="738" t="str">
        <f>IF($C69=0,"",SUMIFS(INPUT_DATA!BF:BF,INPUT_DATA!$A:$A,$C69,INPUT_DATA!$C:$C,"S"))</f>
        <v/>
      </c>
      <c r="P69" s="738" t="str">
        <f>IF($C69=0,"",SUMIFS(INPUT_DATA!BG:BG,INPUT_DATA!$A:$A,$C69,INPUT_DATA!$C:$C,"S"))</f>
        <v/>
      </c>
      <c r="Q69" s="744" t="str">
        <f t="shared" si="5"/>
        <v/>
      </c>
      <c r="R69" s="746" t="str">
        <f>IF($C69=0,"",SUMIFS(INPUT_DATA!BI:BI,INPUT_DATA!$A:$A,$C69,INPUT_DATA!$C:$C,"S"))</f>
        <v/>
      </c>
      <c r="S69" s="746" t="str">
        <f>IF($C69=0,"",SUMIFS(INPUT_DATA!BJ:BJ,INPUT_DATA!$A:$A,$C69,INPUT_DATA!$C:$C,"S"))</f>
        <v/>
      </c>
      <c r="T69" s="744" t="str">
        <f t="shared" si="6"/>
        <v/>
      </c>
      <c r="U69" s="749" t="str">
        <f>IF($C69=0,"",SUMIFS(INPUT_DATA!BM:BM,INPUT_DATA!$A:$A,$C69,INPUT_DATA!$C:$C,"S"))</f>
        <v/>
      </c>
      <c r="V69" s="155" t="str">
        <f t="shared" si="1"/>
        <v/>
      </c>
      <c r="W69" s="149"/>
      <c r="X69" s="726" t="str">
        <f>IF($C69=0,"",SUMIFS(INPUT_DATA!AV:AV,INPUT_DATA!$A:$A,$C69,INPUT_DATA!$C:$C,"D"))</f>
        <v/>
      </c>
      <c r="Y69" s="738" t="str">
        <f>IF($C69=0,"",SUMIFS(INPUT_DATA!AW:AW,INPUT_DATA!$A:$A,$C69,INPUT_DATA!$C:$C,"D"))</f>
        <v/>
      </c>
      <c r="Z69" s="738" t="str">
        <f>IF($C69=0,"",SUMIFS(INPUT_DATA!AX:AX,INPUT_DATA!$A:$A,$C69,INPUT_DATA!$C:$C,"D"))</f>
        <v/>
      </c>
      <c r="AA69" s="739" t="str">
        <f t="shared" si="2"/>
        <v/>
      </c>
      <c r="AB69" s="738" t="str">
        <f>IF($C69=0,"",SUMIFS(INPUT_DATA!AZ:AZ,INPUT_DATA!$A:$A,$C69,INPUT_DATA!$C:$C,"D"))</f>
        <v/>
      </c>
      <c r="AC69" s="738" t="str">
        <f>IF($C69=0,"",SUMIFS(INPUT_DATA!BA:BA,INPUT_DATA!$A:$A,$C69,INPUT_DATA!$C:$C,"D"))</f>
        <v/>
      </c>
      <c r="AD69" s="738" t="str">
        <f>IF($C69=0,"",SUMIFS(INPUT_DATA!BB:BB,INPUT_DATA!$A:$A,$C69,INPUT_DATA!$C:$C,"D"))</f>
        <v/>
      </c>
      <c r="AE69" s="738" t="str">
        <f>IF($C69=0,"",SUMIFS(INPUT_DATA!BC:BC,INPUT_DATA!$A:$A,$C69,INPUT_DATA!$C:$C,"D"))</f>
        <v/>
      </c>
      <c r="AF69" s="738" t="str">
        <f>IF($C69=0,"",SUMIFS(INPUT_DATA!BD:BD,INPUT_DATA!$A:$A,$C69,INPUT_DATA!$C:$C,"D"))</f>
        <v/>
      </c>
      <c r="AG69" s="738" t="str">
        <f>IF($C69=0,"",SUMIFS(INPUT_DATA!BE:BE,INPUT_DATA!$A:$A,$C69,INPUT_DATA!$C:$C,"D"))</f>
        <v/>
      </c>
      <c r="AH69" s="738" t="str">
        <f>IF($C69=0,"",SUMIFS(INPUT_DATA!BF:BF,INPUT_DATA!$A:$A,$C69,INPUT_DATA!$C:$C,"D"))</f>
        <v/>
      </c>
      <c r="AI69" s="738" t="str">
        <f>IF($C69=0,"",SUMIFS(INPUT_DATA!BG:BG,INPUT_DATA!$A:$A,$C69,INPUT_DATA!$C:$C,"D"))</f>
        <v/>
      </c>
      <c r="AJ69" s="299" t="str">
        <f t="shared" si="3"/>
        <v/>
      </c>
      <c r="AK69" s="746" t="str">
        <f>IF($C69=0,"",SUMIFS(INPUT_DATA!BI:BI,INPUT_DATA!$A:$A,$C69,INPUT_DATA!$C:$C,"D"))</f>
        <v/>
      </c>
      <c r="AL69" s="746" t="str">
        <f>IF($C69=0,"",SUMIFS(INPUT_DATA!BJ:BJ,INPUT_DATA!$A:$A,$C69,INPUT_DATA!$C:$C,"D"))</f>
        <v/>
      </c>
      <c r="AM69" s="746" t="str">
        <f>IF($C69=0,"",SUMIFS(INPUT_DATA!BK:BK,INPUT_DATA!$A:$A,$C69,INPUT_DATA!$C:$C,"D"))</f>
        <v/>
      </c>
      <c r="AN69" s="744" t="str">
        <f t="shared" si="7"/>
        <v/>
      </c>
      <c r="AO69" s="749" t="str">
        <f>IF($C69=0,"",SUMIFS(INPUT_DATA!BM:BM,INPUT_DATA!$A:$A,$C69,INPUT_DATA!$C:$C,"D"))</f>
        <v/>
      </c>
      <c r="AP69" s="338" t="str">
        <f t="shared" si="8"/>
        <v/>
      </c>
      <c r="AQ69" s="149"/>
      <c r="AS69" s="338" t="str">
        <f t="shared" si="9"/>
        <v/>
      </c>
      <c r="AU69" s="361" t="str">
        <f>IF($C69=0,"",'03 - Monthly Asset Follow up'!F73+'03 - Monthly Asset Follow up'!G73-'03 - Monthly Asset Follow up'!V73+'03 - Monthly Asset Follow up'!Y73-H69)</f>
        <v/>
      </c>
      <c r="AV69" s="361" t="str">
        <f>IF($C69=0,"",'03 - Monthly Asset Follow up'!BE73+'03 - Monthly Asset Follow up'!BF73-'03 - Monthly Asset Follow up'!BU73+'03 - Monthly Asset Follow up'!BX73-AA69)</f>
        <v/>
      </c>
      <c r="AX69" s="154"/>
    </row>
    <row r="70" spans="2:50">
      <c r="B70" s="730" t="str">
        <f t="shared" si="4"/>
        <v/>
      </c>
      <c r="C70" s="733">
        <f>'03 - Monthly Asset Follow up'!B74</f>
        <v>0</v>
      </c>
      <c r="D70" s="149"/>
      <c r="E70" s="726" t="str">
        <f>IF($C70=0,"",SUMIFS(INPUT_DATA!AV:AV,INPUT_DATA!$A:$A,$C70,INPUT_DATA!$C:$C,"S"))</f>
        <v/>
      </c>
      <c r="F70" s="738" t="str">
        <f>IF($C70=0,"",SUMIFS(INPUT_DATA!AW:AW,INPUT_DATA!$A:$A,$C70,INPUT_DATA!$C:$C,"S"))</f>
        <v/>
      </c>
      <c r="G70" s="738" t="str">
        <f>IF($C70=0,"",SUMIFS(INPUT_DATA!AX:AX,INPUT_DATA!$A:$A,$C70,INPUT_DATA!$C:$C,"S"))</f>
        <v/>
      </c>
      <c r="H70" s="740" t="str">
        <f t="shared" si="0"/>
        <v/>
      </c>
      <c r="I70" s="738" t="str">
        <f>IF($C70=0,"",SUMIFS(INPUT_DATA!AZ:AZ,INPUT_DATA!$A:$A,$C70,INPUT_DATA!$C:$C,"S"))</f>
        <v/>
      </c>
      <c r="J70" s="738" t="str">
        <f>IF($C70=0,"",SUMIFS(INPUT_DATA!BA:BA,INPUT_DATA!$A:$A,$C70,INPUT_DATA!$C:$C,"S"))</f>
        <v/>
      </c>
      <c r="K70" s="738" t="str">
        <f>IF($C70=0,"",SUMIFS(INPUT_DATA!BB:BB,INPUT_DATA!$A:$A,$C70,INPUT_DATA!$C:$C,"S"))</f>
        <v/>
      </c>
      <c r="L70" s="738" t="str">
        <f>IF($C70=0,"",SUMIFS(INPUT_DATA!BC:BC,INPUT_DATA!$A:$A,$C70,INPUT_DATA!$C:$C,"S"))</f>
        <v/>
      </c>
      <c r="M70" s="738" t="str">
        <f>IF($C70=0,"",SUMIFS(INPUT_DATA!BD:BD,INPUT_DATA!$A:$A,$C70,INPUT_DATA!$C:$C,"S"))</f>
        <v/>
      </c>
      <c r="N70" s="738" t="str">
        <f>IF($C70=0,"",SUMIFS(INPUT_DATA!BE:BE,INPUT_DATA!$A:$A,$C70,INPUT_DATA!$C:$C,"S"))</f>
        <v/>
      </c>
      <c r="O70" s="738" t="str">
        <f>IF($C70=0,"",SUMIFS(INPUT_DATA!BF:BF,INPUT_DATA!$A:$A,$C70,INPUT_DATA!$C:$C,"S"))</f>
        <v/>
      </c>
      <c r="P70" s="738" t="str">
        <f>IF($C70=0,"",SUMIFS(INPUT_DATA!BG:BG,INPUT_DATA!$A:$A,$C70,INPUT_DATA!$C:$C,"S"))</f>
        <v/>
      </c>
      <c r="Q70" s="744" t="str">
        <f t="shared" si="5"/>
        <v/>
      </c>
      <c r="R70" s="746" t="str">
        <f>IF($C70=0,"",SUMIFS(INPUT_DATA!BI:BI,INPUT_DATA!$A:$A,$C70,INPUT_DATA!$C:$C,"S"))</f>
        <v/>
      </c>
      <c r="S70" s="746" t="str">
        <f>IF($C70=0,"",SUMIFS(INPUT_DATA!BJ:BJ,INPUT_DATA!$A:$A,$C70,INPUT_DATA!$C:$C,"S"))</f>
        <v/>
      </c>
      <c r="T70" s="744" t="str">
        <f t="shared" si="6"/>
        <v/>
      </c>
      <c r="U70" s="749" t="str">
        <f>IF($C70=0,"",SUMIFS(INPUT_DATA!BM:BM,INPUT_DATA!$A:$A,$C70,INPUT_DATA!$C:$C,"S"))</f>
        <v/>
      </c>
      <c r="V70" s="155" t="str">
        <f t="shared" si="1"/>
        <v/>
      </c>
      <c r="W70" s="149"/>
      <c r="X70" s="726" t="str">
        <f>IF($C70=0,"",SUMIFS(INPUT_DATA!AV:AV,INPUT_DATA!$A:$A,$C70,INPUT_DATA!$C:$C,"D"))</f>
        <v/>
      </c>
      <c r="Y70" s="738" t="str">
        <f>IF($C70=0,"",SUMIFS(INPUT_DATA!AW:AW,INPUT_DATA!$A:$A,$C70,INPUT_DATA!$C:$C,"D"))</f>
        <v/>
      </c>
      <c r="Z70" s="738" t="str">
        <f>IF($C70=0,"",SUMIFS(INPUT_DATA!AX:AX,INPUT_DATA!$A:$A,$C70,INPUT_DATA!$C:$C,"D"))</f>
        <v/>
      </c>
      <c r="AA70" s="739" t="str">
        <f t="shared" si="2"/>
        <v/>
      </c>
      <c r="AB70" s="738" t="str">
        <f>IF($C70=0,"",SUMIFS(INPUT_DATA!AZ:AZ,INPUT_DATA!$A:$A,$C70,INPUT_DATA!$C:$C,"D"))</f>
        <v/>
      </c>
      <c r="AC70" s="738" t="str">
        <f>IF($C70=0,"",SUMIFS(INPUT_DATA!BA:BA,INPUT_DATA!$A:$A,$C70,INPUT_DATA!$C:$C,"D"))</f>
        <v/>
      </c>
      <c r="AD70" s="738" t="str">
        <f>IF($C70=0,"",SUMIFS(INPUT_DATA!BB:BB,INPUT_DATA!$A:$A,$C70,INPUT_DATA!$C:$C,"D"))</f>
        <v/>
      </c>
      <c r="AE70" s="738" t="str">
        <f>IF($C70=0,"",SUMIFS(INPUT_DATA!BC:BC,INPUT_DATA!$A:$A,$C70,INPUT_DATA!$C:$C,"D"))</f>
        <v/>
      </c>
      <c r="AF70" s="738" t="str">
        <f>IF($C70=0,"",SUMIFS(INPUT_DATA!BD:BD,INPUT_DATA!$A:$A,$C70,INPUT_DATA!$C:$C,"D"))</f>
        <v/>
      </c>
      <c r="AG70" s="738" t="str">
        <f>IF($C70=0,"",SUMIFS(INPUT_DATA!BE:BE,INPUT_DATA!$A:$A,$C70,INPUT_DATA!$C:$C,"D"))</f>
        <v/>
      </c>
      <c r="AH70" s="738" t="str">
        <f>IF($C70=0,"",SUMIFS(INPUT_DATA!BF:BF,INPUT_DATA!$A:$A,$C70,INPUT_DATA!$C:$C,"D"))</f>
        <v/>
      </c>
      <c r="AI70" s="738" t="str">
        <f>IF($C70=0,"",SUMIFS(INPUT_DATA!BG:BG,INPUT_DATA!$A:$A,$C70,INPUT_DATA!$C:$C,"D"))</f>
        <v/>
      </c>
      <c r="AJ70" s="299" t="str">
        <f t="shared" si="3"/>
        <v/>
      </c>
      <c r="AK70" s="746" t="str">
        <f>IF($C70=0,"",SUMIFS(INPUT_DATA!BI:BI,INPUT_DATA!$A:$A,$C70,INPUT_DATA!$C:$C,"D"))</f>
        <v/>
      </c>
      <c r="AL70" s="746" t="str">
        <f>IF($C70=0,"",SUMIFS(INPUT_DATA!BJ:BJ,INPUT_DATA!$A:$A,$C70,INPUT_DATA!$C:$C,"D"))</f>
        <v/>
      </c>
      <c r="AM70" s="746" t="str">
        <f>IF($C70=0,"",SUMIFS(INPUT_DATA!BK:BK,INPUT_DATA!$A:$A,$C70,INPUT_DATA!$C:$C,"D"))</f>
        <v/>
      </c>
      <c r="AN70" s="744" t="str">
        <f t="shared" si="7"/>
        <v/>
      </c>
      <c r="AO70" s="749" t="str">
        <f>IF($C70=0,"",SUMIFS(INPUT_DATA!BM:BM,INPUT_DATA!$A:$A,$C70,INPUT_DATA!$C:$C,"D"))</f>
        <v/>
      </c>
      <c r="AP70" s="338" t="str">
        <f t="shared" si="8"/>
        <v/>
      </c>
      <c r="AQ70" s="149"/>
      <c r="AS70" s="338" t="str">
        <f t="shared" si="9"/>
        <v/>
      </c>
      <c r="AU70" s="361" t="str">
        <f>IF($C70=0,"",'03 - Monthly Asset Follow up'!F74+'03 - Monthly Asset Follow up'!G74-'03 - Monthly Asset Follow up'!V74+'03 - Monthly Asset Follow up'!Y74-H70)</f>
        <v/>
      </c>
      <c r="AV70" s="361" t="str">
        <f>IF($C70=0,"",'03 - Monthly Asset Follow up'!BE74+'03 - Monthly Asset Follow up'!BF74-'03 - Monthly Asset Follow up'!BU74+'03 - Monthly Asset Follow up'!BX74-AA70)</f>
        <v/>
      </c>
      <c r="AX70" s="154"/>
    </row>
    <row r="71" spans="2:50">
      <c r="B71" s="730" t="str">
        <f t="shared" si="4"/>
        <v/>
      </c>
      <c r="C71" s="733">
        <f>'03 - Monthly Asset Follow up'!B75</f>
        <v>0</v>
      </c>
      <c r="D71" s="149"/>
      <c r="E71" s="726" t="str">
        <f>IF($C71=0,"",SUMIFS(INPUT_DATA!AV:AV,INPUT_DATA!$A:$A,$C71,INPUT_DATA!$C:$C,"S"))</f>
        <v/>
      </c>
      <c r="F71" s="738" t="str">
        <f>IF($C71=0,"",SUMIFS(INPUT_DATA!AW:AW,INPUT_DATA!$A:$A,$C71,INPUT_DATA!$C:$C,"S"))</f>
        <v/>
      </c>
      <c r="G71" s="738" t="str">
        <f>IF($C71=0,"",SUMIFS(INPUT_DATA!AX:AX,INPUT_DATA!$A:$A,$C71,INPUT_DATA!$C:$C,"S"))</f>
        <v/>
      </c>
      <c r="H71" s="740" t="str">
        <f t="shared" si="0"/>
        <v/>
      </c>
      <c r="I71" s="738" t="str">
        <f>IF($C71=0,"",SUMIFS(INPUT_DATA!AZ:AZ,INPUT_DATA!$A:$A,$C71,INPUT_DATA!$C:$C,"S"))</f>
        <v/>
      </c>
      <c r="J71" s="738" t="str">
        <f>IF($C71=0,"",SUMIFS(INPUT_DATA!BA:BA,INPUT_DATA!$A:$A,$C71,INPUT_DATA!$C:$C,"S"))</f>
        <v/>
      </c>
      <c r="K71" s="738" t="str">
        <f>IF($C71=0,"",SUMIFS(INPUT_DATA!BB:BB,INPUT_DATA!$A:$A,$C71,INPUT_DATA!$C:$C,"S"))</f>
        <v/>
      </c>
      <c r="L71" s="738" t="str">
        <f>IF($C71=0,"",SUMIFS(INPUT_DATA!BC:BC,INPUT_DATA!$A:$A,$C71,INPUT_DATA!$C:$C,"S"))</f>
        <v/>
      </c>
      <c r="M71" s="738" t="str">
        <f>IF($C71=0,"",SUMIFS(INPUT_DATA!BD:BD,INPUT_DATA!$A:$A,$C71,INPUT_DATA!$C:$C,"S"))</f>
        <v/>
      </c>
      <c r="N71" s="738" t="str">
        <f>IF($C71=0,"",SUMIFS(INPUT_DATA!BE:BE,INPUT_DATA!$A:$A,$C71,INPUT_DATA!$C:$C,"S"))</f>
        <v/>
      </c>
      <c r="O71" s="738" t="str">
        <f>IF($C71=0,"",SUMIFS(INPUT_DATA!BF:BF,INPUT_DATA!$A:$A,$C71,INPUT_DATA!$C:$C,"S"))</f>
        <v/>
      </c>
      <c r="P71" s="738" t="str">
        <f>IF($C71=0,"",SUMIFS(INPUT_DATA!BG:BG,INPUT_DATA!$A:$A,$C71,INPUT_DATA!$C:$C,"S"))</f>
        <v/>
      </c>
      <c r="Q71" s="744" t="str">
        <f t="shared" si="5"/>
        <v/>
      </c>
      <c r="R71" s="746" t="str">
        <f>IF($C71=0,"",SUMIFS(INPUT_DATA!BI:BI,INPUT_DATA!$A:$A,$C71,INPUT_DATA!$C:$C,"S"))</f>
        <v/>
      </c>
      <c r="S71" s="746" t="str">
        <f>IF($C71=0,"",SUMIFS(INPUT_DATA!BJ:BJ,INPUT_DATA!$A:$A,$C71,INPUT_DATA!$C:$C,"S"))</f>
        <v/>
      </c>
      <c r="T71" s="744" t="str">
        <f t="shared" si="6"/>
        <v/>
      </c>
      <c r="U71" s="749" t="str">
        <f>IF($C71=0,"",SUMIFS(INPUT_DATA!BM:BM,INPUT_DATA!$A:$A,$C71,INPUT_DATA!$C:$C,"S"))</f>
        <v/>
      </c>
      <c r="V71" s="155" t="str">
        <f t="shared" si="1"/>
        <v/>
      </c>
      <c r="W71" s="149"/>
      <c r="X71" s="726" t="str">
        <f>IF($C71=0,"",SUMIFS(INPUT_DATA!AV:AV,INPUT_DATA!$A:$A,$C71,INPUT_DATA!$C:$C,"D"))</f>
        <v/>
      </c>
      <c r="Y71" s="738" t="str">
        <f>IF($C71=0,"",SUMIFS(INPUT_DATA!AW:AW,INPUT_DATA!$A:$A,$C71,INPUT_DATA!$C:$C,"D"))</f>
        <v/>
      </c>
      <c r="Z71" s="738" t="str">
        <f>IF($C71=0,"",SUMIFS(INPUT_DATA!AX:AX,INPUT_DATA!$A:$A,$C71,INPUT_DATA!$C:$C,"D"))</f>
        <v/>
      </c>
      <c r="AA71" s="739" t="str">
        <f t="shared" si="2"/>
        <v/>
      </c>
      <c r="AB71" s="738" t="str">
        <f>IF($C71=0,"",SUMIFS(INPUT_DATA!AZ:AZ,INPUT_DATA!$A:$A,$C71,INPUT_DATA!$C:$C,"D"))</f>
        <v/>
      </c>
      <c r="AC71" s="738" t="str">
        <f>IF($C71=0,"",SUMIFS(INPUT_DATA!BA:BA,INPUT_DATA!$A:$A,$C71,INPUT_DATA!$C:$C,"D"))</f>
        <v/>
      </c>
      <c r="AD71" s="738" t="str">
        <f>IF($C71=0,"",SUMIFS(INPUT_DATA!BB:BB,INPUT_DATA!$A:$A,$C71,INPUT_DATA!$C:$C,"D"))</f>
        <v/>
      </c>
      <c r="AE71" s="738" t="str">
        <f>IF($C71=0,"",SUMIFS(INPUT_DATA!BC:BC,INPUT_DATA!$A:$A,$C71,INPUT_DATA!$C:$C,"D"))</f>
        <v/>
      </c>
      <c r="AF71" s="738" t="str">
        <f>IF($C71=0,"",SUMIFS(INPUT_DATA!BD:BD,INPUT_DATA!$A:$A,$C71,INPUT_DATA!$C:$C,"D"))</f>
        <v/>
      </c>
      <c r="AG71" s="738" t="str">
        <f>IF($C71=0,"",SUMIFS(INPUT_DATA!BE:BE,INPUT_DATA!$A:$A,$C71,INPUT_DATA!$C:$C,"D"))</f>
        <v/>
      </c>
      <c r="AH71" s="738" t="str">
        <f>IF($C71=0,"",SUMIFS(INPUT_DATA!BF:BF,INPUT_DATA!$A:$A,$C71,INPUT_DATA!$C:$C,"D"))</f>
        <v/>
      </c>
      <c r="AI71" s="738" t="str">
        <f>IF($C71=0,"",SUMIFS(INPUT_DATA!BG:BG,INPUT_DATA!$A:$A,$C71,INPUT_DATA!$C:$C,"D"))</f>
        <v/>
      </c>
      <c r="AJ71" s="299" t="str">
        <f t="shared" si="3"/>
        <v/>
      </c>
      <c r="AK71" s="746" t="str">
        <f>IF($C71=0,"",SUMIFS(INPUT_DATA!BI:BI,INPUT_DATA!$A:$A,$C71,INPUT_DATA!$C:$C,"D"))</f>
        <v/>
      </c>
      <c r="AL71" s="746" t="str">
        <f>IF($C71=0,"",SUMIFS(INPUT_DATA!BJ:BJ,INPUT_DATA!$A:$A,$C71,INPUT_DATA!$C:$C,"D"))</f>
        <v/>
      </c>
      <c r="AM71" s="746" t="str">
        <f>IF($C71=0,"",SUMIFS(INPUT_DATA!BK:BK,INPUT_DATA!$A:$A,$C71,INPUT_DATA!$C:$C,"D"))</f>
        <v/>
      </c>
      <c r="AN71" s="744" t="str">
        <f t="shared" si="7"/>
        <v/>
      </c>
      <c r="AO71" s="749" t="str">
        <f>IF($C71=0,"",SUMIFS(INPUT_DATA!BM:BM,INPUT_DATA!$A:$A,$C71,INPUT_DATA!$C:$C,"D"))</f>
        <v/>
      </c>
      <c r="AP71" s="338" t="str">
        <f t="shared" si="8"/>
        <v/>
      </c>
      <c r="AQ71" s="149"/>
      <c r="AS71" s="338" t="str">
        <f t="shared" si="9"/>
        <v/>
      </c>
      <c r="AU71" s="361" t="str">
        <f>IF($C71=0,"",'03 - Monthly Asset Follow up'!F75+'03 - Monthly Asset Follow up'!G75-'03 - Monthly Asset Follow up'!V75+'03 - Monthly Asset Follow up'!Y75-H71)</f>
        <v/>
      </c>
      <c r="AV71" s="361" t="str">
        <f>IF($C71=0,"",'03 - Monthly Asset Follow up'!BE75+'03 - Monthly Asset Follow up'!BF75-'03 - Monthly Asset Follow up'!BU75+'03 - Monthly Asset Follow up'!BX75-AA71)</f>
        <v/>
      </c>
      <c r="AX71" s="154"/>
    </row>
    <row r="72" spans="2:50">
      <c r="B72" s="730" t="str">
        <f t="shared" si="4"/>
        <v/>
      </c>
      <c r="C72" s="733">
        <f>'03 - Monthly Asset Follow up'!B76</f>
        <v>0</v>
      </c>
      <c r="D72" s="149"/>
      <c r="E72" s="726" t="str">
        <f>IF($C72=0,"",SUMIFS(INPUT_DATA!AV:AV,INPUT_DATA!$A:$A,$C72,INPUT_DATA!$C:$C,"S"))</f>
        <v/>
      </c>
      <c r="F72" s="738" t="str">
        <f>IF($C72=0,"",SUMIFS(INPUT_DATA!AW:AW,INPUT_DATA!$A:$A,$C72,INPUT_DATA!$C:$C,"S"))</f>
        <v/>
      </c>
      <c r="G72" s="738" t="str">
        <f>IF($C72=0,"",SUMIFS(INPUT_DATA!AX:AX,INPUT_DATA!$A:$A,$C72,INPUT_DATA!$C:$C,"S"))</f>
        <v/>
      </c>
      <c r="H72" s="740" t="str">
        <f t="shared" si="0"/>
        <v/>
      </c>
      <c r="I72" s="738" t="str">
        <f>IF($C72=0,"",SUMIFS(INPUT_DATA!AZ:AZ,INPUT_DATA!$A:$A,$C72,INPUT_DATA!$C:$C,"S"))</f>
        <v/>
      </c>
      <c r="J72" s="738" t="str">
        <f>IF($C72=0,"",SUMIFS(INPUT_DATA!BA:BA,INPUT_DATA!$A:$A,$C72,INPUT_DATA!$C:$C,"S"))</f>
        <v/>
      </c>
      <c r="K72" s="738" t="str">
        <f>IF($C72=0,"",SUMIFS(INPUT_DATA!BB:BB,INPUT_DATA!$A:$A,$C72,INPUT_DATA!$C:$C,"S"))</f>
        <v/>
      </c>
      <c r="L72" s="738" t="str">
        <f>IF($C72=0,"",SUMIFS(INPUT_DATA!BC:BC,INPUT_DATA!$A:$A,$C72,INPUT_DATA!$C:$C,"S"))</f>
        <v/>
      </c>
      <c r="M72" s="738" t="str">
        <f>IF($C72=0,"",SUMIFS(INPUT_DATA!BD:BD,INPUT_DATA!$A:$A,$C72,INPUT_DATA!$C:$C,"S"))</f>
        <v/>
      </c>
      <c r="N72" s="738" t="str">
        <f>IF($C72=0,"",SUMIFS(INPUT_DATA!BE:BE,INPUT_DATA!$A:$A,$C72,INPUT_DATA!$C:$C,"S"))</f>
        <v/>
      </c>
      <c r="O72" s="738" t="str">
        <f>IF($C72=0,"",SUMIFS(INPUT_DATA!BF:BF,INPUT_DATA!$A:$A,$C72,INPUT_DATA!$C:$C,"S"))</f>
        <v/>
      </c>
      <c r="P72" s="738" t="str">
        <f>IF($C72=0,"",SUMIFS(INPUT_DATA!BG:BG,INPUT_DATA!$A:$A,$C72,INPUT_DATA!$C:$C,"S"))</f>
        <v/>
      </c>
      <c r="Q72" s="744" t="str">
        <f t="shared" si="5"/>
        <v/>
      </c>
      <c r="R72" s="746" t="str">
        <f>IF($C72=0,"",SUMIFS(INPUT_DATA!BI:BI,INPUT_DATA!$A:$A,$C72,INPUT_DATA!$C:$C,"S"))</f>
        <v/>
      </c>
      <c r="S72" s="746" t="str">
        <f>IF($C72=0,"",SUMIFS(INPUT_DATA!BJ:BJ,INPUT_DATA!$A:$A,$C72,INPUT_DATA!$C:$C,"S"))</f>
        <v/>
      </c>
      <c r="T72" s="744" t="str">
        <f t="shared" si="6"/>
        <v/>
      </c>
      <c r="U72" s="749" t="str">
        <f>IF($C72=0,"",SUMIFS(INPUT_DATA!BM:BM,INPUT_DATA!$A:$A,$C72,INPUT_DATA!$C:$C,"S"))</f>
        <v/>
      </c>
      <c r="V72" s="155" t="str">
        <f t="shared" si="1"/>
        <v/>
      </c>
      <c r="W72" s="149"/>
      <c r="X72" s="726" t="str">
        <f>IF($C72=0,"",SUMIFS(INPUT_DATA!AV:AV,INPUT_DATA!$A:$A,$C72,INPUT_DATA!$C:$C,"D"))</f>
        <v/>
      </c>
      <c r="Y72" s="738" t="str">
        <f>IF($C72=0,"",SUMIFS(INPUT_DATA!AW:AW,INPUT_DATA!$A:$A,$C72,INPUT_DATA!$C:$C,"D"))</f>
        <v/>
      </c>
      <c r="Z72" s="738" t="str">
        <f>IF($C72=0,"",SUMIFS(INPUT_DATA!AX:AX,INPUT_DATA!$A:$A,$C72,INPUT_DATA!$C:$C,"D"))</f>
        <v/>
      </c>
      <c r="AA72" s="739" t="str">
        <f t="shared" si="2"/>
        <v/>
      </c>
      <c r="AB72" s="738" t="str">
        <f>IF($C72=0,"",SUMIFS(INPUT_DATA!AZ:AZ,INPUT_DATA!$A:$A,$C72,INPUT_DATA!$C:$C,"D"))</f>
        <v/>
      </c>
      <c r="AC72" s="738" t="str">
        <f>IF($C72=0,"",SUMIFS(INPUT_DATA!BA:BA,INPUT_DATA!$A:$A,$C72,INPUT_DATA!$C:$C,"D"))</f>
        <v/>
      </c>
      <c r="AD72" s="738" t="str">
        <f>IF($C72=0,"",SUMIFS(INPUT_DATA!BB:BB,INPUT_DATA!$A:$A,$C72,INPUT_DATA!$C:$C,"D"))</f>
        <v/>
      </c>
      <c r="AE72" s="738" t="str">
        <f>IF($C72=0,"",SUMIFS(INPUT_DATA!BC:BC,INPUT_DATA!$A:$A,$C72,INPUT_DATA!$C:$C,"D"))</f>
        <v/>
      </c>
      <c r="AF72" s="738" t="str">
        <f>IF($C72=0,"",SUMIFS(INPUT_DATA!BD:BD,INPUT_DATA!$A:$A,$C72,INPUT_DATA!$C:$C,"D"))</f>
        <v/>
      </c>
      <c r="AG72" s="738" t="str">
        <f>IF($C72=0,"",SUMIFS(INPUT_DATA!BE:BE,INPUT_DATA!$A:$A,$C72,INPUT_DATA!$C:$C,"D"))</f>
        <v/>
      </c>
      <c r="AH72" s="738" t="str">
        <f>IF($C72=0,"",SUMIFS(INPUT_DATA!BF:BF,INPUT_DATA!$A:$A,$C72,INPUT_DATA!$C:$C,"D"))</f>
        <v/>
      </c>
      <c r="AI72" s="738" t="str">
        <f>IF($C72=0,"",SUMIFS(INPUT_DATA!BG:BG,INPUT_DATA!$A:$A,$C72,INPUT_DATA!$C:$C,"D"))</f>
        <v/>
      </c>
      <c r="AJ72" s="299" t="str">
        <f t="shared" si="3"/>
        <v/>
      </c>
      <c r="AK72" s="746" t="str">
        <f>IF($C72=0,"",SUMIFS(INPUT_DATA!BI:BI,INPUT_DATA!$A:$A,$C72,INPUT_DATA!$C:$C,"D"))</f>
        <v/>
      </c>
      <c r="AL72" s="746" t="str">
        <f>IF($C72=0,"",SUMIFS(INPUT_DATA!BJ:BJ,INPUT_DATA!$A:$A,$C72,INPUT_DATA!$C:$C,"D"))</f>
        <v/>
      </c>
      <c r="AM72" s="746" t="str">
        <f>IF($C72=0,"",SUMIFS(INPUT_DATA!BK:BK,INPUT_DATA!$A:$A,$C72,INPUT_DATA!$C:$C,"D"))</f>
        <v/>
      </c>
      <c r="AN72" s="744" t="str">
        <f t="shared" si="7"/>
        <v/>
      </c>
      <c r="AO72" s="749" t="str">
        <f>IF($C72=0,"",SUMIFS(INPUT_DATA!BM:BM,INPUT_DATA!$A:$A,$C72,INPUT_DATA!$C:$C,"D"))</f>
        <v/>
      </c>
      <c r="AP72" s="338" t="str">
        <f t="shared" si="8"/>
        <v/>
      </c>
      <c r="AQ72" s="149"/>
      <c r="AS72" s="338" t="str">
        <f t="shared" si="9"/>
        <v/>
      </c>
      <c r="AU72" s="361" t="str">
        <f>IF($C72=0,"",'03 - Monthly Asset Follow up'!F76+'03 - Monthly Asset Follow up'!G76-'03 - Monthly Asset Follow up'!V76+'03 - Monthly Asset Follow up'!Y76-H72)</f>
        <v/>
      </c>
      <c r="AV72" s="361" t="str">
        <f>IF($C72=0,"",'03 - Monthly Asset Follow up'!BE76+'03 - Monthly Asset Follow up'!BF76-'03 - Monthly Asset Follow up'!BU76+'03 - Monthly Asset Follow up'!BX76-AA72)</f>
        <v/>
      </c>
      <c r="AX72" s="154"/>
    </row>
    <row r="73" spans="2:50">
      <c r="B73" s="730" t="str">
        <f t="shared" si="4"/>
        <v/>
      </c>
      <c r="C73" s="733">
        <f>'03 - Monthly Asset Follow up'!B77</f>
        <v>0</v>
      </c>
      <c r="D73" s="149"/>
      <c r="E73" s="726" t="str">
        <f>IF($C73=0,"",SUMIFS(INPUT_DATA!AV:AV,INPUT_DATA!$A:$A,$C73,INPUT_DATA!$C:$C,"S"))</f>
        <v/>
      </c>
      <c r="F73" s="738" t="str">
        <f>IF($C73=0,"",SUMIFS(INPUT_DATA!AW:AW,INPUT_DATA!$A:$A,$C73,INPUT_DATA!$C:$C,"S"))</f>
        <v/>
      </c>
      <c r="G73" s="738" t="str">
        <f>IF($C73=0,"",SUMIFS(INPUT_DATA!AX:AX,INPUT_DATA!$A:$A,$C73,INPUT_DATA!$C:$C,"S"))</f>
        <v/>
      </c>
      <c r="H73" s="740" t="str">
        <f t="shared" si="0"/>
        <v/>
      </c>
      <c r="I73" s="738" t="str">
        <f>IF($C73=0,"",SUMIFS(INPUT_DATA!AZ:AZ,INPUT_DATA!$A:$A,$C73,INPUT_DATA!$C:$C,"S"))</f>
        <v/>
      </c>
      <c r="J73" s="738" t="str">
        <f>IF($C73=0,"",SUMIFS(INPUT_DATA!BA:BA,INPUT_DATA!$A:$A,$C73,INPUT_DATA!$C:$C,"S"))</f>
        <v/>
      </c>
      <c r="K73" s="738" t="str">
        <f>IF($C73=0,"",SUMIFS(INPUT_DATA!BB:BB,INPUT_DATA!$A:$A,$C73,INPUT_DATA!$C:$C,"S"))</f>
        <v/>
      </c>
      <c r="L73" s="738" t="str">
        <f>IF($C73=0,"",SUMIFS(INPUT_DATA!BC:BC,INPUT_DATA!$A:$A,$C73,INPUT_DATA!$C:$C,"S"))</f>
        <v/>
      </c>
      <c r="M73" s="738" t="str">
        <f>IF($C73=0,"",SUMIFS(INPUT_DATA!BD:BD,INPUT_DATA!$A:$A,$C73,INPUT_DATA!$C:$C,"S"))</f>
        <v/>
      </c>
      <c r="N73" s="738" t="str">
        <f>IF($C73=0,"",SUMIFS(INPUT_DATA!BE:BE,INPUT_DATA!$A:$A,$C73,INPUT_DATA!$C:$C,"S"))</f>
        <v/>
      </c>
      <c r="O73" s="738" t="str">
        <f>IF($C73=0,"",SUMIFS(INPUT_DATA!BF:BF,INPUT_DATA!$A:$A,$C73,INPUT_DATA!$C:$C,"S"))</f>
        <v/>
      </c>
      <c r="P73" s="738" t="str">
        <f>IF($C73=0,"",SUMIFS(INPUT_DATA!BG:BG,INPUT_DATA!$A:$A,$C73,INPUT_DATA!$C:$C,"S"))</f>
        <v/>
      </c>
      <c r="Q73" s="744" t="str">
        <f t="shared" si="5"/>
        <v/>
      </c>
      <c r="R73" s="746" t="str">
        <f>IF($C73=0,"",SUMIFS(INPUT_DATA!BI:BI,INPUT_DATA!$A:$A,$C73,INPUT_DATA!$C:$C,"S"))</f>
        <v/>
      </c>
      <c r="S73" s="746" t="str">
        <f>IF($C73=0,"",SUMIFS(INPUT_DATA!BJ:BJ,INPUT_DATA!$A:$A,$C73,INPUT_DATA!$C:$C,"S"))</f>
        <v/>
      </c>
      <c r="T73" s="744" t="str">
        <f t="shared" si="6"/>
        <v/>
      </c>
      <c r="U73" s="749" t="str">
        <f>IF($C73=0,"",SUMIFS(INPUT_DATA!BM:BM,INPUT_DATA!$A:$A,$C73,INPUT_DATA!$C:$C,"S"))</f>
        <v/>
      </c>
      <c r="V73" s="155" t="str">
        <f t="shared" si="1"/>
        <v/>
      </c>
      <c r="W73" s="149"/>
      <c r="X73" s="726" t="str">
        <f>IF($C73=0,"",SUMIFS(INPUT_DATA!AV:AV,INPUT_DATA!$A:$A,$C73,INPUT_DATA!$C:$C,"D"))</f>
        <v/>
      </c>
      <c r="Y73" s="738" t="str">
        <f>IF($C73=0,"",SUMIFS(INPUT_DATA!AW:AW,INPUT_DATA!$A:$A,$C73,INPUT_DATA!$C:$C,"D"))</f>
        <v/>
      </c>
      <c r="Z73" s="738" t="str">
        <f>IF($C73=0,"",SUMIFS(INPUT_DATA!AX:AX,INPUT_DATA!$A:$A,$C73,INPUT_DATA!$C:$C,"D"))</f>
        <v/>
      </c>
      <c r="AA73" s="739" t="str">
        <f t="shared" si="2"/>
        <v/>
      </c>
      <c r="AB73" s="738" t="str">
        <f>IF($C73=0,"",SUMIFS(INPUT_DATA!AZ:AZ,INPUT_DATA!$A:$A,$C73,INPUT_DATA!$C:$C,"D"))</f>
        <v/>
      </c>
      <c r="AC73" s="738" t="str">
        <f>IF($C73=0,"",SUMIFS(INPUT_DATA!BA:BA,INPUT_DATA!$A:$A,$C73,INPUT_DATA!$C:$C,"D"))</f>
        <v/>
      </c>
      <c r="AD73" s="738" t="str">
        <f>IF($C73=0,"",SUMIFS(INPUT_DATA!BB:BB,INPUT_DATA!$A:$A,$C73,INPUT_DATA!$C:$C,"D"))</f>
        <v/>
      </c>
      <c r="AE73" s="738" t="str">
        <f>IF($C73=0,"",SUMIFS(INPUT_DATA!BC:BC,INPUT_DATA!$A:$A,$C73,INPUT_DATA!$C:$C,"D"))</f>
        <v/>
      </c>
      <c r="AF73" s="738" t="str">
        <f>IF($C73=0,"",SUMIFS(INPUT_DATA!BD:BD,INPUT_DATA!$A:$A,$C73,INPUT_DATA!$C:$C,"D"))</f>
        <v/>
      </c>
      <c r="AG73" s="738" t="str">
        <f>IF($C73=0,"",SUMIFS(INPUT_DATA!BE:BE,INPUT_DATA!$A:$A,$C73,INPUT_DATA!$C:$C,"D"))</f>
        <v/>
      </c>
      <c r="AH73" s="738" t="str">
        <f>IF($C73=0,"",SUMIFS(INPUT_DATA!BF:BF,INPUT_DATA!$A:$A,$C73,INPUT_DATA!$C:$C,"D"))</f>
        <v/>
      </c>
      <c r="AI73" s="738" t="str">
        <f>IF($C73=0,"",SUMIFS(INPUT_DATA!BG:BG,INPUT_DATA!$A:$A,$C73,INPUT_DATA!$C:$C,"D"))</f>
        <v/>
      </c>
      <c r="AJ73" s="299" t="str">
        <f t="shared" si="3"/>
        <v/>
      </c>
      <c r="AK73" s="746" t="str">
        <f>IF($C73=0,"",SUMIFS(INPUT_DATA!BI:BI,INPUT_DATA!$A:$A,$C73,INPUT_DATA!$C:$C,"D"))</f>
        <v/>
      </c>
      <c r="AL73" s="746" t="str">
        <f>IF($C73=0,"",SUMIFS(INPUT_DATA!BJ:BJ,INPUT_DATA!$A:$A,$C73,INPUT_DATA!$C:$C,"D"))</f>
        <v/>
      </c>
      <c r="AM73" s="746" t="str">
        <f>IF($C73=0,"",SUMIFS(INPUT_DATA!BK:BK,INPUT_DATA!$A:$A,$C73,INPUT_DATA!$C:$C,"D"))</f>
        <v/>
      </c>
      <c r="AN73" s="744" t="str">
        <f t="shared" si="7"/>
        <v/>
      </c>
      <c r="AO73" s="749" t="str">
        <f>IF($C73=0,"",SUMIFS(INPUT_DATA!BM:BM,INPUT_DATA!$A:$A,$C73,INPUT_DATA!$C:$C,"D"))</f>
        <v/>
      </c>
      <c r="AP73" s="338" t="str">
        <f t="shared" si="8"/>
        <v/>
      </c>
      <c r="AQ73" s="149"/>
      <c r="AS73" s="338" t="str">
        <f t="shared" si="9"/>
        <v/>
      </c>
      <c r="AU73" s="361" t="str">
        <f>IF($C73=0,"",'03 - Monthly Asset Follow up'!F77+'03 - Monthly Asset Follow up'!G77-'03 - Monthly Asset Follow up'!V77+'03 - Monthly Asset Follow up'!Y77-H73)</f>
        <v/>
      </c>
      <c r="AV73" s="361" t="str">
        <f>IF($C73=0,"",'03 - Monthly Asset Follow up'!BE77+'03 - Monthly Asset Follow up'!BF77-'03 - Monthly Asset Follow up'!BU77+'03 - Monthly Asset Follow up'!BX77-AA73)</f>
        <v/>
      </c>
      <c r="AX73" s="154"/>
    </row>
    <row r="74" spans="2:50">
      <c r="B74" s="730" t="str">
        <f t="shared" si="4"/>
        <v/>
      </c>
      <c r="C74" s="733">
        <f>'03 - Monthly Asset Follow up'!B78</f>
        <v>0</v>
      </c>
      <c r="D74" s="149"/>
      <c r="E74" s="726" t="str">
        <f>IF($C74=0,"",SUMIFS(INPUT_DATA!AV:AV,INPUT_DATA!$A:$A,$C74,INPUT_DATA!$C:$C,"S"))</f>
        <v/>
      </c>
      <c r="F74" s="738" t="str">
        <f>IF($C74=0,"",SUMIFS(INPUT_DATA!AW:AW,INPUT_DATA!$A:$A,$C74,INPUT_DATA!$C:$C,"S"))</f>
        <v/>
      </c>
      <c r="G74" s="738" t="str">
        <f>IF($C74=0,"",SUMIFS(INPUT_DATA!AX:AX,INPUT_DATA!$A:$A,$C74,INPUT_DATA!$C:$C,"S"))</f>
        <v/>
      </c>
      <c r="H74" s="740" t="str">
        <f t="shared" si="0"/>
        <v/>
      </c>
      <c r="I74" s="738" t="str">
        <f>IF($C74=0,"",SUMIFS(INPUT_DATA!AZ:AZ,INPUT_DATA!$A:$A,$C74,INPUT_DATA!$C:$C,"S"))</f>
        <v/>
      </c>
      <c r="J74" s="738" t="str">
        <f>IF($C74=0,"",SUMIFS(INPUT_DATA!BA:BA,INPUT_DATA!$A:$A,$C74,INPUT_DATA!$C:$C,"S"))</f>
        <v/>
      </c>
      <c r="K74" s="738" t="str">
        <f>IF($C74=0,"",SUMIFS(INPUT_DATA!BB:BB,INPUT_DATA!$A:$A,$C74,INPUT_DATA!$C:$C,"S"))</f>
        <v/>
      </c>
      <c r="L74" s="738" t="str">
        <f>IF($C74=0,"",SUMIFS(INPUT_DATA!BC:BC,INPUT_DATA!$A:$A,$C74,INPUT_DATA!$C:$C,"S"))</f>
        <v/>
      </c>
      <c r="M74" s="738" t="str">
        <f>IF($C74=0,"",SUMIFS(INPUT_DATA!BD:BD,INPUT_DATA!$A:$A,$C74,INPUT_DATA!$C:$C,"S"))</f>
        <v/>
      </c>
      <c r="N74" s="738" t="str">
        <f>IF($C74=0,"",SUMIFS(INPUT_DATA!BE:BE,INPUT_DATA!$A:$A,$C74,INPUT_DATA!$C:$C,"S"))</f>
        <v/>
      </c>
      <c r="O74" s="738" t="str">
        <f>IF($C74=0,"",SUMIFS(INPUT_DATA!BF:BF,INPUT_DATA!$A:$A,$C74,INPUT_DATA!$C:$C,"S"))</f>
        <v/>
      </c>
      <c r="P74" s="738" t="str">
        <f>IF($C74=0,"",SUMIFS(INPUT_DATA!BG:BG,INPUT_DATA!$A:$A,$C74,INPUT_DATA!$C:$C,"S"))</f>
        <v/>
      </c>
      <c r="Q74" s="744" t="str">
        <f t="shared" si="5"/>
        <v/>
      </c>
      <c r="R74" s="746" t="str">
        <f>IF($C74=0,"",SUMIFS(INPUT_DATA!BI:BI,INPUT_DATA!$A:$A,$C74,INPUT_DATA!$C:$C,"S"))</f>
        <v/>
      </c>
      <c r="S74" s="746" t="str">
        <f>IF($C74=0,"",SUMIFS(INPUT_DATA!BJ:BJ,INPUT_DATA!$A:$A,$C74,INPUT_DATA!$C:$C,"S"))</f>
        <v/>
      </c>
      <c r="T74" s="744" t="str">
        <f t="shared" si="6"/>
        <v/>
      </c>
      <c r="U74" s="749" t="str">
        <f>IF($C74=0,"",SUMIFS(INPUT_DATA!BM:BM,INPUT_DATA!$A:$A,$C74,INPUT_DATA!$C:$C,"S"))</f>
        <v/>
      </c>
      <c r="V74" s="155" t="str">
        <f t="shared" si="1"/>
        <v/>
      </c>
      <c r="W74" s="149"/>
      <c r="X74" s="726" t="str">
        <f>IF($C74=0,"",SUMIFS(INPUT_DATA!AV:AV,INPUT_DATA!$A:$A,$C74,INPUT_DATA!$C:$C,"D"))</f>
        <v/>
      </c>
      <c r="Y74" s="738" t="str">
        <f>IF($C74=0,"",SUMIFS(INPUT_DATA!AW:AW,INPUT_DATA!$A:$A,$C74,INPUT_DATA!$C:$C,"D"))</f>
        <v/>
      </c>
      <c r="Z74" s="738" t="str">
        <f>IF($C74=0,"",SUMIFS(INPUT_DATA!AX:AX,INPUT_DATA!$A:$A,$C74,INPUT_DATA!$C:$C,"D"))</f>
        <v/>
      </c>
      <c r="AA74" s="739" t="str">
        <f t="shared" si="2"/>
        <v/>
      </c>
      <c r="AB74" s="738" t="str">
        <f>IF($C74=0,"",SUMIFS(INPUT_DATA!AZ:AZ,INPUT_DATA!$A:$A,$C74,INPUT_DATA!$C:$C,"D"))</f>
        <v/>
      </c>
      <c r="AC74" s="738" t="str">
        <f>IF($C74=0,"",SUMIFS(INPUT_DATA!BA:BA,INPUT_DATA!$A:$A,$C74,INPUT_DATA!$C:$C,"D"))</f>
        <v/>
      </c>
      <c r="AD74" s="738" t="str">
        <f>IF($C74=0,"",SUMIFS(INPUT_DATA!BB:BB,INPUT_DATA!$A:$A,$C74,INPUT_DATA!$C:$C,"D"))</f>
        <v/>
      </c>
      <c r="AE74" s="738" t="str">
        <f>IF($C74=0,"",SUMIFS(INPUT_DATA!BC:BC,INPUT_DATA!$A:$A,$C74,INPUT_DATA!$C:$C,"D"))</f>
        <v/>
      </c>
      <c r="AF74" s="738" t="str">
        <f>IF($C74=0,"",SUMIFS(INPUT_DATA!BD:BD,INPUT_DATA!$A:$A,$C74,INPUT_DATA!$C:$C,"D"))</f>
        <v/>
      </c>
      <c r="AG74" s="738" t="str">
        <f>IF($C74=0,"",SUMIFS(INPUT_DATA!BE:BE,INPUT_DATA!$A:$A,$C74,INPUT_DATA!$C:$C,"D"))</f>
        <v/>
      </c>
      <c r="AH74" s="738" t="str">
        <f>IF($C74=0,"",SUMIFS(INPUT_DATA!BF:BF,INPUT_DATA!$A:$A,$C74,INPUT_DATA!$C:$C,"D"))</f>
        <v/>
      </c>
      <c r="AI74" s="738" t="str">
        <f>IF($C74=0,"",SUMIFS(INPUT_DATA!BG:BG,INPUT_DATA!$A:$A,$C74,INPUT_DATA!$C:$C,"D"))</f>
        <v/>
      </c>
      <c r="AJ74" s="299" t="str">
        <f t="shared" si="3"/>
        <v/>
      </c>
      <c r="AK74" s="746" t="str">
        <f>IF($C74=0,"",SUMIFS(INPUT_DATA!BI:BI,INPUT_DATA!$A:$A,$C74,INPUT_DATA!$C:$C,"D"))</f>
        <v/>
      </c>
      <c r="AL74" s="746" t="str">
        <f>IF($C74=0,"",SUMIFS(INPUT_DATA!BJ:BJ,INPUT_DATA!$A:$A,$C74,INPUT_DATA!$C:$C,"D"))</f>
        <v/>
      </c>
      <c r="AM74" s="746" t="str">
        <f>IF($C74=0,"",SUMIFS(INPUT_DATA!BK:BK,INPUT_DATA!$A:$A,$C74,INPUT_DATA!$C:$C,"D"))</f>
        <v/>
      </c>
      <c r="AN74" s="744" t="str">
        <f t="shared" si="7"/>
        <v/>
      </c>
      <c r="AO74" s="749" t="str">
        <f>IF($C74=0,"",SUMIFS(INPUT_DATA!BM:BM,INPUT_DATA!$A:$A,$C74,INPUT_DATA!$C:$C,"D"))</f>
        <v/>
      </c>
      <c r="AP74" s="338" t="str">
        <f t="shared" si="8"/>
        <v/>
      </c>
      <c r="AQ74" s="149"/>
      <c r="AS74" s="338" t="str">
        <f t="shared" si="9"/>
        <v/>
      </c>
      <c r="AU74" s="361" t="str">
        <f>IF($C74=0,"",'03 - Monthly Asset Follow up'!F78+'03 - Monthly Asset Follow up'!G78-'03 - Monthly Asset Follow up'!V78+'03 - Monthly Asset Follow up'!Y78-H74)</f>
        <v/>
      </c>
      <c r="AV74" s="361" t="str">
        <f>IF($C74=0,"",'03 - Monthly Asset Follow up'!BE78+'03 - Monthly Asset Follow up'!BF78-'03 - Monthly Asset Follow up'!BU78+'03 - Monthly Asset Follow up'!BX78-AA74)</f>
        <v/>
      </c>
      <c r="AX74" s="154"/>
    </row>
    <row r="75" spans="2:50">
      <c r="B75" s="730" t="str">
        <f t="shared" si="4"/>
        <v/>
      </c>
      <c r="C75" s="733">
        <f>'03 - Monthly Asset Follow up'!B79</f>
        <v>0</v>
      </c>
      <c r="D75" s="149"/>
      <c r="E75" s="726" t="str">
        <f>IF($C75=0,"",SUMIFS(INPUT_DATA!AV:AV,INPUT_DATA!$A:$A,$C75,INPUT_DATA!$C:$C,"S"))</f>
        <v/>
      </c>
      <c r="F75" s="738" t="str">
        <f>IF($C75=0,"",SUMIFS(INPUT_DATA!AW:AW,INPUT_DATA!$A:$A,$C75,INPUT_DATA!$C:$C,"S"))</f>
        <v/>
      </c>
      <c r="G75" s="738" t="str">
        <f>IF($C75=0,"",SUMIFS(INPUT_DATA!AX:AX,INPUT_DATA!$A:$A,$C75,INPUT_DATA!$C:$C,"S"))</f>
        <v/>
      </c>
      <c r="H75" s="740" t="str">
        <f t="shared" si="0"/>
        <v/>
      </c>
      <c r="I75" s="738" t="str">
        <f>IF($C75=0,"",SUMIFS(INPUT_DATA!AZ:AZ,INPUT_DATA!$A:$A,$C75,INPUT_DATA!$C:$C,"S"))</f>
        <v/>
      </c>
      <c r="J75" s="738" t="str">
        <f>IF($C75=0,"",SUMIFS(INPUT_DATA!BA:BA,INPUT_DATA!$A:$A,$C75,INPUT_DATA!$C:$C,"S"))</f>
        <v/>
      </c>
      <c r="K75" s="738" t="str">
        <f>IF($C75=0,"",SUMIFS(INPUT_DATA!BB:BB,INPUT_DATA!$A:$A,$C75,INPUT_DATA!$C:$C,"S"))</f>
        <v/>
      </c>
      <c r="L75" s="738" t="str">
        <f>IF($C75=0,"",SUMIFS(INPUT_DATA!BC:BC,INPUT_DATA!$A:$A,$C75,INPUT_DATA!$C:$C,"S"))</f>
        <v/>
      </c>
      <c r="M75" s="738" t="str">
        <f>IF($C75=0,"",SUMIFS(INPUT_DATA!BD:BD,INPUT_DATA!$A:$A,$C75,INPUT_DATA!$C:$C,"S"))</f>
        <v/>
      </c>
      <c r="N75" s="738" t="str">
        <f>IF($C75=0,"",SUMIFS(INPUT_DATA!BE:BE,INPUT_DATA!$A:$A,$C75,INPUT_DATA!$C:$C,"S"))</f>
        <v/>
      </c>
      <c r="O75" s="738" t="str">
        <f>IF($C75=0,"",SUMIFS(INPUT_DATA!BF:BF,INPUT_DATA!$A:$A,$C75,INPUT_DATA!$C:$C,"S"))</f>
        <v/>
      </c>
      <c r="P75" s="738" t="str">
        <f>IF($C75=0,"",SUMIFS(INPUT_DATA!BG:BG,INPUT_DATA!$A:$A,$C75,INPUT_DATA!$C:$C,"S"))</f>
        <v/>
      </c>
      <c r="Q75" s="744" t="str">
        <f t="shared" si="5"/>
        <v/>
      </c>
      <c r="R75" s="746" t="str">
        <f>IF($C75=0,"",SUMIFS(INPUT_DATA!BI:BI,INPUT_DATA!$A:$A,$C75,INPUT_DATA!$C:$C,"S"))</f>
        <v/>
      </c>
      <c r="S75" s="746" t="str">
        <f>IF($C75=0,"",SUMIFS(INPUT_DATA!BJ:BJ,INPUT_DATA!$A:$A,$C75,INPUT_DATA!$C:$C,"S"))</f>
        <v/>
      </c>
      <c r="T75" s="744" t="str">
        <f t="shared" si="6"/>
        <v/>
      </c>
      <c r="U75" s="749" t="str">
        <f>IF($C75=0,"",SUMIFS(INPUT_DATA!BM:BM,INPUT_DATA!$A:$A,$C75,INPUT_DATA!$C:$C,"S"))</f>
        <v/>
      </c>
      <c r="V75" s="155" t="str">
        <f t="shared" si="1"/>
        <v/>
      </c>
      <c r="W75" s="149"/>
      <c r="X75" s="726" t="str">
        <f>IF($C75=0,"",SUMIFS(INPUT_DATA!AV:AV,INPUT_DATA!$A:$A,$C75,INPUT_DATA!$C:$C,"D"))</f>
        <v/>
      </c>
      <c r="Y75" s="738" t="str">
        <f>IF($C75=0,"",SUMIFS(INPUT_DATA!AW:AW,INPUT_DATA!$A:$A,$C75,INPUT_DATA!$C:$C,"D"))</f>
        <v/>
      </c>
      <c r="Z75" s="738" t="str">
        <f>IF($C75=0,"",SUMIFS(INPUT_DATA!AX:AX,INPUT_DATA!$A:$A,$C75,INPUT_DATA!$C:$C,"D"))</f>
        <v/>
      </c>
      <c r="AA75" s="739" t="str">
        <f t="shared" si="2"/>
        <v/>
      </c>
      <c r="AB75" s="738" t="str">
        <f>IF($C75=0,"",SUMIFS(INPUT_DATA!AZ:AZ,INPUT_DATA!$A:$A,$C75,INPUT_DATA!$C:$C,"D"))</f>
        <v/>
      </c>
      <c r="AC75" s="738" t="str">
        <f>IF($C75=0,"",SUMIFS(INPUT_DATA!BA:BA,INPUT_DATA!$A:$A,$C75,INPUT_DATA!$C:$C,"D"))</f>
        <v/>
      </c>
      <c r="AD75" s="738" t="str">
        <f>IF($C75=0,"",SUMIFS(INPUT_DATA!BB:BB,INPUT_DATA!$A:$A,$C75,INPUT_DATA!$C:$C,"D"))</f>
        <v/>
      </c>
      <c r="AE75" s="738" t="str">
        <f>IF($C75=0,"",SUMIFS(INPUT_DATA!BC:BC,INPUT_DATA!$A:$A,$C75,INPUT_DATA!$C:$C,"D"))</f>
        <v/>
      </c>
      <c r="AF75" s="738" t="str">
        <f>IF($C75=0,"",SUMIFS(INPUT_DATA!BD:BD,INPUT_DATA!$A:$A,$C75,INPUT_DATA!$C:$C,"D"))</f>
        <v/>
      </c>
      <c r="AG75" s="738" t="str">
        <f>IF($C75=0,"",SUMIFS(INPUT_DATA!BE:BE,INPUT_DATA!$A:$A,$C75,INPUT_DATA!$C:$C,"D"))</f>
        <v/>
      </c>
      <c r="AH75" s="738" t="str">
        <f>IF($C75=0,"",SUMIFS(INPUT_DATA!BF:BF,INPUT_DATA!$A:$A,$C75,INPUT_DATA!$C:$C,"D"))</f>
        <v/>
      </c>
      <c r="AI75" s="738" t="str">
        <f>IF($C75=0,"",SUMIFS(INPUT_DATA!BG:BG,INPUT_DATA!$A:$A,$C75,INPUT_DATA!$C:$C,"D"))</f>
        <v/>
      </c>
      <c r="AJ75" s="299" t="str">
        <f t="shared" si="3"/>
        <v/>
      </c>
      <c r="AK75" s="746" t="str">
        <f>IF($C75=0,"",SUMIFS(INPUT_DATA!BI:BI,INPUT_DATA!$A:$A,$C75,INPUT_DATA!$C:$C,"D"))</f>
        <v/>
      </c>
      <c r="AL75" s="746" t="str">
        <f>IF($C75=0,"",SUMIFS(INPUT_DATA!BJ:BJ,INPUT_DATA!$A:$A,$C75,INPUT_DATA!$C:$C,"D"))</f>
        <v/>
      </c>
      <c r="AM75" s="746" t="str">
        <f>IF($C75=0,"",SUMIFS(INPUT_DATA!BK:BK,INPUT_DATA!$A:$A,$C75,INPUT_DATA!$C:$C,"D"))</f>
        <v/>
      </c>
      <c r="AN75" s="744" t="str">
        <f t="shared" si="7"/>
        <v/>
      </c>
      <c r="AO75" s="749" t="str">
        <f>IF($C75=0,"",SUMIFS(INPUT_DATA!BM:BM,INPUT_DATA!$A:$A,$C75,INPUT_DATA!$C:$C,"D"))</f>
        <v/>
      </c>
      <c r="AP75" s="338" t="str">
        <f t="shared" si="8"/>
        <v/>
      </c>
      <c r="AQ75" s="149"/>
      <c r="AS75" s="338" t="str">
        <f t="shared" si="9"/>
        <v/>
      </c>
      <c r="AU75" s="361" t="str">
        <f>IF($C75=0,"",'03 - Monthly Asset Follow up'!F79+'03 - Monthly Asset Follow up'!G79-'03 - Monthly Asset Follow up'!V79+'03 - Monthly Asset Follow up'!Y79-H75)</f>
        <v/>
      </c>
      <c r="AV75" s="361" t="str">
        <f>IF($C75=0,"",'03 - Monthly Asset Follow up'!BE79+'03 - Monthly Asset Follow up'!BF79-'03 - Monthly Asset Follow up'!BU79+'03 - Monthly Asset Follow up'!BX79-AA75)</f>
        <v/>
      </c>
      <c r="AX75" s="154"/>
    </row>
    <row r="76" spans="2:50">
      <c r="B76" s="730" t="str">
        <f t="shared" si="4"/>
        <v/>
      </c>
      <c r="C76" s="733">
        <f>'03 - Monthly Asset Follow up'!B80</f>
        <v>0</v>
      </c>
      <c r="D76" s="149"/>
      <c r="E76" s="726" t="str">
        <f>IF($C76=0,"",SUMIFS(INPUT_DATA!AV:AV,INPUT_DATA!$A:$A,$C76,INPUT_DATA!$C:$C,"S"))</f>
        <v/>
      </c>
      <c r="F76" s="738" t="str">
        <f>IF($C76=0,"",SUMIFS(INPUT_DATA!AW:AW,INPUT_DATA!$A:$A,$C76,INPUT_DATA!$C:$C,"S"))</f>
        <v/>
      </c>
      <c r="G76" s="738" t="str">
        <f>IF($C76=0,"",SUMIFS(INPUT_DATA!AX:AX,INPUT_DATA!$A:$A,$C76,INPUT_DATA!$C:$C,"S"))</f>
        <v/>
      </c>
      <c r="H76" s="740" t="str">
        <f t="shared" si="0"/>
        <v/>
      </c>
      <c r="I76" s="738" t="str">
        <f>IF($C76=0,"",SUMIFS(INPUT_DATA!AZ:AZ,INPUT_DATA!$A:$A,$C76,INPUT_DATA!$C:$C,"S"))</f>
        <v/>
      </c>
      <c r="J76" s="738" t="str">
        <f>IF($C76=0,"",SUMIFS(INPUT_DATA!BA:BA,INPUT_DATA!$A:$A,$C76,INPUT_DATA!$C:$C,"S"))</f>
        <v/>
      </c>
      <c r="K76" s="738" t="str">
        <f>IF($C76=0,"",SUMIFS(INPUT_DATA!BB:BB,INPUT_DATA!$A:$A,$C76,INPUT_DATA!$C:$C,"S"))</f>
        <v/>
      </c>
      <c r="L76" s="738" t="str">
        <f>IF($C76=0,"",SUMIFS(INPUT_DATA!BC:BC,INPUT_DATA!$A:$A,$C76,INPUT_DATA!$C:$C,"S"))</f>
        <v/>
      </c>
      <c r="M76" s="738" t="str">
        <f>IF($C76=0,"",SUMIFS(INPUT_DATA!BD:BD,INPUT_DATA!$A:$A,$C76,INPUT_DATA!$C:$C,"S"))</f>
        <v/>
      </c>
      <c r="N76" s="738" t="str">
        <f>IF($C76=0,"",SUMIFS(INPUT_DATA!BE:BE,INPUT_DATA!$A:$A,$C76,INPUT_DATA!$C:$C,"S"))</f>
        <v/>
      </c>
      <c r="O76" s="738" t="str">
        <f>IF($C76=0,"",SUMIFS(INPUT_DATA!BF:BF,INPUT_DATA!$A:$A,$C76,INPUT_DATA!$C:$C,"S"))</f>
        <v/>
      </c>
      <c r="P76" s="738" t="str">
        <f>IF($C76=0,"",SUMIFS(INPUT_DATA!BG:BG,INPUT_DATA!$A:$A,$C76,INPUT_DATA!$C:$C,"S"))</f>
        <v/>
      </c>
      <c r="Q76" s="744" t="str">
        <f t="shared" si="5"/>
        <v/>
      </c>
      <c r="R76" s="746" t="str">
        <f>IF($C76=0,"",SUMIFS(INPUT_DATA!BI:BI,INPUT_DATA!$A:$A,$C76,INPUT_DATA!$C:$C,"S"))</f>
        <v/>
      </c>
      <c r="S76" s="746" t="str">
        <f>IF($C76=0,"",SUMIFS(INPUT_DATA!BJ:BJ,INPUT_DATA!$A:$A,$C76,INPUT_DATA!$C:$C,"S"))</f>
        <v/>
      </c>
      <c r="T76" s="744" t="str">
        <f t="shared" si="6"/>
        <v/>
      </c>
      <c r="U76" s="749" t="str">
        <f>IF($C76=0,"",SUMIFS(INPUT_DATA!BM:BM,INPUT_DATA!$A:$A,$C76,INPUT_DATA!$C:$C,"S"))</f>
        <v/>
      </c>
      <c r="V76" s="155" t="str">
        <f t="shared" si="1"/>
        <v/>
      </c>
      <c r="W76" s="149"/>
      <c r="X76" s="726" t="str">
        <f>IF($C76=0,"",SUMIFS(INPUT_DATA!AV:AV,INPUT_DATA!$A:$A,$C76,INPUT_DATA!$C:$C,"D"))</f>
        <v/>
      </c>
      <c r="Y76" s="738" t="str">
        <f>IF($C76=0,"",SUMIFS(INPUT_DATA!AW:AW,INPUT_DATA!$A:$A,$C76,INPUT_DATA!$C:$C,"D"))</f>
        <v/>
      </c>
      <c r="Z76" s="738" t="str">
        <f>IF($C76=0,"",SUMIFS(INPUT_DATA!AX:AX,INPUT_DATA!$A:$A,$C76,INPUT_DATA!$C:$C,"D"))</f>
        <v/>
      </c>
      <c r="AA76" s="739" t="str">
        <f t="shared" si="2"/>
        <v/>
      </c>
      <c r="AB76" s="738" t="str">
        <f>IF($C76=0,"",SUMIFS(INPUT_DATA!AZ:AZ,INPUT_DATA!$A:$A,$C76,INPUT_DATA!$C:$C,"D"))</f>
        <v/>
      </c>
      <c r="AC76" s="738" t="str">
        <f>IF($C76=0,"",SUMIFS(INPUT_DATA!BA:BA,INPUT_DATA!$A:$A,$C76,INPUT_DATA!$C:$C,"D"))</f>
        <v/>
      </c>
      <c r="AD76" s="738" t="str">
        <f>IF($C76=0,"",SUMIFS(INPUT_DATA!BB:BB,INPUT_DATA!$A:$A,$C76,INPUT_DATA!$C:$C,"D"))</f>
        <v/>
      </c>
      <c r="AE76" s="738" t="str">
        <f>IF($C76=0,"",SUMIFS(INPUT_DATA!BC:BC,INPUT_DATA!$A:$A,$C76,INPUT_DATA!$C:$C,"D"))</f>
        <v/>
      </c>
      <c r="AF76" s="738" t="str">
        <f>IF($C76=0,"",SUMIFS(INPUT_DATA!BD:BD,INPUT_DATA!$A:$A,$C76,INPUT_DATA!$C:$C,"D"))</f>
        <v/>
      </c>
      <c r="AG76" s="738" t="str">
        <f>IF($C76=0,"",SUMIFS(INPUT_DATA!BE:BE,INPUT_DATA!$A:$A,$C76,INPUT_DATA!$C:$C,"D"))</f>
        <v/>
      </c>
      <c r="AH76" s="738" t="str">
        <f>IF($C76=0,"",SUMIFS(INPUT_DATA!BF:BF,INPUT_DATA!$A:$A,$C76,INPUT_DATA!$C:$C,"D"))</f>
        <v/>
      </c>
      <c r="AI76" s="738" t="str">
        <f>IF($C76=0,"",SUMIFS(INPUT_DATA!BG:BG,INPUT_DATA!$A:$A,$C76,INPUT_DATA!$C:$C,"D"))</f>
        <v/>
      </c>
      <c r="AJ76" s="299" t="str">
        <f t="shared" si="3"/>
        <v/>
      </c>
      <c r="AK76" s="746" t="str">
        <f>IF($C76=0,"",SUMIFS(INPUT_DATA!BI:BI,INPUT_DATA!$A:$A,$C76,INPUT_DATA!$C:$C,"D"))</f>
        <v/>
      </c>
      <c r="AL76" s="746" t="str">
        <f>IF($C76=0,"",SUMIFS(INPUT_DATA!BJ:BJ,INPUT_DATA!$A:$A,$C76,INPUT_DATA!$C:$C,"D"))</f>
        <v/>
      </c>
      <c r="AM76" s="746" t="str">
        <f>IF($C76=0,"",SUMIFS(INPUT_DATA!BK:BK,INPUT_DATA!$A:$A,$C76,INPUT_DATA!$C:$C,"D"))</f>
        <v/>
      </c>
      <c r="AN76" s="744" t="str">
        <f t="shared" si="7"/>
        <v/>
      </c>
      <c r="AO76" s="749" t="str">
        <f>IF($C76=0,"",SUMIFS(INPUT_DATA!BM:BM,INPUT_DATA!$A:$A,$C76,INPUT_DATA!$C:$C,"D"))</f>
        <v/>
      </c>
      <c r="AP76" s="338" t="str">
        <f t="shared" si="8"/>
        <v/>
      </c>
      <c r="AQ76" s="149"/>
      <c r="AS76" s="338" t="str">
        <f t="shared" si="9"/>
        <v/>
      </c>
      <c r="AU76" s="361" t="str">
        <f>IF($C76=0,"",'03 - Monthly Asset Follow up'!F80+'03 - Monthly Asset Follow up'!G80-'03 - Monthly Asset Follow up'!V80+'03 - Monthly Asset Follow up'!Y80-H76)</f>
        <v/>
      </c>
      <c r="AV76" s="361" t="str">
        <f>IF($C76=0,"",'03 - Monthly Asset Follow up'!BE80+'03 - Monthly Asset Follow up'!BF80-'03 - Monthly Asset Follow up'!BU80+'03 - Monthly Asset Follow up'!BX80-AA76)</f>
        <v/>
      </c>
      <c r="AX76" s="154"/>
    </row>
    <row r="77" spans="2:50">
      <c r="B77" s="730" t="str">
        <f t="shared" si="4"/>
        <v/>
      </c>
      <c r="C77" s="733">
        <f>'03 - Monthly Asset Follow up'!B81</f>
        <v>0</v>
      </c>
      <c r="D77" s="149"/>
      <c r="E77" s="726" t="str">
        <f>IF($C77=0,"",SUMIFS(INPUT_DATA!AV:AV,INPUT_DATA!$A:$A,$C77,INPUT_DATA!$C:$C,"S"))</f>
        <v/>
      </c>
      <c r="F77" s="738" t="str">
        <f>IF($C77=0,"",SUMIFS(INPUT_DATA!AW:AW,INPUT_DATA!$A:$A,$C77,INPUT_DATA!$C:$C,"S"))</f>
        <v/>
      </c>
      <c r="G77" s="738" t="str">
        <f>IF($C77=0,"",SUMIFS(INPUT_DATA!AX:AX,INPUT_DATA!$A:$A,$C77,INPUT_DATA!$C:$C,"S"))</f>
        <v/>
      </c>
      <c r="H77" s="740" t="str">
        <f t="shared" si="0"/>
        <v/>
      </c>
      <c r="I77" s="738" t="str">
        <f>IF($C77=0,"",SUMIFS(INPUT_DATA!AZ:AZ,INPUT_DATA!$A:$A,$C77,INPUT_DATA!$C:$C,"S"))</f>
        <v/>
      </c>
      <c r="J77" s="738" t="str">
        <f>IF($C77=0,"",SUMIFS(INPUT_DATA!BA:BA,INPUT_DATA!$A:$A,$C77,INPUT_DATA!$C:$C,"S"))</f>
        <v/>
      </c>
      <c r="K77" s="738" t="str">
        <f>IF($C77=0,"",SUMIFS(INPUT_DATA!BB:BB,INPUT_DATA!$A:$A,$C77,INPUT_DATA!$C:$C,"S"))</f>
        <v/>
      </c>
      <c r="L77" s="738" t="str">
        <f>IF($C77=0,"",SUMIFS(INPUT_DATA!BC:BC,INPUT_DATA!$A:$A,$C77,INPUT_DATA!$C:$C,"S"))</f>
        <v/>
      </c>
      <c r="M77" s="738" t="str">
        <f>IF($C77=0,"",SUMIFS(INPUT_DATA!BD:BD,INPUT_DATA!$A:$A,$C77,INPUT_DATA!$C:$C,"S"))</f>
        <v/>
      </c>
      <c r="N77" s="738" t="str">
        <f>IF($C77=0,"",SUMIFS(INPUT_DATA!BE:BE,INPUT_DATA!$A:$A,$C77,INPUT_DATA!$C:$C,"S"))</f>
        <v/>
      </c>
      <c r="O77" s="738" t="str">
        <f>IF($C77=0,"",SUMIFS(INPUT_DATA!BF:BF,INPUT_DATA!$A:$A,$C77,INPUT_DATA!$C:$C,"S"))</f>
        <v/>
      </c>
      <c r="P77" s="738" t="str">
        <f>IF($C77=0,"",SUMIFS(INPUT_DATA!BG:BG,INPUT_DATA!$A:$A,$C77,INPUT_DATA!$C:$C,"S"))</f>
        <v/>
      </c>
      <c r="Q77" s="744" t="str">
        <f t="shared" si="5"/>
        <v/>
      </c>
      <c r="R77" s="746" t="str">
        <f>IF($C77=0,"",SUMIFS(INPUT_DATA!BI:BI,INPUT_DATA!$A:$A,$C77,INPUT_DATA!$C:$C,"S"))</f>
        <v/>
      </c>
      <c r="S77" s="746" t="str">
        <f>IF($C77=0,"",SUMIFS(INPUT_DATA!BJ:BJ,INPUT_DATA!$A:$A,$C77,INPUT_DATA!$C:$C,"S"))</f>
        <v/>
      </c>
      <c r="T77" s="744" t="str">
        <f t="shared" si="6"/>
        <v/>
      </c>
      <c r="U77" s="749" t="str">
        <f>IF($C77=0,"",SUMIFS(INPUT_DATA!BM:BM,INPUT_DATA!$A:$A,$C77,INPUT_DATA!$C:$C,"S"))</f>
        <v/>
      </c>
      <c r="V77" s="155" t="str">
        <f t="shared" si="1"/>
        <v/>
      </c>
      <c r="W77" s="149"/>
      <c r="X77" s="726" t="str">
        <f>IF($C77=0,"",SUMIFS(INPUT_DATA!AV:AV,INPUT_DATA!$A:$A,$C77,INPUT_DATA!$C:$C,"D"))</f>
        <v/>
      </c>
      <c r="Y77" s="738" t="str">
        <f>IF($C77=0,"",SUMIFS(INPUT_DATA!AW:AW,INPUT_DATA!$A:$A,$C77,INPUT_DATA!$C:$C,"D"))</f>
        <v/>
      </c>
      <c r="Z77" s="738" t="str">
        <f>IF($C77=0,"",SUMIFS(INPUT_DATA!AX:AX,INPUT_DATA!$A:$A,$C77,INPUT_DATA!$C:$C,"D"))</f>
        <v/>
      </c>
      <c r="AA77" s="739" t="str">
        <f t="shared" si="2"/>
        <v/>
      </c>
      <c r="AB77" s="738" t="str">
        <f>IF($C77=0,"",SUMIFS(INPUT_DATA!AZ:AZ,INPUT_DATA!$A:$A,$C77,INPUT_DATA!$C:$C,"D"))</f>
        <v/>
      </c>
      <c r="AC77" s="738" t="str">
        <f>IF($C77=0,"",SUMIFS(INPUT_DATA!BA:BA,INPUT_DATA!$A:$A,$C77,INPUT_DATA!$C:$C,"D"))</f>
        <v/>
      </c>
      <c r="AD77" s="738" t="str">
        <f>IF($C77=0,"",SUMIFS(INPUT_DATA!BB:BB,INPUT_DATA!$A:$A,$C77,INPUT_DATA!$C:$C,"D"))</f>
        <v/>
      </c>
      <c r="AE77" s="738" t="str">
        <f>IF($C77=0,"",SUMIFS(INPUT_DATA!BC:BC,INPUT_DATA!$A:$A,$C77,INPUT_DATA!$C:$C,"D"))</f>
        <v/>
      </c>
      <c r="AF77" s="738" t="str">
        <f>IF($C77=0,"",SUMIFS(INPUT_DATA!BD:BD,INPUT_DATA!$A:$A,$C77,INPUT_DATA!$C:$C,"D"))</f>
        <v/>
      </c>
      <c r="AG77" s="738" t="str">
        <f>IF($C77=0,"",SUMIFS(INPUT_DATA!BE:BE,INPUT_DATA!$A:$A,$C77,INPUT_DATA!$C:$C,"D"))</f>
        <v/>
      </c>
      <c r="AH77" s="738" t="str">
        <f>IF($C77=0,"",SUMIFS(INPUT_DATA!BF:BF,INPUT_DATA!$A:$A,$C77,INPUT_DATA!$C:$C,"D"))</f>
        <v/>
      </c>
      <c r="AI77" s="738" t="str">
        <f>IF($C77=0,"",SUMIFS(INPUT_DATA!BG:BG,INPUT_DATA!$A:$A,$C77,INPUT_DATA!$C:$C,"D"))</f>
        <v/>
      </c>
      <c r="AJ77" s="299" t="str">
        <f t="shared" si="3"/>
        <v/>
      </c>
      <c r="AK77" s="746" t="str">
        <f>IF($C77=0,"",SUMIFS(INPUT_DATA!BI:BI,INPUT_DATA!$A:$A,$C77,INPUT_DATA!$C:$C,"D"))</f>
        <v/>
      </c>
      <c r="AL77" s="746" t="str">
        <f>IF($C77=0,"",SUMIFS(INPUT_DATA!BJ:BJ,INPUT_DATA!$A:$A,$C77,INPUT_DATA!$C:$C,"D"))</f>
        <v/>
      </c>
      <c r="AM77" s="746" t="str">
        <f>IF($C77=0,"",SUMIFS(INPUT_DATA!BK:BK,INPUT_DATA!$A:$A,$C77,INPUT_DATA!$C:$C,"D"))</f>
        <v/>
      </c>
      <c r="AN77" s="744" t="str">
        <f t="shared" si="7"/>
        <v/>
      </c>
      <c r="AO77" s="749" t="str">
        <f>IF($C77=0,"",SUMIFS(INPUT_DATA!BM:BM,INPUT_DATA!$A:$A,$C77,INPUT_DATA!$C:$C,"D"))</f>
        <v/>
      </c>
      <c r="AP77" s="338" t="str">
        <f t="shared" si="8"/>
        <v/>
      </c>
      <c r="AQ77" s="149"/>
      <c r="AS77" s="338" t="str">
        <f t="shared" si="9"/>
        <v/>
      </c>
      <c r="AU77" s="361" t="str">
        <f>IF($C77=0,"",'03 - Monthly Asset Follow up'!F81+'03 - Monthly Asset Follow up'!G81-'03 - Monthly Asset Follow up'!V81+'03 - Monthly Asset Follow up'!Y81-H77)</f>
        <v/>
      </c>
      <c r="AV77" s="361" t="str">
        <f>IF($C77=0,"",'03 - Monthly Asset Follow up'!BE81+'03 - Monthly Asset Follow up'!BF81-'03 - Monthly Asset Follow up'!BU81+'03 - Monthly Asset Follow up'!BX81-AA77)</f>
        <v/>
      </c>
      <c r="AX77" s="154"/>
    </row>
    <row r="78" spans="2:50">
      <c r="B78" s="730" t="str">
        <f t="shared" si="4"/>
        <v/>
      </c>
      <c r="C78" s="733">
        <f>'03 - Monthly Asset Follow up'!B82</f>
        <v>0</v>
      </c>
      <c r="D78" s="149"/>
      <c r="E78" s="726" t="str">
        <f>IF($C78=0,"",SUMIFS(INPUT_DATA!AV:AV,INPUT_DATA!$A:$A,$C78,INPUT_DATA!$C:$C,"S"))</f>
        <v/>
      </c>
      <c r="F78" s="738" t="str">
        <f>IF($C78=0,"",SUMIFS(INPUT_DATA!AW:AW,INPUT_DATA!$A:$A,$C78,INPUT_DATA!$C:$C,"S"))</f>
        <v/>
      </c>
      <c r="G78" s="738" t="str">
        <f>IF($C78=0,"",SUMIFS(INPUT_DATA!AX:AX,INPUT_DATA!$A:$A,$C78,INPUT_DATA!$C:$C,"S"))</f>
        <v/>
      </c>
      <c r="H78" s="740" t="str">
        <f t="shared" ref="H78:H121" si="10">IF($C78=0,"",E78+F78+G78)</f>
        <v/>
      </c>
      <c r="I78" s="738" t="str">
        <f>IF($C78=0,"",SUMIFS(INPUT_DATA!AZ:AZ,INPUT_DATA!$A:$A,$C78,INPUT_DATA!$C:$C,"S"))</f>
        <v/>
      </c>
      <c r="J78" s="738" t="str">
        <f>IF($C78=0,"",SUMIFS(INPUT_DATA!BA:BA,INPUT_DATA!$A:$A,$C78,INPUT_DATA!$C:$C,"S"))</f>
        <v/>
      </c>
      <c r="K78" s="738" t="str">
        <f>IF($C78=0,"",SUMIFS(INPUT_DATA!BB:BB,INPUT_DATA!$A:$A,$C78,INPUT_DATA!$C:$C,"S"))</f>
        <v/>
      </c>
      <c r="L78" s="738" t="str">
        <f>IF($C78=0,"",SUMIFS(INPUT_DATA!BC:BC,INPUT_DATA!$A:$A,$C78,INPUT_DATA!$C:$C,"S"))</f>
        <v/>
      </c>
      <c r="M78" s="738" t="str">
        <f>IF($C78=0,"",SUMIFS(INPUT_DATA!BD:BD,INPUT_DATA!$A:$A,$C78,INPUT_DATA!$C:$C,"S"))</f>
        <v/>
      </c>
      <c r="N78" s="738" t="str">
        <f>IF($C78=0,"",SUMIFS(INPUT_DATA!BE:BE,INPUT_DATA!$A:$A,$C78,INPUT_DATA!$C:$C,"S"))</f>
        <v/>
      </c>
      <c r="O78" s="738" t="str">
        <f>IF($C78=0,"",SUMIFS(INPUT_DATA!BF:BF,INPUT_DATA!$A:$A,$C78,INPUT_DATA!$C:$C,"S"))</f>
        <v/>
      </c>
      <c r="P78" s="738" t="str">
        <f>IF($C78=0,"",SUMIFS(INPUT_DATA!BG:BG,INPUT_DATA!$A:$A,$C78,INPUT_DATA!$C:$C,"S"))</f>
        <v/>
      </c>
      <c r="Q78" s="744" t="str">
        <f t="shared" si="5"/>
        <v/>
      </c>
      <c r="R78" s="746" t="str">
        <f>IF($C78=0,"",SUMIFS(INPUT_DATA!BI:BI,INPUT_DATA!$A:$A,$C78,INPUT_DATA!$C:$C,"S"))</f>
        <v/>
      </c>
      <c r="S78" s="746" t="str">
        <f>IF($C78=0,"",SUMIFS(INPUT_DATA!BJ:BJ,INPUT_DATA!$A:$A,$C78,INPUT_DATA!$C:$C,"S"))</f>
        <v/>
      </c>
      <c r="T78" s="744" t="str">
        <f t="shared" si="6"/>
        <v/>
      </c>
      <c r="U78" s="749" t="str">
        <f>IF($C78=0,"",SUMIFS(INPUT_DATA!BM:BM,INPUT_DATA!$A:$A,$C78,INPUT_DATA!$C:$C,"S"))</f>
        <v/>
      </c>
      <c r="V78" s="155" t="str">
        <f t="shared" ref="V78:V121" si="11">IF($C78=0,"",T78-U78)</f>
        <v/>
      </c>
      <c r="W78" s="149"/>
      <c r="X78" s="726" t="str">
        <f>IF($C78=0,"",SUMIFS(INPUT_DATA!AV:AV,INPUT_DATA!$A:$A,$C78,INPUT_DATA!$C:$C,"D"))</f>
        <v/>
      </c>
      <c r="Y78" s="738" t="str">
        <f>IF($C78=0,"",SUMIFS(INPUT_DATA!AW:AW,INPUT_DATA!$A:$A,$C78,INPUT_DATA!$C:$C,"D"))</f>
        <v/>
      </c>
      <c r="Z78" s="738" t="str">
        <f>IF($C78=0,"",SUMIFS(INPUT_DATA!AX:AX,INPUT_DATA!$A:$A,$C78,INPUT_DATA!$C:$C,"D"))</f>
        <v/>
      </c>
      <c r="AA78" s="739" t="str">
        <f t="shared" ref="AA78:AA121" si="12">IF($C78=0,"",X78+Y78+Z78)</f>
        <v/>
      </c>
      <c r="AB78" s="738" t="str">
        <f>IF($C78=0,"",SUMIFS(INPUT_DATA!AZ:AZ,INPUT_DATA!$A:$A,$C78,INPUT_DATA!$C:$C,"D"))</f>
        <v/>
      </c>
      <c r="AC78" s="738" t="str">
        <f>IF($C78=0,"",SUMIFS(INPUT_DATA!BA:BA,INPUT_DATA!$A:$A,$C78,INPUT_DATA!$C:$C,"D"))</f>
        <v/>
      </c>
      <c r="AD78" s="738" t="str">
        <f>IF($C78=0,"",SUMIFS(INPUT_DATA!BB:BB,INPUT_DATA!$A:$A,$C78,INPUT_DATA!$C:$C,"D"))</f>
        <v/>
      </c>
      <c r="AE78" s="738" t="str">
        <f>IF($C78=0,"",SUMIFS(INPUT_DATA!BC:BC,INPUT_DATA!$A:$A,$C78,INPUT_DATA!$C:$C,"D"))</f>
        <v/>
      </c>
      <c r="AF78" s="738" t="str">
        <f>IF($C78=0,"",SUMIFS(INPUT_DATA!BD:BD,INPUT_DATA!$A:$A,$C78,INPUT_DATA!$C:$C,"D"))</f>
        <v/>
      </c>
      <c r="AG78" s="738" t="str">
        <f>IF($C78=0,"",SUMIFS(INPUT_DATA!BE:BE,INPUT_DATA!$A:$A,$C78,INPUT_DATA!$C:$C,"D"))</f>
        <v/>
      </c>
      <c r="AH78" s="738" t="str">
        <f>IF($C78=0,"",SUMIFS(INPUT_DATA!BF:BF,INPUT_DATA!$A:$A,$C78,INPUT_DATA!$C:$C,"D"))</f>
        <v/>
      </c>
      <c r="AI78" s="738" t="str">
        <f>IF($C78=0,"",SUMIFS(INPUT_DATA!BG:BG,INPUT_DATA!$A:$A,$C78,INPUT_DATA!$C:$C,"D"))</f>
        <v/>
      </c>
      <c r="AJ78" s="299" t="str">
        <f t="shared" ref="AJ78:AJ121" si="13">IF($C78=0,"",AB78+AC78+AD78+AE78+AF78+AG78+AH78+AI78)</f>
        <v/>
      </c>
      <c r="AK78" s="746" t="str">
        <f>IF($C78=0,"",SUMIFS(INPUT_DATA!BI:BI,INPUT_DATA!$A:$A,$C78,INPUT_DATA!$C:$C,"D"))</f>
        <v/>
      </c>
      <c r="AL78" s="746" t="str">
        <f>IF($C78=0,"",SUMIFS(INPUT_DATA!BJ:BJ,INPUT_DATA!$A:$A,$C78,INPUT_DATA!$C:$C,"D"))</f>
        <v/>
      </c>
      <c r="AM78" s="746" t="str">
        <f>IF($C78=0,"",SUMIFS(INPUT_DATA!BK:BK,INPUT_DATA!$A:$A,$C78,INPUT_DATA!$C:$C,"D"))</f>
        <v/>
      </c>
      <c r="AN78" s="744" t="str">
        <f t="shared" si="7"/>
        <v/>
      </c>
      <c r="AO78" s="749" t="str">
        <f>IF($C78=0,"",SUMIFS(INPUT_DATA!BM:BM,INPUT_DATA!$A:$A,$C78,INPUT_DATA!$C:$C,"D"))</f>
        <v/>
      </c>
      <c r="AP78" s="338" t="str">
        <f t="shared" si="8"/>
        <v/>
      </c>
      <c r="AQ78" s="149"/>
      <c r="AS78" s="338" t="str">
        <f t="shared" si="9"/>
        <v/>
      </c>
      <c r="AU78" s="361" t="str">
        <f>IF($C78=0,"",'03 - Monthly Asset Follow up'!F82+'03 - Monthly Asset Follow up'!G82-'03 - Monthly Asset Follow up'!V82+'03 - Monthly Asset Follow up'!Y82-H78)</f>
        <v/>
      </c>
      <c r="AV78" s="361" t="str">
        <f>IF($C78=0,"",'03 - Monthly Asset Follow up'!BE82+'03 - Monthly Asset Follow up'!BF82-'03 - Monthly Asset Follow up'!BU82+'03 - Monthly Asset Follow up'!BX82-AA78)</f>
        <v/>
      </c>
      <c r="AX78" s="154"/>
    </row>
    <row r="79" spans="2:50">
      <c r="B79" s="730" t="str">
        <f t="shared" ref="B79:B121" si="14">IF(C80=0,"",C80+1)</f>
        <v/>
      </c>
      <c r="C79" s="733">
        <f>'03 - Monthly Asset Follow up'!B83</f>
        <v>0</v>
      </c>
      <c r="D79" s="149"/>
      <c r="E79" s="726" t="str">
        <f>IF($C79=0,"",SUMIFS(INPUT_DATA!AV:AV,INPUT_DATA!$A:$A,$C79,INPUT_DATA!$C:$C,"S"))</f>
        <v/>
      </c>
      <c r="F79" s="738" t="str">
        <f>IF($C79=0,"",SUMIFS(INPUT_DATA!AW:AW,INPUT_DATA!$A:$A,$C79,INPUT_DATA!$C:$C,"S"))</f>
        <v/>
      </c>
      <c r="G79" s="738" t="str">
        <f>IF($C79=0,"",SUMIFS(INPUT_DATA!AX:AX,INPUT_DATA!$A:$A,$C79,INPUT_DATA!$C:$C,"S"))</f>
        <v/>
      </c>
      <c r="H79" s="740" t="str">
        <f t="shared" si="10"/>
        <v/>
      </c>
      <c r="I79" s="738" t="str">
        <f>IF($C79=0,"",SUMIFS(INPUT_DATA!AZ:AZ,INPUT_DATA!$A:$A,$C79,INPUT_DATA!$C:$C,"S"))</f>
        <v/>
      </c>
      <c r="J79" s="738" t="str">
        <f>IF($C79=0,"",SUMIFS(INPUT_DATA!BA:BA,INPUT_DATA!$A:$A,$C79,INPUT_DATA!$C:$C,"S"))</f>
        <v/>
      </c>
      <c r="K79" s="738" t="str">
        <f>IF($C79=0,"",SUMIFS(INPUT_DATA!BB:BB,INPUT_DATA!$A:$A,$C79,INPUT_DATA!$C:$C,"S"))</f>
        <v/>
      </c>
      <c r="L79" s="738" t="str">
        <f>IF($C79=0,"",SUMIFS(INPUT_DATA!BC:BC,INPUT_DATA!$A:$A,$C79,INPUT_DATA!$C:$C,"S"))</f>
        <v/>
      </c>
      <c r="M79" s="738" t="str">
        <f>IF($C79=0,"",SUMIFS(INPUT_DATA!BD:BD,INPUT_DATA!$A:$A,$C79,INPUT_DATA!$C:$C,"S"))</f>
        <v/>
      </c>
      <c r="N79" s="738" t="str">
        <f>IF($C79=0,"",SUMIFS(INPUT_DATA!BE:BE,INPUT_DATA!$A:$A,$C79,INPUT_DATA!$C:$C,"S"))</f>
        <v/>
      </c>
      <c r="O79" s="738" t="str">
        <f>IF($C79=0,"",SUMIFS(INPUT_DATA!BF:BF,INPUT_DATA!$A:$A,$C79,INPUT_DATA!$C:$C,"S"))</f>
        <v/>
      </c>
      <c r="P79" s="738" t="str">
        <f>IF($C79=0,"",SUMIFS(INPUT_DATA!BG:BG,INPUT_DATA!$A:$A,$C79,INPUT_DATA!$C:$C,"S"))</f>
        <v/>
      </c>
      <c r="Q79" s="744" t="str">
        <f t="shared" ref="Q79:Q121" si="15">IF($C79=0,"",I79+J79+K79+L79+M79+N79+O79+P79)</f>
        <v/>
      </c>
      <c r="R79" s="746" t="str">
        <f>IF($C79=0,"",SUMIFS(INPUT_DATA!BI:BI,INPUT_DATA!$A:$A,$C79,INPUT_DATA!$C:$C,"S"))</f>
        <v/>
      </c>
      <c r="S79" s="746" t="str">
        <f>IF($C79=0,"",SUMIFS(INPUT_DATA!BJ:BJ,INPUT_DATA!$A:$A,$C79,INPUT_DATA!$C:$C,"S"))</f>
        <v/>
      </c>
      <c r="T79" s="744" t="str">
        <f t="shared" ref="T79:T121" si="16">IF($C79=0,"",H79+Q79+R79-S79)</f>
        <v/>
      </c>
      <c r="U79" s="749" t="str">
        <f>IF($C79=0,"",SUMIFS(INPUT_DATA!BM:BM,INPUT_DATA!$A:$A,$C79,INPUT_DATA!$C:$C,"S"))</f>
        <v/>
      </c>
      <c r="V79" s="155" t="str">
        <f t="shared" si="11"/>
        <v/>
      </c>
      <c r="W79" s="149"/>
      <c r="X79" s="726" t="str">
        <f>IF($C79=0,"",SUMIFS(INPUT_DATA!AV:AV,INPUT_DATA!$A:$A,$C79,INPUT_DATA!$C:$C,"D"))</f>
        <v/>
      </c>
      <c r="Y79" s="738" t="str">
        <f>IF($C79=0,"",SUMIFS(INPUT_DATA!AW:AW,INPUT_DATA!$A:$A,$C79,INPUT_DATA!$C:$C,"D"))</f>
        <v/>
      </c>
      <c r="Z79" s="738" t="str">
        <f>IF($C79=0,"",SUMIFS(INPUT_DATA!AX:AX,INPUT_DATA!$A:$A,$C79,INPUT_DATA!$C:$C,"D"))</f>
        <v/>
      </c>
      <c r="AA79" s="739" t="str">
        <f t="shared" si="12"/>
        <v/>
      </c>
      <c r="AB79" s="738" t="str">
        <f>IF($C79=0,"",SUMIFS(INPUT_DATA!AZ:AZ,INPUT_DATA!$A:$A,$C79,INPUT_DATA!$C:$C,"D"))</f>
        <v/>
      </c>
      <c r="AC79" s="738" t="str">
        <f>IF($C79=0,"",SUMIFS(INPUT_DATA!BA:BA,INPUT_DATA!$A:$A,$C79,INPUT_DATA!$C:$C,"D"))</f>
        <v/>
      </c>
      <c r="AD79" s="738" t="str">
        <f>IF($C79=0,"",SUMIFS(INPUT_DATA!BB:BB,INPUT_DATA!$A:$A,$C79,INPUT_DATA!$C:$C,"D"))</f>
        <v/>
      </c>
      <c r="AE79" s="738" t="str">
        <f>IF($C79=0,"",SUMIFS(INPUT_DATA!BC:BC,INPUT_DATA!$A:$A,$C79,INPUT_DATA!$C:$C,"D"))</f>
        <v/>
      </c>
      <c r="AF79" s="738" t="str">
        <f>IF($C79=0,"",SUMIFS(INPUT_DATA!BD:BD,INPUT_DATA!$A:$A,$C79,INPUT_DATA!$C:$C,"D"))</f>
        <v/>
      </c>
      <c r="AG79" s="738" t="str">
        <f>IF($C79=0,"",SUMIFS(INPUT_DATA!BE:BE,INPUT_DATA!$A:$A,$C79,INPUT_DATA!$C:$C,"D"))</f>
        <v/>
      </c>
      <c r="AH79" s="738" t="str">
        <f>IF($C79=0,"",SUMIFS(INPUT_DATA!BF:BF,INPUT_DATA!$A:$A,$C79,INPUT_DATA!$C:$C,"D"))</f>
        <v/>
      </c>
      <c r="AI79" s="738" t="str">
        <f>IF($C79=0,"",SUMIFS(INPUT_DATA!BG:BG,INPUT_DATA!$A:$A,$C79,INPUT_DATA!$C:$C,"D"))</f>
        <v/>
      </c>
      <c r="AJ79" s="299" t="str">
        <f t="shared" si="13"/>
        <v/>
      </c>
      <c r="AK79" s="746" t="str">
        <f>IF($C79=0,"",SUMIFS(INPUT_DATA!BI:BI,INPUT_DATA!$A:$A,$C79,INPUT_DATA!$C:$C,"D"))</f>
        <v/>
      </c>
      <c r="AL79" s="746" t="str">
        <f>IF($C79=0,"",SUMIFS(INPUT_DATA!BJ:BJ,INPUT_DATA!$A:$A,$C79,INPUT_DATA!$C:$C,"D"))</f>
        <v/>
      </c>
      <c r="AM79" s="746" t="str">
        <f>IF($C79=0,"",SUMIFS(INPUT_DATA!BK:BK,INPUT_DATA!$A:$A,$C79,INPUT_DATA!$C:$C,"D"))</f>
        <v/>
      </c>
      <c r="AN79" s="744" t="str">
        <f t="shared" ref="AN79:AN121" si="17">IF($C79=0,"",AA79+AJ79+AK79-AL79-AM79)</f>
        <v/>
      </c>
      <c r="AO79" s="749" t="str">
        <f>IF($C79=0,"",SUMIFS(INPUT_DATA!BM:BM,INPUT_DATA!$A:$A,$C79,INPUT_DATA!$C:$C,"D"))</f>
        <v/>
      </c>
      <c r="AP79" s="338" t="str">
        <f t="shared" ref="AP79:AP121" si="18">IF($C79=0,"",AN79-AO79)</f>
        <v/>
      </c>
      <c r="AQ79" s="149"/>
      <c r="AS79" s="338" t="str">
        <f t="shared" ref="AS79:AS121" si="19">IF($C79=0,"",T79+AO79)</f>
        <v/>
      </c>
      <c r="AU79" s="361" t="str">
        <f>IF($C79=0,"",'03 - Monthly Asset Follow up'!F83+'03 - Monthly Asset Follow up'!G83-'03 - Monthly Asset Follow up'!V83+'03 - Monthly Asset Follow up'!Y83-H79)</f>
        <v/>
      </c>
      <c r="AV79" s="361" t="str">
        <f>IF($C79=0,"",'03 - Monthly Asset Follow up'!BE83+'03 - Monthly Asset Follow up'!BF83-'03 - Monthly Asset Follow up'!BU83+'03 - Monthly Asset Follow up'!BX83-AA79)</f>
        <v/>
      </c>
      <c r="AX79" s="154"/>
    </row>
    <row r="80" spans="2:50">
      <c r="B80" s="730" t="str">
        <f t="shared" si="14"/>
        <v/>
      </c>
      <c r="C80" s="733">
        <f>'03 - Monthly Asset Follow up'!B84</f>
        <v>0</v>
      </c>
      <c r="D80" s="149"/>
      <c r="E80" s="726" t="str">
        <f>IF($C80=0,"",SUMIFS(INPUT_DATA!AV:AV,INPUT_DATA!$A:$A,$C80,INPUT_DATA!$C:$C,"S"))</f>
        <v/>
      </c>
      <c r="F80" s="738" t="str">
        <f>IF($C80=0,"",SUMIFS(INPUT_DATA!AW:AW,INPUT_DATA!$A:$A,$C80,INPUT_DATA!$C:$C,"S"))</f>
        <v/>
      </c>
      <c r="G80" s="738" t="str">
        <f>IF($C80=0,"",SUMIFS(INPUT_DATA!AX:AX,INPUT_DATA!$A:$A,$C80,INPUT_DATA!$C:$C,"S"))</f>
        <v/>
      </c>
      <c r="H80" s="740" t="str">
        <f t="shared" si="10"/>
        <v/>
      </c>
      <c r="I80" s="738" t="str">
        <f>IF($C80=0,"",SUMIFS(INPUT_DATA!AZ:AZ,INPUT_DATA!$A:$A,$C80,INPUT_DATA!$C:$C,"S"))</f>
        <v/>
      </c>
      <c r="J80" s="738" t="str">
        <f>IF($C80=0,"",SUMIFS(INPUT_DATA!BA:BA,INPUT_DATA!$A:$A,$C80,INPUT_DATA!$C:$C,"S"))</f>
        <v/>
      </c>
      <c r="K80" s="738" t="str">
        <f>IF($C80=0,"",SUMIFS(INPUT_DATA!BB:BB,INPUT_DATA!$A:$A,$C80,INPUT_DATA!$C:$C,"S"))</f>
        <v/>
      </c>
      <c r="L80" s="738" t="str">
        <f>IF($C80=0,"",SUMIFS(INPUT_DATA!BC:BC,INPUT_DATA!$A:$A,$C80,INPUT_DATA!$C:$C,"S"))</f>
        <v/>
      </c>
      <c r="M80" s="738" t="str">
        <f>IF($C80=0,"",SUMIFS(INPUT_DATA!BD:BD,INPUT_DATA!$A:$A,$C80,INPUT_DATA!$C:$C,"S"))</f>
        <v/>
      </c>
      <c r="N80" s="738" t="str">
        <f>IF($C80=0,"",SUMIFS(INPUT_DATA!BE:BE,INPUT_DATA!$A:$A,$C80,INPUT_DATA!$C:$C,"S"))</f>
        <v/>
      </c>
      <c r="O80" s="738" t="str">
        <f>IF($C80=0,"",SUMIFS(INPUT_DATA!BF:BF,INPUT_DATA!$A:$A,$C80,INPUT_DATA!$C:$C,"S"))</f>
        <v/>
      </c>
      <c r="P80" s="738" t="str">
        <f>IF($C80=0,"",SUMIFS(INPUT_DATA!BG:BG,INPUT_DATA!$A:$A,$C80,INPUT_DATA!$C:$C,"S"))</f>
        <v/>
      </c>
      <c r="Q80" s="744" t="str">
        <f t="shared" si="15"/>
        <v/>
      </c>
      <c r="R80" s="746" t="str">
        <f>IF($C80=0,"",SUMIFS(INPUT_DATA!BI:BI,INPUT_DATA!$A:$A,$C80,INPUT_DATA!$C:$C,"S"))</f>
        <v/>
      </c>
      <c r="S80" s="746" t="str">
        <f>IF($C80=0,"",SUMIFS(INPUT_DATA!BJ:BJ,INPUT_DATA!$A:$A,$C80,INPUT_DATA!$C:$C,"S"))</f>
        <v/>
      </c>
      <c r="T80" s="744" t="str">
        <f t="shared" si="16"/>
        <v/>
      </c>
      <c r="U80" s="749" t="str">
        <f>IF($C80=0,"",SUMIFS(INPUT_DATA!BM:BM,INPUT_DATA!$A:$A,$C80,INPUT_DATA!$C:$C,"S"))</f>
        <v/>
      </c>
      <c r="V80" s="155" t="str">
        <f t="shared" si="11"/>
        <v/>
      </c>
      <c r="W80" s="149"/>
      <c r="X80" s="726" t="str">
        <f>IF($C80=0,"",SUMIFS(INPUT_DATA!AV:AV,INPUT_DATA!$A:$A,$C80,INPUT_DATA!$C:$C,"D"))</f>
        <v/>
      </c>
      <c r="Y80" s="738" t="str">
        <f>IF($C80=0,"",SUMIFS(INPUT_DATA!AW:AW,INPUT_DATA!$A:$A,$C80,INPUT_DATA!$C:$C,"D"))</f>
        <v/>
      </c>
      <c r="Z80" s="738" t="str">
        <f>IF($C80=0,"",SUMIFS(INPUT_DATA!AX:AX,INPUT_DATA!$A:$A,$C80,INPUT_DATA!$C:$C,"D"))</f>
        <v/>
      </c>
      <c r="AA80" s="739" t="str">
        <f t="shared" si="12"/>
        <v/>
      </c>
      <c r="AB80" s="738" t="str">
        <f>IF($C80=0,"",SUMIFS(INPUT_DATA!AZ:AZ,INPUT_DATA!$A:$A,$C80,INPUT_DATA!$C:$C,"D"))</f>
        <v/>
      </c>
      <c r="AC80" s="738" t="str">
        <f>IF($C80=0,"",SUMIFS(INPUT_DATA!BA:BA,INPUT_DATA!$A:$A,$C80,INPUT_DATA!$C:$C,"D"))</f>
        <v/>
      </c>
      <c r="AD80" s="738" t="str">
        <f>IF($C80=0,"",SUMIFS(INPUT_DATA!BB:BB,INPUT_DATA!$A:$A,$C80,INPUT_DATA!$C:$C,"D"))</f>
        <v/>
      </c>
      <c r="AE80" s="738" t="str">
        <f>IF($C80=0,"",SUMIFS(INPUT_DATA!BC:BC,INPUT_DATA!$A:$A,$C80,INPUT_DATA!$C:$C,"D"))</f>
        <v/>
      </c>
      <c r="AF80" s="738" t="str">
        <f>IF($C80=0,"",SUMIFS(INPUT_DATA!BD:BD,INPUT_DATA!$A:$A,$C80,INPUT_DATA!$C:$C,"D"))</f>
        <v/>
      </c>
      <c r="AG80" s="738" t="str">
        <f>IF($C80=0,"",SUMIFS(INPUT_DATA!BE:BE,INPUT_DATA!$A:$A,$C80,INPUT_DATA!$C:$C,"D"))</f>
        <v/>
      </c>
      <c r="AH80" s="738" t="str">
        <f>IF($C80=0,"",SUMIFS(INPUT_DATA!BF:BF,INPUT_DATA!$A:$A,$C80,INPUT_DATA!$C:$C,"D"))</f>
        <v/>
      </c>
      <c r="AI80" s="738" t="str">
        <f>IF($C80=0,"",SUMIFS(INPUT_DATA!BG:BG,INPUT_DATA!$A:$A,$C80,INPUT_DATA!$C:$C,"D"))</f>
        <v/>
      </c>
      <c r="AJ80" s="299" t="str">
        <f t="shared" si="13"/>
        <v/>
      </c>
      <c r="AK80" s="746" t="str">
        <f>IF($C80=0,"",SUMIFS(INPUT_DATA!BI:BI,INPUT_DATA!$A:$A,$C80,INPUT_DATA!$C:$C,"D"))</f>
        <v/>
      </c>
      <c r="AL80" s="746" t="str">
        <f>IF($C80=0,"",SUMIFS(INPUT_DATA!BJ:BJ,INPUT_DATA!$A:$A,$C80,INPUT_DATA!$C:$C,"D"))</f>
        <v/>
      </c>
      <c r="AM80" s="746" t="str">
        <f>IF($C80=0,"",SUMIFS(INPUT_DATA!BK:BK,INPUT_DATA!$A:$A,$C80,INPUT_DATA!$C:$C,"D"))</f>
        <v/>
      </c>
      <c r="AN80" s="744" t="str">
        <f t="shared" si="17"/>
        <v/>
      </c>
      <c r="AO80" s="749" t="str">
        <f>IF($C80=0,"",SUMIFS(INPUT_DATA!BM:BM,INPUT_DATA!$A:$A,$C80,INPUT_DATA!$C:$C,"D"))</f>
        <v/>
      </c>
      <c r="AP80" s="338" t="str">
        <f t="shared" si="18"/>
        <v/>
      </c>
      <c r="AQ80" s="149"/>
      <c r="AS80" s="338" t="str">
        <f t="shared" si="19"/>
        <v/>
      </c>
      <c r="AU80" s="361" t="str">
        <f>IF($C80=0,"",'03 - Monthly Asset Follow up'!F84+'03 - Monthly Asset Follow up'!G84-'03 - Monthly Asset Follow up'!V84+'03 - Monthly Asset Follow up'!Y84-H80)</f>
        <v/>
      </c>
      <c r="AV80" s="361" t="str">
        <f>IF($C80=0,"",'03 - Monthly Asset Follow up'!BE84+'03 - Monthly Asset Follow up'!BF84-'03 - Monthly Asset Follow up'!BU84+'03 - Monthly Asset Follow up'!BX84-AA80)</f>
        <v/>
      </c>
      <c r="AX80" s="154"/>
    </row>
    <row r="81" spans="2:50">
      <c r="B81" s="730" t="str">
        <f t="shared" si="14"/>
        <v/>
      </c>
      <c r="C81" s="733">
        <f>'03 - Monthly Asset Follow up'!B85</f>
        <v>0</v>
      </c>
      <c r="D81" s="149"/>
      <c r="E81" s="726" t="str">
        <f>IF($C81=0,"",SUMIFS(INPUT_DATA!AV:AV,INPUT_DATA!$A:$A,$C81,INPUT_DATA!$C:$C,"S"))</f>
        <v/>
      </c>
      <c r="F81" s="738" t="str">
        <f>IF($C81=0,"",SUMIFS(INPUT_DATA!AW:AW,INPUT_DATA!$A:$A,$C81,INPUT_DATA!$C:$C,"S"))</f>
        <v/>
      </c>
      <c r="G81" s="738" t="str">
        <f>IF($C81=0,"",SUMIFS(INPUT_DATA!AX:AX,INPUT_DATA!$A:$A,$C81,INPUT_DATA!$C:$C,"S"))</f>
        <v/>
      </c>
      <c r="H81" s="740" t="str">
        <f t="shared" si="10"/>
        <v/>
      </c>
      <c r="I81" s="738" t="str">
        <f>IF($C81=0,"",SUMIFS(INPUT_DATA!AZ:AZ,INPUT_DATA!$A:$A,$C81,INPUT_DATA!$C:$C,"S"))</f>
        <v/>
      </c>
      <c r="J81" s="738" t="str">
        <f>IF($C81=0,"",SUMIFS(INPUT_DATA!BA:BA,INPUT_DATA!$A:$A,$C81,INPUT_DATA!$C:$C,"S"))</f>
        <v/>
      </c>
      <c r="K81" s="738" t="str">
        <f>IF($C81=0,"",SUMIFS(INPUT_DATA!BB:BB,INPUT_DATA!$A:$A,$C81,INPUT_DATA!$C:$C,"S"))</f>
        <v/>
      </c>
      <c r="L81" s="738" t="str">
        <f>IF($C81=0,"",SUMIFS(INPUT_DATA!BC:BC,INPUT_DATA!$A:$A,$C81,INPUT_DATA!$C:$C,"S"))</f>
        <v/>
      </c>
      <c r="M81" s="738" t="str">
        <f>IF($C81=0,"",SUMIFS(INPUT_DATA!BD:BD,INPUT_DATA!$A:$A,$C81,INPUT_DATA!$C:$C,"S"))</f>
        <v/>
      </c>
      <c r="N81" s="738" t="str">
        <f>IF($C81=0,"",SUMIFS(INPUT_DATA!BE:BE,INPUT_DATA!$A:$A,$C81,INPUT_DATA!$C:$C,"S"))</f>
        <v/>
      </c>
      <c r="O81" s="738" t="str">
        <f>IF($C81=0,"",SUMIFS(INPUT_DATA!BF:BF,INPUT_DATA!$A:$A,$C81,INPUT_DATA!$C:$C,"S"))</f>
        <v/>
      </c>
      <c r="P81" s="738" t="str">
        <f>IF($C81=0,"",SUMIFS(INPUT_DATA!BG:BG,INPUT_DATA!$A:$A,$C81,INPUT_DATA!$C:$C,"S"))</f>
        <v/>
      </c>
      <c r="Q81" s="744" t="str">
        <f t="shared" si="15"/>
        <v/>
      </c>
      <c r="R81" s="746" t="str">
        <f>IF($C81=0,"",SUMIFS(INPUT_DATA!BI:BI,INPUT_DATA!$A:$A,$C81,INPUT_DATA!$C:$C,"S"))</f>
        <v/>
      </c>
      <c r="S81" s="746" t="str">
        <f>IF($C81=0,"",SUMIFS(INPUT_DATA!BJ:BJ,INPUT_DATA!$A:$A,$C81,INPUT_DATA!$C:$C,"S"))</f>
        <v/>
      </c>
      <c r="T81" s="744" t="str">
        <f t="shared" si="16"/>
        <v/>
      </c>
      <c r="U81" s="749" t="str">
        <f>IF($C81=0,"",SUMIFS(INPUT_DATA!BM:BM,INPUT_DATA!$A:$A,$C81,INPUT_DATA!$C:$C,"S"))</f>
        <v/>
      </c>
      <c r="V81" s="155" t="str">
        <f t="shared" si="11"/>
        <v/>
      </c>
      <c r="W81" s="149"/>
      <c r="X81" s="726" t="str">
        <f>IF($C81=0,"",SUMIFS(INPUT_DATA!AV:AV,INPUT_DATA!$A:$A,$C81,INPUT_DATA!$C:$C,"D"))</f>
        <v/>
      </c>
      <c r="Y81" s="738" t="str">
        <f>IF($C81=0,"",SUMIFS(INPUT_DATA!AW:AW,INPUT_DATA!$A:$A,$C81,INPUT_DATA!$C:$C,"D"))</f>
        <v/>
      </c>
      <c r="Z81" s="738" t="str">
        <f>IF($C81=0,"",SUMIFS(INPUT_DATA!AX:AX,INPUT_DATA!$A:$A,$C81,INPUT_DATA!$C:$C,"D"))</f>
        <v/>
      </c>
      <c r="AA81" s="739" t="str">
        <f t="shared" si="12"/>
        <v/>
      </c>
      <c r="AB81" s="738" t="str">
        <f>IF($C81=0,"",SUMIFS(INPUT_DATA!AZ:AZ,INPUT_DATA!$A:$A,$C81,INPUT_DATA!$C:$C,"D"))</f>
        <v/>
      </c>
      <c r="AC81" s="738" t="str">
        <f>IF($C81=0,"",SUMIFS(INPUT_DATA!BA:BA,INPUT_DATA!$A:$A,$C81,INPUT_DATA!$C:$C,"D"))</f>
        <v/>
      </c>
      <c r="AD81" s="738" t="str">
        <f>IF($C81=0,"",SUMIFS(INPUT_DATA!BB:BB,INPUT_DATA!$A:$A,$C81,INPUT_DATA!$C:$C,"D"))</f>
        <v/>
      </c>
      <c r="AE81" s="738" t="str">
        <f>IF($C81=0,"",SUMIFS(INPUT_DATA!BC:BC,INPUT_DATA!$A:$A,$C81,INPUT_DATA!$C:$C,"D"))</f>
        <v/>
      </c>
      <c r="AF81" s="738" t="str">
        <f>IF($C81=0,"",SUMIFS(INPUT_DATA!BD:BD,INPUT_DATA!$A:$A,$C81,INPUT_DATA!$C:$C,"D"))</f>
        <v/>
      </c>
      <c r="AG81" s="738" t="str">
        <f>IF($C81=0,"",SUMIFS(INPUT_DATA!BE:BE,INPUT_DATA!$A:$A,$C81,INPUT_DATA!$C:$C,"D"))</f>
        <v/>
      </c>
      <c r="AH81" s="738" t="str">
        <f>IF($C81=0,"",SUMIFS(INPUT_DATA!BF:BF,INPUT_DATA!$A:$A,$C81,INPUT_DATA!$C:$C,"D"))</f>
        <v/>
      </c>
      <c r="AI81" s="738" t="str">
        <f>IF($C81=0,"",SUMIFS(INPUT_DATA!BG:BG,INPUT_DATA!$A:$A,$C81,INPUT_DATA!$C:$C,"D"))</f>
        <v/>
      </c>
      <c r="AJ81" s="299" t="str">
        <f t="shared" si="13"/>
        <v/>
      </c>
      <c r="AK81" s="746" t="str">
        <f>IF($C81=0,"",SUMIFS(INPUT_DATA!BI:BI,INPUT_DATA!$A:$A,$C81,INPUT_DATA!$C:$C,"D"))</f>
        <v/>
      </c>
      <c r="AL81" s="746" t="str">
        <f>IF($C81=0,"",SUMIFS(INPUT_DATA!BJ:BJ,INPUT_DATA!$A:$A,$C81,INPUT_DATA!$C:$C,"D"))</f>
        <v/>
      </c>
      <c r="AM81" s="746" t="str">
        <f>IF($C81=0,"",SUMIFS(INPUT_DATA!BK:BK,INPUT_DATA!$A:$A,$C81,INPUT_DATA!$C:$C,"D"))</f>
        <v/>
      </c>
      <c r="AN81" s="744" t="str">
        <f t="shared" si="17"/>
        <v/>
      </c>
      <c r="AO81" s="749" t="str">
        <f>IF($C81=0,"",SUMIFS(INPUT_DATA!BM:BM,INPUT_DATA!$A:$A,$C81,INPUT_DATA!$C:$C,"D"))</f>
        <v/>
      </c>
      <c r="AP81" s="338" t="str">
        <f t="shared" si="18"/>
        <v/>
      </c>
      <c r="AQ81" s="149"/>
      <c r="AS81" s="338" t="str">
        <f t="shared" si="19"/>
        <v/>
      </c>
      <c r="AU81" s="361" t="str">
        <f>IF($C81=0,"",'03 - Monthly Asset Follow up'!F85+'03 - Monthly Asset Follow up'!G85-'03 - Monthly Asset Follow up'!V85+'03 - Monthly Asset Follow up'!Y85-H81)</f>
        <v/>
      </c>
      <c r="AV81" s="361" t="str">
        <f>IF($C81=0,"",'03 - Monthly Asset Follow up'!BE85+'03 - Monthly Asset Follow up'!BF85-'03 - Monthly Asset Follow up'!BU85+'03 - Monthly Asset Follow up'!BX85-AA81)</f>
        <v/>
      </c>
      <c r="AX81" s="154"/>
    </row>
    <row r="82" spans="2:50">
      <c r="B82" s="730" t="str">
        <f t="shared" si="14"/>
        <v/>
      </c>
      <c r="C82" s="733">
        <f>'03 - Monthly Asset Follow up'!B86</f>
        <v>0</v>
      </c>
      <c r="D82" s="149"/>
      <c r="E82" s="726" t="str">
        <f>IF($C82=0,"",SUMIFS(INPUT_DATA!AV:AV,INPUT_DATA!$A:$A,$C82,INPUT_DATA!$C:$C,"S"))</f>
        <v/>
      </c>
      <c r="F82" s="738" t="str">
        <f>IF($C82=0,"",SUMIFS(INPUT_DATA!AW:AW,INPUT_DATA!$A:$A,$C82,INPUT_DATA!$C:$C,"S"))</f>
        <v/>
      </c>
      <c r="G82" s="738" t="str">
        <f>IF($C82=0,"",SUMIFS(INPUT_DATA!AX:AX,INPUT_DATA!$A:$A,$C82,INPUT_DATA!$C:$C,"S"))</f>
        <v/>
      </c>
      <c r="H82" s="740" t="str">
        <f t="shared" si="10"/>
        <v/>
      </c>
      <c r="I82" s="738" t="str">
        <f>IF($C82=0,"",SUMIFS(INPUT_DATA!AZ:AZ,INPUT_DATA!$A:$A,$C82,INPUT_DATA!$C:$C,"S"))</f>
        <v/>
      </c>
      <c r="J82" s="738" t="str">
        <f>IF($C82=0,"",SUMIFS(INPUT_DATA!BA:BA,INPUT_DATA!$A:$A,$C82,INPUT_DATA!$C:$C,"S"))</f>
        <v/>
      </c>
      <c r="K82" s="738" t="str">
        <f>IF($C82=0,"",SUMIFS(INPUT_DATA!BB:BB,INPUT_DATA!$A:$A,$C82,INPUT_DATA!$C:$C,"S"))</f>
        <v/>
      </c>
      <c r="L82" s="738" t="str">
        <f>IF($C82=0,"",SUMIFS(INPUT_DATA!BC:BC,INPUT_DATA!$A:$A,$C82,INPUT_DATA!$C:$C,"S"))</f>
        <v/>
      </c>
      <c r="M82" s="738" t="str">
        <f>IF($C82=0,"",SUMIFS(INPUT_DATA!BD:BD,INPUT_DATA!$A:$A,$C82,INPUT_DATA!$C:$C,"S"))</f>
        <v/>
      </c>
      <c r="N82" s="738" t="str">
        <f>IF($C82=0,"",SUMIFS(INPUT_DATA!BE:BE,INPUT_DATA!$A:$A,$C82,INPUT_DATA!$C:$C,"S"))</f>
        <v/>
      </c>
      <c r="O82" s="738" t="str">
        <f>IF($C82=0,"",SUMIFS(INPUT_DATA!BF:BF,INPUT_DATA!$A:$A,$C82,INPUT_DATA!$C:$C,"S"))</f>
        <v/>
      </c>
      <c r="P82" s="738" t="str">
        <f>IF($C82=0,"",SUMIFS(INPUT_DATA!BG:BG,INPUT_DATA!$A:$A,$C82,INPUT_DATA!$C:$C,"S"))</f>
        <v/>
      </c>
      <c r="Q82" s="744" t="str">
        <f t="shared" si="15"/>
        <v/>
      </c>
      <c r="R82" s="746" t="str">
        <f>IF($C82=0,"",SUMIFS(INPUT_DATA!BI:BI,INPUT_DATA!$A:$A,$C82,INPUT_DATA!$C:$C,"S"))</f>
        <v/>
      </c>
      <c r="S82" s="746" t="str">
        <f>IF($C82=0,"",SUMIFS(INPUT_DATA!BJ:BJ,INPUT_DATA!$A:$A,$C82,INPUT_DATA!$C:$C,"S"))</f>
        <v/>
      </c>
      <c r="T82" s="744" t="str">
        <f t="shared" si="16"/>
        <v/>
      </c>
      <c r="U82" s="749" t="str">
        <f>IF($C82=0,"",SUMIFS(INPUT_DATA!BM:BM,INPUT_DATA!$A:$A,$C82,INPUT_DATA!$C:$C,"S"))</f>
        <v/>
      </c>
      <c r="V82" s="155" t="str">
        <f t="shared" si="11"/>
        <v/>
      </c>
      <c r="W82" s="149"/>
      <c r="X82" s="726" t="str">
        <f>IF($C82=0,"",SUMIFS(INPUT_DATA!AV:AV,INPUT_DATA!$A:$A,$C82,INPUT_DATA!$C:$C,"D"))</f>
        <v/>
      </c>
      <c r="Y82" s="738" t="str">
        <f>IF($C82=0,"",SUMIFS(INPUT_DATA!AW:AW,INPUT_DATA!$A:$A,$C82,INPUT_DATA!$C:$C,"D"))</f>
        <v/>
      </c>
      <c r="Z82" s="738" t="str">
        <f>IF($C82=0,"",SUMIFS(INPUT_DATA!AX:AX,INPUT_DATA!$A:$A,$C82,INPUT_DATA!$C:$C,"D"))</f>
        <v/>
      </c>
      <c r="AA82" s="739" t="str">
        <f t="shared" si="12"/>
        <v/>
      </c>
      <c r="AB82" s="738" t="str">
        <f>IF($C82=0,"",SUMIFS(INPUT_DATA!AZ:AZ,INPUT_DATA!$A:$A,$C82,INPUT_DATA!$C:$C,"D"))</f>
        <v/>
      </c>
      <c r="AC82" s="738" t="str">
        <f>IF($C82=0,"",SUMIFS(INPUT_DATA!BA:BA,INPUT_DATA!$A:$A,$C82,INPUT_DATA!$C:$C,"D"))</f>
        <v/>
      </c>
      <c r="AD82" s="738" t="str">
        <f>IF($C82=0,"",SUMIFS(INPUT_DATA!BB:BB,INPUT_DATA!$A:$A,$C82,INPUT_DATA!$C:$C,"D"))</f>
        <v/>
      </c>
      <c r="AE82" s="738" t="str">
        <f>IF($C82=0,"",SUMIFS(INPUT_DATA!BC:BC,INPUT_DATA!$A:$A,$C82,INPUT_DATA!$C:$C,"D"))</f>
        <v/>
      </c>
      <c r="AF82" s="738" t="str">
        <f>IF($C82=0,"",SUMIFS(INPUT_DATA!BD:BD,INPUT_DATA!$A:$A,$C82,INPUT_DATA!$C:$C,"D"))</f>
        <v/>
      </c>
      <c r="AG82" s="738" t="str">
        <f>IF($C82=0,"",SUMIFS(INPUT_DATA!BE:BE,INPUT_DATA!$A:$A,$C82,INPUT_DATA!$C:$C,"D"))</f>
        <v/>
      </c>
      <c r="AH82" s="738" t="str">
        <f>IF($C82=0,"",SUMIFS(INPUT_DATA!BF:BF,INPUT_DATA!$A:$A,$C82,INPUT_DATA!$C:$C,"D"))</f>
        <v/>
      </c>
      <c r="AI82" s="738" t="str">
        <f>IF($C82=0,"",SUMIFS(INPUT_DATA!BG:BG,INPUT_DATA!$A:$A,$C82,INPUT_DATA!$C:$C,"D"))</f>
        <v/>
      </c>
      <c r="AJ82" s="299" t="str">
        <f t="shared" si="13"/>
        <v/>
      </c>
      <c r="AK82" s="746" t="str">
        <f>IF($C82=0,"",SUMIFS(INPUT_DATA!BI:BI,INPUT_DATA!$A:$A,$C82,INPUT_DATA!$C:$C,"D"))</f>
        <v/>
      </c>
      <c r="AL82" s="746" t="str">
        <f>IF($C82=0,"",SUMIFS(INPUT_DATA!BJ:BJ,INPUT_DATA!$A:$A,$C82,INPUT_DATA!$C:$C,"D"))</f>
        <v/>
      </c>
      <c r="AM82" s="746" t="str">
        <f>IF($C82=0,"",SUMIFS(INPUT_DATA!BK:BK,INPUT_DATA!$A:$A,$C82,INPUT_DATA!$C:$C,"D"))</f>
        <v/>
      </c>
      <c r="AN82" s="744" t="str">
        <f t="shared" si="17"/>
        <v/>
      </c>
      <c r="AO82" s="749" t="str">
        <f>IF($C82=0,"",SUMIFS(INPUT_DATA!BM:BM,INPUT_DATA!$A:$A,$C82,INPUT_DATA!$C:$C,"D"))</f>
        <v/>
      </c>
      <c r="AP82" s="338" t="str">
        <f t="shared" si="18"/>
        <v/>
      </c>
      <c r="AQ82" s="149"/>
      <c r="AS82" s="338" t="str">
        <f t="shared" si="19"/>
        <v/>
      </c>
      <c r="AU82" s="361" t="str">
        <f>IF($C82=0,"",'03 - Monthly Asset Follow up'!F86+'03 - Monthly Asset Follow up'!G86-'03 - Monthly Asset Follow up'!V86+'03 - Monthly Asset Follow up'!Y86-H82)</f>
        <v/>
      </c>
      <c r="AV82" s="361" t="str">
        <f>IF($C82=0,"",'03 - Monthly Asset Follow up'!BE86+'03 - Monthly Asset Follow up'!BF86-'03 - Monthly Asset Follow up'!BU86+'03 - Monthly Asset Follow up'!BX86-AA82)</f>
        <v/>
      </c>
      <c r="AX82" s="154"/>
    </row>
    <row r="83" spans="2:50">
      <c r="B83" s="730" t="str">
        <f t="shared" si="14"/>
        <v/>
      </c>
      <c r="C83" s="733">
        <f>'03 - Monthly Asset Follow up'!B87</f>
        <v>0</v>
      </c>
      <c r="D83" s="149"/>
      <c r="E83" s="726" t="str">
        <f>IF($C83=0,"",SUMIFS(INPUT_DATA!AV:AV,INPUT_DATA!$A:$A,$C83,INPUT_DATA!$C:$C,"S"))</f>
        <v/>
      </c>
      <c r="F83" s="738" t="str">
        <f>IF($C83=0,"",SUMIFS(INPUT_DATA!AW:AW,INPUT_DATA!$A:$A,$C83,INPUT_DATA!$C:$C,"S"))</f>
        <v/>
      </c>
      <c r="G83" s="738" t="str">
        <f>IF($C83=0,"",SUMIFS(INPUT_DATA!AX:AX,INPUT_DATA!$A:$A,$C83,INPUT_DATA!$C:$C,"S"))</f>
        <v/>
      </c>
      <c r="H83" s="740" t="str">
        <f t="shared" si="10"/>
        <v/>
      </c>
      <c r="I83" s="738" t="str">
        <f>IF($C83=0,"",SUMIFS(INPUT_DATA!AZ:AZ,INPUT_DATA!$A:$A,$C83,INPUT_DATA!$C:$C,"S"))</f>
        <v/>
      </c>
      <c r="J83" s="738" t="str">
        <f>IF($C83=0,"",SUMIFS(INPUT_DATA!BA:BA,INPUT_DATA!$A:$A,$C83,INPUT_DATA!$C:$C,"S"))</f>
        <v/>
      </c>
      <c r="K83" s="738" t="str">
        <f>IF($C83=0,"",SUMIFS(INPUT_DATA!BB:BB,INPUT_DATA!$A:$A,$C83,INPUT_DATA!$C:$C,"S"))</f>
        <v/>
      </c>
      <c r="L83" s="738" t="str">
        <f>IF($C83=0,"",SUMIFS(INPUT_DATA!BC:BC,INPUT_DATA!$A:$A,$C83,INPUT_DATA!$C:$C,"S"))</f>
        <v/>
      </c>
      <c r="M83" s="738" t="str">
        <f>IF($C83=0,"",SUMIFS(INPUT_DATA!BD:BD,INPUT_DATA!$A:$A,$C83,INPUT_DATA!$C:$C,"S"))</f>
        <v/>
      </c>
      <c r="N83" s="738" t="str">
        <f>IF($C83=0,"",SUMIFS(INPUT_DATA!BE:BE,INPUT_DATA!$A:$A,$C83,INPUT_DATA!$C:$C,"S"))</f>
        <v/>
      </c>
      <c r="O83" s="738" t="str">
        <f>IF($C83=0,"",SUMIFS(INPUT_DATA!BF:BF,INPUT_DATA!$A:$A,$C83,INPUT_DATA!$C:$C,"S"))</f>
        <v/>
      </c>
      <c r="P83" s="738" t="str">
        <f>IF($C83=0,"",SUMIFS(INPUT_DATA!BG:BG,INPUT_DATA!$A:$A,$C83,INPUT_DATA!$C:$C,"S"))</f>
        <v/>
      </c>
      <c r="Q83" s="744" t="str">
        <f t="shared" si="15"/>
        <v/>
      </c>
      <c r="R83" s="746" t="str">
        <f>IF($C83=0,"",SUMIFS(INPUT_DATA!BI:BI,INPUT_DATA!$A:$A,$C83,INPUT_DATA!$C:$C,"S"))</f>
        <v/>
      </c>
      <c r="S83" s="746" t="str">
        <f>IF($C83=0,"",SUMIFS(INPUT_DATA!BJ:BJ,INPUT_DATA!$A:$A,$C83,INPUT_DATA!$C:$C,"S"))</f>
        <v/>
      </c>
      <c r="T83" s="744" t="str">
        <f t="shared" si="16"/>
        <v/>
      </c>
      <c r="U83" s="749" t="str">
        <f>IF($C83=0,"",SUMIFS(INPUT_DATA!BM:BM,INPUT_DATA!$A:$A,$C83,INPUT_DATA!$C:$C,"S"))</f>
        <v/>
      </c>
      <c r="V83" s="155" t="str">
        <f t="shared" si="11"/>
        <v/>
      </c>
      <c r="W83" s="149"/>
      <c r="X83" s="726" t="str">
        <f>IF($C83=0,"",SUMIFS(INPUT_DATA!AV:AV,INPUT_DATA!$A:$A,$C83,INPUT_DATA!$C:$C,"D"))</f>
        <v/>
      </c>
      <c r="Y83" s="738" t="str">
        <f>IF($C83=0,"",SUMIFS(INPUT_DATA!AW:AW,INPUT_DATA!$A:$A,$C83,INPUT_DATA!$C:$C,"D"))</f>
        <v/>
      </c>
      <c r="Z83" s="738" t="str">
        <f>IF($C83=0,"",SUMIFS(INPUT_DATA!AX:AX,INPUT_DATA!$A:$A,$C83,INPUT_DATA!$C:$C,"D"))</f>
        <v/>
      </c>
      <c r="AA83" s="739" t="str">
        <f t="shared" si="12"/>
        <v/>
      </c>
      <c r="AB83" s="738" t="str">
        <f>IF($C83=0,"",SUMIFS(INPUT_DATA!AZ:AZ,INPUT_DATA!$A:$A,$C83,INPUT_DATA!$C:$C,"D"))</f>
        <v/>
      </c>
      <c r="AC83" s="738" t="str">
        <f>IF($C83=0,"",SUMIFS(INPUT_DATA!BA:BA,INPUT_DATA!$A:$A,$C83,INPUT_DATA!$C:$C,"D"))</f>
        <v/>
      </c>
      <c r="AD83" s="738" t="str">
        <f>IF($C83=0,"",SUMIFS(INPUT_DATA!BB:BB,INPUT_DATA!$A:$A,$C83,INPUT_DATA!$C:$C,"D"))</f>
        <v/>
      </c>
      <c r="AE83" s="738" t="str">
        <f>IF($C83=0,"",SUMIFS(INPUT_DATA!BC:BC,INPUT_DATA!$A:$A,$C83,INPUT_DATA!$C:$C,"D"))</f>
        <v/>
      </c>
      <c r="AF83" s="738" t="str">
        <f>IF($C83=0,"",SUMIFS(INPUT_DATA!BD:BD,INPUT_DATA!$A:$A,$C83,INPUT_DATA!$C:$C,"D"))</f>
        <v/>
      </c>
      <c r="AG83" s="738" t="str">
        <f>IF($C83=0,"",SUMIFS(INPUT_DATA!BE:BE,INPUT_DATA!$A:$A,$C83,INPUT_DATA!$C:$C,"D"))</f>
        <v/>
      </c>
      <c r="AH83" s="738" t="str">
        <f>IF($C83=0,"",SUMIFS(INPUT_DATA!BF:BF,INPUT_DATA!$A:$A,$C83,INPUT_DATA!$C:$C,"D"))</f>
        <v/>
      </c>
      <c r="AI83" s="738" t="str">
        <f>IF($C83=0,"",SUMIFS(INPUT_DATA!BG:BG,INPUT_DATA!$A:$A,$C83,INPUT_DATA!$C:$C,"D"))</f>
        <v/>
      </c>
      <c r="AJ83" s="299" t="str">
        <f t="shared" si="13"/>
        <v/>
      </c>
      <c r="AK83" s="746" t="str">
        <f>IF($C83=0,"",SUMIFS(INPUT_DATA!BI:BI,INPUT_DATA!$A:$A,$C83,INPUT_DATA!$C:$C,"D"))</f>
        <v/>
      </c>
      <c r="AL83" s="746" t="str">
        <f>IF($C83=0,"",SUMIFS(INPUT_DATA!BJ:BJ,INPUT_DATA!$A:$A,$C83,INPUT_DATA!$C:$C,"D"))</f>
        <v/>
      </c>
      <c r="AM83" s="746" t="str">
        <f>IF($C83=0,"",SUMIFS(INPUT_DATA!BK:BK,INPUT_DATA!$A:$A,$C83,INPUT_DATA!$C:$C,"D"))</f>
        <v/>
      </c>
      <c r="AN83" s="744" t="str">
        <f t="shared" si="17"/>
        <v/>
      </c>
      <c r="AO83" s="749" t="str">
        <f>IF($C83=0,"",SUMIFS(INPUT_DATA!BM:BM,INPUT_DATA!$A:$A,$C83,INPUT_DATA!$C:$C,"D"))</f>
        <v/>
      </c>
      <c r="AP83" s="338" t="str">
        <f t="shared" si="18"/>
        <v/>
      </c>
      <c r="AQ83" s="149"/>
      <c r="AS83" s="338" t="str">
        <f t="shared" si="19"/>
        <v/>
      </c>
      <c r="AU83" s="361" t="str">
        <f>IF($C83=0,"",'03 - Monthly Asset Follow up'!F87+'03 - Monthly Asset Follow up'!G87-'03 - Monthly Asset Follow up'!V87+'03 - Monthly Asset Follow up'!Y87-H83)</f>
        <v/>
      </c>
      <c r="AV83" s="361" t="str">
        <f>IF($C83=0,"",'03 - Monthly Asset Follow up'!BE87+'03 - Monthly Asset Follow up'!BF87-'03 - Monthly Asset Follow up'!BU87+'03 - Monthly Asset Follow up'!BX87-AA83)</f>
        <v/>
      </c>
      <c r="AX83" s="154"/>
    </row>
    <row r="84" spans="2:50">
      <c r="B84" s="730" t="str">
        <f t="shared" si="14"/>
        <v/>
      </c>
      <c r="C84" s="733">
        <f>'03 - Monthly Asset Follow up'!B88</f>
        <v>0</v>
      </c>
      <c r="D84" s="149"/>
      <c r="E84" s="726" t="str">
        <f>IF($C84=0,"",SUMIFS(INPUT_DATA!AV:AV,INPUT_DATA!$A:$A,$C84,INPUT_DATA!$C:$C,"S"))</f>
        <v/>
      </c>
      <c r="F84" s="738" t="str">
        <f>IF($C84=0,"",SUMIFS(INPUT_DATA!AW:AW,INPUT_DATA!$A:$A,$C84,INPUT_DATA!$C:$C,"S"))</f>
        <v/>
      </c>
      <c r="G84" s="738" t="str">
        <f>IF($C84=0,"",SUMIFS(INPUT_DATA!AX:AX,INPUT_DATA!$A:$A,$C84,INPUT_DATA!$C:$C,"S"))</f>
        <v/>
      </c>
      <c r="H84" s="740" t="str">
        <f t="shared" si="10"/>
        <v/>
      </c>
      <c r="I84" s="738" t="str">
        <f>IF($C84=0,"",SUMIFS(INPUT_DATA!AZ:AZ,INPUT_DATA!$A:$A,$C84,INPUT_DATA!$C:$C,"S"))</f>
        <v/>
      </c>
      <c r="J84" s="738" t="str">
        <f>IF($C84=0,"",SUMIFS(INPUT_DATA!BA:BA,INPUT_DATA!$A:$A,$C84,INPUT_DATA!$C:$C,"S"))</f>
        <v/>
      </c>
      <c r="K84" s="738" t="str">
        <f>IF($C84=0,"",SUMIFS(INPUT_DATA!BB:BB,INPUT_DATA!$A:$A,$C84,INPUT_DATA!$C:$C,"S"))</f>
        <v/>
      </c>
      <c r="L84" s="738" t="str">
        <f>IF($C84=0,"",SUMIFS(INPUT_DATA!BC:BC,INPUT_DATA!$A:$A,$C84,INPUT_DATA!$C:$C,"S"))</f>
        <v/>
      </c>
      <c r="M84" s="738" t="str">
        <f>IF($C84=0,"",SUMIFS(INPUT_DATA!BD:BD,INPUT_DATA!$A:$A,$C84,INPUT_DATA!$C:$C,"S"))</f>
        <v/>
      </c>
      <c r="N84" s="738" t="str">
        <f>IF($C84=0,"",SUMIFS(INPUT_DATA!BE:BE,INPUT_DATA!$A:$A,$C84,INPUT_DATA!$C:$C,"S"))</f>
        <v/>
      </c>
      <c r="O84" s="738" t="str">
        <f>IF($C84=0,"",SUMIFS(INPUT_DATA!BF:BF,INPUT_DATA!$A:$A,$C84,INPUT_DATA!$C:$C,"S"))</f>
        <v/>
      </c>
      <c r="P84" s="738" t="str">
        <f>IF($C84=0,"",SUMIFS(INPUT_DATA!BG:BG,INPUT_DATA!$A:$A,$C84,INPUT_DATA!$C:$C,"S"))</f>
        <v/>
      </c>
      <c r="Q84" s="744" t="str">
        <f t="shared" si="15"/>
        <v/>
      </c>
      <c r="R84" s="746" t="str">
        <f>IF($C84=0,"",SUMIFS(INPUT_DATA!BI:BI,INPUT_DATA!$A:$A,$C84,INPUT_DATA!$C:$C,"S"))</f>
        <v/>
      </c>
      <c r="S84" s="746" t="str">
        <f>IF($C84=0,"",SUMIFS(INPUT_DATA!BJ:BJ,INPUT_DATA!$A:$A,$C84,INPUT_DATA!$C:$C,"S"))</f>
        <v/>
      </c>
      <c r="T84" s="744" t="str">
        <f t="shared" si="16"/>
        <v/>
      </c>
      <c r="U84" s="749" t="str">
        <f>IF($C84=0,"",SUMIFS(INPUT_DATA!BM:BM,INPUT_DATA!$A:$A,$C84,INPUT_DATA!$C:$C,"S"))</f>
        <v/>
      </c>
      <c r="V84" s="155" t="str">
        <f t="shared" si="11"/>
        <v/>
      </c>
      <c r="W84" s="149"/>
      <c r="X84" s="726" t="str">
        <f>IF($C84=0,"",SUMIFS(INPUT_DATA!AV:AV,INPUT_DATA!$A:$A,$C84,INPUT_DATA!$C:$C,"D"))</f>
        <v/>
      </c>
      <c r="Y84" s="738" t="str">
        <f>IF($C84=0,"",SUMIFS(INPUT_DATA!AW:AW,INPUT_DATA!$A:$A,$C84,INPUT_DATA!$C:$C,"D"))</f>
        <v/>
      </c>
      <c r="Z84" s="738" t="str">
        <f>IF($C84=0,"",SUMIFS(INPUT_DATA!AX:AX,INPUT_DATA!$A:$A,$C84,INPUT_DATA!$C:$C,"D"))</f>
        <v/>
      </c>
      <c r="AA84" s="739" t="str">
        <f t="shared" si="12"/>
        <v/>
      </c>
      <c r="AB84" s="738" t="str">
        <f>IF($C84=0,"",SUMIFS(INPUT_DATA!AZ:AZ,INPUT_DATA!$A:$A,$C84,INPUT_DATA!$C:$C,"D"))</f>
        <v/>
      </c>
      <c r="AC84" s="738" t="str">
        <f>IF($C84=0,"",SUMIFS(INPUT_DATA!BA:BA,INPUT_DATA!$A:$A,$C84,INPUT_DATA!$C:$C,"D"))</f>
        <v/>
      </c>
      <c r="AD84" s="738" t="str">
        <f>IF($C84=0,"",SUMIFS(INPUT_DATA!BB:BB,INPUT_DATA!$A:$A,$C84,INPUT_DATA!$C:$C,"D"))</f>
        <v/>
      </c>
      <c r="AE84" s="738" t="str">
        <f>IF($C84=0,"",SUMIFS(INPUT_DATA!BC:BC,INPUT_DATA!$A:$A,$C84,INPUT_DATA!$C:$C,"D"))</f>
        <v/>
      </c>
      <c r="AF84" s="738" t="str">
        <f>IF($C84=0,"",SUMIFS(INPUT_DATA!BD:BD,INPUT_DATA!$A:$A,$C84,INPUT_DATA!$C:$C,"D"))</f>
        <v/>
      </c>
      <c r="AG84" s="738" t="str">
        <f>IF($C84=0,"",SUMIFS(INPUT_DATA!BE:BE,INPUT_DATA!$A:$A,$C84,INPUT_DATA!$C:$C,"D"))</f>
        <v/>
      </c>
      <c r="AH84" s="738" t="str">
        <f>IF($C84=0,"",SUMIFS(INPUT_DATA!BF:BF,INPUT_DATA!$A:$A,$C84,INPUT_DATA!$C:$C,"D"))</f>
        <v/>
      </c>
      <c r="AI84" s="738" t="str">
        <f>IF($C84=0,"",SUMIFS(INPUT_DATA!BG:BG,INPUT_DATA!$A:$A,$C84,INPUT_DATA!$C:$C,"D"))</f>
        <v/>
      </c>
      <c r="AJ84" s="299" t="str">
        <f t="shared" si="13"/>
        <v/>
      </c>
      <c r="AK84" s="746" t="str">
        <f>IF($C84=0,"",SUMIFS(INPUT_DATA!BI:BI,INPUT_DATA!$A:$A,$C84,INPUT_DATA!$C:$C,"D"))</f>
        <v/>
      </c>
      <c r="AL84" s="746" t="str">
        <f>IF($C84=0,"",SUMIFS(INPUT_DATA!BJ:BJ,INPUT_DATA!$A:$A,$C84,INPUT_DATA!$C:$C,"D"))</f>
        <v/>
      </c>
      <c r="AM84" s="746" t="str">
        <f>IF($C84=0,"",SUMIFS(INPUT_DATA!BK:BK,INPUT_DATA!$A:$A,$C84,INPUT_DATA!$C:$C,"D"))</f>
        <v/>
      </c>
      <c r="AN84" s="744" t="str">
        <f t="shared" si="17"/>
        <v/>
      </c>
      <c r="AO84" s="749" t="str">
        <f>IF($C84=0,"",SUMIFS(INPUT_DATA!BM:BM,INPUT_DATA!$A:$A,$C84,INPUT_DATA!$C:$C,"D"))</f>
        <v/>
      </c>
      <c r="AP84" s="338" t="str">
        <f t="shared" si="18"/>
        <v/>
      </c>
      <c r="AQ84" s="149"/>
      <c r="AS84" s="338" t="str">
        <f t="shared" si="19"/>
        <v/>
      </c>
      <c r="AU84" s="361" t="str">
        <f>IF($C84=0,"",'03 - Monthly Asset Follow up'!F88+'03 - Monthly Asset Follow up'!G88-'03 - Monthly Asset Follow up'!V88+'03 - Monthly Asset Follow up'!Y88-H84)</f>
        <v/>
      </c>
      <c r="AV84" s="361" t="str">
        <f>IF($C84=0,"",'03 - Monthly Asset Follow up'!BE88+'03 - Monthly Asset Follow up'!BF88-'03 - Monthly Asset Follow up'!BU88+'03 - Monthly Asset Follow up'!BX88-AA84)</f>
        <v/>
      </c>
      <c r="AX84" s="154"/>
    </row>
    <row r="85" spans="2:50">
      <c r="B85" s="730" t="str">
        <f t="shared" si="14"/>
        <v/>
      </c>
      <c r="C85" s="733">
        <f>'03 - Monthly Asset Follow up'!B89</f>
        <v>0</v>
      </c>
      <c r="D85" s="149"/>
      <c r="E85" s="726" t="str">
        <f>IF($C85=0,"",SUMIFS(INPUT_DATA!AV:AV,INPUT_DATA!$A:$A,$C85,INPUT_DATA!$C:$C,"S"))</f>
        <v/>
      </c>
      <c r="F85" s="738" t="str">
        <f>IF($C85=0,"",SUMIFS(INPUT_DATA!AW:AW,INPUT_DATA!$A:$A,$C85,INPUT_DATA!$C:$C,"S"))</f>
        <v/>
      </c>
      <c r="G85" s="738" t="str">
        <f>IF($C85=0,"",SUMIFS(INPUT_DATA!AX:AX,INPUT_DATA!$A:$A,$C85,INPUT_DATA!$C:$C,"S"))</f>
        <v/>
      </c>
      <c r="H85" s="740" t="str">
        <f t="shared" si="10"/>
        <v/>
      </c>
      <c r="I85" s="738" t="str">
        <f>IF($C85=0,"",SUMIFS(INPUT_DATA!AZ:AZ,INPUT_DATA!$A:$A,$C85,INPUT_DATA!$C:$C,"S"))</f>
        <v/>
      </c>
      <c r="J85" s="738" t="str">
        <f>IF($C85=0,"",SUMIFS(INPUT_DATA!BA:BA,INPUT_DATA!$A:$A,$C85,INPUT_DATA!$C:$C,"S"))</f>
        <v/>
      </c>
      <c r="K85" s="738" t="str">
        <f>IF($C85=0,"",SUMIFS(INPUT_DATA!BB:BB,INPUT_DATA!$A:$A,$C85,INPUT_DATA!$C:$C,"S"))</f>
        <v/>
      </c>
      <c r="L85" s="738" t="str">
        <f>IF($C85=0,"",SUMIFS(INPUT_DATA!BC:BC,INPUT_DATA!$A:$A,$C85,INPUT_DATA!$C:$C,"S"))</f>
        <v/>
      </c>
      <c r="M85" s="738" t="str">
        <f>IF($C85=0,"",SUMIFS(INPUT_DATA!BD:BD,INPUT_DATA!$A:$A,$C85,INPUT_DATA!$C:$C,"S"))</f>
        <v/>
      </c>
      <c r="N85" s="738" t="str">
        <f>IF($C85=0,"",SUMIFS(INPUT_DATA!BE:BE,INPUT_DATA!$A:$A,$C85,INPUT_DATA!$C:$C,"S"))</f>
        <v/>
      </c>
      <c r="O85" s="738" t="str">
        <f>IF($C85=0,"",SUMIFS(INPUT_DATA!BF:BF,INPUT_DATA!$A:$A,$C85,INPUT_DATA!$C:$C,"S"))</f>
        <v/>
      </c>
      <c r="P85" s="738" t="str">
        <f>IF($C85=0,"",SUMIFS(INPUT_DATA!BG:BG,INPUT_DATA!$A:$A,$C85,INPUT_DATA!$C:$C,"S"))</f>
        <v/>
      </c>
      <c r="Q85" s="744" t="str">
        <f t="shared" si="15"/>
        <v/>
      </c>
      <c r="R85" s="746" t="str">
        <f>IF($C85=0,"",SUMIFS(INPUT_DATA!BI:BI,INPUT_DATA!$A:$A,$C85,INPUT_DATA!$C:$C,"S"))</f>
        <v/>
      </c>
      <c r="S85" s="746" t="str">
        <f>IF($C85=0,"",SUMIFS(INPUT_DATA!BJ:BJ,INPUT_DATA!$A:$A,$C85,INPUT_DATA!$C:$C,"S"))</f>
        <v/>
      </c>
      <c r="T85" s="744" t="str">
        <f t="shared" si="16"/>
        <v/>
      </c>
      <c r="U85" s="749" t="str">
        <f>IF($C85=0,"",SUMIFS(INPUT_DATA!BM:BM,INPUT_DATA!$A:$A,$C85,INPUT_DATA!$C:$C,"S"))</f>
        <v/>
      </c>
      <c r="V85" s="155" t="str">
        <f t="shared" si="11"/>
        <v/>
      </c>
      <c r="W85" s="149"/>
      <c r="X85" s="726" t="str">
        <f>IF($C85=0,"",SUMIFS(INPUT_DATA!AV:AV,INPUT_DATA!$A:$A,$C85,INPUT_DATA!$C:$C,"D"))</f>
        <v/>
      </c>
      <c r="Y85" s="738" t="str">
        <f>IF($C85=0,"",SUMIFS(INPUT_DATA!AW:AW,INPUT_DATA!$A:$A,$C85,INPUT_DATA!$C:$C,"D"))</f>
        <v/>
      </c>
      <c r="Z85" s="738" t="str">
        <f>IF($C85=0,"",SUMIFS(INPUT_DATA!AX:AX,INPUT_DATA!$A:$A,$C85,INPUT_DATA!$C:$C,"D"))</f>
        <v/>
      </c>
      <c r="AA85" s="739" t="str">
        <f t="shared" si="12"/>
        <v/>
      </c>
      <c r="AB85" s="738" t="str">
        <f>IF($C85=0,"",SUMIFS(INPUT_DATA!AZ:AZ,INPUT_DATA!$A:$A,$C85,INPUT_DATA!$C:$C,"D"))</f>
        <v/>
      </c>
      <c r="AC85" s="738" t="str">
        <f>IF($C85=0,"",SUMIFS(INPUT_DATA!BA:BA,INPUT_DATA!$A:$A,$C85,INPUT_DATA!$C:$C,"D"))</f>
        <v/>
      </c>
      <c r="AD85" s="738" t="str">
        <f>IF($C85=0,"",SUMIFS(INPUT_DATA!BB:BB,INPUT_DATA!$A:$A,$C85,INPUT_DATA!$C:$C,"D"))</f>
        <v/>
      </c>
      <c r="AE85" s="738" t="str">
        <f>IF($C85=0,"",SUMIFS(INPUT_DATA!BC:BC,INPUT_DATA!$A:$A,$C85,INPUT_DATA!$C:$C,"D"))</f>
        <v/>
      </c>
      <c r="AF85" s="738" t="str">
        <f>IF($C85=0,"",SUMIFS(INPUT_DATA!BD:BD,INPUT_DATA!$A:$A,$C85,INPUT_DATA!$C:$C,"D"))</f>
        <v/>
      </c>
      <c r="AG85" s="738" t="str">
        <f>IF($C85=0,"",SUMIFS(INPUT_DATA!BE:BE,INPUT_DATA!$A:$A,$C85,INPUT_DATA!$C:$C,"D"))</f>
        <v/>
      </c>
      <c r="AH85" s="738" t="str">
        <f>IF($C85=0,"",SUMIFS(INPUT_DATA!BF:BF,INPUT_DATA!$A:$A,$C85,INPUT_DATA!$C:$C,"D"))</f>
        <v/>
      </c>
      <c r="AI85" s="738" t="str">
        <f>IF($C85=0,"",SUMIFS(INPUT_DATA!BG:BG,INPUT_DATA!$A:$A,$C85,INPUT_DATA!$C:$C,"D"))</f>
        <v/>
      </c>
      <c r="AJ85" s="299" t="str">
        <f t="shared" si="13"/>
        <v/>
      </c>
      <c r="AK85" s="746" t="str">
        <f>IF($C85=0,"",SUMIFS(INPUT_DATA!BI:BI,INPUT_DATA!$A:$A,$C85,INPUT_DATA!$C:$C,"D"))</f>
        <v/>
      </c>
      <c r="AL85" s="746" t="str">
        <f>IF($C85=0,"",SUMIFS(INPUT_DATA!BJ:BJ,INPUT_DATA!$A:$A,$C85,INPUT_DATA!$C:$C,"D"))</f>
        <v/>
      </c>
      <c r="AM85" s="746" t="str">
        <f>IF($C85=0,"",SUMIFS(INPUT_DATA!BK:BK,INPUT_DATA!$A:$A,$C85,INPUT_DATA!$C:$C,"D"))</f>
        <v/>
      </c>
      <c r="AN85" s="744" t="str">
        <f t="shared" si="17"/>
        <v/>
      </c>
      <c r="AO85" s="749" t="str">
        <f>IF($C85=0,"",SUMIFS(INPUT_DATA!BM:BM,INPUT_DATA!$A:$A,$C85,INPUT_DATA!$C:$C,"D"))</f>
        <v/>
      </c>
      <c r="AP85" s="338" t="str">
        <f t="shared" si="18"/>
        <v/>
      </c>
      <c r="AQ85" s="149"/>
      <c r="AS85" s="338" t="str">
        <f t="shared" si="19"/>
        <v/>
      </c>
      <c r="AU85" s="361" t="str">
        <f>IF($C85=0,"",'03 - Monthly Asset Follow up'!F89+'03 - Monthly Asset Follow up'!G89-'03 - Monthly Asset Follow up'!V89+'03 - Monthly Asset Follow up'!Y89-H85)</f>
        <v/>
      </c>
      <c r="AV85" s="361" t="str">
        <f>IF($C85=0,"",'03 - Monthly Asset Follow up'!BE89+'03 - Monthly Asset Follow up'!BF89-'03 - Monthly Asset Follow up'!BU89+'03 - Monthly Asset Follow up'!BX89-AA85)</f>
        <v/>
      </c>
      <c r="AX85" s="154"/>
    </row>
    <row r="86" spans="2:50">
      <c r="B86" s="730" t="str">
        <f t="shared" si="14"/>
        <v/>
      </c>
      <c r="C86" s="733">
        <f>'03 - Monthly Asset Follow up'!B90</f>
        <v>0</v>
      </c>
      <c r="D86" s="149"/>
      <c r="E86" s="726" t="str">
        <f>IF($C86=0,"",SUMIFS(INPUT_DATA!AV:AV,INPUT_DATA!$A:$A,$C86,INPUT_DATA!$C:$C,"S"))</f>
        <v/>
      </c>
      <c r="F86" s="738" t="str">
        <f>IF($C86=0,"",SUMIFS(INPUT_DATA!AW:AW,INPUT_DATA!$A:$A,$C86,INPUT_DATA!$C:$C,"S"))</f>
        <v/>
      </c>
      <c r="G86" s="738" t="str">
        <f>IF($C86=0,"",SUMIFS(INPUT_DATA!AX:AX,INPUT_DATA!$A:$A,$C86,INPUT_DATA!$C:$C,"S"))</f>
        <v/>
      </c>
      <c r="H86" s="740" t="str">
        <f t="shared" si="10"/>
        <v/>
      </c>
      <c r="I86" s="738" t="str">
        <f>IF($C86=0,"",SUMIFS(INPUT_DATA!AZ:AZ,INPUT_DATA!$A:$A,$C86,INPUT_DATA!$C:$C,"S"))</f>
        <v/>
      </c>
      <c r="J86" s="738" t="str">
        <f>IF($C86=0,"",SUMIFS(INPUT_DATA!BA:BA,INPUT_DATA!$A:$A,$C86,INPUT_DATA!$C:$C,"S"))</f>
        <v/>
      </c>
      <c r="K86" s="738" t="str">
        <f>IF($C86=0,"",SUMIFS(INPUT_DATA!BB:BB,INPUT_DATA!$A:$A,$C86,INPUT_DATA!$C:$C,"S"))</f>
        <v/>
      </c>
      <c r="L86" s="738" t="str">
        <f>IF($C86=0,"",SUMIFS(INPUT_DATA!BC:BC,INPUT_DATA!$A:$A,$C86,INPUT_DATA!$C:$C,"S"))</f>
        <v/>
      </c>
      <c r="M86" s="738" t="str">
        <f>IF($C86=0,"",SUMIFS(INPUT_DATA!BD:BD,INPUT_DATA!$A:$A,$C86,INPUT_DATA!$C:$C,"S"))</f>
        <v/>
      </c>
      <c r="N86" s="738" t="str">
        <f>IF($C86=0,"",SUMIFS(INPUT_DATA!BE:BE,INPUT_DATA!$A:$A,$C86,INPUT_DATA!$C:$C,"S"))</f>
        <v/>
      </c>
      <c r="O86" s="738" t="str">
        <f>IF($C86=0,"",SUMIFS(INPUT_DATA!BF:BF,INPUT_DATA!$A:$A,$C86,INPUT_DATA!$C:$C,"S"))</f>
        <v/>
      </c>
      <c r="P86" s="738" t="str">
        <f>IF($C86=0,"",SUMIFS(INPUT_DATA!BG:BG,INPUT_DATA!$A:$A,$C86,INPUT_DATA!$C:$C,"S"))</f>
        <v/>
      </c>
      <c r="Q86" s="744" t="str">
        <f t="shared" si="15"/>
        <v/>
      </c>
      <c r="R86" s="746" t="str">
        <f>IF($C86=0,"",SUMIFS(INPUT_DATA!BI:BI,INPUT_DATA!$A:$A,$C86,INPUT_DATA!$C:$C,"S"))</f>
        <v/>
      </c>
      <c r="S86" s="746" t="str">
        <f>IF($C86=0,"",SUMIFS(INPUT_DATA!BJ:BJ,INPUT_DATA!$A:$A,$C86,INPUT_DATA!$C:$C,"S"))</f>
        <v/>
      </c>
      <c r="T86" s="744" t="str">
        <f t="shared" si="16"/>
        <v/>
      </c>
      <c r="U86" s="749" t="str">
        <f>IF($C86=0,"",SUMIFS(INPUT_DATA!BM:BM,INPUT_DATA!$A:$A,$C86,INPUT_DATA!$C:$C,"S"))</f>
        <v/>
      </c>
      <c r="V86" s="155" t="str">
        <f t="shared" si="11"/>
        <v/>
      </c>
      <c r="W86" s="149"/>
      <c r="X86" s="726" t="str">
        <f>IF($C86=0,"",SUMIFS(INPUT_DATA!AV:AV,INPUT_DATA!$A:$A,$C86,INPUT_DATA!$C:$C,"D"))</f>
        <v/>
      </c>
      <c r="Y86" s="738" t="str">
        <f>IF($C86=0,"",SUMIFS(INPUT_DATA!AW:AW,INPUT_DATA!$A:$A,$C86,INPUT_DATA!$C:$C,"D"))</f>
        <v/>
      </c>
      <c r="Z86" s="738" t="str">
        <f>IF($C86=0,"",SUMIFS(INPUT_DATA!AX:AX,INPUT_DATA!$A:$A,$C86,INPUT_DATA!$C:$C,"D"))</f>
        <v/>
      </c>
      <c r="AA86" s="739" t="str">
        <f t="shared" si="12"/>
        <v/>
      </c>
      <c r="AB86" s="738" t="str">
        <f>IF($C86=0,"",SUMIFS(INPUT_DATA!AZ:AZ,INPUT_DATA!$A:$A,$C86,INPUT_DATA!$C:$C,"D"))</f>
        <v/>
      </c>
      <c r="AC86" s="738" t="str">
        <f>IF($C86=0,"",SUMIFS(INPUT_DATA!BA:BA,INPUT_DATA!$A:$A,$C86,INPUT_DATA!$C:$C,"D"))</f>
        <v/>
      </c>
      <c r="AD86" s="738" t="str">
        <f>IF($C86=0,"",SUMIFS(INPUT_DATA!BB:BB,INPUT_DATA!$A:$A,$C86,INPUT_DATA!$C:$C,"D"))</f>
        <v/>
      </c>
      <c r="AE86" s="738" t="str">
        <f>IF($C86=0,"",SUMIFS(INPUT_DATA!BC:BC,INPUT_DATA!$A:$A,$C86,INPUT_DATA!$C:$C,"D"))</f>
        <v/>
      </c>
      <c r="AF86" s="738" t="str">
        <f>IF($C86=0,"",SUMIFS(INPUT_DATA!BD:BD,INPUT_DATA!$A:$A,$C86,INPUT_DATA!$C:$C,"D"))</f>
        <v/>
      </c>
      <c r="AG86" s="738" t="str">
        <f>IF($C86=0,"",SUMIFS(INPUT_DATA!BE:BE,INPUT_DATA!$A:$A,$C86,INPUT_DATA!$C:$C,"D"))</f>
        <v/>
      </c>
      <c r="AH86" s="738" t="str">
        <f>IF($C86=0,"",SUMIFS(INPUT_DATA!BF:BF,INPUT_DATA!$A:$A,$C86,INPUT_DATA!$C:$C,"D"))</f>
        <v/>
      </c>
      <c r="AI86" s="738" t="str">
        <f>IF($C86=0,"",SUMIFS(INPUT_DATA!BG:BG,INPUT_DATA!$A:$A,$C86,INPUT_DATA!$C:$C,"D"))</f>
        <v/>
      </c>
      <c r="AJ86" s="299" t="str">
        <f t="shared" si="13"/>
        <v/>
      </c>
      <c r="AK86" s="746" t="str">
        <f>IF($C86=0,"",SUMIFS(INPUT_DATA!BI:BI,INPUT_DATA!$A:$A,$C86,INPUT_DATA!$C:$C,"D"))</f>
        <v/>
      </c>
      <c r="AL86" s="746" t="str">
        <f>IF($C86=0,"",SUMIFS(INPUT_DATA!BJ:BJ,INPUT_DATA!$A:$A,$C86,INPUT_DATA!$C:$C,"D"))</f>
        <v/>
      </c>
      <c r="AM86" s="746" t="str">
        <f>IF($C86=0,"",SUMIFS(INPUT_DATA!BK:BK,INPUT_DATA!$A:$A,$C86,INPUT_DATA!$C:$C,"D"))</f>
        <v/>
      </c>
      <c r="AN86" s="744" t="str">
        <f t="shared" si="17"/>
        <v/>
      </c>
      <c r="AO86" s="749" t="str">
        <f>IF($C86=0,"",SUMIFS(INPUT_DATA!BM:BM,INPUT_DATA!$A:$A,$C86,INPUT_DATA!$C:$C,"D"))</f>
        <v/>
      </c>
      <c r="AP86" s="338" t="str">
        <f t="shared" si="18"/>
        <v/>
      </c>
      <c r="AQ86" s="149"/>
      <c r="AS86" s="338" t="str">
        <f t="shared" si="19"/>
        <v/>
      </c>
      <c r="AU86" s="361" t="str">
        <f>IF($C86=0,"",'03 - Monthly Asset Follow up'!F90+'03 - Monthly Asset Follow up'!G90-'03 - Monthly Asset Follow up'!V90+'03 - Monthly Asset Follow up'!Y90-H86)</f>
        <v/>
      </c>
      <c r="AV86" s="361" t="str">
        <f>IF($C86=0,"",'03 - Monthly Asset Follow up'!BE90+'03 - Monthly Asset Follow up'!BF90-'03 - Monthly Asset Follow up'!BU90+'03 - Monthly Asset Follow up'!BX90-AA86)</f>
        <v/>
      </c>
      <c r="AX86" s="154"/>
    </row>
    <row r="87" spans="2:50">
      <c r="B87" s="730" t="str">
        <f t="shared" si="14"/>
        <v/>
      </c>
      <c r="C87" s="733">
        <f>'03 - Monthly Asset Follow up'!B91</f>
        <v>0</v>
      </c>
      <c r="D87" s="149"/>
      <c r="E87" s="726" t="str">
        <f>IF($C87=0,"",SUMIFS(INPUT_DATA!AV:AV,INPUT_DATA!$A:$A,$C87,INPUT_DATA!$C:$C,"S"))</f>
        <v/>
      </c>
      <c r="F87" s="738" t="str">
        <f>IF($C87=0,"",SUMIFS(INPUT_DATA!AW:AW,INPUT_DATA!$A:$A,$C87,INPUT_DATA!$C:$C,"S"))</f>
        <v/>
      </c>
      <c r="G87" s="738" t="str">
        <f>IF($C87=0,"",SUMIFS(INPUT_DATA!AX:AX,INPUT_DATA!$A:$A,$C87,INPUT_DATA!$C:$C,"S"))</f>
        <v/>
      </c>
      <c r="H87" s="740" t="str">
        <f t="shared" si="10"/>
        <v/>
      </c>
      <c r="I87" s="738" t="str">
        <f>IF($C87=0,"",SUMIFS(INPUT_DATA!AZ:AZ,INPUT_DATA!$A:$A,$C87,INPUT_DATA!$C:$C,"S"))</f>
        <v/>
      </c>
      <c r="J87" s="738" t="str">
        <f>IF($C87=0,"",SUMIFS(INPUT_DATA!BA:BA,INPUT_DATA!$A:$A,$C87,INPUT_DATA!$C:$C,"S"))</f>
        <v/>
      </c>
      <c r="K87" s="738" t="str">
        <f>IF($C87=0,"",SUMIFS(INPUT_DATA!BB:BB,INPUT_DATA!$A:$A,$C87,INPUT_DATA!$C:$C,"S"))</f>
        <v/>
      </c>
      <c r="L87" s="738" t="str">
        <f>IF($C87=0,"",SUMIFS(INPUT_DATA!BC:BC,INPUT_DATA!$A:$A,$C87,INPUT_DATA!$C:$C,"S"))</f>
        <v/>
      </c>
      <c r="M87" s="738" t="str">
        <f>IF($C87=0,"",SUMIFS(INPUT_DATA!BD:BD,INPUT_DATA!$A:$A,$C87,INPUT_DATA!$C:$C,"S"))</f>
        <v/>
      </c>
      <c r="N87" s="738" t="str">
        <f>IF($C87=0,"",SUMIFS(INPUT_DATA!BE:BE,INPUT_DATA!$A:$A,$C87,INPUT_DATA!$C:$C,"S"))</f>
        <v/>
      </c>
      <c r="O87" s="738" t="str">
        <f>IF($C87=0,"",SUMIFS(INPUT_DATA!BF:BF,INPUT_DATA!$A:$A,$C87,INPUT_DATA!$C:$C,"S"))</f>
        <v/>
      </c>
      <c r="P87" s="738" t="str">
        <f>IF($C87=0,"",SUMIFS(INPUT_DATA!BG:BG,INPUT_DATA!$A:$A,$C87,INPUT_DATA!$C:$C,"S"))</f>
        <v/>
      </c>
      <c r="Q87" s="744" t="str">
        <f t="shared" si="15"/>
        <v/>
      </c>
      <c r="R87" s="746" t="str">
        <f>IF($C87=0,"",SUMIFS(INPUT_DATA!BI:BI,INPUT_DATA!$A:$A,$C87,INPUT_DATA!$C:$C,"S"))</f>
        <v/>
      </c>
      <c r="S87" s="746" t="str">
        <f>IF($C87=0,"",SUMIFS(INPUT_DATA!BJ:BJ,INPUT_DATA!$A:$A,$C87,INPUT_DATA!$C:$C,"S"))</f>
        <v/>
      </c>
      <c r="T87" s="744" t="str">
        <f t="shared" si="16"/>
        <v/>
      </c>
      <c r="U87" s="749" t="str">
        <f>IF($C87=0,"",SUMIFS(INPUT_DATA!BM:BM,INPUT_DATA!$A:$A,$C87,INPUT_DATA!$C:$C,"S"))</f>
        <v/>
      </c>
      <c r="V87" s="155" t="str">
        <f t="shared" si="11"/>
        <v/>
      </c>
      <c r="W87" s="149"/>
      <c r="X87" s="726" t="str">
        <f>IF($C87=0,"",SUMIFS(INPUT_DATA!AV:AV,INPUT_DATA!$A:$A,$C87,INPUT_DATA!$C:$C,"D"))</f>
        <v/>
      </c>
      <c r="Y87" s="738" t="str">
        <f>IF($C87=0,"",SUMIFS(INPUT_DATA!AW:AW,INPUT_DATA!$A:$A,$C87,INPUT_DATA!$C:$C,"D"))</f>
        <v/>
      </c>
      <c r="Z87" s="738" t="str">
        <f>IF($C87=0,"",SUMIFS(INPUT_DATA!AX:AX,INPUT_DATA!$A:$A,$C87,INPUT_DATA!$C:$C,"D"))</f>
        <v/>
      </c>
      <c r="AA87" s="739" t="str">
        <f t="shared" si="12"/>
        <v/>
      </c>
      <c r="AB87" s="738" t="str">
        <f>IF($C87=0,"",SUMIFS(INPUT_DATA!AZ:AZ,INPUT_DATA!$A:$A,$C87,INPUT_DATA!$C:$C,"D"))</f>
        <v/>
      </c>
      <c r="AC87" s="738" t="str">
        <f>IF($C87=0,"",SUMIFS(INPUT_DATA!BA:BA,INPUT_DATA!$A:$A,$C87,INPUT_DATA!$C:$C,"D"))</f>
        <v/>
      </c>
      <c r="AD87" s="738" t="str">
        <f>IF($C87=0,"",SUMIFS(INPUT_DATA!BB:BB,INPUT_DATA!$A:$A,$C87,INPUT_DATA!$C:$C,"D"))</f>
        <v/>
      </c>
      <c r="AE87" s="738" t="str">
        <f>IF($C87=0,"",SUMIFS(INPUT_DATA!BC:BC,INPUT_DATA!$A:$A,$C87,INPUT_DATA!$C:$C,"D"))</f>
        <v/>
      </c>
      <c r="AF87" s="738" t="str">
        <f>IF($C87=0,"",SUMIFS(INPUT_DATA!BD:BD,INPUT_DATA!$A:$A,$C87,INPUT_DATA!$C:$C,"D"))</f>
        <v/>
      </c>
      <c r="AG87" s="738" t="str">
        <f>IF($C87=0,"",SUMIFS(INPUT_DATA!BE:BE,INPUT_DATA!$A:$A,$C87,INPUT_DATA!$C:$C,"D"))</f>
        <v/>
      </c>
      <c r="AH87" s="738" t="str">
        <f>IF($C87=0,"",SUMIFS(INPUT_DATA!BF:BF,INPUT_DATA!$A:$A,$C87,INPUT_DATA!$C:$C,"D"))</f>
        <v/>
      </c>
      <c r="AI87" s="738" t="str">
        <f>IF($C87=0,"",SUMIFS(INPUT_DATA!BG:BG,INPUT_DATA!$A:$A,$C87,INPUT_DATA!$C:$C,"D"))</f>
        <v/>
      </c>
      <c r="AJ87" s="299" t="str">
        <f t="shared" si="13"/>
        <v/>
      </c>
      <c r="AK87" s="746" t="str">
        <f>IF($C87=0,"",SUMIFS(INPUT_DATA!BI:BI,INPUT_DATA!$A:$A,$C87,INPUT_DATA!$C:$C,"D"))</f>
        <v/>
      </c>
      <c r="AL87" s="746" t="str">
        <f>IF($C87=0,"",SUMIFS(INPUT_DATA!BJ:BJ,INPUT_DATA!$A:$A,$C87,INPUT_DATA!$C:$C,"D"))</f>
        <v/>
      </c>
      <c r="AM87" s="746" t="str">
        <f>IF($C87=0,"",SUMIFS(INPUT_DATA!BK:BK,INPUT_DATA!$A:$A,$C87,INPUT_DATA!$C:$C,"D"))</f>
        <v/>
      </c>
      <c r="AN87" s="744" t="str">
        <f t="shared" si="17"/>
        <v/>
      </c>
      <c r="AO87" s="749" t="str">
        <f>IF($C87=0,"",SUMIFS(INPUT_DATA!BM:BM,INPUT_DATA!$A:$A,$C87,INPUT_DATA!$C:$C,"D"))</f>
        <v/>
      </c>
      <c r="AP87" s="338" t="str">
        <f t="shared" si="18"/>
        <v/>
      </c>
      <c r="AQ87" s="149"/>
      <c r="AS87" s="338" t="str">
        <f t="shared" si="19"/>
        <v/>
      </c>
      <c r="AU87" s="361" t="str">
        <f>IF($C87=0,"",'03 - Monthly Asset Follow up'!F91+'03 - Monthly Asset Follow up'!G91-'03 - Monthly Asset Follow up'!V91+'03 - Monthly Asset Follow up'!Y91-H87)</f>
        <v/>
      </c>
      <c r="AV87" s="361" t="str">
        <f>IF($C87=0,"",'03 - Monthly Asset Follow up'!BE91+'03 - Monthly Asset Follow up'!BF91-'03 - Monthly Asset Follow up'!BU91+'03 - Monthly Asset Follow up'!BX91-AA87)</f>
        <v/>
      </c>
      <c r="AX87" s="154"/>
    </row>
    <row r="88" spans="2:50">
      <c r="B88" s="730" t="str">
        <f t="shared" si="14"/>
        <v/>
      </c>
      <c r="C88" s="733">
        <f>'03 - Monthly Asset Follow up'!B92</f>
        <v>0</v>
      </c>
      <c r="D88" s="149"/>
      <c r="E88" s="726" t="str">
        <f>IF($C88=0,"",SUMIFS(INPUT_DATA!AV:AV,INPUT_DATA!$A:$A,$C88,INPUT_DATA!$C:$C,"S"))</f>
        <v/>
      </c>
      <c r="F88" s="738" t="str">
        <f>IF($C88=0,"",SUMIFS(INPUT_DATA!AW:AW,INPUT_DATA!$A:$A,$C88,INPUT_DATA!$C:$C,"S"))</f>
        <v/>
      </c>
      <c r="G88" s="738" t="str">
        <f>IF($C88=0,"",SUMIFS(INPUT_DATA!AX:AX,INPUT_DATA!$A:$A,$C88,INPUT_DATA!$C:$C,"S"))</f>
        <v/>
      </c>
      <c r="H88" s="740" t="str">
        <f t="shared" si="10"/>
        <v/>
      </c>
      <c r="I88" s="738" t="str">
        <f>IF($C88=0,"",SUMIFS(INPUT_DATA!AZ:AZ,INPUT_DATA!$A:$A,$C88,INPUT_DATA!$C:$C,"S"))</f>
        <v/>
      </c>
      <c r="J88" s="738" t="str">
        <f>IF($C88=0,"",SUMIFS(INPUT_DATA!BA:BA,INPUT_DATA!$A:$A,$C88,INPUT_DATA!$C:$C,"S"))</f>
        <v/>
      </c>
      <c r="K88" s="738" t="str">
        <f>IF($C88=0,"",SUMIFS(INPUT_DATA!BB:BB,INPUT_DATA!$A:$A,$C88,INPUT_DATA!$C:$C,"S"))</f>
        <v/>
      </c>
      <c r="L88" s="738" t="str">
        <f>IF($C88=0,"",SUMIFS(INPUT_DATA!BC:BC,INPUT_DATA!$A:$A,$C88,INPUT_DATA!$C:$C,"S"))</f>
        <v/>
      </c>
      <c r="M88" s="738" t="str">
        <f>IF($C88=0,"",SUMIFS(INPUT_DATA!BD:BD,INPUT_DATA!$A:$A,$C88,INPUT_DATA!$C:$C,"S"))</f>
        <v/>
      </c>
      <c r="N88" s="738" t="str">
        <f>IF($C88=0,"",SUMIFS(INPUT_DATA!BE:BE,INPUT_DATA!$A:$A,$C88,INPUT_DATA!$C:$C,"S"))</f>
        <v/>
      </c>
      <c r="O88" s="738" t="str">
        <f>IF($C88=0,"",SUMIFS(INPUT_DATA!BF:BF,INPUT_DATA!$A:$A,$C88,INPUT_DATA!$C:$C,"S"))</f>
        <v/>
      </c>
      <c r="P88" s="738" t="str">
        <f>IF($C88=0,"",SUMIFS(INPUT_DATA!BG:BG,INPUT_DATA!$A:$A,$C88,INPUT_DATA!$C:$C,"S"))</f>
        <v/>
      </c>
      <c r="Q88" s="744" t="str">
        <f t="shared" si="15"/>
        <v/>
      </c>
      <c r="R88" s="746" t="str">
        <f>IF($C88=0,"",SUMIFS(INPUT_DATA!BI:BI,INPUT_DATA!$A:$A,$C88,INPUT_DATA!$C:$C,"S"))</f>
        <v/>
      </c>
      <c r="S88" s="746" t="str">
        <f>IF($C88=0,"",SUMIFS(INPUT_DATA!BJ:BJ,INPUT_DATA!$A:$A,$C88,INPUT_DATA!$C:$C,"S"))</f>
        <v/>
      </c>
      <c r="T88" s="744" t="str">
        <f t="shared" si="16"/>
        <v/>
      </c>
      <c r="U88" s="749" t="str">
        <f>IF($C88=0,"",SUMIFS(INPUT_DATA!BM:BM,INPUT_DATA!$A:$A,$C88,INPUT_DATA!$C:$C,"S"))</f>
        <v/>
      </c>
      <c r="V88" s="155" t="str">
        <f t="shared" si="11"/>
        <v/>
      </c>
      <c r="W88" s="149"/>
      <c r="X88" s="726" t="str">
        <f>IF($C88=0,"",SUMIFS(INPUT_DATA!AV:AV,INPUT_DATA!$A:$A,$C88,INPUT_DATA!$C:$C,"D"))</f>
        <v/>
      </c>
      <c r="Y88" s="738" t="str">
        <f>IF($C88=0,"",SUMIFS(INPUT_DATA!AW:AW,INPUT_DATA!$A:$A,$C88,INPUT_DATA!$C:$C,"D"))</f>
        <v/>
      </c>
      <c r="Z88" s="738" t="str">
        <f>IF($C88=0,"",SUMIFS(INPUT_DATA!AX:AX,INPUT_DATA!$A:$A,$C88,INPUT_DATA!$C:$C,"D"))</f>
        <v/>
      </c>
      <c r="AA88" s="739" t="str">
        <f t="shared" si="12"/>
        <v/>
      </c>
      <c r="AB88" s="738" t="str">
        <f>IF($C88=0,"",SUMIFS(INPUT_DATA!AZ:AZ,INPUT_DATA!$A:$A,$C88,INPUT_DATA!$C:$C,"D"))</f>
        <v/>
      </c>
      <c r="AC88" s="738" t="str">
        <f>IF($C88=0,"",SUMIFS(INPUT_DATA!BA:BA,INPUT_DATA!$A:$A,$C88,INPUT_DATA!$C:$C,"D"))</f>
        <v/>
      </c>
      <c r="AD88" s="738" t="str">
        <f>IF($C88=0,"",SUMIFS(INPUT_DATA!BB:BB,INPUT_DATA!$A:$A,$C88,INPUT_DATA!$C:$C,"D"))</f>
        <v/>
      </c>
      <c r="AE88" s="738" t="str">
        <f>IF($C88=0,"",SUMIFS(INPUT_DATA!BC:BC,INPUT_DATA!$A:$A,$C88,INPUT_DATA!$C:$C,"D"))</f>
        <v/>
      </c>
      <c r="AF88" s="738" t="str">
        <f>IF($C88=0,"",SUMIFS(INPUT_DATA!BD:BD,INPUT_DATA!$A:$A,$C88,INPUT_DATA!$C:$C,"D"))</f>
        <v/>
      </c>
      <c r="AG88" s="738" t="str">
        <f>IF($C88=0,"",SUMIFS(INPUT_DATA!BE:BE,INPUT_DATA!$A:$A,$C88,INPUT_DATA!$C:$C,"D"))</f>
        <v/>
      </c>
      <c r="AH88" s="738" t="str">
        <f>IF($C88=0,"",SUMIFS(INPUT_DATA!BF:BF,INPUT_DATA!$A:$A,$C88,INPUT_DATA!$C:$C,"D"))</f>
        <v/>
      </c>
      <c r="AI88" s="738" t="str">
        <f>IF($C88=0,"",SUMIFS(INPUT_DATA!BG:BG,INPUT_DATA!$A:$A,$C88,INPUT_DATA!$C:$C,"D"))</f>
        <v/>
      </c>
      <c r="AJ88" s="299" t="str">
        <f t="shared" si="13"/>
        <v/>
      </c>
      <c r="AK88" s="746" t="str">
        <f>IF($C88=0,"",SUMIFS(INPUT_DATA!BI:BI,INPUT_DATA!$A:$A,$C88,INPUT_DATA!$C:$C,"D"))</f>
        <v/>
      </c>
      <c r="AL88" s="746" t="str">
        <f>IF($C88=0,"",SUMIFS(INPUT_DATA!BJ:BJ,INPUT_DATA!$A:$A,$C88,INPUT_DATA!$C:$C,"D"))</f>
        <v/>
      </c>
      <c r="AM88" s="746" t="str">
        <f>IF($C88=0,"",SUMIFS(INPUT_DATA!BK:BK,INPUT_DATA!$A:$A,$C88,INPUT_DATA!$C:$C,"D"))</f>
        <v/>
      </c>
      <c r="AN88" s="744" t="str">
        <f t="shared" si="17"/>
        <v/>
      </c>
      <c r="AO88" s="749" t="str">
        <f>IF($C88=0,"",SUMIFS(INPUT_DATA!BM:BM,INPUT_DATA!$A:$A,$C88,INPUT_DATA!$C:$C,"D"))</f>
        <v/>
      </c>
      <c r="AP88" s="338" t="str">
        <f t="shared" si="18"/>
        <v/>
      </c>
      <c r="AQ88" s="149"/>
      <c r="AS88" s="338" t="str">
        <f t="shared" si="19"/>
        <v/>
      </c>
      <c r="AU88" s="361" t="str">
        <f>IF($C88=0,"",'03 - Monthly Asset Follow up'!F92+'03 - Monthly Asset Follow up'!G92-'03 - Monthly Asset Follow up'!V92+'03 - Monthly Asset Follow up'!Y92-H88)</f>
        <v/>
      </c>
      <c r="AV88" s="361" t="str">
        <f>IF($C88=0,"",'03 - Monthly Asset Follow up'!BE92+'03 - Monthly Asset Follow up'!BF92-'03 - Monthly Asset Follow up'!BU92+'03 - Monthly Asset Follow up'!BX92-AA88)</f>
        <v/>
      </c>
      <c r="AX88" s="154"/>
    </row>
    <row r="89" spans="2:50">
      <c r="B89" s="730" t="str">
        <f t="shared" si="14"/>
        <v/>
      </c>
      <c r="C89" s="733">
        <f>'03 - Monthly Asset Follow up'!B93</f>
        <v>0</v>
      </c>
      <c r="D89" s="149"/>
      <c r="E89" s="726" t="str">
        <f>IF($C89=0,"",SUMIFS(INPUT_DATA!AV:AV,INPUT_DATA!$A:$A,$C89,INPUT_DATA!$C:$C,"S"))</f>
        <v/>
      </c>
      <c r="F89" s="738" t="str">
        <f>IF($C89=0,"",SUMIFS(INPUT_DATA!AW:AW,INPUT_DATA!$A:$A,$C89,INPUT_DATA!$C:$C,"S"))</f>
        <v/>
      </c>
      <c r="G89" s="738" t="str">
        <f>IF($C89=0,"",SUMIFS(INPUT_DATA!AX:AX,INPUT_DATA!$A:$A,$C89,INPUT_DATA!$C:$C,"S"))</f>
        <v/>
      </c>
      <c r="H89" s="740" t="str">
        <f t="shared" si="10"/>
        <v/>
      </c>
      <c r="I89" s="738" t="str">
        <f>IF($C89=0,"",SUMIFS(INPUT_DATA!AZ:AZ,INPUT_DATA!$A:$A,$C89,INPUT_DATA!$C:$C,"S"))</f>
        <v/>
      </c>
      <c r="J89" s="738" t="str">
        <f>IF($C89=0,"",SUMIFS(INPUT_DATA!BA:BA,INPUT_DATA!$A:$A,$C89,INPUT_DATA!$C:$C,"S"))</f>
        <v/>
      </c>
      <c r="K89" s="738" t="str">
        <f>IF($C89=0,"",SUMIFS(INPUT_DATA!BB:BB,INPUT_DATA!$A:$A,$C89,INPUT_DATA!$C:$C,"S"))</f>
        <v/>
      </c>
      <c r="L89" s="738" t="str">
        <f>IF($C89=0,"",SUMIFS(INPUT_DATA!BC:BC,INPUT_DATA!$A:$A,$C89,INPUT_DATA!$C:$C,"S"))</f>
        <v/>
      </c>
      <c r="M89" s="738" t="str">
        <f>IF($C89=0,"",SUMIFS(INPUT_DATA!BD:BD,INPUT_DATA!$A:$A,$C89,INPUT_DATA!$C:$C,"S"))</f>
        <v/>
      </c>
      <c r="N89" s="738" t="str">
        <f>IF($C89=0,"",SUMIFS(INPUT_DATA!BE:BE,INPUT_DATA!$A:$A,$C89,INPUT_DATA!$C:$C,"S"))</f>
        <v/>
      </c>
      <c r="O89" s="738" t="str">
        <f>IF($C89=0,"",SUMIFS(INPUT_DATA!BF:BF,INPUT_DATA!$A:$A,$C89,INPUT_DATA!$C:$C,"S"))</f>
        <v/>
      </c>
      <c r="P89" s="738" t="str">
        <f>IF($C89=0,"",SUMIFS(INPUT_DATA!BG:BG,INPUT_DATA!$A:$A,$C89,INPUT_DATA!$C:$C,"S"))</f>
        <v/>
      </c>
      <c r="Q89" s="744" t="str">
        <f t="shared" si="15"/>
        <v/>
      </c>
      <c r="R89" s="746" t="str">
        <f>IF($C89=0,"",SUMIFS(INPUT_DATA!BI:BI,INPUT_DATA!$A:$A,$C89,INPUT_DATA!$C:$C,"S"))</f>
        <v/>
      </c>
      <c r="S89" s="746" t="str">
        <f>IF($C89=0,"",SUMIFS(INPUT_DATA!BJ:BJ,INPUT_DATA!$A:$A,$C89,INPUT_DATA!$C:$C,"S"))</f>
        <v/>
      </c>
      <c r="T89" s="744" t="str">
        <f t="shared" si="16"/>
        <v/>
      </c>
      <c r="U89" s="749" t="str">
        <f>IF($C89=0,"",SUMIFS(INPUT_DATA!BM:BM,INPUT_DATA!$A:$A,$C89,INPUT_DATA!$C:$C,"S"))</f>
        <v/>
      </c>
      <c r="V89" s="155" t="str">
        <f t="shared" si="11"/>
        <v/>
      </c>
      <c r="W89" s="149"/>
      <c r="X89" s="726" t="str">
        <f>IF($C89=0,"",SUMIFS(INPUT_DATA!AV:AV,INPUT_DATA!$A:$A,$C89,INPUT_DATA!$C:$C,"D"))</f>
        <v/>
      </c>
      <c r="Y89" s="738" t="str">
        <f>IF($C89=0,"",SUMIFS(INPUT_DATA!AW:AW,INPUT_DATA!$A:$A,$C89,INPUT_DATA!$C:$C,"D"))</f>
        <v/>
      </c>
      <c r="Z89" s="738" t="str">
        <f>IF($C89=0,"",SUMIFS(INPUT_DATA!AX:AX,INPUT_DATA!$A:$A,$C89,INPUT_DATA!$C:$C,"D"))</f>
        <v/>
      </c>
      <c r="AA89" s="739" t="str">
        <f t="shared" si="12"/>
        <v/>
      </c>
      <c r="AB89" s="738" t="str">
        <f>IF($C89=0,"",SUMIFS(INPUT_DATA!AZ:AZ,INPUT_DATA!$A:$A,$C89,INPUT_DATA!$C:$C,"D"))</f>
        <v/>
      </c>
      <c r="AC89" s="738" t="str">
        <f>IF($C89=0,"",SUMIFS(INPUT_DATA!BA:BA,INPUT_DATA!$A:$A,$C89,INPUT_DATA!$C:$C,"D"))</f>
        <v/>
      </c>
      <c r="AD89" s="738" t="str">
        <f>IF($C89=0,"",SUMIFS(INPUT_DATA!BB:BB,INPUT_DATA!$A:$A,$C89,INPUT_DATA!$C:$C,"D"))</f>
        <v/>
      </c>
      <c r="AE89" s="738" t="str">
        <f>IF($C89=0,"",SUMIFS(INPUT_DATA!BC:BC,INPUT_DATA!$A:$A,$C89,INPUT_DATA!$C:$C,"D"))</f>
        <v/>
      </c>
      <c r="AF89" s="738" t="str">
        <f>IF($C89=0,"",SUMIFS(INPUT_DATA!BD:BD,INPUT_DATA!$A:$A,$C89,INPUT_DATA!$C:$C,"D"))</f>
        <v/>
      </c>
      <c r="AG89" s="738" t="str">
        <f>IF($C89=0,"",SUMIFS(INPUT_DATA!BE:BE,INPUT_DATA!$A:$A,$C89,INPUT_DATA!$C:$C,"D"))</f>
        <v/>
      </c>
      <c r="AH89" s="738" t="str">
        <f>IF($C89=0,"",SUMIFS(INPUT_DATA!BF:BF,INPUT_DATA!$A:$A,$C89,INPUT_DATA!$C:$C,"D"))</f>
        <v/>
      </c>
      <c r="AI89" s="738" t="str">
        <f>IF($C89=0,"",SUMIFS(INPUT_DATA!BG:BG,INPUT_DATA!$A:$A,$C89,INPUT_DATA!$C:$C,"D"))</f>
        <v/>
      </c>
      <c r="AJ89" s="299" t="str">
        <f t="shared" si="13"/>
        <v/>
      </c>
      <c r="AK89" s="746" t="str">
        <f>IF($C89=0,"",SUMIFS(INPUT_DATA!BI:BI,INPUT_DATA!$A:$A,$C89,INPUT_DATA!$C:$C,"D"))</f>
        <v/>
      </c>
      <c r="AL89" s="746" t="str">
        <f>IF($C89=0,"",SUMIFS(INPUT_DATA!BJ:BJ,INPUT_DATA!$A:$A,$C89,INPUT_DATA!$C:$C,"D"))</f>
        <v/>
      </c>
      <c r="AM89" s="746" t="str">
        <f>IF($C89=0,"",SUMIFS(INPUT_DATA!BK:BK,INPUT_DATA!$A:$A,$C89,INPUT_DATA!$C:$C,"D"))</f>
        <v/>
      </c>
      <c r="AN89" s="744" t="str">
        <f t="shared" si="17"/>
        <v/>
      </c>
      <c r="AO89" s="749" t="str">
        <f>IF($C89=0,"",SUMIFS(INPUT_DATA!BM:BM,INPUT_DATA!$A:$A,$C89,INPUT_DATA!$C:$C,"D"))</f>
        <v/>
      </c>
      <c r="AP89" s="338" t="str">
        <f t="shared" si="18"/>
        <v/>
      </c>
      <c r="AQ89" s="149"/>
      <c r="AS89" s="338" t="str">
        <f t="shared" si="19"/>
        <v/>
      </c>
      <c r="AU89" s="361" t="str">
        <f>IF($C89=0,"",'03 - Monthly Asset Follow up'!F93+'03 - Monthly Asset Follow up'!G93-'03 - Monthly Asset Follow up'!V93+'03 - Monthly Asset Follow up'!Y93-H89)</f>
        <v/>
      </c>
      <c r="AV89" s="361" t="str">
        <f>IF($C89=0,"",'03 - Monthly Asset Follow up'!BE93+'03 - Monthly Asset Follow up'!BF93-'03 - Monthly Asset Follow up'!BU93+'03 - Monthly Asset Follow up'!BX93-AA89)</f>
        <v/>
      </c>
      <c r="AX89" s="154"/>
    </row>
    <row r="90" spans="2:50">
      <c r="B90" s="730" t="str">
        <f t="shared" si="14"/>
        <v/>
      </c>
      <c r="C90" s="733">
        <f>'03 - Monthly Asset Follow up'!B94</f>
        <v>0</v>
      </c>
      <c r="D90" s="149"/>
      <c r="E90" s="726" t="str">
        <f>IF($C90=0,"",SUMIFS(INPUT_DATA!AV:AV,INPUT_DATA!$A:$A,$C90,INPUT_DATA!$C:$C,"S"))</f>
        <v/>
      </c>
      <c r="F90" s="738" t="str">
        <f>IF($C90=0,"",SUMIFS(INPUT_DATA!AW:AW,INPUT_DATA!$A:$A,$C90,INPUT_DATA!$C:$C,"S"))</f>
        <v/>
      </c>
      <c r="G90" s="738" t="str">
        <f>IF($C90=0,"",SUMIFS(INPUT_DATA!AX:AX,INPUT_DATA!$A:$A,$C90,INPUT_DATA!$C:$C,"S"))</f>
        <v/>
      </c>
      <c r="H90" s="740" t="str">
        <f t="shared" si="10"/>
        <v/>
      </c>
      <c r="I90" s="738" t="str">
        <f>IF($C90=0,"",SUMIFS(INPUT_DATA!AZ:AZ,INPUT_DATA!$A:$A,$C90,INPUT_DATA!$C:$C,"S"))</f>
        <v/>
      </c>
      <c r="J90" s="738" t="str">
        <f>IF($C90=0,"",SUMIFS(INPUT_DATA!BA:BA,INPUT_DATA!$A:$A,$C90,INPUT_DATA!$C:$C,"S"))</f>
        <v/>
      </c>
      <c r="K90" s="738" t="str">
        <f>IF($C90=0,"",SUMIFS(INPUT_DATA!BB:BB,INPUT_DATA!$A:$A,$C90,INPUT_DATA!$C:$C,"S"))</f>
        <v/>
      </c>
      <c r="L90" s="738" t="str">
        <f>IF($C90=0,"",SUMIFS(INPUT_DATA!BC:BC,INPUT_DATA!$A:$A,$C90,INPUT_DATA!$C:$C,"S"))</f>
        <v/>
      </c>
      <c r="M90" s="738" t="str">
        <f>IF($C90=0,"",SUMIFS(INPUT_DATA!BD:BD,INPUT_DATA!$A:$A,$C90,INPUT_DATA!$C:$C,"S"))</f>
        <v/>
      </c>
      <c r="N90" s="738" t="str">
        <f>IF($C90=0,"",SUMIFS(INPUT_DATA!BE:BE,INPUT_DATA!$A:$A,$C90,INPUT_DATA!$C:$C,"S"))</f>
        <v/>
      </c>
      <c r="O90" s="738" t="str">
        <f>IF($C90=0,"",SUMIFS(INPUT_DATA!BF:BF,INPUT_DATA!$A:$A,$C90,INPUT_DATA!$C:$C,"S"))</f>
        <v/>
      </c>
      <c r="P90" s="738" t="str">
        <f>IF($C90=0,"",SUMIFS(INPUT_DATA!BG:BG,INPUT_DATA!$A:$A,$C90,INPUT_DATA!$C:$C,"S"))</f>
        <v/>
      </c>
      <c r="Q90" s="744" t="str">
        <f t="shared" si="15"/>
        <v/>
      </c>
      <c r="R90" s="746" t="str">
        <f>IF($C90=0,"",SUMIFS(INPUT_DATA!BI:BI,INPUT_DATA!$A:$A,$C90,INPUT_DATA!$C:$C,"S"))</f>
        <v/>
      </c>
      <c r="S90" s="746" t="str">
        <f>IF($C90=0,"",SUMIFS(INPUT_DATA!BJ:BJ,INPUT_DATA!$A:$A,$C90,INPUT_DATA!$C:$C,"S"))</f>
        <v/>
      </c>
      <c r="T90" s="744" t="str">
        <f t="shared" si="16"/>
        <v/>
      </c>
      <c r="U90" s="749" t="str">
        <f>IF($C90=0,"",SUMIFS(INPUT_DATA!BM:BM,INPUT_DATA!$A:$A,$C90,INPUT_DATA!$C:$C,"S"))</f>
        <v/>
      </c>
      <c r="V90" s="155" t="str">
        <f t="shared" si="11"/>
        <v/>
      </c>
      <c r="W90" s="149"/>
      <c r="X90" s="726" t="str">
        <f>IF($C90=0,"",SUMIFS(INPUT_DATA!AV:AV,INPUT_DATA!$A:$A,$C90,INPUT_DATA!$C:$C,"D"))</f>
        <v/>
      </c>
      <c r="Y90" s="738" t="str">
        <f>IF($C90=0,"",SUMIFS(INPUT_DATA!AW:AW,INPUT_DATA!$A:$A,$C90,INPUT_DATA!$C:$C,"D"))</f>
        <v/>
      </c>
      <c r="Z90" s="738" t="str">
        <f>IF($C90=0,"",SUMIFS(INPUT_DATA!AX:AX,INPUT_DATA!$A:$A,$C90,INPUT_DATA!$C:$C,"D"))</f>
        <v/>
      </c>
      <c r="AA90" s="739" t="str">
        <f t="shared" si="12"/>
        <v/>
      </c>
      <c r="AB90" s="738" t="str">
        <f>IF($C90=0,"",SUMIFS(INPUT_DATA!AZ:AZ,INPUT_DATA!$A:$A,$C90,INPUT_DATA!$C:$C,"D"))</f>
        <v/>
      </c>
      <c r="AC90" s="738" t="str">
        <f>IF($C90=0,"",SUMIFS(INPUT_DATA!BA:BA,INPUT_DATA!$A:$A,$C90,INPUT_DATA!$C:$C,"D"))</f>
        <v/>
      </c>
      <c r="AD90" s="738" t="str">
        <f>IF($C90=0,"",SUMIFS(INPUT_DATA!BB:BB,INPUT_DATA!$A:$A,$C90,INPUT_DATA!$C:$C,"D"))</f>
        <v/>
      </c>
      <c r="AE90" s="738" t="str">
        <f>IF($C90=0,"",SUMIFS(INPUT_DATA!BC:BC,INPUT_DATA!$A:$A,$C90,INPUT_DATA!$C:$C,"D"))</f>
        <v/>
      </c>
      <c r="AF90" s="738" t="str">
        <f>IF($C90=0,"",SUMIFS(INPUT_DATA!BD:BD,INPUT_DATA!$A:$A,$C90,INPUT_DATA!$C:$C,"D"))</f>
        <v/>
      </c>
      <c r="AG90" s="738" t="str">
        <f>IF($C90=0,"",SUMIFS(INPUT_DATA!BE:BE,INPUT_DATA!$A:$A,$C90,INPUT_DATA!$C:$C,"D"))</f>
        <v/>
      </c>
      <c r="AH90" s="738" t="str">
        <f>IF($C90=0,"",SUMIFS(INPUT_DATA!BF:BF,INPUT_DATA!$A:$A,$C90,INPUT_DATA!$C:$C,"D"))</f>
        <v/>
      </c>
      <c r="AI90" s="738" t="str">
        <f>IF($C90=0,"",SUMIFS(INPUT_DATA!BG:BG,INPUT_DATA!$A:$A,$C90,INPUT_DATA!$C:$C,"D"))</f>
        <v/>
      </c>
      <c r="AJ90" s="299" t="str">
        <f t="shared" si="13"/>
        <v/>
      </c>
      <c r="AK90" s="746" t="str">
        <f>IF($C90=0,"",SUMIFS(INPUT_DATA!BI:BI,INPUT_DATA!$A:$A,$C90,INPUT_DATA!$C:$C,"D"))</f>
        <v/>
      </c>
      <c r="AL90" s="746" t="str">
        <f>IF($C90=0,"",SUMIFS(INPUT_DATA!BJ:BJ,INPUT_DATA!$A:$A,$C90,INPUT_DATA!$C:$C,"D"))</f>
        <v/>
      </c>
      <c r="AM90" s="746" t="str">
        <f>IF($C90=0,"",SUMIFS(INPUT_DATA!BK:BK,INPUT_DATA!$A:$A,$C90,INPUT_DATA!$C:$C,"D"))</f>
        <v/>
      </c>
      <c r="AN90" s="744" t="str">
        <f t="shared" si="17"/>
        <v/>
      </c>
      <c r="AO90" s="749" t="str">
        <f>IF($C90=0,"",SUMIFS(INPUT_DATA!BM:BM,INPUT_DATA!$A:$A,$C90,INPUT_DATA!$C:$C,"D"))</f>
        <v/>
      </c>
      <c r="AP90" s="338" t="str">
        <f t="shared" si="18"/>
        <v/>
      </c>
      <c r="AQ90" s="149"/>
      <c r="AS90" s="338" t="str">
        <f t="shared" si="19"/>
        <v/>
      </c>
      <c r="AU90" s="361" t="str">
        <f>IF($C90=0,"",'03 - Monthly Asset Follow up'!F94+'03 - Monthly Asset Follow up'!G94-'03 - Monthly Asset Follow up'!V94+'03 - Monthly Asset Follow up'!Y94-H90)</f>
        <v/>
      </c>
      <c r="AV90" s="361" t="str">
        <f>IF($C90=0,"",'03 - Monthly Asset Follow up'!BE94+'03 - Monthly Asset Follow up'!BF94-'03 - Monthly Asset Follow up'!BU94+'03 - Monthly Asset Follow up'!BX94-AA90)</f>
        <v/>
      </c>
      <c r="AX90" s="154"/>
    </row>
    <row r="91" spans="2:50">
      <c r="B91" s="730" t="str">
        <f t="shared" si="14"/>
        <v/>
      </c>
      <c r="C91" s="733">
        <f>'03 - Monthly Asset Follow up'!B95</f>
        <v>0</v>
      </c>
      <c r="D91" s="149"/>
      <c r="E91" s="726" t="str">
        <f>IF($C91=0,"",SUMIFS(INPUT_DATA!AV:AV,INPUT_DATA!$A:$A,$C91,INPUT_DATA!$C:$C,"S"))</f>
        <v/>
      </c>
      <c r="F91" s="738" t="str">
        <f>IF($C91=0,"",SUMIFS(INPUT_DATA!AW:AW,INPUT_DATA!$A:$A,$C91,INPUT_DATA!$C:$C,"S"))</f>
        <v/>
      </c>
      <c r="G91" s="738" t="str">
        <f>IF($C91=0,"",SUMIFS(INPUT_DATA!AX:AX,INPUT_DATA!$A:$A,$C91,INPUT_DATA!$C:$C,"S"))</f>
        <v/>
      </c>
      <c r="H91" s="740" t="str">
        <f t="shared" si="10"/>
        <v/>
      </c>
      <c r="I91" s="738" t="str">
        <f>IF($C91=0,"",SUMIFS(INPUT_DATA!AZ:AZ,INPUT_DATA!$A:$A,$C91,INPUT_DATA!$C:$C,"S"))</f>
        <v/>
      </c>
      <c r="J91" s="738" t="str">
        <f>IF($C91=0,"",SUMIFS(INPUT_DATA!BA:BA,INPUT_DATA!$A:$A,$C91,INPUT_DATA!$C:$C,"S"))</f>
        <v/>
      </c>
      <c r="K91" s="738" t="str">
        <f>IF($C91=0,"",SUMIFS(INPUT_DATA!BB:BB,INPUT_DATA!$A:$A,$C91,INPUT_DATA!$C:$C,"S"))</f>
        <v/>
      </c>
      <c r="L91" s="738" t="str">
        <f>IF($C91=0,"",SUMIFS(INPUT_DATA!BC:BC,INPUT_DATA!$A:$A,$C91,INPUT_DATA!$C:$C,"S"))</f>
        <v/>
      </c>
      <c r="M91" s="738" t="str">
        <f>IF($C91=0,"",SUMIFS(INPUT_DATA!BD:BD,INPUT_DATA!$A:$A,$C91,INPUT_DATA!$C:$C,"S"))</f>
        <v/>
      </c>
      <c r="N91" s="738" t="str">
        <f>IF($C91=0,"",SUMIFS(INPUT_DATA!BE:BE,INPUT_DATA!$A:$A,$C91,INPUT_DATA!$C:$C,"S"))</f>
        <v/>
      </c>
      <c r="O91" s="738" t="str">
        <f>IF($C91=0,"",SUMIFS(INPUT_DATA!BF:BF,INPUT_DATA!$A:$A,$C91,INPUT_DATA!$C:$C,"S"))</f>
        <v/>
      </c>
      <c r="P91" s="738" t="str">
        <f>IF($C91=0,"",SUMIFS(INPUT_DATA!BG:BG,INPUT_DATA!$A:$A,$C91,INPUT_DATA!$C:$C,"S"))</f>
        <v/>
      </c>
      <c r="Q91" s="744" t="str">
        <f t="shared" si="15"/>
        <v/>
      </c>
      <c r="R91" s="746" t="str">
        <f>IF($C91=0,"",SUMIFS(INPUT_DATA!BI:BI,INPUT_DATA!$A:$A,$C91,INPUT_DATA!$C:$C,"S"))</f>
        <v/>
      </c>
      <c r="S91" s="746" t="str">
        <f>IF($C91=0,"",SUMIFS(INPUT_DATA!BJ:BJ,INPUT_DATA!$A:$A,$C91,INPUT_DATA!$C:$C,"S"))</f>
        <v/>
      </c>
      <c r="T91" s="744" t="str">
        <f t="shared" si="16"/>
        <v/>
      </c>
      <c r="U91" s="749" t="str">
        <f>IF($C91=0,"",SUMIFS(INPUT_DATA!BM:BM,INPUT_DATA!$A:$A,$C91,INPUT_DATA!$C:$C,"S"))</f>
        <v/>
      </c>
      <c r="V91" s="155" t="str">
        <f t="shared" si="11"/>
        <v/>
      </c>
      <c r="W91" s="149"/>
      <c r="X91" s="726" t="str">
        <f>IF($C91=0,"",SUMIFS(INPUT_DATA!AV:AV,INPUT_DATA!$A:$A,$C91,INPUT_DATA!$C:$C,"D"))</f>
        <v/>
      </c>
      <c r="Y91" s="738" t="str">
        <f>IF($C91=0,"",SUMIFS(INPUT_DATA!AW:AW,INPUT_DATA!$A:$A,$C91,INPUT_DATA!$C:$C,"D"))</f>
        <v/>
      </c>
      <c r="Z91" s="738" t="str">
        <f>IF($C91=0,"",SUMIFS(INPUT_DATA!AX:AX,INPUT_DATA!$A:$A,$C91,INPUT_DATA!$C:$C,"D"))</f>
        <v/>
      </c>
      <c r="AA91" s="739" t="str">
        <f t="shared" si="12"/>
        <v/>
      </c>
      <c r="AB91" s="738" t="str">
        <f>IF($C91=0,"",SUMIFS(INPUT_DATA!AZ:AZ,INPUT_DATA!$A:$A,$C91,INPUT_DATA!$C:$C,"D"))</f>
        <v/>
      </c>
      <c r="AC91" s="738" t="str">
        <f>IF($C91=0,"",SUMIFS(INPUT_DATA!BA:BA,INPUT_DATA!$A:$A,$C91,INPUT_DATA!$C:$C,"D"))</f>
        <v/>
      </c>
      <c r="AD91" s="738" t="str">
        <f>IF($C91=0,"",SUMIFS(INPUT_DATA!BB:BB,INPUT_DATA!$A:$A,$C91,INPUT_DATA!$C:$C,"D"))</f>
        <v/>
      </c>
      <c r="AE91" s="738" t="str">
        <f>IF($C91=0,"",SUMIFS(INPUT_DATA!BC:BC,INPUT_DATA!$A:$A,$C91,INPUT_DATA!$C:$C,"D"))</f>
        <v/>
      </c>
      <c r="AF91" s="738" t="str">
        <f>IF($C91=0,"",SUMIFS(INPUT_DATA!BD:BD,INPUT_DATA!$A:$A,$C91,INPUT_DATA!$C:$C,"D"))</f>
        <v/>
      </c>
      <c r="AG91" s="738" t="str">
        <f>IF($C91=0,"",SUMIFS(INPUT_DATA!BE:BE,INPUT_DATA!$A:$A,$C91,INPUT_DATA!$C:$C,"D"))</f>
        <v/>
      </c>
      <c r="AH91" s="738" t="str">
        <f>IF($C91=0,"",SUMIFS(INPUT_DATA!BF:BF,INPUT_DATA!$A:$A,$C91,INPUT_DATA!$C:$C,"D"))</f>
        <v/>
      </c>
      <c r="AI91" s="738" t="str">
        <f>IF($C91=0,"",SUMIFS(INPUT_DATA!BG:BG,INPUT_DATA!$A:$A,$C91,INPUT_DATA!$C:$C,"D"))</f>
        <v/>
      </c>
      <c r="AJ91" s="299" t="str">
        <f t="shared" si="13"/>
        <v/>
      </c>
      <c r="AK91" s="746" t="str">
        <f>IF($C91=0,"",SUMIFS(INPUT_DATA!BI:BI,INPUT_DATA!$A:$A,$C91,INPUT_DATA!$C:$C,"D"))</f>
        <v/>
      </c>
      <c r="AL91" s="746" t="str">
        <f>IF($C91=0,"",SUMIFS(INPUT_DATA!BJ:BJ,INPUT_DATA!$A:$A,$C91,INPUT_DATA!$C:$C,"D"))</f>
        <v/>
      </c>
      <c r="AM91" s="746" t="str">
        <f>IF($C91=0,"",SUMIFS(INPUT_DATA!BK:BK,INPUT_DATA!$A:$A,$C91,INPUT_DATA!$C:$C,"D"))</f>
        <v/>
      </c>
      <c r="AN91" s="744" t="str">
        <f t="shared" si="17"/>
        <v/>
      </c>
      <c r="AO91" s="749" t="str">
        <f>IF($C91=0,"",SUMIFS(INPUT_DATA!BM:BM,INPUT_DATA!$A:$A,$C91,INPUT_DATA!$C:$C,"D"))</f>
        <v/>
      </c>
      <c r="AP91" s="338" t="str">
        <f t="shared" si="18"/>
        <v/>
      </c>
      <c r="AQ91" s="149"/>
      <c r="AS91" s="338" t="str">
        <f t="shared" si="19"/>
        <v/>
      </c>
      <c r="AU91" s="361" t="str">
        <f>IF($C91=0,"",'03 - Monthly Asset Follow up'!F95+'03 - Monthly Asset Follow up'!G95-'03 - Monthly Asset Follow up'!V95+'03 - Monthly Asset Follow up'!Y95-H91)</f>
        <v/>
      </c>
      <c r="AV91" s="361" t="str">
        <f>IF($C91=0,"",'03 - Monthly Asset Follow up'!BE95+'03 - Monthly Asset Follow up'!BF95-'03 - Monthly Asset Follow up'!BU95+'03 - Monthly Asset Follow up'!BX95-AA91)</f>
        <v/>
      </c>
      <c r="AX91" s="154"/>
    </row>
    <row r="92" spans="2:50">
      <c r="B92" s="730" t="str">
        <f t="shared" si="14"/>
        <v/>
      </c>
      <c r="C92" s="733">
        <f>'03 - Monthly Asset Follow up'!B96</f>
        <v>0</v>
      </c>
      <c r="D92" s="149"/>
      <c r="E92" s="726" t="str">
        <f>IF($C92=0,"",SUMIFS(INPUT_DATA!AV:AV,INPUT_DATA!$A:$A,$C92,INPUT_DATA!$C:$C,"S"))</f>
        <v/>
      </c>
      <c r="F92" s="738" t="str">
        <f>IF($C92=0,"",SUMIFS(INPUT_DATA!AW:AW,INPUT_DATA!$A:$A,$C92,INPUT_DATA!$C:$C,"S"))</f>
        <v/>
      </c>
      <c r="G92" s="738" t="str">
        <f>IF($C92=0,"",SUMIFS(INPUT_DATA!AX:AX,INPUT_DATA!$A:$A,$C92,INPUT_DATA!$C:$C,"S"))</f>
        <v/>
      </c>
      <c r="H92" s="740" t="str">
        <f t="shared" si="10"/>
        <v/>
      </c>
      <c r="I92" s="738" t="str">
        <f>IF($C92=0,"",SUMIFS(INPUT_DATA!AZ:AZ,INPUT_DATA!$A:$A,$C92,INPUT_DATA!$C:$C,"S"))</f>
        <v/>
      </c>
      <c r="J92" s="738" t="str">
        <f>IF($C92=0,"",SUMIFS(INPUT_DATA!BA:BA,INPUT_DATA!$A:$A,$C92,INPUT_DATA!$C:$C,"S"))</f>
        <v/>
      </c>
      <c r="K92" s="738" t="str">
        <f>IF($C92=0,"",SUMIFS(INPUT_DATA!BB:BB,INPUT_DATA!$A:$A,$C92,INPUT_DATA!$C:$C,"S"))</f>
        <v/>
      </c>
      <c r="L92" s="738" t="str">
        <f>IF($C92=0,"",SUMIFS(INPUT_DATA!BC:BC,INPUT_DATA!$A:$A,$C92,INPUT_DATA!$C:$C,"S"))</f>
        <v/>
      </c>
      <c r="M92" s="738" t="str">
        <f>IF($C92=0,"",SUMIFS(INPUT_DATA!BD:BD,INPUT_DATA!$A:$A,$C92,INPUT_DATA!$C:$C,"S"))</f>
        <v/>
      </c>
      <c r="N92" s="738" t="str">
        <f>IF($C92=0,"",SUMIFS(INPUT_DATA!BE:BE,INPUT_DATA!$A:$A,$C92,INPUT_DATA!$C:$C,"S"))</f>
        <v/>
      </c>
      <c r="O92" s="738" t="str">
        <f>IF($C92=0,"",SUMIFS(INPUT_DATA!BF:BF,INPUT_DATA!$A:$A,$C92,INPUT_DATA!$C:$C,"S"))</f>
        <v/>
      </c>
      <c r="P92" s="738" t="str">
        <f>IF($C92=0,"",SUMIFS(INPUT_DATA!BG:BG,INPUT_DATA!$A:$A,$C92,INPUT_DATA!$C:$C,"S"))</f>
        <v/>
      </c>
      <c r="Q92" s="744" t="str">
        <f t="shared" si="15"/>
        <v/>
      </c>
      <c r="R92" s="746" t="str">
        <f>IF($C92=0,"",SUMIFS(INPUT_DATA!BI:BI,INPUT_DATA!$A:$A,$C92,INPUT_DATA!$C:$C,"S"))</f>
        <v/>
      </c>
      <c r="S92" s="746" t="str">
        <f>IF($C92=0,"",SUMIFS(INPUT_DATA!BJ:BJ,INPUT_DATA!$A:$A,$C92,INPUT_DATA!$C:$C,"S"))</f>
        <v/>
      </c>
      <c r="T92" s="744" t="str">
        <f t="shared" si="16"/>
        <v/>
      </c>
      <c r="U92" s="749" t="str">
        <f>IF($C92=0,"",SUMIFS(INPUT_DATA!BM:BM,INPUT_DATA!$A:$A,$C92,INPUT_DATA!$C:$C,"S"))</f>
        <v/>
      </c>
      <c r="V92" s="155" t="str">
        <f t="shared" si="11"/>
        <v/>
      </c>
      <c r="W92" s="149"/>
      <c r="X92" s="726" t="str">
        <f>IF($C92=0,"",SUMIFS(INPUT_DATA!AV:AV,INPUT_DATA!$A:$A,$C92,INPUT_DATA!$C:$C,"D"))</f>
        <v/>
      </c>
      <c r="Y92" s="738" t="str">
        <f>IF($C92=0,"",SUMIFS(INPUT_DATA!AW:AW,INPUT_DATA!$A:$A,$C92,INPUT_DATA!$C:$C,"D"))</f>
        <v/>
      </c>
      <c r="Z92" s="738" t="str">
        <f>IF($C92=0,"",SUMIFS(INPUT_DATA!AX:AX,INPUT_DATA!$A:$A,$C92,INPUT_DATA!$C:$C,"D"))</f>
        <v/>
      </c>
      <c r="AA92" s="739" t="str">
        <f t="shared" si="12"/>
        <v/>
      </c>
      <c r="AB92" s="738" t="str">
        <f>IF($C92=0,"",SUMIFS(INPUT_DATA!AZ:AZ,INPUT_DATA!$A:$A,$C92,INPUT_DATA!$C:$C,"D"))</f>
        <v/>
      </c>
      <c r="AC92" s="738" t="str">
        <f>IF($C92=0,"",SUMIFS(INPUT_DATA!BA:BA,INPUT_DATA!$A:$A,$C92,INPUT_DATA!$C:$C,"D"))</f>
        <v/>
      </c>
      <c r="AD92" s="738" t="str">
        <f>IF($C92=0,"",SUMIFS(INPUT_DATA!BB:BB,INPUT_DATA!$A:$A,$C92,INPUT_DATA!$C:$C,"D"))</f>
        <v/>
      </c>
      <c r="AE92" s="738" t="str">
        <f>IF($C92=0,"",SUMIFS(INPUT_DATA!BC:BC,INPUT_DATA!$A:$A,$C92,INPUT_DATA!$C:$C,"D"))</f>
        <v/>
      </c>
      <c r="AF92" s="738" t="str">
        <f>IF($C92=0,"",SUMIFS(INPUT_DATA!BD:BD,INPUT_DATA!$A:$A,$C92,INPUT_DATA!$C:$C,"D"))</f>
        <v/>
      </c>
      <c r="AG92" s="738" t="str">
        <f>IF($C92=0,"",SUMIFS(INPUT_DATA!BE:BE,INPUT_DATA!$A:$A,$C92,INPUT_DATA!$C:$C,"D"))</f>
        <v/>
      </c>
      <c r="AH92" s="738" t="str">
        <f>IF($C92=0,"",SUMIFS(INPUT_DATA!BF:BF,INPUT_DATA!$A:$A,$C92,INPUT_DATA!$C:$C,"D"))</f>
        <v/>
      </c>
      <c r="AI92" s="738" t="str">
        <f>IF($C92=0,"",SUMIFS(INPUT_DATA!BG:BG,INPUT_DATA!$A:$A,$C92,INPUT_DATA!$C:$C,"D"))</f>
        <v/>
      </c>
      <c r="AJ92" s="299" t="str">
        <f t="shared" si="13"/>
        <v/>
      </c>
      <c r="AK92" s="746" t="str">
        <f>IF($C92=0,"",SUMIFS(INPUT_DATA!BI:BI,INPUT_DATA!$A:$A,$C92,INPUT_DATA!$C:$C,"D"))</f>
        <v/>
      </c>
      <c r="AL92" s="746" t="str">
        <f>IF($C92=0,"",SUMIFS(INPUT_DATA!BJ:BJ,INPUT_DATA!$A:$A,$C92,INPUT_DATA!$C:$C,"D"))</f>
        <v/>
      </c>
      <c r="AM92" s="746" t="str">
        <f>IF($C92=0,"",SUMIFS(INPUT_DATA!BK:BK,INPUT_DATA!$A:$A,$C92,INPUT_DATA!$C:$C,"D"))</f>
        <v/>
      </c>
      <c r="AN92" s="744" t="str">
        <f t="shared" si="17"/>
        <v/>
      </c>
      <c r="AO92" s="749" t="str">
        <f>IF($C92=0,"",SUMIFS(INPUT_DATA!BM:BM,INPUT_DATA!$A:$A,$C92,INPUT_DATA!$C:$C,"D"))</f>
        <v/>
      </c>
      <c r="AP92" s="338" t="str">
        <f t="shared" si="18"/>
        <v/>
      </c>
      <c r="AQ92" s="149"/>
      <c r="AS92" s="338" t="str">
        <f t="shared" si="19"/>
        <v/>
      </c>
      <c r="AU92" s="361" t="str">
        <f>IF($C92=0,"",'03 - Monthly Asset Follow up'!F96+'03 - Monthly Asset Follow up'!G96-'03 - Monthly Asset Follow up'!V96+'03 - Monthly Asset Follow up'!Y96-H92)</f>
        <v/>
      </c>
      <c r="AV92" s="361" t="str">
        <f>IF($C92=0,"",'03 - Monthly Asset Follow up'!BE96+'03 - Monthly Asset Follow up'!BF96-'03 - Monthly Asset Follow up'!BU96+'03 - Monthly Asset Follow up'!BX96-AA92)</f>
        <v/>
      </c>
      <c r="AX92" s="154"/>
    </row>
    <row r="93" spans="2:50">
      <c r="B93" s="730" t="str">
        <f t="shared" si="14"/>
        <v/>
      </c>
      <c r="C93" s="733">
        <f>'03 - Monthly Asset Follow up'!B97</f>
        <v>0</v>
      </c>
      <c r="D93" s="149"/>
      <c r="E93" s="726" t="str">
        <f>IF($C93=0,"",SUMIFS(INPUT_DATA!AV:AV,INPUT_DATA!$A:$A,$C93,INPUT_DATA!$C:$C,"S"))</f>
        <v/>
      </c>
      <c r="F93" s="738" t="str">
        <f>IF($C93=0,"",SUMIFS(INPUT_DATA!AW:AW,INPUT_DATA!$A:$A,$C93,INPUT_DATA!$C:$C,"S"))</f>
        <v/>
      </c>
      <c r="G93" s="738" t="str">
        <f>IF($C93=0,"",SUMIFS(INPUT_DATA!AX:AX,INPUT_DATA!$A:$A,$C93,INPUT_DATA!$C:$C,"S"))</f>
        <v/>
      </c>
      <c r="H93" s="740" t="str">
        <f t="shared" si="10"/>
        <v/>
      </c>
      <c r="I93" s="738" t="str">
        <f>IF($C93=0,"",SUMIFS(INPUT_DATA!AZ:AZ,INPUT_DATA!$A:$A,$C93,INPUT_DATA!$C:$C,"S"))</f>
        <v/>
      </c>
      <c r="J93" s="738" t="str">
        <f>IF($C93=0,"",SUMIFS(INPUT_DATA!BA:BA,INPUT_DATA!$A:$A,$C93,INPUT_DATA!$C:$C,"S"))</f>
        <v/>
      </c>
      <c r="K93" s="738" t="str">
        <f>IF($C93=0,"",SUMIFS(INPUT_DATA!BB:BB,INPUT_DATA!$A:$A,$C93,INPUT_DATA!$C:$C,"S"))</f>
        <v/>
      </c>
      <c r="L93" s="738" t="str">
        <f>IF($C93=0,"",SUMIFS(INPUT_DATA!BC:BC,INPUT_DATA!$A:$A,$C93,INPUT_DATA!$C:$C,"S"))</f>
        <v/>
      </c>
      <c r="M93" s="738" t="str">
        <f>IF($C93=0,"",SUMIFS(INPUT_DATA!BD:BD,INPUT_DATA!$A:$A,$C93,INPUT_DATA!$C:$C,"S"))</f>
        <v/>
      </c>
      <c r="N93" s="738" t="str">
        <f>IF($C93=0,"",SUMIFS(INPUT_DATA!BE:BE,INPUT_DATA!$A:$A,$C93,INPUT_DATA!$C:$C,"S"))</f>
        <v/>
      </c>
      <c r="O93" s="738" t="str">
        <f>IF($C93=0,"",SUMIFS(INPUT_DATA!BF:BF,INPUT_DATA!$A:$A,$C93,INPUT_DATA!$C:$C,"S"))</f>
        <v/>
      </c>
      <c r="P93" s="738" t="str">
        <f>IF($C93=0,"",SUMIFS(INPUT_DATA!BG:BG,INPUT_DATA!$A:$A,$C93,INPUT_DATA!$C:$C,"S"))</f>
        <v/>
      </c>
      <c r="Q93" s="744" t="str">
        <f t="shared" si="15"/>
        <v/>
      </c>
      <c r="R93" s="746" t="str">
        <f>IF($C93=0,"",SUMIFS(INPUT_DATA!BI:BI,INPUT_DATA!$A:$A,$C93,INPUT_DATA!$C:$C,"S"))</f>
        <v/>
      </c>
      <c r="S93" s="746" t="str">
        <f>IF($C93=0,"",SUMIFS(INPUT_DATA!BJ:BJ,INPUT_DATA!$A:$A,$C93,INPUT_DATA!$C:$C,"S"))</f>
        <v/>
      </c>
      <c r="T93" s="744" t="str">
        <f t="shared" si="16"/>
        <v/>
      </c>
      <c r="U93" s="749" t="str">
        <f>IF($C93=0,"",SUMIFS(INPUT_DATA!BM:BM,INPUT_DATA!$A:$A,$C93,INPUT_DATA!$C:$C,"S"))</f>
        <v/>
      </c>
      <c r="V93" s="155" t="str">
        <f t="shared" si="11"/>
        <v/>
      </c>
      <c r="W93" s="149"/>
      <c r="X93" s="726" t="str">
        <f>IF($C93=0,"",SUMIFS(INPUT_DATA!AV:AV,INPUT_DATA!$A:$A,$C93,INPUT_DATA!$C:$C,"D"))</f>
        <v/>
      </c>
      <c r="Y93" s="738" t="str">
        <f>IF($C93=0,"",SUMIFS(INPUT_DATA!AW:AW,INPUT_DATA!$A:$A,$C93,INPUT_DATA!$C:$C,"D"))</f>
        <v/>
      </c>
      <c r="Z93" s="738" t="str">
        <f>IF($C93=0,"",SUMIFS(INPUT_DATA!AX:AX,INPUT_DATA!$A:$A,$C93,INPUT_DATA!$C:$C,"D"))</f>
        <v/>
      </c>
      <c r="AA93" s="739" t="str">
        <f t="shared" si="12"/>
        <v/>
      </c>
      <c r="AB93" s="738" t="str">
        <f>IF($C93=0,"",SUMIFS(INPUT_DATA!AZ:AZ,INPUT_DATA!$A:$A,$C93,INPUT_DATA!$C:$C,"D"))</f>
        <v/>
      </c>
      <c r="AC93" s="738" t="str">
        <f>IF($C93=0,"",SUMIFS(INPUT_DATA!BA:BA,INPUT_DATA!$A:$A,$C93,INPUT_DATA!$C:$C,"D"))</f>
        <v/>
      </c>
      <c r="AD93" s="738" t="str">
        <f>IF($C93=0,"",SUMIFS(INPUT_DATA!BB:BB,INPUT_DATA!$A:$A,$C93,INPUT_DATA!$C:$C,"D"))</f>
        <v/>
      </c>
      <c r="AE93" s="738" t="str">
        <f>IF($C93=0,"",SUMIFS(INPUT_DATA!BC:BC,INPUT_DATA!$A:$A,$C93,INPUT_DATA!$C:$C,"D"))</f>
        <v/>
      </c>
      <c r="AF93" s="738" t="str">
        <f>IF($C93=0,"",SUMIFS(INPUT_DATA!BD:BD,INPUT_DATA!$A:$A,$C93,INPUT_DATA!$C:$C,"D"))</f>
        <v/>
      </c>
      <c r="AG93" s="738" t="str">
        <f>IF($C93=0,"",SUMIFS(INPUT_DATA!BE:BE,INPUT_DATA!$A:$A,$C93,INPUT_DATA!$C:$C,"D"))</f>
        <v/>
      </c>
      <c r="AH93" s="738" t="str">
        <f>IF($C93=0,"",SUMIFS(INPUT_DATA!BF:BF,INPUT_DATA!$A:$A,$C93,INPUT_DATA!$C:$C,"D"))</f>
        <v/>
      </c>
      <c r="AI93" s="738" t="str">
        <f>IF($C93=0,"",SUMIFS(INPUT_DATA!BG:BG,INPUT_DATA!$A:$A,$C93,INPUT_DATA!$C:$C,"D"))</f>
        <v/>
      </c>
      <c r="AJ93" s="299" t="str">
        <f t="shared" si="13"/>
        <v/>
      </c>
      <c r="AK93" s="746" t="str">
        <f>IF($C93=0,"",SUMIFS(INPUT_DATA!BI:BI,INPUT_DATA!$A:$A,$C93,INPUT_DATA!$C:$C,"D"))</f>
        <v/>
      </c>
      <c r="AL93" s="746" t="str">
        <f>IF($C93=0,"",SUMIFS(INPUT_DATA!BJ:BJ,INPUT_DATA!$A:$A,$C93,INPUT_DATA!$C:$C,"D"))</f>
        <v/>
      </c>
      <c r="AM93" s="746" t="str">
        <f>IF($C93=0,"",SUMIFS(INPUT_DATA!BK:BK,INPUT_DATA!$A:$A,$C93,INPUT_DATA!$C:$C,"D"))</f>
        <v/>
      </c>
      <c r="AN93" s="744" t="str">
        <f t="shared" si="17"/>
        <v/>
      </c>
      <c r="AO93" s="749" t="str">
        <f>IF($C93=0,"",SUMIFS(INPUT_DATA!BM:BM,INPUT_DATA!$A:$A,$C93,INPUT_DATA!$C:$C,"D"))</f>
        <v/>
      </c>
      <c r="AP93" s="338" t="str">
        <f t="shared" si="18"/>
        <v/>
      </c>
      <c r="AQ93" s="149"/>
      <c r="AS93" s="338" t="str">
        <f t="shared" si="19"/>
        <v/>
      </c>
      <c r="AU93" s="361" t="str">
        <f>IF($C93=0,"",'03 - Monthly Asset Follow up'!F97+'03 - Monthly Asset Follow up'!G97-'03 - Monthly Asset Follow up'!V97+'03 - Monthly Asset Follow up'!Y97-H93)</f>
        <v/>
      </c>
      <c r="AV93" s="361" t="str">
        <f>IF($C93=0,"",'03 - Monthly Asset Follow up'!BE97+'03 - Monthly Asset Follow up'!BF97-'03 - Monthly Asset Follow up'!BU97+'03 - Monthly Asset Follow up'!BX97-AA93)</f>
        <v/>
      </c>
      <c r="AX93" s="154"/>
    </row>
    <row r="94" spans="2:50">
      <c r="B94" s="730" t="str">
        <f t="shared" si="14"/>
        <v/>
      </c>
      <c r="C94" s="733">
        <f>'03 - Monthly Asset Follow up'!B98</f>
        <v>0</v>
      </c>
      <c r="D94" s="149"/>
      <c r="E94" s="726" t="str">
        <f>IF($C94=0,"",SUMIFS(INPUT_DATA!AV:AV,INPUT_DATA!$A:$A,$C94,INPUT_DATA!$C:$C,"S"))</f>
        <v/>
      </c>
      <c r="F94" s="738" t="str">
        <f>IF($C94=0,"",SUMIFS(INPUT_DATA!AW:AW,INPUT_DATA!$A:$A,$C94,INPUT_DATA!$C:$C,"S"))</f>
        <v/>
      </c>
      <c r="G94" s="738" t="str">
        <f>IF($C94=0,"",SUMIFS(INPUT_DATA!AX:AX,INPUT_DATA!$A:$A,$C94,INPUT_DATA!$C:$C,"S"))</f>
        <v/>
      </c>
      <c r="H94" s="740" t="str">
        <f t="shared" si="10"/>
        <v/>
      </c>
      <c r="I94" s="738" t="str">
        <f>IF($C94=0,"",SUMIFS(INPUT_DATA!AZ:AZ,INPUT_DATA!$A:$A,$C94,INPUT_DATA!$C:$C,"S"))</f>
        <v/>
      </c>
      <c r="J94" s="738" t="str">
        <f>IF($C94=0,"",SUMIFS(INPUT_DATA!BA:BA,INPUT_DATA!$A:$A,$C94,INPUT_DATA!$C:$C,"S"))</f>
        <v/>
      </c>
      <c r="K94" s="738" t="str">
        <f>IF($C94=0,"",SUMIFS(INPUT_DATA!BB:BB,INPUT_DATA!$A:$A,$C94,INPUT_DATA!$C:$C,"S"))</f>
        <v/>
      </c>
      <c r="L94" s="738" t="str">
        <f>IF($C94=0,"",SUMIFS(INPUT_DATA!BC:BC,INPUT_DATA!$A:$A,$C94,INPUT_DATA!$C:$C,"S"))</f>
        <v/>
      </c>
      <c r="M94" s="738" t="str">
        <f>IF($C94=0,"",SUMIFS(INPUT_DATA!BD:BD,INPUT_DATA!$A:$A,$C94,INPUT_DATA!$C:$C,"S"))</f>
        <v/>
      </c>
      <c r="N94" s="738" t="str">
        <f>IF($C94=0,"",SUMIFS(INPUT_DATA!BE:BE,INPUT_DATA!$A:$A,$C94,INPUT_DATA!$C:$C,"S"))</f>
        <v/>
      </c>
      <c r="O94" s="738" t="str">
        <f>IF($C94=0,"",SUMIFS(INPUT_DATA!BF:BF,INPUT_DATA!$A:$A,$C94,INPUT_DATA!$C:$C,"S"))</f>
        <v/>
      </c>
      <c r="P94" s="738" t="str">
        <f>IF($C94=0,"",SUMIFS(INPUT_DATA!BG:BG,INPUT_DATA!$A:$A,$C94,INPUT_DATA!$C:$C,"S"))</f>
        <v/>
      </c>
      <c r="Q94" s="744" t="str">
        <f t="shared" si="15"/>
        <v/>
      </c>
      <c r="R94" s="746" t="str">
        <f>IF($C94=0,"",SUMIFS(INPUT_DATA!BI:BI,INPUT_DATA!$A:$A,$C94,INPUT_DATA!$C:$C,"S"))</f>
        <v/>
      </c>
      <c r="S94" s="746" t="str">
        <f>IF($C94=0,"",SUMIFS(INPUT_DATA!BJ:BJ,INPUT_DATA!$A:$A,$C94,INPUT_DATA!$C:$C,"S"))</f>
        <v/>
      </c>
      <c r="T94" s="744" t="str">
        <f t="shared" si="16"/>
        <v/>
      </c>
      <c r="U94" s="749" t="str">
        <f>IF($C94=0,"",SUMIFS(INPUT_DATA!BM:BM,INPUT_DATA!$A:$A,$C94,INPUT_DATA!$C:$C,"S"))</f>
        <v/>
      </c>
      <c r="V94" s="155" t="str">
        <f t="shared" si="11"/>
        <v/>
      </c>
      <c r="W94" s="149"/>
      <c r="X94" s="726" t="str">
        <f>IF($C94=0,"",SUMIFS(INPUT_DATA!AV:AV,INPUT_DATA!$A:$A,$C94,INPUT_DATA!$C:$C,"D"))</f>
        <v/>
      </c>
      <c r="Y94" s="738" t="str">
        <f>IF($C94=0,"",SUMIFS(INPUT_DATA!AW:AW,INPUT_DATA!$A:$A,$C94,INPUT_DATA!$C:$C,"D"))</f>
        <v/>
      </c>
      <c r="Z94" s="738" t="str">
        <f>IF($C94=0,"",SUMIFS(INPUT_DATA!AX:AX,INPUT_DATA!$A:$A,$C94,INPUT_DATA!$C:$C,"D"))</f>
        <v/>
      </c>
      <c r="AA94" s="739" t="str">
        <f t="shared" si="12"/>
        <v/>
      </c>
      <c r="AB94" s="738" t="str">
        <f>IF($C94=0,"",SUMIFS(INPUT_DATA!AZ:AZ,INPUT_DATA!$A:$A,$C94,INPUT_DATA!$C:$C,"D"))</f>
        <v/>
      </c>
      <c r="AC94" s="738" t="str">
        <f>IF($C94=0,"",SUMIFS(INPUT_DATA!BA:BA,INPUT_DATA!$A:$A,$C94,INPUT_DATA!$C:$C,"D"))</f>
        <v/>
      </c>
      <c r="AD94" s="738" t="str">
        <f>IF($C94=0,"",SUMIFS(INPUT_DATA!BB:BB,INPUT_DATA!$A:$A,$C94,INPUT_DATA!$C:$C,"D"))</f>
        <v/>
      </c>
      <c r="AE94" s="738" t="str">
        <f>IF($C94=0,"",SUMIFS(INPUT_DATA!BC:BC,INPUT_DATA!$A:$A,$C94,INPUT_DATA!$C:$C,"D"))</f>
        <v/>
      </c>
      <c r="AF94" s="738" t="str">
        <f>IF($C94=0,"",SUMIFS(INPUT_DATA!BD:BD,INPUT_DATA!$A:$A,$C94,INPUT_DATA!$C:$C,"D"))</f>
        <v/>
      </c>
      <c r="AG94" s="738" t="str">
        <f>IF($C94=0,"",SUMIFS(INPUT_DATA!BE:BE,INPUT_DATA!$A:$A,$C94,INPUT_DATA!$C:$C,"D"))</f>
        <v/>
      </c>
      <c r="AH94" s="738" t="str">
        <f>IF($C94=0,"",SUMIFS(INPUT_DATA!BF:BF,INPUT_DATA!$A:$A,$C94,INPUT_DATA!$C:$C,"D"))</f>
        <v/>
      </c>
      <c r="AI94" s="738" t="str">
        <f>IF($C94=0,"",SUMIFS(INPUT_DATA!BG:BG,INPUT_DATA!$A:$A,$C94,INPUT_DATA!$C:$C,"D"))</f>
        <v/>
      </c>
      <c r="AJ94" s="299" t="str">
        <f t="shared" si="13"/>
        <v/>
      </c>
      <c r="AK94" s="746" t="str">
        <f>IF($C94=0,"",SUMIFS(INPUT_DATA!BI:BI,INPUT_DATA!$A:$A,$C94,INPUT_DATA!$C:$C,"D"))</f>
        <v/>
      </c>
      <c r="AL94" s="746" t="str">
        <f>IF($C94=0,"",SUMIFS(INPUT_DATA!BJ:BJ,INPUT_DATA!$A:$A,$C94,INPUT_DATA!$C:$C,"D"))</f>
        <v/>
      </c>
      <c r="AM94" s="746" t="str">
        <f>IF($C94=0,"",SUMIFS(INPUT_DATA!BK:BK,INPUT_DATA!$A:$A,$C94,INPUT_DATA!$C:$C,"D"))</f>
        <v/>
      </c>
      <c r="AN94" s="744" t="str">
        <f t="shared" si="17"/>
        <v/>
      </c>
      <c r="AO94" s="749" t="str">
        <f>IF($C94=0,"",SUMIFS(INPUT_DATA!BM:BM,INPUT_DATA!$A:$A,$C94,INPUT_DATA!$C:$C,"D"))</f>
        <v/>
      </c>
      <c r="AP94" s="338" t="str">
        <f t="shared" si="18"/>
        <v/>
      </c>
      <c r="AQ94" s="149"/>
      <c r="AS94" s="338" t="str">
        <f t="shared" si="19"/>
        <v/>
      </c>
      <c r="AU94" s="361" t="str">
        <f>IF($C94=0,"",'03 - Monthly Asset Follow up'!F98+'03 - Monthly Asset Follow up'!G98-'03 - Monthly Asset Follow up'!V98+'03 - Monthly Asset Follow up'!Y98-H94)</f>
        <v/>
      </c>
      <c r="AV94" s="361" t="str">
        <f>IF($C94=0,"",'03 - Monthly Asset Follow up'!BE98+'03 - Monthly Asset Follow up'!BF98-'03 - Monthly Asset Follow up'!BU98+'03 - Monthly Asset Follow up'!BX98-AA94)</f>
        <v/>
      </c>
      <c r="AX94" s="154"/>
    </row>
    <row r="95" spans="2:50">
      <c r="B95" s="730" t="str">
        <f t="shared" si="14"/>
        <v/>
      </c>
      <c r="C95" s="733">
        <f>'03 - Monthly Asset Follow up'!B99</f>
        <v>0</v>
      </c>
      <c r="D95" s="149"/>
      <c r="E95" s="726" t="str">
        <f>IF($C95=0,"",SUMIFS(INPUT_DATA!AV:AV,INPUT_DATA!$A:$A,$C95,INPUT_DATA!$C:$C,"S"))</f>
        <v/>
      </c>
      <c r="F95" s="738" t="str">
        <f>IF($C95=0,"",SUMIFS(INPUT_DATA!AW:AW,INPUT_DATA!$A:$A,$C95,INPUT_DATA!$C:$C,"S"))</f>
        <v/>
      </c>
      <c r="G95" s="738" t="str">
        <f>IF($C95=0,"",SUMIFS(INPUT_DATA!AX:AX,INPUT_DATA!$A:$A,$C95,INPUT_DATA!$C:$C,"S"))</f>
        <v/>
      </c>
      <c r="H95" s="740" t="str">
        <f t="shared" si="10"/>
        <v/>
      </c>
      <c r="I95" s="738" t="str">
        <f>IF($C95=0,"",SUMIFS(INPUT_DATA!AZ:AZ,INPUT_DATA!$A:$A,$C95,INPUT_DATA!$C:$C,"S"))</f>
        <v/>
      </c>
      <c r="J95" s="738" t="str">
        <f>IF($C95=0,"",SUMIFS(INPUT_DATA!BA:BA,INPUT_DATA!$A:$A,$C95,INPUT_DATA!$C:$C,"S"))</f>
        <v/>
      </c>
      <c r="K95" s="738" t="str">
        <f>IF($C95=0,"",SUMIFS(INPUT_DATA!BB:BB,INPUT_DATA!$A:$A,$C95,INPUT_DATA!$C:$C,"S"))</f>
        <v/>
      </c>
      <c r="L95" s="738" t="str">
        <f>IF($C95=0,"",SUMIFS(INPUT_DATA!BC:BC,INPUT_DATA!$A:$A,$C95,INPUT_DATA!$C:$C,"S"))</f>
        <v/>
      </c>
      <c r="M95" s="738" t="str">
        <f>IF($C95=0,"",SUMIFS(INPUT_DATA!BD:BD,INPUT_DATA!$A:$A,$C95,INPUT_DATA!$C:$C,"S"))</f>
        <v/>
      </c>
      <c r="N95" s="738" t="str">
        <f>IF($C95=0,"",SUMIFS(INPUT_DATA!BE:BE,INPUT_DATA!$A:$A,$C95,INPUT_DATA!$C:$C,"S"))</f>
        <v/>
      </c>
      <c r="O95" s="738" t="str">
        <f>IF($C95=0,"",SUMIFS(INPUT_DATA!BF:BF,INPUT_DATA!$A:$A,$C95,INPUT_DATA!$C:$C,"S"))</f>
        <v/>
      </c>
      <c r="P95" s="738" t="str">
        <f>IF($C95=0,"",SUMIFS(INPUT_DATA!BG:BG,INPUT_DATA!$A:$A,$C95,INPUT_DATA!$C:$C,"S"))</f>
        <v/>
      </c>
      <c r="Q95" s="744" t="str">
        <f t="shared" si="15"/>
        <v/>
      </c>
      <c r="R95" s="746" t="str">
        <f>IF($C95=0,"",SUMIFS(INPUT_DATA!BI:BI,INPUT_DATA!$A:$A,$C95,INPUT_DATA!$C:$C,"S"))</f>
        <v/>
      </c>
      <c r="S95" s="746" t="str">
        <f>IF($C95=0,"",SUMIFS(INPUT_DATA!BJ:BJ,INPUT_DATA!$A:$A,$C95,INPUT_DATA!$C:$C,"S"))</f>
        <v/>
      </c>
      <c r="T95" s="744" t="str">
        <f t="shared" si="16"/>
        <v/>
      </c>
      <c r="U95" s="749" t="str">
        <f>IF($C95=0,"",SUMIFS(INPUT_DATA!BM:BM,INPUT_DATA!$A:$A,$C95,INPUT_DATA!$C:$C,"S"))</f>
        <v/>
      </c>
      <c r="V95" s="155" t="str">
        <f t="shared" si="11"/>
        <v/>
      </c>
      <c r="W95" s="149"/>
      <c r="X95" s="726" t="str">
        <f>IF($C95=0,"",SUMIFS(INPUT_DATA!AV:AV,INPUT_DATA!$A:$A,$C95,INPUT_DATA!$C:$C,"D"))</f>
        <v/>
      </c>
      <c r="Y95" s="738" t="str">
        <f>IF($C95=0,"",SUMIFS(INPUT_DATA!AW:AW,INPUT_DATA!$A:$A,$C95,INPUT_DATA!$C:$C,"D"))</f>
        <v/>
      </c>
      <c r="Z95" s="738" t="str">
        <f>IF($C95=0,"",SUMIFS(INPUT_DATA!AX:AX,INPUT_DATA!$A:$A,$C95,INPUT_DATA!$C:$C,"D"))</f>
        <v/>
      </c>
      <c r="AA95" s="739" t="str">
        <f t="shared" si="12"/>
        <v/>
      </c>
      <c r="AB95" s="738" t="str">
        <f>IF($C95=0,"",SUMIFS(INPUT_DATA!AZ:AZ,INPUT_DATA!$A:$A,$C95,INPUT_DATA!$C:$C,"D"))</f>
        <v/>
      </c>
      <c r="AC95" s="738" t="str">
        <f>IF($C95=0,"",SUMIFS(INPUT_DATA!BA:BA,INPUT_DATA!$A:$A,$C95,INPUT_DATA!$C:$C,"D"))</f>
        <v/>
      </c>
      <c r="AD95" s="738" t="str">
        <f>IF($C95=0,"",SUMIFS(INPUT_DATA!BB:BB,INPUT_DATA!$A:$A,$C95,INPUT_DATA!$C:$C,"D"))</f>
        <v/>
      </c>
      <c r="AE95" s="738" t="str">
        <f>IF($C95=0,"",SUMIFS(INPUT_DATA!BC:BC,INPUT_DATA!$A:$A,$C95,INPUT_DATA!$C:$C,"D"))</f>
        <v/>
      </c>
      <c r="AF95" s="738" t="str">
        <f>IF($C95=0,"",SUMIFS(INPUT_DATA!BD:BD,INPUT_DATA!$A:$A,$C95,INPUT_DATA!$C:$C,"D"))</f>
        <v/>
      </c>
      <c r="AG95" s="738" t="str">
        <f>IF($C95=0,"",SUMIFS(INPUT_DATA!BE:BE,INPUT_DATA!$A:$A,$C95,INPUT_DATA!$C:$C,"D"))</f>
        <v/>
      </c>
      <c r="AH95" s="738" t="str">
        <f>IF($C95=0,"",SUMIFS(INPUT_DATA!BF:BF,INPUT_DATA!$A:$A,$C95,INPUT_DATA!$C:$C,"D"))</f>
        <v/>
      </c>
      <c r="AI95" s="738" t="str">
        <f>IF($C95=0,"",SUMIFS(INPUT_DATA!BG:BG,INPUT_DATA!$A:$A,$C95,INPUT_DATA!$C:$C,"D"))</f>
        <v/>
      </c>
      <c r="AJ95" s="299" t="str">
        <f t="shared" si="13"/>
        <v/>
      </c>
      <c r="AK95" s="746" t="str">
        <f>IF($C95=0,"",SUMIFS(INPUT_DATA!BI:BI,INPUT_DATA!$A:$A,$C95,INPUT_DATA!$C:$C,"D"))</f>
        <v/>
      </c>
      <c r="AL95" s="746" t="str">
        <f>IF($C95=0,"",SUMIFS(INPUT_DATA!BJ:BJ,INPUT_DATA!$A:$A,$C95,INPUT_DATA!$C:$C,"D"))</f>
        <v/>
      </c>
      <c r="AM95" s="746" t="str">
        <f>IF($C95=0,"",SUMIFS(INPUT_DATA!BK:BK,INPUT_DATA!$A:$A,$C95,INPUT_DATA!$C:$C,"D"))</f>
        <v/>
      </c>
      <c r="AN95" s="744" t="str">
        <f t="shared" si="17"/>
        <v/>
      </c>
      <c r="AO95" s="749" t="str">
        <f>IF($C95=0,"",SUMIFS(INPUT_DATA!BM:BM,INPUT_DATA!$A:$A,$C95,INPUT_DATA!$C:$C,"D"))</f>
        <v/>
      </c>
      <c r="AP95" s="338" t="str">
        <f t="shared" si="18"/>
        <v/>
      </c>
      <c r="AQ95" s="149"/>
      <c r="AS95" s="338" t="str">
        <f t="shared" si="19"/>
        <v/>
      </c>
      <c r="AU95" s="361" t="str">
        <f>IF($C95=0,"",'03 - Monthly Asset Follow up'!F99+'03 - Monthly Asset Follow up'!G99-'03 - Monthly Asset Follow up'!V99+'03 - Monthly Asset Follow up'!Y99-H95)</f>
        <v/>
      </c>
      <c r="AV95" s="361" t="str">
        <f>IF($C95=0,"",'03 - Monthly Asset Follow up'!BE99+'03 - Monthly Asset Follow up'!BF99-'03 - Monthly Asset Follow up'!BU99+'03 - Monthly Asset Follow up'!BX99-AA95)</f>
        <v/>
      </c>
      <c r="AX95" s="154"/>
    </row>
    <row r="96" spans="2:50">
      <c r="B96" s="730" t="str">
        <f t="shared" si="14"/>
        <v/>
      </c>
      <c r="C96" s="733">
        <f>'03 - Monthly Asset Follow up'!B100</f>
        <v>0</v>
      </c>
      <c r="D96" s="149"/>
      <c r="E96" s="726" t="str">
        <f>IF($C96=0,"",SUMIFS(INPUT_DATA!AV:AV,INPUT_DATA!$A:$A,$C96,INPUT_DATA!$C:$C,"S"))</f>
        <v/>
      </c>
      <c r="F96" s="738" t="str">
        <f>IF($C96=0,"",SUMIFS(INPUT_DATA!AW:AW,INPUT_DATA!$A:$A,$C96,INPUT_DATA!$C:$C,"S"))</f>
        <v/>
      </c>
      <c r="G96" s="738" t="str">
        <f>IF($C96=0,"",SUMIFS(INPUT_DATA!AX:AX,INPUT_DATA!$A:$A,$C96,INPUT_DATA!$C:$C,"S"))</f>
        <v/>
      </c>
      <c r="H96" s="740" t="str">
        <f t="shared" si="10"/>
        <v/>
      </c>
      <c r="I96" s="738" t="str">
        <f>IF($C96=0,"",SUMIFS(INPUT_DATA!AZ:AZ,INPUT_DATA!$A:$A,$C96,INPUT_DATA!$C:$C,"S"))</f>
        <v/>
      </c>
      <c r="J96" s="738" t="str">
        <f>IF($C96=0,"",SUMIFS(INPUT_DATA!BA:BA,INPUT_DATA!$A:$A,$C96,INPUT_DATA!$C:$C,"S"))</f>
        <v/>
      </c>
      <c r="K96" s="738" t="str">
        <f>IF($C96=0,"",SUMIFS(INPUT_DATA!BB:BB,INPUT_DATA!$A:$A,$C96,INPUT_DATA!$C:$C,"S"))</f>
        <v/>
      </c>
      <c r="L96" s="738" t="str">
        <f>IF($C96=0,"",SUMIFS(INPUT_DATA!BC:BC,INPUT_DATA!$A:$A,$C96,INPUT_DATA!$C:$C,"S"))</f>
        <v/>
      </c>
      <c r="M96" s="738" t="str">
        <f>IF($C96=0,"",SUMIFS(INPUT_DATA!BD:BD,INPUT_DATA!$A:$A,$C96,INPUT_DATA!$C:$C,"S"))</f>
        <v/>
      </c>
      <c r="N96" s="738" t="str">
        <f>IF($C96=0,"",SUMIFS(INPUT_DATA!BE:BE,INPUT_DATA!$A:$A,$C96,INPUT_DATA!$C:$C,"S"))</f>
        <v/>
      </c>
      <c r="O96" s="738" t="str">
        <f>IF($C96=0,"",SUMIFS(INPUT_DATA!BF:BF,INPUT_DATA!$A:$A,$C96,INPUT_DATA!$C:$C,"S"))</f>
        <v/>
      </c>
      <c r="P96" s="738" t="str">
        <f>IF($C96=0,"",SUMIFS(INPUT_DATA!BG:BG,INPUT_DATA!$A:$A,$C96,INPUT_DATA!$C:$C,"S"))</f>
        <v/>
      </c>
      <c r="Q96" s="744" t="str">
        <f t="shared" si="15"/>
        <v/>
      </c>
      <c r="R96" s="746" t="str">
        <f>IF($C96=0,"",SUMIFS(INPUT_DATA!BI:BI,INPUT_DATA!$A:$A,$C96,INPUT_DATA!$C:$C,"S"))</f>
        <v/>
      </c>
      <c r="S96" s="746" t="str">
        <f>IF($C96=0,"",SUMIFS(INPUT_DATA!BJ:BJ,INPUT_DATA!$A:$A,$C96,INPUT_DATA!$C:$C,"S"))</f>
        <v/>
      </c>
      <c r="T96" s="744" t="str">
        <f t="shared" si="16"/>
        <v/>
      </c>
      <c r="U96" s="749" t="str">
        <f>IF($C96=0,"",SUMIFS(INPUT_DATA!BM:BM,INPUT_DATA!$A:$A,$C96,INPUT_DATA!$C:$C,"S"))</f>
        <v/>
      </c>
      <c r="V96" s="155" t="str">
        <f t="shared" si="11"/>
        <v/>
      </c>
      <c r="W96" s="149"/>
      <c r="X96" s="726" t="str">
        <f>IF($C96=0,"",SUMIFS(INPUT_DATA!AV:AV,INPUT_DATA!$A:$A,$C96,INPUT_DATA!$C:$C,"D"))</f>
        <v/>
      </c>
      <c r="Y96" s="738" t="str">
        <f>IF($C96=0,"",SUMIFS(INPUT_DATA!AW:AW,INPUT_DATA!$A:$A,$C96,INPUT_DATA!$C:$C,"D"))</f>
        <v/>
      </c>
      <c r="Z96" s="738" t="str">
        <f>IF($C96=0,"",SUMIFS(INPUT_DATA!AX:AX,INPUT_DATA!$A:$A,$C96,INPUT_DATA!$C:$C,"D"))</f>
        <v/>
      </c>
      <c r="AA96" s="739" t="str">
        <f t="shared" si="12"/>
        <v/>
      </c>
      <c r="AB96" s="738" t="str">
        <f>IF($C96=0,"",SUMIFS(INPUT_DATA!AZ:AZ,INPUT_DATA!$A:$A,$C96,INPUT_DATA!$C:$C,"D"))</f>
        <v/>
      </c>
      <c r="AC96" s="738" t="str">
        <f>IF($C96=0,"",SUMIFS(INPUT_DATA!BA:BA,INPUT_DATA!$A:$A,$C96,INPUT_DATA!$C:$C,"D"))</f>
        <v/>
      </c>
      <c r="AD96" s="738" t="str">
        <f>IF($C96=0,"",SUMIFS(INPUT_DATA!BB:BB,INPUT_DATA!$A:$A,$C96,INPUT_DATA!$C:$C,"D"))</f>
        <v/>
      </c>
      <c r="AE96" s="738" t="str">
        <f>IF($C96=0,"",SUMIFS(INPUT_DATA!BC:BC,INPUT_DATA!$A:$A,$C96,INPUT_DATA!$C:$C,"D"))</f>
        <v/>
      </c>
      <c r="AF96" s="738" t="str">
        <f>IF($C96=0,"",SUMIFS(INPUT_DATA!BD:BD,INPUT_DATA!$A:$A,$C96,INPUT_DATA!$C:$C,"D"))</f>
        <v/>
      </c>
      <c r="AG96" s="738" t="str">
        <f>IF($C96=0,"",SUMIFS(INPUT_DATA!BE:BE,INPUT_DATA!$A:$A,$C96,INPUT_DATA!$C:$C,"D"))</f>
        <v/>
      </c>
      <c r="AH96" s="738" t="str">
        <f>IF($C96=0,"",SUMIFS(INPUT_DATA!BF:BF,INPUT_DATA!$A:$A,$C96,INPUT_DATA!$C:$C,"D"))</f>
        <v/>
      </c>
      <c r="AI96" s="738" t="str">
        <f>IF($C96=0,"",SUMIFS(INPUT_DATA!BG:BG,INPUT_DATA!$A:$A,$C96,INPUT_DATA!$C:$C,"D"))</f>
        <v/>
      </c>
      <c r="AJ96" s="299" t="str">
        <f t="shared" si="13"/>
        <v/>
      </c>
      <c r="AK96" s="746" t="str">
        <f>IF($C96=0,"",SUMIFS(INPUT_DATA!BI:BI,INPUT_DATA!$A:$A,$C96,INPUT_DATA!$C:$C,"D"))</f>
        <v/>
      </c>
      <c r="AL96" s="746" t="str">
        <f>IF($C96=0,"",SUMIFS(INPUT_DATA!BJ:BJ,INPUT_DATA!$A:$A,$C96,INPUT_DATA!$C:$C,"D"))</f>
        <v/>
      </c>
      <c r="AM96" s="746" t="str">
        <f>IF($C96=0,"",SUMIFS(INPUT_DATA!BK:BK,INPUT_DATA!$A:$A,$C96,INPUT_DATA!$C:$C,"D"))</f>
        <v/>
      </c>
      <c r="AN96" s="744" t="str">
        <f t="shared" si="17"/>
        <v/>
      </c>
      <c r="AO96" s="749" t="str">
        <f>IF($C96=0,"",SUMIFS(INPUT_DATA!BM:BM,INPUT_DATA!$A:$A,$C96,INPUT_DATA!$C:$C,"D"))</f>
        <v/>
      </c>
      <c r="AP96" s="338" t="str">
        <f t="shared" si="18"/>
        <v/>
      </c>
      <c r="AQ96" s="149"/>
      <c r="AS96" s="338" t="str">
        <f t="shared" si="19"/>
        <v/>
      </c>
      <c r="AU96" s="361" t="str">
        <f>IF($C96=0,"",'03 - Monthly Asset Follow up'!F100+'03 - Monthly Asset Follow up'!G100-'03 - Monthly Asset Follow up'!V100+'03 - Monthly Asset Follow up'!Y100-H96)</f>
        <v/>
      </c>
      <c r="AV96" s="361" t="str">
        <f>IF($C96=0,"",'03 - Monthly Asset Follow up'!BE100+'03 - Monthly Asset Follow up'!BF100-'03 - Monthly Asset Follow up'!BU100+'03 - Monthly Asset Follow up'!BX100-AA96)</f>
        <v/>
      </c>
      <c r="AX96" s="154"/>
    </row>
    <row r="97" spans="2:50">
      <c r="B97" s="730" t="str">
        <f t="shared" si="14"/>
        <v/>
      </c>
      <c r="C97" s="733">
        <f>'03 - Monthly Asset Follow up'!B101</f>
        <v>0</v>
      </c>
      <c r="D97" s="149"/>
      <c r="E97" s="726" t="str">
        <f>IF($C97=0,"",SUMIFS(INPUT_DATA!AV:AV,INPUT_DATA!$A:$A,$C97,INPUT_DATA!$C:$C,"S"))</f>
        <v/>
      </c>
      <c r="F97" s="738" t="str">
        <f>IF($C97=0,"",SUMIFS(INPUT_DATA!AW:AW,INPUT_DATA!$A:$A,$C97,INPUT_DATA!$C:$C,"S"))</f>
        <v/>
      </c>
      <c r="G97" s="738" t="str">
        <f>IF($C97=0,"",SUMIFS(INPUT_DATA!AX:AX,INPUT_DATA!$A:$A,$C97,INPUT_DATA!$C:$C,"S"))</f>
        <v/>
      </c>
      <c r="H97" s="740" t="str">
        <f t="shared" si="10"/>
        <v/>
      </c>
      <c r="I97" s="738" t="str">
        <f>IF($C97=0,"",SUMIFS(INPUT_DATA!AZ:AZ,INPUT_DATA!$A:$A,$C97,INPUT_DATA!$C:$C,"S"))</f>
        <v/>
      </c>
      <c r="J97" s="738" t="str">
        <f>IF($C97=0,"",SUMIFS(INPUT_DATA!BA:BA,INPUT_DATA!$A:$A,$C97,INPUT_DATA!$C:$C,"S"))</f>
        <v/>
      </c>
      <c r="K97" s="738" t="str">
        <f>IF($C97=0,"",SUMIFS(INPUT_DATA!BB:BB,INPUT_DATA!$A:$A,$C97,INPUT_DATA!$C:$C,"S"))</f>
        <v/>
      </c>
      <c r="L97" s="738" t="str">
        <f>IF($C97=0,"",SUMIFS(INPUT_DATA!BC:BC,INPUT_DATA!$A:$A,$C97,INPUT_DATA!$C:$C,"S"))</f>
        <v/>
      </c>
      <c r="M97" s="738" t="str">
        <f>IF($C97=0,"",SUMIFS(INPUT_DATA!BD:BD,INPUT_DATA!$A:$A,$C97,INPUT_DATA!$C:$C,"S"))</f>
        <v/>
      </c>
      <c r="N97" s="738" t="str">
        <f>IF($C97=0,"",SUMIFS(INPUT_DATA!BE:BE,INPUT_DATA!$A:$A,$C97,INPUT_DATA!$C:$C,"S"))</f>
        <v/>
      </c>
      <c r="O97" s="738" t="str">
        <f>IF($C97=0,"",SUMIFS(INPUT_DATA!BF:BF,INPUT_DATA!$A:$A,$C97,INPUT_DATA!$C:$C,"S"))</f>
        <v/>
      </c>
      <c r="P97" s="738" t="str">
        <f>IF($C97=0,"",SUMIFS(INPUT_DATA!BG:BG,INPUT_DATA!$A:$A,$C97,INPUT_DATA!$C:$C,"S"))</f>
        <v/>
      </c>
      <c r="Q97" s="744" t="str">
        <f t="shared" si="15"/>
        <v/>
      </c>
      <c r="R97" s="746" t="str">
        <f>IF($C97=0,"",SUMIFS(INPUT_DATA!BI:BI,INPUT_DATA!$A:$A,$C97,INPUT_DATA!$C:$C,"S"))</f>
        <v/>
      </c>
      <c r="S97" s="746" t="str">
        <f>IF($C97=0,"",SUMIFS(INPUT_DATA!BJ:BJ,INPUT_DATA!$A:$A,$C97,INPUT_DATA!$C:$C,"S"))</f>
        <v/>
      </c>
      <c r="T97" s="744" t="str">
        <f t="shared" si="16"/>
        <v/>
      </c>
      <c r="U97" s="749" t="str">
        <f>IF($C97=0,"",SUMIFS(INPUT_DATA!BM:BM,INPUT_DATA!$A:$A,$C97,INPUT_DATA!$C:$C,"S"))</f>
        <v/>
      </c>
      <c r="V97" s="155" t="str">
        <f t="shared" si="11"/>
        <v/>
      </c>
      <c r="W97" s="149"/>
      <c r="X97" s="726" t="str">
        <f>IF($C97=0,"",SUMIFS(INPUT_DATA!AV:AV,INPUT_DATA!$A:$A,$C97,INPUT_DATA!$C:$C,"D"))</f>
        <v/>
      </c>
      <c r="Y97" s="738" t="str">
        <f>IF($C97=0,"",SUMIFS(INPUT_DATA!AW:AW,INPUT_DATA!$A:$A,$C97,INPUT_DATA!$C:$C,"D"))</f>
        <v/>
      </c>
      <c r="Z97" s="738" t="str">
        <f>IF($C97=0,"",SUMIFS(INPUT_DATA!AX:AX,INPUT_DATA!$A:$A,$C97,INPUT_DATA!$C:$C,"D"))</f>
        <v/>
      </c>
      <c r="AA97" s="739" t="str">
        <f t="shared" si="12"/>
        <v/>
      </c>
      <c r="AB97" s="738" t="str">
        <f>IF($C97=0,"",SUMIFS(INPUT_DATA!AZ:AZ,INPUT_DATA!$A:$A,$C97,INPUT_DATA!$C:$C,"D"))</f>
        <v/>
      </c>
      <c r="AC97" s="738" t="str">
        <f>IF($C97=0,"",SUMIFS(INPUT_DATA!BA:BA,INPUT_DATA!$A:$A,$C97,INPUT_DATA!$C:$C,"D"))</f>
        <v/>
      </c>
      <c r="AD97" s="738" t="str">
        <f>IF($C97=0,"",SUMIFS(INPUT_DATA!BB:BB,INPUT_DATA!$A:$A,$C97,INPUT_DATA!$C:$C,"D"))</f>
        <v/>
      </c>
      <c r="AE97" s="738" t="str">
        <f>IF($C97=0,"",SUMIFS(INPUT_DATA!BC:BC,INPUT_DATA!$A:$A,$C97,INPUT_DATA!$C:$C,"D"))</f>
        <v/>
      </c>
      <c r="AF97" s="738" t="str">
        <f>IF($C97=0,"",SUMIFS(INPUT_DATA!BD:BD,INPUT_DATA!$A:$A,$C97,INPUT_DATA!$C:$C,"D"))</f>
        <v/>
      </c>
      <c r="AG97" s="738" t="str">
        <f>IF($C97=0,"",SUMIFS(INPUT_DATA!BE:BE,INPUT_DATA!$A:$A,$C97,INPUT_DATA!$C:$C,"D"))</f>
        <v/>
      </c>
      <c r="AH97" s="738" t="str">
        <f>IF($C97=0,"",SUMIFS(INPUT_DATA!BF:BF,INPUT_DATA!$A:$A,$C97,INPUT_DATA!$C:$C,"D"))</f>
        <v/>
      </c>
      <c r="AI97" s="738" t="str">
        <f>IF($C97=0,"",SUMIFS(INPUT_DATA!BG:BG,INPUT_DATA!$A:$A,$C97,INPUT_DATA!$C:$C,"D"))</f>
        <v/>
      </c>
      <c r="AJ97" s="299" t="str">
        <f t="shared" si="13"/>
        <v/>
      </c>
      <c r="AK97" s="746" t="str">
        <f>IF($C97=0,"",SUMIFS(INPUT_DATA!BI:BI,INPUT_DATA!$A:$A,$C97,INPUT_DATA!$C:$C,"D"))</f>
        <v/>
      </c>
      <c r="AL97" s="746" t="str">
        <f>IF($C97=0,"",SUMIFS(INPUT_DATA!BJ:BJ,INPUT_DATA!$A:$A,$C97,INPUT_DATA!$C:$C,"D"))</f>
        <v/>
      </c>
      <c r="AM97" s="746" t="str">
        <f>IF($C97=0,"",SUMIFS(INPUT_DATA!BK:BK,INPUT_DATA!$A:$A,$C97,INPUT_DATA!$C:$C,"D"))</f>
        <v/>
      </c>
      <c r="AN97" s="744" t="str">
        <f t="shared" si="17"/>
        <v/>
      </c>
      <c r="AO97" s="749" t="str">
        <f>IF($C97=0,"",SUMIFS(INPUT_DATA!BM:BM,INPUT_DATA!$A:$A,$C97,INPUT_DATA!$C:$C,"D"))</f>
        <v/>
      </c>
      <c r="AP97" s="338" t="str">
        <f t="shared" si="18"/>
        <v/>
      </c>
      <c r="AQ97" s="149"/>
      <c r="AS97" s="338" t="str">
        <f t="shared" si="19"/>
        <v/>
      </c>
      <c r="AU97" s="361" t="str">
        <f>IF($C97=0,"",'03 - Monthly Asset Follow up'!F101+'03 - Monthly Asset Follow up'!G101-'03 - Monthly Asset Follow up'!V101+'03 - Monthly Asset Follow up'!Y101-H97)</f>
        <v/>
      </c>
      <c r="AV97" s="361" t="str">
        <f>IF($C97=0,"",'03 - Monthly Asset Follow up'!BE101+'03 - Monthly Asset Follow up'!BF101-'03 - Monthly Asset Follow up'!BU101+'03 - Monthly Asset Follow up'!BX101-AA97)</f>
        <v/>
      </c>
      <c r="AX97" s="154"/>
    </row>
    <row r="98" spans="2:50">
      <c r="B98" s="730" t="str">
        <f t="shared" si="14"/>
        <v/>
      </c>
      <c r="C98" s="733">
        <f>'03 - Monthly Asset Follow up'!B102</f>
        <v>0</v>
      </c>
      <c r="D98" s="149"/>
      <c r="E98" s="726" t="str">
        <f>IF($C98=0,"",SUMIFS(INPUT_DATA!AV:AV,INPUT_DATA!$A:$A,$C98,INPUT_DATA!$C:$C,"S"))</f>
        <v/>
      </c>
      <c r="F98" s="738" t="str">
        <f>IF($C98=0,"",SUMIFS(INPUT_DATA!AW:AW,INPUT_DATA!$A:$A,$C98,INPUT_DATA!$C:$C,"S"))</f>
        <v/>
      </c>
      <c r="G98" s="738" t="str">
        <f>IF($C98=0,"",SUMIFS(INPUT_DATA!AX:AX,INPUT_DATA!$A:$A,$C98,INPUT_DATA!$C:$C,"S"))</f>
        <v/>
      </c>
      <c r="H98" s="740" t="str">
        <f t="shared" si="10"/>
        <v/>
      </c>
      <c r="I98" s="738" t="str">
        <f>IF($C98=0,"",SUMIFS(INPUT_DATA!AZ:AZ,INPUT_DATA!$A:$A,$C98,INPUT_DATA!$C:$C,"S"))</f>
        <v/>
      </c>
      <c r="J98" s="738" t="str">
        <f>IF($C98=0,"",SUMIFS(INPUT_DATA!BA:BA,INPUT_DATA!$A:$A,$C98,INPUT_DATA!$C:$C,"S"))</f>
        <v/>
      </c>
      <c r="K98" s="738" t="str">
        <f>IF($C98=0,"",SUMIFS(INPUT_DATA!BB:BB,INPUT_DATA!$A:$A,$C98,INPUT_DATA!$C:$C,"S"))</f>
        <v/>
      </c>
      <c r="L98" s="738" t="str">
        <f>IF($C98=0,"",SUMIFS(INPUT_DATA!BC:BC,INPUT_DATA!$A:$A,$C98,INPUT_DATA!$C:$C,"S"))</f>
        <v/>
      </c>
      <c r="M98" s="738" t="str">
        <f>IF($C98=0,"",SUMIFS(INPUT_DATA!BD:BD,INPUT_DATA!$A:$A,$C98,INPUT_DATA!$C:$C,"S"))</f>
        <v/>
      </c>
      <c r="N98" s="738" t="str">
        <f>IF($C98=0,"",SUMIFS(INPUT_DATA!BE:BE,INPUT_DATA!$A:$A,$C98,INPUT_DATA!$C:$C,"S"))</f>
        <v/>
      </c>
      <c r="O98" s="738" t="str">
        <f>IF($C98=0,"",SUMIFS(INPUT_DATA!BF:BF,INPUT_DATA!$A:$A,$C98,INPUT_DATA!$C:$C,"S"))</f>
        <v/>
      </c>
      <c r="P98" s="738" t="str">
        <f>IF($C98=0,"",SUMIFS(INPUT_DATA!BG:BG,INPUT_DATA!$A:$A,$C98,INPUT_DATA!$C:$C,"S"))</f>
        <v/>
      </c>
      <c r="Q98" s="744" t="str">
        <f t="shared" si="15"/>
        <v/>
      </c>
      <c r="R98" s="746" t="str">
        <f>IF($C98=0,"",SUMIFS(INPUT_DATA!BI:BI,INPUT_DATA!$A:$A,$C98,INPUT_DATA!$C:$C,"S"))</f>
        <v/>
      </c>
      <c r="S98" s="746" t="str">
        <f>IF($C98=0,"",SUMIFS(INPUT_DATA!BJ:BJ,INPUT_DATA!$A:$A,$C98,INPUT_DATA!$C:$C,"S"))</f>
        <v/>
      </c>
      <c r="T98" s="744" t="str">
        <f t="shared" si="16"/>
        <v/>
      </c>
      <c r="U98" s="749" t="str">
        <f>IF($C98=0,"",SUMIFS(INPUT_DATA!BM:BM,INPUT_DATA!$A:$A,$C98,INPUT_DATA!$C:$C,"S"))</f>
        <v/>
      </c>
      <c r="V98" s="155" t="str">
        <f t="shared" si="11"/>
        <v/>
      </c>
      <c r="W98" s="149"/>
      <c r="X98" s="726" t="str">
        <f>IF($C98=0,"",SUMIFS(INPUT_DATA!AV:AV,INPUT_DATA!$A:$A,$C98,INPUT_DATA!$C:$C,"D"))</f>
        <v/>
      </c>
      <c r="Y98" s="738" t="str">
        <f>IF($C98=0,"",SUMIFS(INPUT_DATA!AW:AW,INPUT_DATA!$A:$A,$C98,INPUT_DATA!$C:$C,"D"))</f>
        <v/>
      </c>
      <c r="Z98" s="738" t="str">
        <f>IF($C98=0,"",SUMIFS(INPUT_DATA!AX:AX,INPUT_DATA!$A:$A,$C98,INPUT_DATA!$C:$C,"D"))</f>
        <v/>
      </c>
      <c r="AA98" s="739" t="str">
        <f t="shared" si="12"/>
        <v/>
      </c>
      <c r="AB98" s="738" t="str">
        <f>IF($C98=0,"",SUMIFS(INPUT_DATA!AZ:AZ,INPUT_DATA!$A:$A,$C98,INPUT_DATA!$C:$C,"D"))</f>
        <v/>
      </c>
      <c r="AC98" s="738" t="str">
        <f>IF($C98=0,"",SUMIFS(INPUT_DATA!BA:BA,INPUT_DATA!$A:$A,$C98,INPUT_DATA!$C:$C,"D"))</f>
        <v/>
      </c>
      <c r="AD98" s="738" t="str">
        <f>IF($C98=0,"",SUMIFS(INPUT_DATA!BB:BB,INPUT_DATA!$A:$A,$C98,INPUT_DATA!$C:$C,"D"))</f>
        <v/>
      </c>
      <c r="AE98" s="738" t="str">
        <f>IF($C98=0,"",SUMIFS(INPUT_DATA!BC:BC,INPUT_DATA!$A:$A,$C98,INPUT_DATA!$C:$C,"D"))</f>
        <v/>
      </c>
      <c r="AF98" s="738" t="str">
        <f>IF($C98=0,"",SUMIFS(INPUT_DATA!BD:BD,INPUT_DATA!$A:$A,$C98,INPUT_DATA!$C:$C,"D"))</f>
        <v/>
      </c>
      <c r="AG98" s="738" t="str">
        <f>IF($C98=0,"",SUMIFS(INPUT_DATA!BE:BE,INPUT_DATA!$A:$A,$C98,INPUT_DATA!$C:$C,"D"))</f>
        <v/>
      </c>
      <c r="AH98" s="738" t="str">
        <f>IF($C98=0,"",SUMIFS(INPUT_DATA!BF:BF,INPUT_DATA!$A:$A,$C98,INPUT_DATA!$C:$C,"D"))</f>
        <v/>
      </c>
      <c r="AI98" s="738" t="str">
        <f>IF($C98=0,"",SUMIFS(INPUT_DATA!BG:BG,INPUT_DATA!$A:$A,$C98,INPUT_DATA!$C:$C,"D"))</f>
        <v/>
      </c>
      <c r="AJ98" s="299" t="str">
        <f t="shared" si="13"/>
        <v/>
      </c>
      <c r="AK98" s="746" t="str">
        <f>IF($C98=0,"",SUMIFS(INPUT_DATA!BI:BI,INPUT_DATA!$A:$A,$C98,INPUT_DATA!$C:$C,"D"))</f>
        <v/>
      </c>
      <c r="AL98" s="746" t="str">
        <f>IF($C98=0,"",SUMIFS(INPUT_DATA!BJ:BJ,INPUT_DATA!$A:$A,$C98,INPUT_DATA!$C:$C,"D"))</f>
        <v/>
      </c>
      <c r="AM98" s="746" t="str">
        <f>IF($C98=0,"",SUMIFS(INPUT_DATA!BK:BK,INPUT_DATA!$A:$A,$C98,INPUT_DATA!$C:$C,"D"))</f>
        <v/>
      </c>
      <c r="AN98" s="744" t="str">
        <f t="shared" si="17"/>
        <v/>
      </c>
      <c r="AO98" s="749" t="str">
        <f>IF($C98=0,"",SUMIFS(INPUT_DATA!BM:BM,INPUT_DATA!$A:$A,$C98,INPUT_DATA!$C:$C,"D"))</f>
        <v/>
      </c>
      <c r="AP98" s="338" t="str">
        <f t="shared" si="18"/>
        <v/>
      </c>
      <c r="AQ98" s="149"/>
      <c r="AS98" s="338" t="str">
        <f t="shared" si="19"/>
        <v/>
      </c>
      <c r="AU98" s="361" t="str">
        <f>IF($C98=0,"",'03 - Monthly Asset Follow up'!F102+'03 - Monthly Asset Follow up'!G102-'03 - Monthly Asset Follow up'!V102+'03 - Monthly Asset Follow up'!Y102-H98)</f>
        <v/>
      </c>
      <c r="AV98" s="361" t="str">
        <f>IF($C98=0,"",'03 - Monthly Asset Follow up'!BE102+'03 - Monthly Asset Follow up'!BF102-'03 - Monthly Asset Follow up'!BU102+'03 - Monthly Asset Follow up'!BX102-AA98)</f>
        <v/>
      </c>
      <c r="AX98" s="154"/>
    </row>
    <row r="99" spans="2:50">
      <c r="B99" s="730" t="str">
        <f t="shared" si="14"/>
        <v/>
      </c>
      <c r="C99" s="733">
        <f>'03 - Monthly Asset Follow up'!B103</f>
        <v>0</v>
      </c>
      <c r="D99" s="149"/>
      <c r="E99" s="726" t="str">
        <f>IF($C99=0,"",SUMIFS(INPUT_DATA!AV:AV,INPUT_DATA!$A:$A,$C99,INPUT_DATA!$C:$C,"S"))</f>
        <v/>
      </c>
      <c r="F99" s="738" t="str">
        <f>IF($C99=0,"",SUMIFS(INPUT_DATA!AW:AW,INPUT_DATA!$A:$A,$C99,INPUT_DATA!$C:$C,"S"))</f>
        <v/>
      </c>
      <c r="G99" s="738" t="str">
        <f>IF($C99=0,"",SUMIFS(INPUT_DATA!AX:AX,INPUT_DATA!$A:$A,$C99,INPUT_DATA!$C:$C,"S"))</f>
        <v/>
      </c>
      <c r="H99" s="740" t="str">
        <f t="shared" si="10"/>
        <v/>
      </c>
      <c r="I99" s="738" t="str">
        <f>IF($C99=0,"",SUMIFS(INPUT_DATA!AZ:AZ,INPUT_DATA!$A:$A,$C99,INPUT_DATA!$C:$C,"S"))</f>
        <v/>
      </c>
      <c r="J99" s="738" t="str">
        <f>IF($C99=0,"",SUMIFS(INPUT_DATA!BA:BA,INPUT_DATA!$A:$A,$C99,INPUT_DATA!$C:$C,"S"))</f>
        <v/>
      </c>
      <c r="K99" s="738" t="str">
        <f>IF($C99=0,"",SUMIFS(INPUT_DATA!BB:BB,INPUT_DATA!$A:$A,$C99,INPUT_DATA!$C:$C,"S"))</f>
        <v/>
      </c>
      <c r="L99" s="738" t="str">
        <f>IF($C99=0,"",SUMIFS(INPUT_DATA!BC:BC,INPUT_DATA!$A:$A,$C99,INPUT_DATA!$C:$C,"S"))</f>
        <v/>
      </c>
      <c r="M99" s="738" t="str">
        <f>IF($C99=0,"",SUMIFS(INPUT_DATA!BD:BD,INPUT_DATA!$A:$A,$C99,INPUT_DATA!$C:$C,"S"))</f>
        <v/>
      </c>
      <c r="N99" s="738" t="str">
        <f>IF($C99=0,"",SUMIFS(INPUT_DATA!BE:BE,INPUT_DATA!$A:$A,$C99,INPUT_DATA!$C:$C,"S"))</f>
        <v/>
      </c>
      <c r="O99" s="738" t="str">
        <f>IF($C99=0,"",SUMIFS(INPUT_DATA!BF:BF,INPUT_DATA!$A:$A,$C99,INPUT_DATA!$C:$C,"S"))</f>
        <v/>
      </c>
      <c r="P99" s="738" t="str">
        <f>IF($C99=0,"",SUMIFS(INPUT_DATA!BG:BG,INPUT_DATA!$A:$A,$C99,INPUT_DATA!$C:$C,"S"))</f>
        <v/>
      </c>
      <c r="Q99" s="744" t="str">
        <f t="shared" si="15"/>
        <v/>
      </c>
      <c r="R99" s="746" t="str">
        <f>IF($C99=0,"",SUMIFS(INPUT_DATA!BI:BI,INPUT_DATA!$A:$A,$C99,INPUT_DATA!$C:$C,"S"))</f>
        <v/>
      </c>
      <c r="S99" s="746" t="str">
        <f>IF($C99=0,"",SUMIFS(INPUT_DATA!BJ:BJ,INPUT_DATA!$A:$A,$C99,INPUT_DATA!$C:$C,"S"))</f>
        <v/>
      </c>
      <c r="T99" s="744" t="str">
        <f t="shared" si="16"/>
        <v/>
      </c>
      <c r="U99" s="749" t="str">
        <f>IF($C99=0,"",SUMIFS(INPUT_DATA!BM:BM,INPUT_DATA!$A:$A,$C99,INPUT_DATA!$C:$C,"S"))</f>
        <v/>
      </c>
      <c r="V99" s="155" t="str">
        <f t="shared" si="11"/>
        <v/>
      </c>
      <c r="W99" s="149"/>
      <c r="X99" s="726" t="str">
        <f>IF($C99=0,"",SUMIFS(INPUT_DATA!AV:AV,INPUT_DATA!$A:$A,$C99,INPUT_DATA!$C:$C,"D"))</f>
        <v/>
      </c>
      <c r="Y99" s="738" t="str">
        <f>IF($C99=0,"",SUMIFS(INPUT_DATA!AW:AW,INPUT_DATA!$A:$A,$C99,INPUT_DATA!$C:$C,"D"))</f>
        <v/>
      </c>
      <c r="Z99" s="738" t="str">
        <f>IF($C99=0,"",SUMIFS(INPUT_DATA!AX:AX,INPUT_DATA!$A:$A,$C99,INPUT_DATA!$C:$C,"D"))</f>
        <v/>
      </c>
      <c r="AA99" s="739" t="str">
        <f t="shared" si="12"/>
        <v/>
      </c>
      <c r="AB99" s="738" t="str">
        <f>IF($C99=0,"",SUMIFS(INPUT_DATA!AZ:AZ,INPUT_DATA!$A:$A,$C99,INPUT_DATA!$C:$C,"D"))</f>
        <v/>
      </c>
      <c r="AC99" s="738" t="str">
        <f>IF($C99=0,"",SUMIFS(INPUT_DATA!BA:BA,INPUT_DATA!$A:$A,$C99,INPUT_DATA!$C:$C,"D"))</f>
        <v/>
      </c>
      <c r="AD99" s="738" t="str">
        <f>IF($C99=0,"",SUMIFS(INPUT_DATA!BB:BB,INPUT_DATA!$A:$A,$C99,INPUT_DATA!$C:$C,"D"))</f>
        <v/>
      </c>
      <c r="AE99" s="738" t="str">
        <f>IF($C99=0,"",SUMIFS(INPUT_DATA!BC:BC,INPUT_DATA!$A:$A,$C99,INPUT_DATA!$C:$C,"D"))</f>
        <v/>
      </c>
      <c r="AF99" s="738" t="str">
        <f>IF($C99=0,"",SUMIFS(INPUT_DATA!BD:BD,INPUT_DATA!$A:$A,$C99,INPUT_DATA!$C:$C,"D"))</f>
        <v/>
      </c>
      <c r="AG99" s="738" t="str">
        <f>IF($C99=0,"",SUMIFS(INPUT_DATA!BE:BE,INPUT_DATA!$A:$A,$C99,INPUT_DATA!$C:$C,"D"))</f>
        <v/>
      </c>
      <c r="AH99" s="738" t="str">
        <f>IF($C99=0,"",SUMIFS(INPUT_DATA!BF:BF,INPUT_DATA!$A:$A,$C99,INPUT_DATA!$C:$C,"D"))</f>
        <v/>
      </c>
      <c r="AI99" s="738" t="str">
        <f>IF($C99=0,"",SUMIFS(INPUT_DATA!BG:BG,INPUT_DATA!$A:$A,$C99,INPUT_DATA!$C:$C,"D"))</f>
        <v/>
      </c>
      <c r="AJ99" s="299" t="str">
        <f t="shared" si="13"/>
        <v/>
      </c>
      <c r="AK99" s="746" t="str">
        <f>IF($C99=0,"",SUMIFS(INPUT_DATA!BI:BI,INPUT_DATA!$A:$A,$C99,INPUT_DATA!$C:$C,"D"))</f>
        <v/>
      </c>
      <c r="AL99" s="746" t="str">
        <f>IF($C99=0,"",SUMIFS(INPUT_DATA!BJ:BJ,INPUT_DATA!$A:$A,$C99,INPUT_DATA!$C:$C,"D"))</f>
        <v/>
      </c>
      <c r="AM99" s="746" t="str">
        <f>IF($C99=0,"",SUMIFS(INPUT_DATA!BK:BK,INPUT_DATA!$A:$A,$C99,INPUT_DATA!$C:$C,"D"))</f>
        <v/>
      </c>
      <c r="AN99" s="744" t="str">
        <f t="shared" si="17"/>
        <v/>
      </c>
      <c r="AO99" s="749" t="str">
        <f>IF($C99=0,"",SUMIFS(INPUT_DATA!BM:BM,INPUT_DATA!$A:$A,$C99,INPUT_DATA!$C:$C,"D"))</f>
        <v/>
      </c>
      <c r="AP99" s="338" t="str">
        <f t="shared" si="18"/>
        <v/>
      </c>
      <c r="AQ99" s="149"/>
      <c r="AS99" s="338" t="str">
        <f t="shared" si="19"/>
        <v/>
      </c>
      <c r="AU99" s="361" t="str">
        <f>IF($C99=0,"",'03 - Monthly Asset Follow up'!F103+'03 - Monthly Asset Follow up'!G103-'03 - Monthly Asset Follow up'!V103+'03 - Monthly Asset Follow up'!Y103-H99)</f>
        <v/>
      </c>
      <c r="AV99" s="361" t="str">
        <f>IF($C99=0,"",'03 - Monthly Asset Follow up'!BE103+'03 - Monthly Asset Follow up'!BF103-'03 - Monthly Asset Follow up'!BU103+'03 - Monthly Asset Follow up'!BX103-AA99)</f>
        <v/>
      </c>
      <c r="AX99" s="154"/>
    </row>
    <row r="100" spans="2:50">
      <c r="B100" s="730" t="str">
        <f t="shared" si="14"/>
        <v/>
      </c>
      <c r="C100" s="733">
        <f>'03 - Monthly Asset Follow up'!B104</f>
        <v>0</v>
      </c>
      <c r="D100" s="149"/>
      <c r="E100" s="726" t="str">
        <f>IF($C100=0,"",SUMIFS(INPUT_DATA!AV:AV,INPUT_DATA!$A:$A,$C100,INPUT_DATA!$C:$C,"S"))</f>
        <v/>
      </c>
      <c r="F100" s="738" t="str">
        <f>IF($C100=0,"",SUMIFS(INPUT_DATA!AW:AW,INPUT_DATA!$A:$A,$C100,INPUT_DATA!$C:$C,"S"))</f>
        <v/>
      </c>
      <c r="G100" s="738" t="str">
        <f>IF($C100=0,"",SUMIFS(INPUT_DATA!AX:AX,INPUT_DATA!$A:$A,$C100,INPUT_DATA!$C:$C,"S"))</f>
        <v/>
      </c>
      <c r="H100" s="740" t="str">
        <f t="shared" si="10"/>
        <v/>
      </c>
      <c r="I100" s="738" t="str">
        <f>IF($C100=0,"",SUMIFS(INPUT_DATA!AZ:AZ,INPUT_DATA!$A:$A,$C100,INPUT_DATA!$C:$C,"S"))</f>
        <v/>
      </c>
      <c r="J100" s="738" t="str">
        <f>IF($C100=0,"",SUMIFS(INPUT_DATA!BA:BA,INPUT_DATA!$A:$A,$C100,INPUT_DATA!$C:$C,"S"))</f>
        <v/>
      </c>
      <c r="K100" s="738" t="str">
        <f>IF($C100=0,"",SUMIFS(INPUT_DATA!BB:BB,INPUT_DATA!$A:$A,$C100,INPUT_DATA!$C:$C,"S"))</f>
        <v/>
      </c>
      <c r="L100" s="738" t="str">
        <f>IF($C100=0,"",SUMIFS(INPUT_DATA!BC:BC,INPUT_DATA!$A:$A,$C100,INPUT_DATA!$C:$C,"S"))</f>
        <v/>
      </c>
      <c r="M100" s="738" t="str">
        <f>IF($C100=0,"",SUMIFS(INPUT_DATA!BD:BD,INPUT_DATA!$A:$A,$C100,INPUT_DATA!$C:$C,"S"))</f>
        <v/>
      </c>
      <c r="N100" s="738" t="str">
        <f>IF($C100=0,"",SUMIFS(INPUT_DATA!BE:BE,INPUT_DATA!$A:$A,$C100,INPUT_DATA!$C:$C,"S"))</f>
        <v/>
      </c>
      <c r="O100" s="738" t="str">
        <f>IF($C100=0,"",SUMIFS(INPUT_DATA!BF:BF,INPUT_DATA!$A:$A,$C100,INPUT_DATA!$C:$C,"S"))</f>
        <v/>
      </c>
      <c r="P100" s="738" t="str">
        <f>IF($C100=0,"",SUMIFS(INPUT_DATA!BG:BG,INPUT_DATA!$A:$A,$C100,INPUT_DATA!$C:$C,"S"))</f>
        <v/>
      </c>
      <c r="Q100" s="744" t="str">
        <f t="shared" si="15"/>
        <v/>
      </c>
      <c r="R100" s="746" t="str">
        <f>IF($C100=0,"",SUMIFS(INPUT_DATA!BI:BI,INPUT_DATA!$A:$A,$C100,INPUT_DATA!$C:$C,"S"))</f>
        <v/>
      </c>
      <c r="S100" s="746" t="str">
        <f>IF($C100=0,"",SUMIFS(INPUT_DATA!BJ:BJ,INPUT_DATA!$A:$A,$C100,INPUT_DATA!$C:$C,"S"))</f>
        <v/>
      </c>
      <c r="T100" s="744" t="str">
        <f t="shared" si="16"/>
        <v/>
      </c>
      <c r="U100" s="749" t="str">
        <f>IF($C100=0,"",SUMIFS(INPUT_DATA!BM:BM,INPUT_DATA!$A:$A,$C100,INPUT_DATA!$C:$C,"S"))</f>
        <v/>
      </c>
      <c r="V100" s="155" t="str">
        <f t="shared" si="11"/>
        <v/>
      </c>
      <c r="W100" s="149"/>
      <c r="X100" s="726" t="str">
        <f>IF($C100=0,"",SUMIFS(INPUT_DATA!AV:AV,INPUT_DATA!$A:$A,$C100,INPUT_DATA!$C:$C,"D"))</f>
        <v/>
      </c>
      <c r="Y100" s="738" t="str">
        <f>IF($C100=0,"",SUMIFS(INPUT_DATA!AW:AW,INPUT_DATA!$A:$A,$C100,INPUT_DATA!$C:$C,"D"))</f>
        <v/>
      </c>
      <c r="Z100" s="738" t="str">
        <f>IF($C100=0,"",SUMIFS(INPUT_DATA!AX:AX,INPUT_DATA!$A:$A,$C100,INPUT_DATA!$C:$C,"D"))</f>
        <v/>
      </c>
      <c r="AA100" s="739" t="str">
        <f t="shared" si="12"/>
        <v/>
      </c>
      <c r="AB100" s="738" t="str">
        <f>IF($C100=0,"",SUMIFS(INPUT_DATA!AZ:AZ,INPUT_DATA!$A:$A,$C100,INPUT_DATA!$C:$C,"D"))</f>
        <v/>
      </c>
      <c r="AC100" s="738" t="str">
        <f>IF($C100=0,"",SUMIFS(INPUT_DATA!BA:BA,INPUT_DATA!$A:$A,$C100,INPUT_DATA!$C:$C,"D"))</f>
        <v/>
      </c>
      <c r="AD100" s="738" t="str">
        <f>IF($C100=0,"",SUMIFS(INPUT_DATA!BB:BB,INPUT_DATA!$A:$A,$C100,INPUT_DATA!$C:$C,"D"))</f>
        <v/>
      </c>
      <c r="AE100" s="738" t="str">
        <f>IF($C100=0,"",SUMIFS(INPUT_DATA!BC:BC,INPUT_DATA!$A:$A,$C100,INPUT_DATA!$C:$C,"D"))</f>
        <v/>
      </c>
      <c r="AF100" s="738" t="str">
        <f>IF($C100=0,"",SUMIFS(INPUT_DATA!BD:BD,INPUT_DATA!$A:$A,$C100,INPUT_DATA!$C:$C,"D"))</f>
        <v/>
      </c>
      <c r="AG100" s="738" t="str">
        <f>IF($C100=0,"",SUMIFS(INPUT_DATA!BE:BE,INPUT_DATA!$A:$A,$C100,INPUT_DATA!$C:$C,"D"))</f>
        <v/>
      </c>
      <c r="AH100" s="738" t="str">
        <f>IF($C100=0,"",SUMIFS(INPUT_DATA!BF:BF,INPUT_DATA!$A:$A,$C100,INPUT_DATA!$C:$C,"D"))</f>
        <v/>
      </c>
      <c r="AI100" s="738" t="str">
        <f>IF($C100=0,"",SUMIFS(INPUT_DATA!BG:BG,INPUT_DATA!$A:$A,$C100,INPUT_DATA!$C:$C,"D"))</f>
        <v/>
      </c>
      <c r="AJ100" s="299" t="str">
        <f t="shared" si="13"/>
        <v/>
      </c>
      <c r="AK100" s="746" t="str">
        <f>IF($C100=0,"",SUMIFS(INPUT_DATA!BI:BI,INPUT_DATA!$A:$A,$C100,INPUT_DATA!$C:$C,"D"))</f>
        <v/>
      </c>
      <c r="AL100" s="746" t="str">
        <f>IF($C100=0,"",SUMIFS(INPUT_DATA!BJ:BJ,INPUT_DATA!$A:$A,$C100,INPUT_DATA!$C:$C,"D"))</f>
        <v/>
      </c>
      <c r="AM100" s="746" t="str">
        <f>IF($C100=0,"",SUMIFS(INPUT_DATA!BK:BK,INPUT_DATA!$A:$A,$C100,INPUT_DATA!$C:$C,"D"))</f>
        <v/>
      </c>
      <c r="AN100" s="744" t="str">
        <f t="shared" si="17"/>
        <v/>
      </c>
      <c r="AO100" s="749" t="str">
        <f>IF($C100=0,"",SUMIFS(INPUT_DATA!BM:BM,INPUT_DATA!$A:$A,$C100,INPUT_DATA!$C:$C,"D"))</f>
        <v/>
      </c>
      <c r="AP100" s="338" t="str">
        <f t="shared" si="18"/>
        <v/>
      </c>
      <c r="AQ100" s="149"/>
      <c r="AS100" s="338" t="str">
        <f t="shared" si="19"/>
        <v/>
      </c>
      <c r="AU100" s="361" t="str">
        <f>IF($C100=0,"",'03 - Monthly Asset Follow up'!F104+'03 - Monthly Asset Follow up'!G104-'03 - Monthly Asset Follow up'!V104+'03 - Monthly Asset Follow up'!Y104-H100)</f>
        <v/>
      </c>
      <c r="AV100" s="361" t="str">
        <f>IF($C100=0,"",'03 - Monthly Asset Follow up'!BE104+'03 - Monthly Asset Follow up'!BF104-'03 - Monthly Asset Follow up'!BU104+'03 - Monthly Asset Follow up'!BX104-AA100)</f>
        <v/>
      </c>
      <c r="AX100" s="154"/>
    </row>
    <row r="101" spans="2:50">
      <c r="B101" s="730" t="str">
        <f t="shared" si="14"/>
        <v/>
      </c>
      <c r="C101" s="733">
        <f>'03 - Monthly Asset Follow up'!B105</f>
        <v>0</v>
      </c>
      <c r="D101" s="149"/>
      <c r="E101" s="726" t="str">
        <f>IF($C101=0,"",SUMIFS(INPUT_DATA!AV:AV,INPUT_DATA!$A:$A,$C101,INPUT_DATA!$C:$C,"S"))</f>
        <v/>
      </c>
      <c r="F101" s="738" t="str">
        <f>IF($C101=0,"",SUMIFS(INPUT_DATA!AW:AW,INPUT_DATA!$A:$A,$C101,INPUT_DATA!$C:$C,"S"))</f>
        <v/>
      </c>
      <c r="G101" s="738" t="str">
        <f>IF($C101=0,"",SUMIFS(INPUT_DATA!AX:AX,INPUT_DATA!$A:$A,$C101,INPUT_DATA!$C:$C,"S"))</f>
        <v/>
      </c>
      <c r="H101" s="740" t="str">
        <f t="shared" si="10"/>
        <v/>
      </c>
      <c r="I101" s="738" t="str">
        <f>IF($C101=0,"",SUMIFS(INPUT_DATA!AZ:AZ,INPUT_DATA!$A:$A,$C101,INPUT_DATA!$C:$C,"S"))</f>
        <v/>
      </c>
      <c r="J101" s="738" t="str">
        <f>IF($C101=0,"",SUMIFS(INPUT_DATA!BA:BA,INPUT_DATA!$A:$A,$C101,INPUT_DATA!$C:$C,"S"))</f>
        <v/>
      </c>
      <c r="K101" s="738" t="str">
        <f>IF($C101=0,"",SUMIFS(INPUT_DATA!BB:BB,INPUT_DATA!$A:$A,$C101,INPUT_DATA!$C:$C,"S"))</f>
        <v/>
      </c>
      <c r="L101" s="738" t="str">
        <f>IF($C101=0,"",SUMIFS(INPUT_DATA!BC:BC,INPUT_DATA!$A:$A,$C101,INPUT_DATA!$C:$C,"S"))</f>
        <v/>
      </c>
      <c r="M101" s="738" t="str">
        <f>IF($C101=0,"",SUMIFS(INPUT_DATA!BD:BD,INPUT_DATA!$A:$A,$C101,INPUT_DATA!$C:$C,"S"))</f>
        <v/>
      </c>
      <c r="N101" s="738" t="str">
        <f>IF($C101=0,"",SUMIFS(INPUT_DATA!BE:BE,INPUT_DATA!$A:$A,$C101,INPUT_DATA!$C:$C,"S"))</f>
        <v/>
      </c>
      <c r="O101" s="738" t="str">
        <f>IF($C101=0,"",SUMIFS(INPUT_DATA!BF:BF,INPUT_DATA!$A:$A,$C101,INPUT_DATA!$C:$C,"S"))</f>
        <v/>
      </c>
      <c r="P101" s="738" t="str">
        <f>IF($C101=0,"",SUMIFS(INPUT_DATA!BG:BG,INPUT_DATA!$A:$A,$C101,INPUT_DATA!$C:$C,"S"))</f>
        <v/>
      </c>
      <c r="Q101" s="744" t="str">
        <f t="shared" si="15"/>
        <v/>
      </c>
      <c r="R101" s="746" t="str">
        <f>IF($C101=0,"",SUMIFS(INPUT_DATA!BI:BI,INPUT_DATA!$A:$A,$C101,INPUT_DATA!$C:$C,"S"))</f>
        <v/>
      </c>
      <c r="S101" s="746" t="str">
        <f>IF($C101=0,"",SUMIFS(INPUT_DATA!BJ:BJ,INPUT_DATA!$A:$A,$C101,INPUT_DATA!$C:$C,"S"))</f>
        <v/>
      </c>
      <c r="T101" s="744" t="str">
        <f t="shared" si="16"/>
        <v/>
      </c>
      <c r="U101" s="749" t="str">
        <f>IF($C101=0,"",SUMIFS(INPUT_DATA!BM:BM,INPUT_DATA!$A:$A,$C101,INPUT_DATA!$C:$C,"S"))</f>
        <v/>
      </c>
      <c r="V101" s="155" t="str">
        <f t="shared" si="11"/>
        <v/>
      </c>
      <c r="W101" s="149"/>
      <c r="X101" s="726" t="str">
        <f>IF($C101=0,"",SUMIFS(INPUT_DATA!AV:AV,INPUT_DATA!$A:$A,$C101,INPUT_DATA!$C:$C,"D"))</f>
        <v/>
      </c>
      <c r="Y101" s="738" t="str">
        <f>IF($C101=0,"",SUMIFS(INPUT_DATA!AW:AW,INPUT_DATA!$A:$A,$C101,INPUT_DATA!$C:$C,"D"))</f>
        <v/>
      </c>
      <c r="Z101" s="738" t="str">
        <f>IF($C101=0,"",SUMIFS(INPUT_DATA!AX:AX,INPUT_DATA!$A:$A,$C101,INPUT_DATA!$C:$C,"D"))</f>
        <v/>
      </c>
      <c r="AA101" s="739" t="str">
        <f t="shared" si="12"/>
        <v/>
      </c>
      <c r="AB101" s="738" t="str">
        <f>IF($C101=0,"",SUMIFS(INPUT_DATA!AZ:AZ,INPUT_DATA!$A:$A,$C101,INPUT_DATA!$C:$C,"D"))</f>
        <v/>
      </c>
      <c r="AC101" s="738" t="str">
        <f>IF($C101=0,"",SUMIFS(INPUT_DATA!BA:BA,INPUT_DATA!$A:$A,$C101,INPUT_DATA!$C:$C,"D"))</f>
        <v/>
      </c>
      <c r="AD101" s="738" t="str">
        <f>IF($C101=0,"",SUMIFS(INPUT_DATA!BB:BB,INPUT_DATA!$A:$A,$C101,INPUT_DATA!$C:$C,"D"))</f>
        <v/>
      </c>
      <c r="AE101" s="738" t="str">
        <f>IF($C101=0,"",SUMIFS(INPUT_DATA!BC:BC,INPUT_DATA!$A:$A,$C101,INPUT_DATA!$C:$C,"D"))</f>
        <v/>
      </c>
      <c r="AF101" s="738" t="str">
        <f>IF($C101=0,"",SUMIFS(INPUT_DATA!BD:BD,INPUT_DATA!$A:$A,$C101,INPUT_DATA!$C:$C,"D"))</f>
        <v/>
      </c>
      <c r="AG101" s="738" t="str">
        <f>IF($C101=0,"",SUMIFS(INPUT_DATA!BE:BE,INPUT_DATA!$A:$A,$C101,INPUT_DATA!$C:$C,"D"))</f>
        <v/>
      </c>
      <c r="AH101" s="738" t="str">
        <f>IF($C101=0,"",SUMIFS(INPUT_DATA!BF:BF,INPUT_DATA!$A:$A,$C101,INPUT_DATA!$C:$C,"D"))</f>
        <v/>
      </c>
      <c r="AI101" s="738" t="str">
        <f>IF($C101=0,"",SUMIFS(INPUT_DATA!BG:BG,INPUT_DATA!$A:$A,$C101,INPUT_DATA!$C:$C,"D"))</f>
        <v/>
      </c>
      <c r="AJ101" s="299" t="str">
        <f t="shared" si="13"/>
        <v/>
      </c>
      <c r="AK101" s="746" t="str">
        <f>IF($C101=0,"",SUMIFS(INPUT_DATA!BI:BI,INPUT_DATA!$A:$A,$C101,INPUT_DATA!$C:$C,"D"))</f>
        <v/>
      </c>
      <c r="AL101" s="746" t="str">
        <f>IF($C101=0,"",SUMIFS(INPUT_DATA!BJ:BJ,INPUT_DATA!$A:$A,$C101,INPUT_DATA!$C:$C,"D"))</f>
        <v/>
      </c>
      <c r="AM101" s="746" t="str">
        <f>IF($C101=0,"",SUMIFS(INPUT_DATA!BK:BK,INPUT_DATA!$A:$A,$C101,INPUT_DATA!$C:$C,"D"))</f>
        <v/>
      </c>
      <c r="AN101" s="744" t="str">
        <f t="shared" si="17"/>
        <v/>
      </c>
      <c r="AO101" s="749" t="str">
        <f>IF($C101=0,"",SUMIFS(INPUT_DATA!BM:BM,INPUT_DATA!$A:$A,$C101,INPUT_DATA!$C:$C,"D"))</f>
        <v/>
      </c>
      <c r="AP101" s="338" t="str">
        <f t="shared" si="18"/>
        <v/>
      </c>
      <c r="AQ101" s="149"/>
      <c r="AS101" s="338" t="str">
        <f t="shared" si="19"/>
        <v/>
      </c>
      <c r="AU101" s="361" t="str">
        <f>IF($C101=0,"",'03 - Monthly Asset Follow up'!F105+'03 - Monthly Asset Follow up'!G105-'03 - Monthly Asset Follow up'!V105+'03 - Monthly Asset Follow up'!Y105-H101)</f>
        <v/>
      </c>
      <c r="AV101" s="361" t="str">
        <f>IF($C101=0,"",'03 - Monthly Asset Follow up'!BE105+'03 - Monthly Asset Follow up'!BF105-'03 - Monthly Asset Follow up'!BU105+'03 - Monthly Asset Follow up'!BX105-AA101)</f>
        <v/>
      </c>
      <c r="AX101" s="154"/>
    </row>
    <row r="102" spans="2:50">
      <c r="B102" s="730" t="str">
        <f t="shared" si="14"/>
        <v/>
      </c>
      <c r="C102" s="733">
        <f>'03 - Monthly Asset Follow up'!B106</f>
        <v>0</v>
      </c>
      <c r="D102" s="149"/>
      <c r="E102" s="726" t="str">
        <f>IF($C102=0,"",SUMIFS(INPUT_DATA!AV:AV,INPUT_DATA!$A:$A,$C102,INPUT_DATA!$C:$C,"S"))</f>
        <v/>
      </c>
      <c r="F102" s="738" t="str">
        <f>IF($C102=0,"",SUMIFS(INPUT_DATA!AW:AW,INPUT_DATA!$A:$A,$C102,INPUT_DATA!$C:$C,"S"))</f>
        <v/>
      </c>
      <c r="G102" s="738" t="str">
        <f>IF($C102=0,"",SUMIFS(INPUT_DATA!AX:AX,INPUT_DATA!$A:$A,$C102,INPUT_DATA!$C:$C,"S"))</f>
        <v/>
      </c>
      <c r="H102" s="740" t="str">
        <f t="shared" si="10"/>
        <v/>
      </c>
      <c r="I102" s="738" t="str">
        <f>IF($C102=0,"",SUMIFS(INPUT_DATA!AZ:AZ,INPUT_DATA!$A:$A,$C102,INPUT_DATA!$C:$C,"S"))</f>
        <v/>
      </c>
      <c r="J102" s="738" t="str">
        <f>IF($C102=0,"",SUMIFS(INPUT_DATA!BA:BA,INPUT_DATA!$A:$A,$C102,INPUT_DATA!$C:$C,"S"))</f>
        <v/>
      </c>
      <c r="K102" s="738" t="str">
        <f>IF($C102=0,"",SUMIFS(INPUT_DATA!BB:BB,INPUT_DATA!$A:$A,$C102,INPUT_DATA!$C:$C,"S"))</f>
        <v/>
      </c>
      <c r="L102" s="738" t="str">
        <f>IF($C102=0,"",SUMIFS(INPUT_DATA!BC:BC,INPUT_DATA!$A:$A,$C102,INPUT_DATA!$C:$C,"S"))</f>
        <v/>
      </c>
      <c r="M102" s="738" t="str">
        <f>IF($C102=0,"",SUMIFS(INPUT_DATA!BD:BD,INPUT_DATA!$A:$A,$C102,INPUT_DATA!$C:$C,"S"))</f>
        <v/>
      </c>
      <c r="N102" s="738" t="str">
        <f>IF($C102=0,"",SUMIFS(INPUT_DATA!BE:BE,INPUT_DATA!$A:$A,$C102,INPUT_DATA!$C:$C,"S"))</f>
        <v/>
      </c>
      <c r="O102" s="738" t="str">
        <f>IF($C102=0,"",SUMIFS(INPUT_DATA!BF:BF,INPUT_DATA!$A:$A,$C102,INPUT_DATA!$C:$C,"S"))</f>
        <v/>
      </c>
      <c r="P102" s="738" t="str">
        <f>IF($C102=0,"",SUMIFS(INPUT_DATA!BG:BG,INPUT_DATA!$A:$A,$C102,INPUT_DATA!$C:$C,"S"))</f>
        <v/>
      </c>
      <c r="Q102" s="744" t="str">
        <f t="shared" si="15"/>
        <v/>
      </c>
      <c r="R102" s="746" t="str">
        <f>IF($C102=0,"",SUMIFS(INPUT_DATA!BI:BI,INPUT_DATA!$A:$A,$C102,INPUT_DATA!$C:$C,"S"))</f>
        <v/>
      </c>
      <c r="S102" s="746" t="str">
        <f>IF($C102=0,"",SUMIFS(INPUT_DATA!BJ:BJ,INPUT_DATA!$A:$A,$C102,INPUT_DATA!$C:$C,"S"))</f>
        <v/>
      </c>
      <c r="T102" s="744" t="str">
        <f t="shared" si="16"/>
        <v/>
      </c>
      <c r="U102" s="749" t="str">
        <f>IF($C102=0,"",SUMIFS(INPUT_DATA!BM:BM,INPUT_DATA!$A:$A,$C102,INPUT_DATA!$C:$C,"S"))</f>
        <v/>
      </c>
      <c r="V102" s="155" t="str">
        <f t="shared" si="11"/>
        <v/>
      </c>
      <c r="W102" s="149"/>
      <c r="X102" s="726" t="str">
        <f>IF($C102=0,"",SUMIFS(INPUT_DATA!AV:AV,INPUT_DATA!$A:$A,$C102,INPUT_DATA!$C:$C,"D"))</f>
        <v/>
      </c>
      <c r="Y102" s="738" t="str">
        <f>IF($C102=0,"",SUMIFS(INPUT_DATA!AW:AW,INPUT_DATA!$A:$A,$C102,INPUT_DATA!$C:$C,"D"))</f>
        <v/>
      </c>
      <c r="Z102" s="738" t="str">
        <f>IF($C102=0,"",SUMIFS(INPUT_DATA!AX:AX,INPUT_DATA!$A:$A,$C102,INPUT_DATA!$C:$C,"D"))</f>
        <v/>
      </c>
      <c r="AA102" s="739" t="str">
        <f t="shared" si="12"/>
        <v/>
      </c>
      <c r="AB102" s="738" t="str">
        <f>IF($C102=0,"",SUMIFS(INPUT_DATA!AZ:AZ,INPUT_DATA!$A:$A,$C102,INPUT_DATA!$C:$C,"D"))</f>
        <v/>
      </c>
      <c r="AC102" s="738" t="str">
        <f>IF($C102=0,"",SUMIFS(INPUT_DATA!BA:BA,INPUT_DATA!$A:$A,$C102,INPUT_DATA!$C:$C,"D"))</f>
        <v/>
      </c>
      <c r="AD102" s="738" t="str">
        <f>IF($C102=0,"",SUMIFS(INPUT_DATA!BB:BB,INPUT_DATA!$A:$A,$C102,INPUT_DATA!$C:$C,"D"))</f>
        <v/>
      </c>
      <c r="AE102" s="738" t="str">
        <f>IF($C102=0,"",SUMIFS(INPUT_DATA!BC:BC,INPUT_DATA!$A:$A,$C102,INPUT_DATA!$C:$C,"D"))</f>
        <v/>
      </c>
      <c r="AF102" s="738" t="str">
        <f>IF($C102=0,"",SUMIFS(INPUT_DATA!BD:BD,INPUT_DATA!$A:$A,$C102,INPUT_DATA!$C:$C,"D"))</f>
        <v/>
      </c>
      <c r="AG102" s="738" t="str">
        <f>IF($C102=0,"",SUMIFS(INPUT_DATA!BE:BE,INPUT_DATA!$A:$A,$C102,INPUT_DATA!$C:$C,"D"))</f>
        <v/>
      </c>
      <c r="AH102" s="738" t="str">
        <f>IF($C102=0,"",SUMIFS(INPUT_DATA!BF:BF,INPUT_DATA!$A:$A,$C102,INPUT_DATA!$C:$C,"D"))</f>
        <v/>
      </c>
      <c r="AI102" s="738" t="str">
        <f>IF($C102=0,"",SUMIFS(INPUT_DATA!BG:BG,INPUT_DATA!$A:$A,$C102,INPUT_DATA!$C:$C,"D"))</f>
        <v/>
      </c>
      <c r="AJ102" s="299" t="str">
        <f t="shared" si="13"/>
        <v/>
      </c>
      <c r="AK102" s="746" t="str">
        <f>IF($C102=0,"",SUMIFS(INPUT_DATA!BI:BI,INPUT_DATA!$A:$A,$C102,INPUT_DATA!$C:$C,"D"))</f>
        <v/>
      </c>
      <c r="AL102" s="746" t="str">
        <f>IF($C102=0,"",SUMIFS(INPUT_DATA!BJ:BJ,INPUT_DATA!$A:$A,$C102,INPUT_DATA!$C:$C,"D"))</f>
        <v/>
      </c>
      <c r="AM102" s="746" t="str">
        <f>IF($C102=0,"",SUMIFS(INPUT_DATA!BK:BK,INPUT_DATA!$A:$A,$C102,INPUT_DATA!$C:$C,"D"))</f>
        <v/>
      </c>
      <c r="AN102" s="744" t="str">
        <f t="shared" si="17"/>
        <v/>
      </c>
      <c r="AO102" s="749" t="str">
        <f>IF($C102=0,"",SUMIFS(INPUT_DATA!BM:BM,INPUT_DATA!$A:$A,$C102,INPUT_DATA!$C:$C,"D"))</f>
        <v/>
      </c>
      <c r="AP102" s="338" t="str">
        <f t="shared" si="18"/>
        <v/>
      </c>
      <c r="AQ102" s="149"/>
      <c r="AS102" s="338" t="str">
        <f t="shared" si="19"/>
        <v/>
      </c>
      <c r="AU102" s="361" t="str">
        <f>IF($C102=0,"",'03 - Monthly Asset Follow up'!F106+'03 - Monthly Asset Follow up'!G106-'03 - Monthly Asset Follow up'!V106+'03 - Monthly Asset Follow up'!Y106-H102)</f>
        <v/>
      </c>
      <c r="AV102" s="361" t="str">
        <f>IF($C102=0,"",'03 - Monthly Asset Follow up'!BE106+'03 - Monthly Asset Follow up'!BF106-'03 - Monthly Asset Follow up'!BU106+'03 - Monthly Asset Follow up'!BX106-AA102)</f>
        <v/>
      </c>
      <c r="AX102" s="154"/>
    </row>
    <row r="103" spans="2:50">
      <c r="B103" s="730" t="str">
        <f t="shared" si="14"/>
        <v/>
      </c>
      <c r="C103" s="733">
        <f>'03 - Monthly Asset Follow up'!B107</f>
        <v>0</v>
      </c>
      <c r="D103" s="149"/>
      <c r="E103" s="726" t="str">
        <f>IF($C103=0,"",SUMIFS(INPUT_DATA!AV:AV,INPUT_DATA!$A:$A,$C103,INPUT_DATA!$C:$C,"S"))</f>
        <v/>
      </c>
      <c r="F103" s="738" t="str">
        <f>IF($C103=0,"",SUMIFS(INPUT_DATA!AW:AW,INPUT_DATA!$A:$A,$C103,INPUT_DATA!$C:$C,"S"))</f>
        <v/>
      </c>
      <c r="G103" s="738" t="str">
        <f>IF($C103=0,"",SUMIFS(INPUT_DATA!AX:AX,INPUT_DATA!$A:$A,$C103,INPUT_DATA!$C:$C,"S"))</f>
        <v/>
      </c>
      <c r="H103" s="740" t="str">
        <f t="shared" si="10"/>
        <v/>
      </c>
      <c r="I103" s="738" t="str">
        <f>IF($C103=0,"",SUMIFS(INPUT_DATA!AZ:AZ,INPUT_DATA!$A:$A,$C103,INPUT_DATA!$C:$C,"S"))</f>
        <v/>
      </c>
      <c r="J103" s="738" t="str">
        <f>IF($C103=0,"",SUMIFS(INPUT_DATA!BA:BA,INPUT_DATA!$A:$A,$C103,INPUT_DATA!$C:$C,"S"))</f>
        <v/>
      </c>
      <c r="K103" s="738" t="str">
        <f>IF($C103=0,"",SUMIFS(INPUT_DATA!BB:BB,INPUT_DATA!$A:$A,$C103,INPUT_DATA!$C:$C,"S"))</f>
        <v/>
      </c>
      <c r="L103" s="738" t="str">
        <f>IF($C103=0,"",SUMIFS(INPUT_DATA!BC:BC,INPUT_DATA!$A:$A,$C103,INPUT_DATA!$C:$C,"S"))</f>
        <v/>
      </c>
      <c r="M103" s="738" t="str">
        <f>IF($C103=0,"",SUMIFS(INPUT_DATA!BD:BD,INPUT_DATA!$A:$A,$C103,INPUT_DATA!$C:$C,"S"))</f>
        <v/>
      </c>
      <c r="N103" s="738" t="str">
        <f>IF($C103=0,"",SUMIFS(INPUT_DATA!BE:BE,INPUT_DATA!$A:$A,$C103,INPUT_DATA!$C:$C,"S"))</f>
        <v/>
      </c>
      <c r="O103" s="738" t="str">
        <f>IF($C103=0,"",SUMIFS(INPUT_DATA!BF:BF,INPUT_DATA!$A:$A,$C103,INPUT_DATA!$C:$C,"S"))</f>
        <v/>
      </c>
      <c r="P103" s="738" t="str">
        <f>IF($C103=0,"",SUMIFS(INPUT_DATA!BG:BG,INPUT_DATA!$A:$A,$C103,INPUT_DATA!$C:$C,"S"))</f>
        <v/>
      </c>
      <c r="Q103" s="744" t="str">
        <f t="shared" si="15"/>
        <v/>
      </c>
      <c r="R103" s="746" t="str">
        <f>IF($C103=0,"",SUMIFS(INPUT_DATA!BI:BI,INPUT_DATA!$A:$A,$C103,INPUT_DATA!$C:$C,"S"))</f>
        <v/>
      </c>
      <c r="S103" s="746" t="str">
        <f>IF($C103=0,"",SUMIFS(INPUT_DATA!BJ:BJ,INPUT_DATA!$A:$A,$C103,INPUT_DATA!$C:$C,"S"))</f>
        <v/>
      </c>
      <c r="T103" s="744" t="str">
        <f t="shared" si="16"/>
        <v/>
      </c>
      <c r="U103" s="749" t="str">
        <f>IF($C103=0,"",SUMIFS(INPUT_DATA!BM:BM,INPUT_DATA!$A:$A,$C103,INPUT_DATA!$C:$C,"S"))</f>
        <v/>
      </c>
      <c r="V103" s="155" t="str">
        <f t="shared" si="11"/>
        <v/>
      </c>
      <c r="W103" s="149"/>
      <c r="X103" s="726" t="str">
        <f>IF($C103=0,"",SUMIFS(INPUT_DATA!AV:AV,INPUT_DATA!$A:$A,$C103,INPUT_DATA!$C:$C,"D"))</f>
        <v/>
      </c>
      <c r="Y103" s="738" t="str">
        <f>IF($C103=0,"",SUMIFS(INPUT_DATA!AW:AW,INPUT_DATA!$A:$A,$C103,INPUT_DATA!$C:$C,"D"))</f>
        <v/>
      </c>
      <c r="Z103" s="738" t="str">
        <f>IF($C103=0,"",SUMIFS(INPUT_DATA!AX:AX,INPUT_DATA!$A:$A,$C103,INPUT_DATA!$C:$C,"D"))</f>
        <v/>
      </c>
      <c r="AA103" s="739" t="str">
        <f t="shared" si="12"/>
        <v/>
      </c>
      <c r="AB103" s="738" t="str">
        <f>IF($C103=0,"",SUMIFS(INPUT_DATA!AZ:AZ,INPUT_DATA!$A:$A,$C103,INPUT_DATA!$C:$C,"D"))</f>
        <v/>
      </c>
      <c r="AC103" s="738" t="str">
        <f>IF($C103=0,"",SUMIFS(INPUT_DATA!BA:BA,INPUT_DATA!$A:$A,$C103,INPUT_DATA!$C:$C,"D"))</f>
        <v/>
      </c>
      <c r="AD103" s="738" t="str">
        <f>IF($C103=0,"",SUMIFS(INPUT_DATA!BB:BB,INPUT_DATA!$A:$A,$C103,INPUT_DATA!$C:$C,"D"))</f>
        <v/>
      </c>
      <c r="AE103" s="738" t="str">
        <f>IF($C103=0,"",SUMIFS(INPUT_DATA!BC:BC,INPUT_DATA!$A:$A,$C103,INPUT_DATA!$C:$C,"D"))</f>
        <v/>
      </c>
      <c r="AF103" s="738" t="str">
        <f>IF($C103=0,"",SUMIFS(INPUT_DATA!BD:BD,INPUT_DATA!$A:$A,$C103,INPUT_DATA!$C:$C,"D"))</f>
        <v/>
      </c>
      <c r="AG103" s="738" t="str">
        <f>IF($C103=0,"",SUMIFS(INPUT_DATA!BE:BE,INPUT_DATA!$A:$A,$C103,INPUT_DATA!$C:$C,"D"))</f>
        <v/>
      </c>
      <c r="AH103" s="738" t="str">
        <f>IF($C103=0,"",SUMIFS(INPUT_DATA!BF:BF,INPUT_DATA!$A:$A,$C103,INPUT_DATA!$C:$C,"D"))</f>
        <v/>
      </c>
      <c r="AI103" s="738" t="str">
        <f>IF($C103=0,"",SUMIFS(INPUT_DATA!BG:BG,INPUT_DATA!$A:$A,$C103,INPUT_DATA!$C:$C,"D"))</f>
        <v/>
      </c>
      <c r="AJ103" s="299" t="str">
        <f t="shared" si="13"/>
        <v/>
      </c>
      <c r="AK103" s="746" t="str">
        <f>IF($C103=0,"",SUMIFS(INPUT_DATA!BI:BI,INPUT_DATA!$A:$A,$C103,INPUT_DATA!$C:$C,"D"))</f>
        <v/>
      </c>
      <c r="AL103" s="746" t="str">
        <f>IF($C103=0,"",SUMIFS(INPUT_DATA!BJ:BJ,INPUT_DATA!$A:$A,$C103,INPUT_DATA!$C:$C,"D"))</f>
        <v/>
      </c>
      <c r="AM103" s="746" t="str">
        <f>IF($C103=0,"",SUMIFS(INPUT_DATA!BK:BK,INPUT_DATA!$A:$A,$C103,INPUT_DATA!$C:$C,"D"))</f>
        <v/>
      </c>
      <c r="AN103" s="744" t="str">
        <f t="shared" si="17"/>
        <v/>
      </c>
      <c r="AO103" s="749" t="str">
        <f>IF($C103=0,"",SUMIFS(INPUT_DATA!BM:BM,INPUT_DATA!$A:$A,$C103,INPUT_DATA!$C:$C,"D"))</f>
        <v/>
      </c>
      <c r="AP103" s="338" t="str">
        <f t="shared" si="18"/>
        <v/>
      </c>
      <c r="AQ103" s="149"/>
      <c r="AS103" s="338" t="str">
        <f t="shared" si="19"/>
        <v/>
      </c>
      <c r="AU103" s="361" t="str">
        <f>IF($C103=0,"",'03 - Monthly Asset Follow up'!F107+'03 - Monthly Asset Follow up'!G107-'03 - Monthly Asset Follow up'!V107+'03 - Monthly Asset Follow up'!Y107-H103)</f>
        <v/>
      </c>
      <c r="AV103" s="361" t="str">
        <f>IF($C103=0,"",'03 - Monthly Asset Follow up'!BE107+'03 - Monthly Asset Follow up'!BF107-'03 - Monthly Asset Follow up'!BU107+'03 - Monthly Asset Follow up'!BX107-AA103)</f>
        <v/>
      </c>
      <c r="AX103" s="154"/>
    </row>
    <row r="104" spans="2:50">
      <c r="B104" s="730" t="str">
        <f t="shared" si="14"/>
        <v/>
      </c>
      <c r="C104" s="733">
        <f>'03 - Monthly Asset Follow up'!B108</f>
        <v>0</v>
      </c>
      <c r="D104" s="149"/>
      <c r="E104" s="726" t="str">
        <f>IF($C104=0,"",SUMIFS(INPUT_DATA!AV:AV,INPUT_DATA!$A:$A,$C104,INPUT_DATA!$C:$C,"S"))</f>
        <v/>
      </c>
      <c r="F104" s="738" t="str">
        <f>IF($C104=0,"",SUMIFS(INPUT_DATA!AW:AW,INPUT_DATA!$A:$A,$C104,INPUT_DATA!$C:$C,"S"))</f>
        <v/>
      </c>
      <c r="G104" s="738" t="str">
        <f>IF($C104=0,"",SUMIFS(INPUT_DATA!AX:AX,INPUT_DATA!$A:$A,$C104,INPUT_DATA!$C:$C,"S"))</f>
        <v/>
      </c>
      <c r="H104" s="740" t="str">
        <f t="shared" si="10"/>
        <v/>
      </c>
      <c r="I104" s="738" t="str">
        <f>IF($C104=0,"",SUMIFS(INPUT_DATA!AZ:AZ,INPUT_DATA!$A:$A,$C104,INPUT_DATA!$C:$C,"S"))</f>
        <v/>
      </c>
      <c r="J104" s="738" t="str">
        <f>IF($C104=0,"",SUMIFS(INPUT_DATA!BA:BA,INPUT_DATA!$A:$A,$C104,INPUT_DATA!$C:$C,"S"))</f>
        <v/>
      </c>
      <c r="K104" s="738" t="str">
        <f>IF($C104=0,"",SUMIFS(INPUT_DATA!BB:BB,INPUT_DATA!$A:$A,$C104,INPUT_DATA!$C:$C,"S"))</f>
        <v/>
      </c>
      <c r="L104" s="738" t="str">
        <f>IF($C104=0,"",SUMIFS(INPUT_DATA!BC:BC,INPUT_DATA!$A:$A,$C104,INPUT_DATA!$C:$C,"S"))</f>
        <v/>
      </c>
      <c r="M104" s="738" t="str">
        <f>IF($C104=0,"",SUMIFS(INPUT_DATA!BD:BD,INPUT_DATA!$A:$A,$C104,INPUT_DATA!$C:$C,"S"))</f>
        <v/>
      </c>
      <c r="N104" s="738" t="str">
        <f>IF($C104=0,"",SUMIFS(INPUT_DATA!BE:BE,INPUT_DATA!$A:$A,$C104,INPUT_DATA!$C:$C,"S"))</f>
        <v/>
      </c>
      <c r="O104" s="738" t="str">
        <f>IF($C104=0,"",SUMIFS(INPUT_DATA!BF:BF,INPUT_DATA!$A:$A,$C104,INPUT_DATA!$C:$C,"S"))</f>
        <v/>
      </c>
      <c r="P104" s="738" t="str">
        <f>IF($C104=0,"",SUMIFS(INPUT_DATA!BG:BG,INPUT_DATA!$A:$A,$C104,INPUT_DATA!$C:$C,"S"))</f>
        <v/>
      </c>
      <c r="Q104" s="744" t="str">
        <f t="shared" si="15"/>
        <v/>
      </c>
      <c r="R104" s="746" t="str">
        <f>IF($C104=0,"",SUMIFS(INPUT_DATA!BI:BI,INPUT_DATA!$A:$A,$C104,INPUT_DATA!$C:$C,"S"))</f>
        <v/>
      </c>
      <c r="S104" s="746" t="str">
        <f>IF($C104=0,"",SUMIFS(INPUT_DATA!BJ:BJ,INPUT_DATA!$A:$A,$C104,INPUT_DATA!$C:$C,"S"))</f>
        <v/>
      </c>
      <c r="T104" s="744" t="str">
        <f t="shared" si="16"/>
        <v/>
      </c>
      <c r="U104" s="749" t="str">
        <f>IF($C104=0,"",SUMIFS(INPUT_DATA!BM:BM,INPUT_DATA!$A:$A,$C104,INPUT_DATA!$C:$C,"S"))</f>
        <v/>
      </c>
      <c r="V104" s="155" t="str">
        <f t="shared" si="11"/>
        <v/>
      </c>
      <c r="W104" s="149"/>
      <c r="X104" s="726" t="str">
        <f>IF($C104=0,"",SUMIFS(INPUT_DATA!AV:AV,INPUT_DATA!$A:$A,$C104,INPUT_DATA!$C:$C,"D"))</f>
        <v/>
      </c>
      <c r="Y104" s="738" t="str">
        <f>IF($C104=0,"",SUMIFS(INPUT_DATA!AW:AW,INPUT_DATA!$A:$A,$C104,INPUT_DATA!$C:$C,"D"))</f>
        <v/>
      </c>
      <c r="Z104" s="738" t="str">
        <f>IF($C104=0,"",SUMIFS(INPUT_DATA!AX:AX,INPUT_DATA!$A:$A,$C104,INPUT_DATA!$C:$C,"D"))</f>
        <v/>
      </c>
      <c r="AA104" s="739" t="str">
        <f t="shared" si="12"/>
        <v/>
      </c>
      <c r="AB104" s="738" t="str">
        <f>IF($C104=0,"",SUMIFS(INPUT_DATA!AZ:AZ,INPUT_DATA!$A:$A,$C104,INPUT_DATA!$C:$C,"D"))</f>
        <v/>
      </c>
      <c r="AC104" s="738" t="str">
        <f>IF($C104=0,"",SUMIFS(INPUT_DATA!BA:BA,INPUT_DATA!$A:$A,$C104,INPUT_DATA!$C:$C,"D"))</f>
        <v/>
      </c>
      <c r="AD104" s="738" t="str">
        <f>IF($C104=0,"",SUMIFS(INPUT_DATA!BB:BB,INPUT_DATA!$A:$A,$C104,INPUT_DATA!$C:$C,"D"))</f>
        <v/>
      </c>
      <c r="AE104" s="738" t="str">
        <f>IF($C104=0,"",SUMIFS(INPUT_DATA!BC:BC,INPUT_DATA!$A:$A,$C104,INPUT_DATA!$C:$C,"D"))</f>
        <v/>
      </c>
      <c r="AF104" s="738" t="str">
        <f>IF($C104=0,"",SUMIFS(INPUT_DATA!BD:BD,INPUT_DATA!$A:$A,$C104,INPUT_DATA!$C:$C,"D"))</f>
        <v/>
      </c>
      <c r="AG104" s="738" t="str">
        <f>IF($C104=0,"",SUMIFS(INPUT_DATA!BE:BE,INPUT_DATA!$A:$A,$C104,INPUT_DATA!$C:$C,"D"))</f>
        <v/>
      </c>
      <c r="AH104" s="738" t="str">
        <f>IF($C104=0,"",SUMIFS(INPUT_DATA!BF:BF,INPUT_DATA!$A:$A,$C104,INPUT_DATA!$C:$C,"D"))</f>
        <v/>
      </c>
      <c r="AI104" s="738" t="str">
        <f>IF($C104=0,"",SUMIFS(INPUT_DATA!BG:BG,INPUT_DATA!$A:$A,$C104,INPUT_DATA!$C:$C,"D"))</f>
        <v/>
      </c>
      <c r="AJ104" s="299" t="str">
        <f t="shared" si="13"/>
        <v/>
      </c>
      <c r="AK104" s="746" t="str">
        <f>IF($C104=0,"",SUMIFS(INPUT_DATA!BI:BI,INPUT_DATA!$A:$A,$C104,INPUT_DATA!$C:$C,"D"))</f>
        <v/>
      </c>
      <c r="AL104" s="746" t="str">
        <f>IF($C104=0,"",SUMIFS(INPUT_DATA!BJ:BJ,INPUT_DATA!$A:$A,$C104,INPUT_DATA!$C:$C,"D"))</f>
        <v/>
      </c>
      <c r="AM104" s="746" t="str">
        <f>IF($C104=0,"",SUMIFS(INPUT_DATA!BK:BK,INPUT_DATA!$A:$A,$C104,INPUT_DATA!$C:$C,"D"))</f>
        <v/>
      </c>
      <c r="AN104" s="744" t="str">
        <f t="shared" si="17"/>
        <v/>
      </c>
      <c r="AO104" s="749" t="str">
        <f>IF($C104=0,"",SUMIFS(INPUT_DATA!BM:BM,INPUT_DATA!$A:$A,$C104,INPUT_DATA!$C:$C,"D"))</f>
        <v/>
      </c>
      <c r="AP104" s="338" t="str">
        <f t="shared" si="18"/>
        <v/>
      </c>
      <c r="AQ104" s="149"/>
      <c r="AS104" s="338" t="str">
        <f t="shared" si="19"/>
        <v/>
      </c>
      <c r="AU104" s="361" t="str">
        <f>IF($C104=0,"",'03 - Monthly Asset Follow up'!F108+'03 - Monthly Asset Follow up'!G108-'03 - Monthly Asset Follow up'!V108+'03 - Monthly Asset Follow up'!Y108-H104)</f>
        <v/>
      </c>
      <c r="AV104" s="361" t="str">
        <f>IF($C104=0,"",'03 - Monthly Asset Follow up'!BE108+'03 - Monthly Asset Follow up'!BF108-'03 - Monthly Asset Follow up'!BU108+'03 - Monthly Asset Follow up'!BX108-AA104)</f>
        <v/>
      </c>
      <c r="AX104" s="154"/>
    </row>
    <row r="105" spans="2:50">
      <c r="B105" s="730" t="str">
        <f t="shared" si="14"/>
        <v/>
      </c>
      <c r="C105" s="733">
        <f>'03 - Monthly Asset Follow up'!B109</f>
        <v>0</v>
      </c>
      <c r="D105" s="149"/>
      <c r="E105" s="726" t="str">
        <f>IF($C105=0,"",SUMIFS(INPUT_DATA!AV:AV,INPUT_DATA!$A:$A,$C105,INPUT_DATA!$C:$C,"S"))</f>
        <v/>
      </c>
      <c r="F105" s="738" t="str">
        <f>IF($C105=0,"",SUMIFS(INPUT_DATA!AW:AW,INPUT_DATA!$A:$A,$C105,INPUT_DATA!$C:$C,"S"))</f>
        <v/>
      </c>
      <c r="G105" s="738" t="str">
        <f>IF($C105=0,"",SUMIFS(INPUT_DATA!AX:AX,INPUT_DATA!$A:$A,$C105,INPUT_DATA!$C:$C,"S"))</f>
        <v/>
      </c>
      <c r="H105" s="740" t="str">
        <f t="shared" si="10"/>
        <v/>
      </c>
      <c r="I105" s="738" t="str">
        <f>IF($C105=0,"",SUMIFS(INPUT_DATA!AZ:AZ,INPUT_DATA!$A:$A,$C105,INPUT_DATA!$C:$C,"S"))</f>
        <v/>
      </c>
      <c r="J105" s="738" t="str">
        <f>IF($C105=0,"",SUMIFS(INPUT_DATA!BA:BA,INPUT_DATA!$A:$A,$C105,INPUT_DATA!$C:$C,"S"))</f>
        <v/>
      </c>
      <c r="K105" s="738" t="str">
        <f>IF($C105=0,"",SUMIFS(INPUT_DATA!BB:BB,INPUT_DATA!$A:$A,$C105,INPUT_DATA!$C:$C,"S"))</f>
        <v/>
      </c>
      <c r="L105" s="738" t="str">
        <f>IF($C105=0,"",SUMIFS(INPUT_DATA!BC:BC,INPUT_DATA!$A:$A,$C105,INPUT_DATA!$C:$C,"S"))</f>
        <v/>
      </c>
      <c r="M105" s="738" t="str">
        <f>IF($C105=0,"",SUMIFS(INPUT_DATA!BD:BD,INPUT_DATA!$A:$A,$C105,INPUT_DATA!$C:$C,"S"))</f>
        <v/>
      </c>
      <c r="N105" s="738" t="str">
        <f>IF($C105=0,"",SUMIFS(INPUT_DATA!BE:BE,INPUT_DATA!$A:$A,$C105,INPUT_DATA!$C:$C,"S"))</f>
        <v/>
      </c>
      <c r="O105" s="738" t="str">
        <f>IF($C105=0,"",SUMIFS(INPUT_DATA!BF:BF,INPUT_DATA!$A:$A,$C105,INPUT_DATA!$C:$C,"S"))</f>
        <v/>
      </c>
      <c r="P105" s="738" t="str">
        <f>IF($C105=0,"",SUMIFS(INPUT_DATA!BG:BG,INPUT_DATA!$A:$A,$C105,INPUT_DATA!$C:$C,"S"))</f>
        <v/>
      </c>
      <c r="Q105" s="744" t="str">
        <f t="shared" si="15"/>
        <v/>
      </c>
      <c r="R105" s="746" t="str">
        <f>IF($C105=0,"",SUMIFS(INPUT_DATA!BI:BI,INPUT_DATA!$A:$A,$C105,INPUT_DATA!$C:$C,"S"))</f>
        <v/>
      </c>
      <c r="S105" s="746" t="str">
        <f>IF($C105=0,"",SUMIFS(INPUT_DATA!BJ:BJ,INPUT_DATA!$A:$A,$C105,INPUT_DATA!$C:$C,"S"))</f>
        <v/>
      </c>
      <c r="T105" s="744" t="str">
        <f t="shared" si="16"/>
        <v/>
      </c>
      <c r="U105" s="749" t="str">
        <f>IF($C105=0,"",SUMIFS(INPUT_DATA!BM:BM,INPUT_DATA!$A:$A,$C105,INPUT_DATA!$C:$C,"S"))</f>
        <v/>
      </c>
      <c r="V105" s="155" t="str">
        <f t="shared" si="11"/>
        <v/>
      </c>
      <c r="W105" s="149"/>
      <c r="X105" s="726" t="str">
        <f>IF($C105=0,"",SUMIFS(INPUT_DATA!AV:AV,INPUT_DATA!$A:$A,$C105,INPUT_DATA!$C:$C,"D"))</f>
        <v/>
      </c>
      <c r="Y105" s="738" t="str">
        <f>IF($C105=0,"",SUMIFS(INPUT_DATA!AW:AW,INPUT_DATA!$A:$A,$C105,INPUT_DATA!$C:$C,"D"))</f>
        <v/>
      </c>
      <c r="Z105" s="738" t="str">
        <f>IF($C105=0,"",SUMIFS(INPUT_DATA!AX:AX,INPUT_DATA!$A:$A,$C105,INPUT_DATA!$C:$C,"D"))</f>
        <v/>
      </c>
      <c r="AA105" s="739" t="str">
        <f t="shared" si="12"/>
        <v/>
      </c>
      <c r="AB105" s="738" t="str">
        <f>IF($C105=0,"",SUMIFS(INPUT_DATA!AZ:AZ,INPUT_DATA!$A:$A,$C105,INPUT_DATA!$C:$C,"D"))</f>
        <v/>
      </c>
      <c r="AC105" s="738" t="str">
        <f>IF($C105=0,"",SUMIFS(INPUT_DATA!BA:BA,INPUT_DATA!$A:$A,$C105,INPUT_DATA!$C:$C,"D"))</f>
        <v/>
      </c>
      <c r="AD105" s="738" t="str">
        <f>IF($C105=0,"",SUMIFS(INPUT_DATA!BB:BB,INPUT_DATA!$A:$A,$C105,INPUT_DATA!$C:$C,"D"))</f>
        <v/>
      </c>
      <c r="AE105" s="738" t="str">
        <f>IF($C105=0,"",SUMIFS(INPUT_DATA!BC:BC,INPUT_DATA!$A:$A,$C105,INPUT_DATA!$C:$C,"D"))</f>
        <v/>
      </c>
      <c r="AF105" s="738" t="str">
        <f>IF($C105=0,"",SUMIFS(INPUT_DATA!BD:BD,INPUT_DATA!$A:$A,$C105,INPUT_DATA!$C:$C,"D"))</f>
        <v/>
      </c>
      <c r="AG105" s="738" t="str">
        <f>IF($C105=0,"",SUMIFS(INPUT_DATA!BE:BE,INPUT_DATA!$A:$A,$C105,INPUT_DATA!$C:$C,"D"))</f>
        <v/>
      </c>
      <c r="AH105" s="738" t="str">
        <f>IF($C105=0,"",SUMIFS(INPUT_DATA!BF:BF,INPUT_DATA!$A:$A,$C105,INPUT_DATA!$C:$C,"D"))</f>
        <v/>
      </c>
      <c r="AI105" s="738" t="str">
        <f>IF($C105=0,"",SUMIFS(INPUT_DATA!BG:BG,INPUT_DATA!$A:$A,$C105,INPUT_DATA!$C:$C,"D"))</f>
        <v/>
      </c>
      <c r="AJ105" s="299" t="str">
        <f t="shared" si="13"/>
        <v/>
      </c>
      <c r="AK105" s="746" t="str">
        <f>IF($C105=0,"",SUMIFS(INPUT_DATA!BI:BI,INPUT_DATA!$A:$A,$C105,INPUT_DATA!$C:$C,"D"))</f>
        <v/>
      </c>
      <c r="AL105" s="746" t="str">
        <f>IF($C105=0,"",SUMIFS(INPUT_DATA!BJ:BJ,INPUT_DATA!$A:$A,$C105,INPUT_DATA!$C:$C,"D"))</f>
        <v/>
      </c>
      <c r="AM105" s="746" t="str">
        <f>IF($C105=0,"",SUMIFS(INPUT_DATA!BK:BK,INPUT_DATA!$A:$A,$C105,INPUT_DATA!$C:$C,"D"))</f>
        <v/>
      </c>
      <c r="AN105" s="744" t="str">
        <f t="shared" si="17"/>
        <v/>
      </c>
      <c r="AO105" s="749" t="str">
        <f>IF($C105=0,"",SUMIFS(INPUT_DATA!BM:BM,INPUT_DATA!$A:$A,$C105,INPUT_DATA!$C:$C,"D"))</f>
        <v/>
      </c>
      <c r="AP105" s="338" t="str">
        <f t="shared" si="18"/>
        <v/>
      </c>
      <c r="AQ105" s="149"/>
      <c r="AS105" s="338" t="str">
        <f t="shared" si="19"/>
        <v/>
      </c>
      <c r="AU105" s="361" t="str">
        <f>IF($C105=0,"",'03 - Monthly Asset Follow up'!F109+'03 - Monthly Asset Follow up'!G109-'03 - Monthly Asset Follow up'!V109+'03 - Monthly Asset Follow up'!Y109-H105)</f>
        <v/>
      </c>
      <c r="AV105" s="361" t="str">
        <f>IF($C105=0,"",'03 - Monthly Asset Follow up'!BE109+'03 - Monthly Asset Follow up'!BF109-'03 - Monthly Asset Follow up'!BU109+'03 - Monthly Asset Follow up'!BX109-AA105)</f>
        <v/>
      </c>
      <c r="AX105" s="154"/>
    </row>
    <row r="106" spans="2:50">
      <c r="B106" s="730" t="str">
        <f t="shared" si="14"/>
        <v/>
      </c>
      <c r="C106" s="733">
        <f>'03 - Monthly Asset Follow up'!B110</f>
        <v>0</v>
      </c>
      <c r="D106" s="149"/>
      <c r="E106" s="726" t="str">
        <f>IF($C106=0,"",SUMIFS(INPUT_DATA!AV:AV,INPUT_DATA!$A:$A,$C106,INPUT_DATA!$C:$C,"S"))</f>
        <v/>
      </c>
      <c r="F106" s="738" t="str">
        <f>IF($C106=0,"",SUMIFS(INPUT_DATA!AW:AW,INPUT_DATA!$A:$A,$C106,INPUT_DATA!$C:$C,"S"))</f>
        <v/>
      </c>
      <c r="G106" s="738" t="str">
        <f>IF($C106=0,"",SUMIFS(INPUT_DATA!AX:AX,INPUT_DATA!$A:$A,$C106,INPUT_DATA!$C:$C,"S"))</f>
        <v/>
      </c>
      <c r="H106" s="740" t="str">
        <f t="shared" si="10"/>
        <v/>
      </c>
      <c r="I106" s="738" t="str">
        <f>IF($C106=0,"",SUMIFS(INPUT_DATA!AZ:AZ,INPUT_DATA!$A:$A,$C106,INPUT_DATA!$C:$C,"S"))</f>
        <v/>
      </c>
      <c r="J106" s="738" t="str">
        <f>IF($C106=0,"",SUMIFS(INPUT_DATA!BA:BA,INPUT_DATA!$A:$A,$C106,INPUT_DATA!$C:$C,"S"))</f>
        <v/>
      </c>
      <c r="K106" s="738" t="str">
        <f>IF($C106=0,"",SUMIFS(INPUT_DATA!BB:BB,INPUT_DATA!$A:$A,$C106,INPUT_DATA!$C:$C,"S"))</f>
        <v/>
      </c>
      <c r="L106" s="738" t="str">
        <f>IF($C106=0,"",SUMIFS(INPUT_DATA!BC:BC,INPUT_DATA!$A:$A,$C106,INPUT_DATA!$C:$C,"S"))</f>
        <v/>
      </c>
      <c r="M106" s="738" t="str">
        <f>IF($C106=0,"",SUMIFS(INPUT_DATA!BD:BD,INPUT_DATA!$A:$A,$C106,INPUT_DATA!$C:$C,"S"))</f>
        <v/>
      </c>
      <c r="N106" s="738" t="str">
        <f>IF($C106=0,"",SUMIFS(INPUT_DATA!BE:BE,INPUT_DATA!$A:$A,$C106,INPUT_DATA!$C:$C,"S"))</f>
        <v/>
      </c>
      <c r="O106" s="738" t="str">
        <f>IF($C106=0,"",SUMIFS(INPUT_DATA!BF:BF,INPUT_DATA!$A:$A,$C106,INPUT_DATA!$C:$C,"S"))</f>
        <v/>
      </c>
      <c r="P106" s="738" t="str">
        <f>IF($C106=0,"",SUMIFS(INPUT_DATA!BG:BG,INPUT_DATA!$A:$A,$C106,INPUT_DATA!$C:$C,"S"))</f>
        <v/>
      </c>
      <c r="Q106" s="744" t="str">
        <f t="shared" si="15"/>
        <v/>
      </c>
      <c r="R106" s="746" t="str">
        <f>IF($C106=0,"",SUMIFS(INPUT_DATA!BI:BI,INPUT_DATA!$A:$A,$C106,INPUT_DATA!$C:$C,"S"))</f>
        <v/>
      </c>
      <c r="S106" s="746" t="str">
        <f>IF($C106=0,"",SUMIFS(INPUT_DATA!BJ:BJ,INPUT_DATA!$A:$A,$C106,INPUT_DATA!$C:$C,"S"))</f>
        <v/>
      </c>
      <c r="T106" s="744" t="str">
        <f t="shared" si="16"/>
        <v/>
      </c>
      <c r="U106" s="749" t="str">
        <f>IF($C106=0,"",SUMIFS(INPUT_DATA!BM:BM,INPUT_DATA!$A:$A,$C106,INPUT_DATA!$C:$C,"S"))</f>
        <v/>
      </c>
      <c r="V106" s="155" t="str">
        <f t="shared" si="11"/>
        <v/>
      </c>
      <c r="W106" s="149"/>
      <c r="X106" s="726" t="str">
        <f>IF($C106=0,"",SUMIFS(INPUT_DATA!AV:AV,INPUT_DATA!$A:$A,$C106,INPUT_DATA!$C:$C,"D"))</f>
        <v/>
      </c>
      <c r="Y106" s="738" t="str">
        <f>IF($C106=0,"",SUMIFS(INPUT_DATA!AW:AW,INPUT_DATA!$A:$A,$C106,INPUT_DATA!$C:$C,"D"))</f>
        <v/>
      </c>
      <c r="Z106" s="738" t="str">
        <f>IF($C106=0,"",SUMIFS(INPUT_DATA!AX:AX,INPUT_DATA!$A:$A,$C106,INPUT_DATA!$C:$C,"D"))</f>
        <v/>
      </c>
      <c r="AA106" s="739" t="str">
        <f t="shared" si="12"/>
        <v/>
      </c>
      <c r="AB106" s="738" t="str">
        <f>IF($C106=0,"",SUMIFS(INPUT_DATA!AZ:AZ,INPUT_DATA!$A:$A,$C106,INPUT_DATA!$C:$C,"D"))</f>
        <v/>
      </c>
      <c r="AC106" s="738" t="str">
        <f>IF($C106=0,"",SUMIFS(INPUT_DATA!BA:BA,INPUT_DATA!$A:$A,$C106,INPUT_DATA!$C:$C,"D"))</f>
        <v/>
      </c>
      <c r="AD106" s="738" t="str">
        <f>IF($C106=0,"",SUMIFS(INPUT_DATA!BB:BB,INPUT_DATA!$A:$A,$C106,INPUT_DATA!$C:$C,"D"))</f>
        <v/>
      </c>
      <c r="AE106" s="738" t="str">
        <f>IF($C106=0,"",SUMIFS(INPUT_DATA!BC:BC,INPUT_DATA!$A:$A,$C106,INPUT_DATA!$C:$C,"D"))</f>
        <v/>
      </c>
      <c r="AF106" s="738" t="str">
        <f>IF($C106=0,"",SUMIFS(INPUT_DATA!BD:BD,INPUT_DATA!$A:$A,$C106,INPUT_DATA!$C:$C,"D"))</f>
        <v/>
      </c>
      <c r="AG106" s="738" t="str">
        <f>IF($C106=0,"",SUMIFS(INPUT_DATA!BE:BE,INPUT_DATA!$A:$A,$C106,INPUT_DATA!$C:$C,"D"))</f>
        <v/>
      </c>
      <c r="AH106" s="738" t="str">
        <f>IF($C106=0,"",SUMIFS(INPUT_DATA!BF:BF,INPUT_DATA!$A:$A,$C106,INPUT_DATA!$C:$C,"D"))</f>
        <v/>
      </c>
      <c r="AI106" s="738" t="str">
        <f>IF($C106=0,"",SUMIFS(INPUT_DATA!BG:BG,INPUT_DATA!$A:$A,$C106,INPUT_DATA!$C:$C,"D"))</f>
        <v/>
      </c>
      <c r="AJ106" s="299" t="str">
        <f t="shared" si="13"/>
        <v/>
      </c>
      <c r="AK106" s="746" t="str">
        <f>IF($C106=0,"",SUMIFS(INPUT_DATA!BI:BI,INPUT_DATA!$A:$A,$C106,INPUT_DATA!$C:$C,"D"))</f>
        <v/>
      </c>
      <c r="AL106" s="746" t="str">
        <f>IF($C106=0,"",SUMIFS(INPUT_DATA!BJ:BJ,INPUT_DATA!$A:$A,$C106,INPUT_DATA!$C:$C,"D"))</f>
        <v/>
      </c>
      <c r="AM106" s="746" t="str">
        <f>IF($C106=0,"",SUMIFS(INPUT_DATA!BK:BK,INPUT_DATA!$A:$A,$C106,INPUT_DATA!$C:$C,"D"))</f>
        <v/>
      </c>
      <c r="AN106" s="744" t="str">
        <f t="shared" si="17"/>
        <v/>
      </c>
      <c r="AO106" s="749" t="str">
        <f>IF($C106=0,"",SUMIFS(INPUT_DATA!BM:BM,INPUT_DATA!$A:$A,$C106,INPUT_DATA!$C:$C,"D"))</f>
        <v/>
      </c>
      <c r="AP106" s="338" t="str">
        <f t="shared" si="18"/>
        <v/>
      </c>
      <c r="AQ106" s="149"/>
      <c r="AS106" s="338" t="str">
        <f t="shared" si="19"/>
        <v/>
      </c>
      <c r="AU106" s="361" t="str">
        <f>IF($C106=0,"",'03 - Monthly Asset Follow up'!F110+'03 - Monthly Asset Follow up'!G110-'03 - Monthly Asset Follow up'!V110+'03 - Monthly Asset Follow up'!Y110-H106)</f>
        <v/>
      </c>
      <c r="AV106" s="361" t="str">
        <f>IF($C106=0,"",'03 - Monthly Asset Follow up'!BE110+'03 - Monthly Asset Follow up'!BF110-'03 - Monthly Asset Follow up'!BU110+'03 - Monthly Asset Follow up'!BX110-AA106)</f>
        <v/>
      </c>
      <c r="AX106" s="154"/>
    </row>
    <row r="107" spans="2:50">
      <c r="B107" s="730" t="str">
        <f t="shared" si="14"/>
        <v/>
      </c>
      <c r="C107" s="733">
        <f>'03 - Monthly Asset Follow up'!B111</f>
        <v>0</v>
      </c>
      <c r="D107" s="149"/>
      <c r="E107" s="726" t="str">
        <f>IF($C107=0,"",SUMIFS(INPUT_DATA!AV:AV,INPUT_DATA!$A:$A,$C107,INPUT_DATA!$C:$C,"S"))</f>
        <v/>
      </c>
      <c r="F107" s="738" t="str">
        <f>IF($C107=0,"",SUMIFS(INPUT_DATA!AW:AW,INPUT_DATA!$A:$A,$C107,INPUT_DATA!$C:$C,"S"))</f>
        <v/>
      </c>
      <c r="G107" s="738" t="str">
        <f>IF($C107=0,"",SUMIFS(INPUT_DATA!AX:AX,INPUT_DATA!$A:$A,$C107,INPUT_DATA!$C:$C,"S"))</f>
        <v/>
      </c>
      <c r="H107" s="740" t="str">
        <f t="shared" si="10"/>
        <v/>
      </c>
      <c r="I107" s="738" t="str">
        <f>IF($C107=0,"",SUMIFS(INPUT_DATA!AZ:AZ,INPUT_DATA!$A:$A,$C107,INPUT_DATA!$C:$C,"S"))</f>
        <v/>
      </c>
      <c r="J107" s="738" t="str">
        <f>IF($C107=0,"",SUMIFS(INPUT_DATA!BA:BA,INPUT_DATA!$A:$A,$C107,INPUT_DATA!$C:$C,"S"))</f>
        <v/>
      </c>
      <c r="K107" s="738" t="str">
        <f>IF($C107=0,"",SUMIFS(INPUT_DATA!BB:BB,INPUT_DATA!$A:$A,$C107,INPUT_DATA!$C:$C,"S"))</f>
        <v/>
      </c>
      <c r="L107" s="738" t="str">
        <f>IF($C107=0,"",SUMIFS(INPUT_DATA!BC:BC,INPUT_DATA!$A:$A,$C107,INPUT_DATA!$C:$C,"S"))</f>
        <v/>
      </c>
      <c r="M107" s="738" t="str">
        <f>IF($C107=0,"",SUMIFS(INPUT_DATA!BD:BD,INPUT_DATA!$A:$A,$C107,INPUT_DATA!$C:$C,"S"))</f>
        <v/>
      </c>
      <c r="N107" s="738" t="str">
        <f>IF($C107=0,"",SUMIFS(INPUT_DATA!BE:BE,INPUT_DATA!$A:$A,$C107,INPUT_DATA!$C:$C,"S"))</f>
        <v/>
      </c>
      <c r="O107" s="738" t="str">
        <f>IF($C107=0,"",SUMIFS(INPUT_DATA!BF:BF,INPUT_DATA!$A:$A,$C107,INPUT_DATA!$C:$C,"S"))</f>
        <v/>
      </c>
      <c r="P107" s="738" t="str">
        <f>IF($C107=0,"",SUMIFS(INPUT_DATA!BG:BG,INPUT_DATA!$A:$A,$C107,INPUT_DATA!$C:$C,"S"))</f>
        <v/>
      </c>
      <c r="Q107" s="744" t="str">
        <f t="shared" si="15"/>
        <v/>
      </c>
      <c r="R107" s="746" t="str">
        <f>IF($C107=0,"",SUMIFS(INPUT_DATA!BI:BI,INPUT_DATA!$A:$A,$C107,INPUT_DATA!$C:$C,"S"))</f>
        <v/>
      </c>
      <c r="S107" s="746" t="str">
        <f>IF($C107=0,"",SUMIFS(INPUT_DATA!BJ:BJ,INPUT_DATA!$A:$A,$C107,INPUT_DATA!$C:$C,"S"))</f>
        <v/>
      </c>
      <c r="T107" s="744" t="str">
        <f t="shared" si="16"/>
        <v/>
      </c>
      <c r="U107" s="749" t="str">
        <f>IF($C107=0,"",SUMIFS(INPUT_DATA!BM:BM,INPUT_DATA!$A:$A,$C107,INPUT_DATA!$C:$C,"S"))</f>
        <v/>
      </c>
      <c r="V107" s="155" t="str">
        <f t="shared" si="11"/>
        <v/>
      </c>
      <c r="W107" s="149"/>
      <c r="X107" s="726" t="str">
        <f>IF($C107=0,"",SUMIFS(INPUT_DATA!AV:AV,INPUT_DATA!$A:$A,$C107,INPUT_DATA!$C:$C,"D"))</f>
        <v/>
      </c>
      <c r="Y107" s="738" t="str">
        <f>IF($C107=0,"",SUMIFS(INPUT_DATA!AW:AW,INPUT_DATA!$A:$A,$C107,INPUT_DATA!$C:$C,"D"))</f>
        <v/>
      </c>
      <c r="Z107" s="738" t="str">
        <f>IF($C107=0,"",SUMIFS(INPUT_DATA!AX:AX,INPUT_DATA!$A:$A,$C107,INPUT_DATA!$C:$C,"D"))</f>
        <v/>
      </c>
      <c r="AA107" s="739" t="str">
        <f t="shared" si="12"/>
        <v/>
      </c>
      <c r="AB107" s="738" t="str">
        <f>IF($C107=0,"",SUMIFS(INPUT_DATA!AZ:AZ,INPUT_DATA!$A:$A,$C107,INPUT_DATA!$C:$C,"D"))</f>
        <v/>
      </c>
      <c r="AC107" s="738" t="str">
        <f>IF($C107=0,"",SUMIFS(INPUT_DATA!BA:BA,INPUT_DATA!$A:$A,$C107,INPUT_DATA!$C:$C,"D"))</f>
        <v/>
      </c>
      <c r="AD107" s="738" t="str">
        <f>IF($C107=0,"",SUMIFS(INPUT_DATA!BB:BB,INPUT_DATA!$A:$A,$C107,INPUT_DATA!$C:$C,"D"))</f>
        <v/>
      </c>
      <c r="AE107" s="738" t="str">
        <f>IF($C107=0,"",SUMIFS(INPUT_DATA!BC:BC,INPUT_DATA!$A:$A,$C107,INPUT_DATA!$C:$C,"D"))</f>
        <v/>
      </c>
      <c r="AF107" s="738" t="str">
        <f>IF($C107=0,"",SUMIFS(INPUT_DATA!BD:BD,INPUT_DATA!$A:$A,$C107,INPUT_DATA!$C:$C,"D"))</f>
        <v/>
      </c>
      <c r="AG107" s="738" t="str">
        <f>IF($C107=0,"",SUMIFS(INPUT_DATA!BE:BE,INPUT_DATA!$A:$A,$C107,INPUT_DATA!$C:$C,"D"))</f>
        <v/>
      </c>
      <c r="AH107" s="738" t="str">
        <f>IF($C107=0,"",SUMIFS(INPUT_DATA!BF:BF,INPUT_DATA!$A:$A,$C107,INPUT_DATA!$C:$C,"D"))</f>
        <v/>
      </c>
      <c r="AI107" s="738" t="str">
        <f>IF($C107=0,"",SUMIFS(INPUT_DATA!BG:BG,INPUT_DATA!$A:$A,$C107,INPUT_DATA!$C:$C,"D"))</f>
        <v/>
      </c>
      <c r="AJ107" s="299" t="str">
        <f t="shared" si="13"/>
        <v/>
      </c>
      <c r="AK107" s="746" t="str">
        <f>IF($C107=0,"",SUMIFS(INPUT_DATA!BI:BI,INPUT_DATA!$A:$A,$C107,INPUT_DATA!$C:$C,"D"))</f>
        <v/>
      </c>
      <c r="AL107" s="746" t="str">
        <f>IF($C107=0,"",SUMIFS(INPUT_DATA!BJ:BJ,INPUT_DATA!$A:$A,$C107,INPUT_DATA!$C:$C,"D"))</f>
        <v/>
      </c>
      <c r="AM107" s="746" t="str">
        <f>IF($C107=0,"",SUMIFS(INPUT_DATA!BK:BK,INPUT_DATA!$A:$A,$C107,INPUT_DATA!$C:$C,"D"))</f>
        <v/>
      </c>
      <c r="AN107" s="744" t="str">
        <f t="shared" si="17"/>
        <v/>
      </c>
      <c r="AO107" s="749" t="str">
        <f>IF($C107=0,"",SUMIFS(INPUT_DATA!BM:BM,INPUT_DATA!$A:$A,$C107,INPUT_DATA!$C:$C,"D"))</f>
        <v/>
      </c>
      <c r="AP107" s="338" t="str">
        <f t="shared" si="18"/>
        <v/>
      </c>
      <c r="AQ107" s="149"/>
      <c r="AS107" s="338" t="str">
        <f t="shared" si="19"/>
        <v/>
      </c>
      <c r="AU107" s="361" t="str">
        <f>IF($C107=0,"",'03 - Monthly Asset Follow up'!F111+'03 - Monthly Asset Follow up'!G111-'03 - Monthly Asset Follow up'!V111+'03 - Monthly Asset Follow up'!Y111-H107)</f>
        <v/>
      </c>
      <c r="AV107" s="361" t="str">
        <f>IF($C107=0,"",'03 - Monthly Asset Follow up'!BE111+'03 - Monthly Asset Follow up'!BF111-'03 - Monthly Asset Follow up'!BU111+'03 - Monthly Asset Follow up'!BX111-AA107)</f>
        <v/>
      </c>
      <c r="AX107" s="154"/>
    </row>
    <row r="108" spans="2:50">
      <c r="B108" s="730" t="str">
        <f t="shared" si="14"/>
        <v/>
      </c>
      <c r="C108" s="733">
        <f>'03 - Monthly Asset Follow up'!B112</f>
        <v>0</v>
      </c>
      <c r="D108" s="149"/>
      <c r="E108" s="726" t="str">
        <f>IF($C108=0,"",SUMIFS(INPUT_DATA!AV:AV,INPUT_DATA!$A:$A,$C108,INPUT_DATA!$C:$C,"S"))</f>
        <v/>
      </c>
      <c r="F108" s="738" t="str">
        <f>IF($C108=0,"",SUMIFS(INPUT_DATA!AW:AW,INPUT_DATA!$A:$A,$C108,INPUT_DATA!$C:$C,"S"))</f>
        <v/>
      </c>
      <c r="G108" s="738" t="str">
        <f>IF($C108=0,"",SUMIFS(INPUT_DATA!AX:AX,INPUT_DATA!$A:$A,$C108,INPUT_DATA!$C:$C,"S"))</f>
        <v/>
      </c>
      <c r="H108" s="740" t="str">
        <f t="shared" si="10"/>
        <v/>
      </c>
      <c r="I108" s="738" t="str">
        <f>IF($C108=0,"",SUMIFS(INPUT_DATA!AZ:AZ,INPUT_DATA!$A:$A,$C108,INPUT_DATA!$C:$C,"S"))</f>
        <v/>
      </c>
      <c r="J108" s="738" t="str">
        <f>IF($C108=0,"",SUMIFS(INPUT_DATA!BA:BA,INPUT_DATA!$A:$A,$C108,INPUT_DATA!$C:$C,"S"))</f>
        <v/>
      </c>
      <c r="K108" s="738" t="str">
        <f>IF($C108=0,"",SUMIFS(INPUT_DATA!BB:BB,INPUT_DATA!$A:$A,$C108,INPUT_DATA!$C:$C,"S"))</f>
        <v/>
      </c>
      <c r="L108" s="738" t="str">
        <f>IF($C108=0,"",SUMIFS(INPUT_DATA!BC:BC,INPUT_DATA!$A:$A,$C108,INPUT_DATA!$C:$C,"S"))</f>
        <v/>
      </c>
      <c r="M108" s="738" t="str">
        <f>IF($C108=0,"",SUMIFS(INPUT_DATA!BD:BD,INPUT_DATA!$A:$A,$C108,INPUT_DATA!$C:$C,"S"))</f>
        <v/>
      </c>
      <c r="N108" s="738" t="str">
        <f>IF($C108=0,"",SUMIFS(INPUT_DATA!BE:BE,INPUT_DATA!$A:$A,$C108,INPUT_DATA!$C:$C,"S"))</f>
        <v/>
      </c>
      <c r="O108" s="738" t="str">
        <f>IF($C108=0,"",SUMIFS(INPUT_DATA!BF:BF,INPUT_DATA!$A:$A,$C108,INPUT_DATA!$C:$C,"S"))</f>
        <v/>
      </c>
      <c r="P108" s="738" t="str">
        <f>IF($C108=0,"",SUMIFS(INPUT_DATA!BG:BG,INPUT_DATA!$A:$A,$C108,INPUT_DATA!$C:$C,"S"))</f>
        <v/>
      </c>
      <c r="Q108" s="744" t="str">
        <f t="shared" si="15"/>
        <v/>
      </c>
      <c r="R108" s="746" t="str">
        <f>IF($C108=0,"",SUMIFS(INPUT_DATA!BI:BI,INPUT_DATA!$A:$A,$C108,INPUT_DATA!$C:$C,"S"))</f>
        <v/>
      </c>
      <c r="S108" s="746" t="str">
        <f>IF($C108=0,"",SUMIFS(INPUT_DATA!BJ:BJ,INPUT_DATA!$A:$A,$C108,INPUT_DATA!$C:$C,"S"))</f>
        <v/>
      </c>
      <c r="T108" s="744" t="str">
        <f t="shared" si="16"/>
        <v/>
      </c>
      <c r="U108" s="749" t="str">
        <f>IF($C108=0,"",SUMIFS(INPUT_DATA!BM:BM,INPUT_DATA!$A:$A,$C108,INPUT_DATA!$C:$C,"S"))</f>
        <v/>
      </c>
      <c r="V108" s="155" t="str">
        <f t="shared" si="11"/>
        <v/>
      </c>
      <c r="W108" s="149"/>
      <c r="X108" s="726" t="str">
        <f>IF($C108=0,"",SUMIFS(INPUT_DATA!AV:AV,INPUT_DATA!$A:$A,$C108,INPUT_DATA!$C:$C,"D"))</f>
        <v/>
      </c>
      <c r="Y108" s="738" t="str">
        <f>IF($C108=0,"",SUMIFS(INPUT_DATA!AW:AW,INPUT_DATA!$A:$A,$C108,INPUT_DATA!$C:$C,"D"))</f>
        <v/>
      </c>
      <c r="Z108" s="738" t="str">
        <f>IF($C108=0,"",SUMIFS(INPUT_DATA!AX:AX,INPUT_DATA!$A:$A,$C108,INPUT_DATA!$C:$C,"D"))</f>
        <v/>
      </c>
      <c r="AA108" s="739" t="str">
        <f t="shared" si="12"/>
        <v/>
      </c>
      <c r="AB108" s="738" t="str">
        <f>IF($C108=0,"",SUMIFS(INPUT_DATA!AZ:AZ,INPUT_DATA!$A:$A,$C108,INPUT_DATA!$C:$C,"D"))</f>
        <v/>
      </c>
      <c r="AC108" s="738" t="str">
        <f>IF($C108=0,"",SUMIFS(INPUT_DATA!BA:BA,INPUT_DATA!$A:$A,$C108,INPUT_DATA!$C:$C,"D"))</f>
        <v/>
      </c>
      <c r="AD108" s="738" t="str">
        <f>IF($C108=0,"",SUMIFS(INPUT_DATA!BB:BB,INPUT_DATA!$A:$A,$C108,INPUT_DATA!$C:$C,"D"))</f>
        <v/>
      </c>
      <c r="AE108" s="738" t="str">
        <f>IF($C108=0,"",SUMIFS(INPUT_DATA!BC:BC,INPUT_DATA!$A:$A,$C108,INPUT_DATA!$C:$C,"D"))</f>
        <v/>
      </c>
      <c r="AF108" s="738" t="str">
        <f>IF($C108=0,"",SUMIFS(INPUT_DATA!BD:BD,INPUT_DATA!$A:$A,$C108,INPUT_DATA!$C:$C,"D"))</f>
        <v/>
      </c>
      <c r="AG108" s="738" t="str">
        <f>IF($C108=0,"",SUMIFS(INPUT_DATA!BE:BE,INPUT_DATA!$A:$A,$C108,INPUT_DATA!$C:$C,"D"))</f>
        <v/>
      </c>
      <c r="AH108" s="738" t="str">
        <f>IF($C108=0,"",SUMIFS(INPUT_DATA!BF:BF,INPUT_DATA!$A:$A,$C108,INPUT_DATA!$C:$C,"D"))</f>
        <v/>
      </c>
      <c r="AI108" s="738" t="str">
        <f>IF($C108=0,"",SUMIFS(INPUT_DATA!BG:BG,INPUT_DATA!$A:$A,$C108,INPUT_DATA!$C:$C,"D"))</f>
        <v/>
      </c>
      <c r="AJ108" s="299" t="str">
        <f t="shared" si="13"/>
        <v/>
      </c>
      <c r="AK108" s="746" t="str">
        <f>IF($C108=0,"",SUMIFS(INPUT_DATA!BI:BI,INPUT_DATA!$A:$A,$C108,INPUT_DATA!$C:$C,"D"))</f>
        <v/>
      </c>
      <c r="AL108" s="746" t="str">
        <f>IF($C108=0,"",SUMIFS(INPUT_DATA!BJ:BJ,INPUT_DATA!$A:$A,$C108,INPUT_DATA!$C:$C,"D"))</f>
        <v/>
      </c>
      <c r="AM108" s="746" t="str">
        <f>IF($C108=0,"",SUMIFS(INPUT_DATA!BK:BK,INPUT_DATA!$A:$A,$C108,INPUT_DATA!$C:$C,"D"))</f>
        <v/>
      </c>
      <c r="AN108" s="744" t="str">
        <f t="shared" si="17"/>
        <v/>
      </c>
      <c r="AO108" s="749" t="str">
        <f>IF($C108=0,"",SUMIFS(INPUT_DATA!BM:BM,INPUT_DATA!$A:$A,$C108,INPUT_DATA!$C:$C,"D"))</f>
        <v/>
      </c>
      <c r="AP108" s="338" t="str">
        <f t="shared" si="18"/>
        <v/>
      </c>
      <c r="AQ108" s="149"/>
      <c r="AS108" s="338" t="str">
        <f t="shared" si="19"/>
        <v/>
      </c>
      <c r="AU108" s="361" t="str">
        <f>IF($C108=0,"",'03 - Monthly Asset Follow up'!F112+'03 - Monthly Asset Follow up'!G112-'03 - Monthly Asset Follow up'!V112+'03 - Monthly Asset Follow up'!Y112-H108)</f>
        <v/>
      </c>
      <c r="AV108" s="361" t="str">
        <f>IF($C108=0,"",'03 - Monthly Asset Follow up'!BE112+'03 - Monthly Asset Follow up'!BF112-'03 - Monthly Asset Follow up'!BU112+'03 - Monthly Asset Follow up'!BX112-AA108)</f>
        <v/>
      </c>
      <c r="AX108" s="154"/>
    </row>
    <row r="109" spans="2:50">
      <c r="B109" s="730" t="str">
        <f t="shared" si="14"/>
        <v/>
      </c>
      <c r="C109" s="733">
        <f>'03 - Monthly Asset Follow up'!B113</f>
        <v>0</v>
      </c>
      <c r="D109" s="149"/>
      <c r="E109" s="726" t="str">
        <f>IF($C109=0,"",SUMIFS(INPUT_DATA!AV:AV,INPUT_DATA!$A:$A,$C109,INPUT_DATA!$C:$C,"S"))</f>
        <v/>
      </c>
      <c r="F109" s="738" t="str">
        <f>IF($C109=0,"",SUMIFS(INPUT_DATA!AW:AW,INPUT_DATA!$A:$A,$C109,INPUT_DATA!$C:$C,"S"))</f>
        <v/>
      </c>
      <c r="G109" s="738" t="str">
        <f>IF($C109=0,"",SUMIFS(INPUT_DATA!AX:AX,INPUT_DATA!$A:$A,$C109,INPUT_DATA!$C:$C,"S"))</f>
        <v/>
      </c>
      <c r="H109" s="740" t="str">
        <f t="shared" si="10"/>
        <v/>
      </c>
      <c r="I109" s="738" t="str">
        <f>IF($C109=0,"",SUMIFS(INPUT_DATA!AZ:AZ,INPUT_DATA!$A:$A,$C109,INPUT_DATA!$C:$C,"S"))</f>
        <v/>
      </c>
      <c r="J109" s="738" t="str">
        <f>IF($C109=0,"",SUMIFS(INPUT_DATA!BA:BA,INPUT_DATA!$A:$A,$C109,INPUT_DATA!$C:$C,"S"))</f>
        <v/>
      </c>
      <c r="K109" s="738" t="str">
        <f>IF($C109=0,"",SUMIFS(INPUT_DATA!BB:BB,INPUT_DATA!$A:$A,$C109,INPUT_DATA!$C:$C,"S"))</f>
        <v/>
      </c>
      <c r="L109" s="738" t="str">
        <f>IF($C109=0,"",SUMIFS(INPUT_DATA!BC:BC,INPUT_DATA!$A:$A,$C109,INPUT_DATA!$C:$C,"S"))</f>
        <v/>
      </c>
      <c r="M109" s="738" t="str">
        <f>IF($C109=0,"",SUMIFS(INPUT_DATA!BD:BD,INPUT_DATA!$A:$A,$C109,INPUT_DATA!$C:$C,"S"))</f>
        <v/>
      </c>
      <c r="N109" s="738" t="str">
        <f>IF($C109=0,"",SUMIFS(INPUT_DATA!BE:BE,INPUT_DATA!$A:$A,$C109,INPUT_DATA!$C:$C,"S"))</f>
        <v/>
      </c>
      <c r="O109" s="738" t="str">
        <f>IF($C109=0,"",SUMIFS(INPUT_DATA!BF:BF,INPUT_DATA!$A:$A,$C109,INPUT_DATA!$C:$C,"S"))</f>
        <v/>
      </c>
      <c r="P109" s="738" t="str">
        <f>IF($C109=0,"",SUMIFS(INPUT_DATA!BG:BG,INPUT_DATA!$A:$A,$C109,INPUT_DATA!$C:$C,"S"))</f>
        <v/>
      </c>
      <c r="Q109" s="744" t="str">
        <f t="shared" si="15"/>
        <v/>
      </c>
      <c r="R109" s="746" t="str">
        <f>IF($C109=0,"",SUMIFS(INPUT_DATA!BI:BI,INPUT_DATA!$A:$A,$C109,INPUT_DATA!$C:$C,"S"))</f>
        <v/>
      </c>
      <c r="S109" s="746" t="str">
        <f>IF($C109=0,"",SUMIFS(INPUT_DATA!BJ:BJ,INPUT_DATA!$A:$A,$C109,INPUT_DATA!$C:$C,"S"))</f>
        <v/>
      </c>
      <c r="T109" s="744" t="str">
        <f t="shared" si="16"/>
        <v/>
      </c>
      <c r="U109" s="749" t="str">
        <f>IF($C109=0,"",SUMIFS(INPUT_DATA!BM:BM,INPUT_DATA!$A:$A,$C109,INPUT_DATA!$C:$C,"S"))</f>
        <v/>
      </c>
      <c r="V109" s="155" t="str">
        <f t="shared" si="11"/>
        <v/>
      </c>
      <c r="W109" s="149"/>
      <c r="X109" s="726" t="str">
        <f>IF($C109=0,"",SUMIFS(INPUT_DATA!AV:AV,INPUT_DATA!$A:$A,$C109,INPUT_DATA!$C:$C,"D"))</f>
        <v/>
      </c>
      <c r="Y109" s="738" t="str">
        <f>IF($C109=0,"",SUMIFS(INPUT_DATA!AW:AW,INPUT_DATA!$A:$A,$C109,INPUT_DATA!$C:$C,"D"))</f>
        <v/>
      </c>
      <c r="Z109" s="738" t="str">
        <f>IF($C109=0,"",SUMIFS(INPUT_DATA!AX:AX,INPUT_DATA!$A:$A,$C109,INPUT_DATA!$C:$C,"D"))</f>
        <v/>
      </c>
      <c r="AA109" s="739" t="str">
        <f t="shared" si="12"/>
        <v/>
      </c>
      <c r="AB109" s="738" t="str">
        <f>IF($C109=0,"",SUMIFS(INPUT_DATA!AZ:AZ,INPUT_DATA!$A:$A,$C109,INPUT_DATA!$C:$C,"D"))</f>
        <v/>
      </c>
      <c r="AC109" s="738" t="str">
        <f>IF($C109=0,"",SUMIFS(INPUT_DATA!BA:BA,INPUT_DATA!$A:$A,$C109,INPUT_DATA!$C:$C,"D"))</f>
        <v/>
      </c>
      <c r="AD109" s="738" t="str">
        <f>IF($C109=0,"",SUMIFS(INPUT_DATA!BB:BB,INPUT_DATA!$A:$A,$C109,INPUT_DATA!$C:$C,"D"))</f>
        <v/>
      </c>
      <c r="AE109" s="738" t="str">
        <f>IF($C109=0,"",SUMIFS(INPUT_DATA!BC:BC,INPUT_DATA!$A:$A,$C109,INPUT_DATA!$C:$C,"D"))</f>
        <v/>
      </c>
      <c r="AF109" s="738" t="str">
        <f>IF($C109=0,"",SUMIFS(INPUT_DATA!BD:BD,INPUT_DATA!$A:$A,$C109,INPUT_DATA!$C:$C,"D"))</f>
        <v/>
      </c>
      <c r="AG109" s="738" t="str">
        <f>IF($C109=0,"",SUMIFS(INPUT_DATA!BE:BE,INPUT_DATA!$A:$A,$C109,INPUT_DATA!$C:$C,"D"))</f>
        <v/>
      </c>
      <c r="AH109" s="738" t="str">
        <f>IF($C109=0,"",SUMIFS(INPUT_DATA!BF:BF,INPUT_DATA!$A:$A,$C109,INPUT_DATA!$C:$C,"D"))</f>
        <v/>
      </c>
      <c r="AI109" s="738" t="str">
        <f>IF($C109=0,"",SUMIFS(INPUT_DATA!BG:BG,INPUT_DATA!$A:$A,$C109,INPUT_DATA!$C:$C,"D"))</f>
        <v/>
      </c>
      <c r="AJ109" s="299" t="str">
        <f t="shared" si="13"/>
        <v/>
      </c>
      <c r="AK109" s="746" t="str">
        <f>IF($C109=0,"",SUMIFS(INPUT_DATA!BI:BI,INPUT_DATA!$A:$A,$C109,INPUT_DATA!$C:$C,"D"))</f>
        <v/>
      </c>
      <c r="AL109" s="746" t="str">
        <f>IF($C109=0,"",SUMIFS(INPUT_DATA!BJ:BJ,INPUT_DATA!$A:$A,$C109,INPUT_DATA!$C:$C,"D"))</f>
        <v/>
      </c>
      <c r="AM109" s="746" t="str">
        <f>IF($C109=0,"",SUMIFS(INPUT_DATA!BK:BK,INPUT_DATA!$A:$A,$C109,INPUT_DATA!$C:$C,"D"))</f>
        <v/>
      </c>
      <c r="AN109" s="744" t="str">
        <f t="shared" si="17"/>
        <v/>
      </c>
      <c r="AO109" s="749" t="str">
        <f>IF($C109=0,"",SUMIFS(INPUT_DATA!BM:BM,INPUT_DATA!$A:$A,$C109,INPUT_DATA!$C:$C,"D"))</f>
        <v/>
      </c>
      <c r="AP109" s="338" t="str">
        <f t="shared" si="18"/>
        <v/>
      </c>
      <c r="AQ109" s="149"/>
      <c r="AS109" s="338" t="str">
        <f t="shared" si="19"/>
        <v/>
      </c>
      <c r="AU109" s="361" t="str">
        <f>IF($C109=0,"",'03 - Monthly Asset Follow up'!F113+'03 - Monthly Asset Follow up'!G113-'03 - Monthly Asset Follow up'!V113+'03 - Monthly Asset Follow up'!Y113-H109)</f>
        <v/>
      </c>
      <c r="AV109" s="361" t="str">
        <f>IF($C109=0,"",'03 - Monthly Asset Follow up'!BE113+'03 - Monthly Asset Follow up'!BF113-'03 - Monthly Asset Follow up'!BU113+'03 - Monthly Asset Follow up'!BX113-AA109)</f>
        <v/>
      </c>
      <c r="AX109" s="154"/>
    </row>
    <row r="110" spans="2:50">
      <c r="B110" s="730" t="str">
        <f t="shared" si="14"/>
        <v/>
      </c>
      <c r="C110" s="733">
        <f>'03 - Monthly Asset Follow up'!B114</f>
        <v>0</v>
      </c>
      <c r="D110" s="149"/>
      <c r="E110" s="726" t="str">
        <f>IF($C110=0,"",SUMIFS(INPUT_DATA!AV:AV,INPUT_DATA!$A:$A,$C110,INPUT_DATA!$C:$C,"S"))</f>
        <v/>
      </c>
      <c r="F110" s="738" t="str">
        <f>IF($C110=0,"",SUMIFS(INPUT_DATA!AW:AW,INPUT_DATA!$A:$A,$C110,INPUT_DATA!$C:$C,"S"))</f>
        <v/>
      </c>
      <c r="G110" s="738" t="str">
        <f>IF($C110=0,"",SUMIFS(INPUT_DATA!AX:AX,INPUT_DATA!$A:$A,$C110,INPUT_DATA!$C:$C,"S"))</f>
        <v/>
      </c>
      <c r="H110" s="740" t="str">
        <f t="shared" si="10"/>
        <v/>
      </c>
      <c r="I110" s="738" t="str">
        <f>IF($C110=0,"",SUMIFS(INPUT_DATA!AZ:AZ,INPUT_DATA!$A:$A,$C110,INPUT_DATA!$C:$C,"S"))</f>
        <v/>
      </c>
      <c r="J110" s="738" t="str">
        <f>IF($C110=0,"",SUMIFS(INPUT_DATA!BA:BA,INPUT_DATA!$A:$A,$C110,INPUT_DATA!$C:$C,"S"))</f>
        <v/>
      </c>
      <c r="K110" s="738" t="str">
        <f>IF($C110=0,"",SUMIFS(INPUT_DATA!BB:BB,INPUT_DATA!$A:$A,$C110,INPUT_DATA!$C:$C,"S"))</f>
        <v/>
      </c>
      <c r="L110" s="738" t="str">
        <f>IF($C110=0,"",SUMIFS(INPUT_DATA!BC:BC,INPUT_DATA!$A:$A,$C110,INPUT_DATA!$C:$C,"S"))</f>
        <v/>
      </c>
      <c r="M110" s="738" t="str">
        <f>IF($C110=0,"",SUMIFS(INPUT_DATA!BD:BD,INPUT_DATA!$A:$A,$C110,INPUT_DATA!$C:$C,"S"))</f>
        <v/>
      </c>
      <c r="N110" s="738" t="str">
        <f>IF($C110=0,"",SUMIFS(INPUT_DATA!BE:BE,INPUT_DATA!$A:$A,$C110,INPUT_DATA!$C:$C,"S"))</f>
        <v/>
      </c>
      <c r="O110" s="738" t="str">
        <f>IF($C110=0,"",SUMIFS(INPUT_DATA!BF:BF,INPUT_DATA!$A:$A,$C110,INPUT_DATA!$C:$C,"S"))</f>
        <v/>
      </c>
      <c r="P110" s="738" t="str">
        <f>IF($C110=0,"",SUMIFS(INPUT_DATA!BG:BG,INPUT_DATA!$A:$A,$C110,INPUT_DATA!$C:$C,"S"))</f>
        <v/>
      </c>
      <c r="Q110" s="744" t="str">
        <f t="shared" si="15"/>
        <v/>
      </c>
      <c r="R110" s="746" t="str">
        <f>IF($C110=0,"",SUMIFS(INPUT_DATA!BI:BI,INPUT_DATA!$A:$A,$C110,INPUT_DATA!$C:$C,"S"))</f>
        <v/>
      </c>
      <c r="S110" s="746" t="str">
        <f>IF($C110=0,"",SUMIFS(INPUT_DATA!BJ:BJ,INPUT_DATA!$A:$A,$C110,INPUT_DATA!$C:$C,"S"))</f>
        <v/>
      </c>
      <c r="T110" s="744" t="str">
        <f t="shared" si="16"/>
        <v/>
      </c>
      <c r="U110" s="749" t="str">
        <f>IF($C110=0,"",SUMIFS(INPUT_DATA!BM:BM,INPUT_DATA!$A:$A,$C110,INPUT_DATA!$C:$C,"S"))</f>
        <v/>
      </c>
      <c r="V110" s="155" t="str">
        <f t="shared" si="11"/>
        <v/>
      </c>
      <c r="W110" s="149"/>
      <c r="X110" s="726" t="str">
        <f>IF($C110=0,"",SUMIFS(INPUT_DATA!AV:AV,INPUT_DATA!$A:$A,$C110,INPUT_DATA!$C:$C,"D"))</f>
        <v/>
      </c>
      <c r="Y110" s="738" t="str">
        <f>IF($C110=0,"",SUMIFS(INPUT_DATA!AW:AW,INPUT_DATA!$A:$A,$C110,INPUT_DATA!$C:$C,"D"))</f>
        <v/>
      </c>
      <c r="Z110" s="738" t="str">
        <f>IF($C110=0,"",SUMIFS(INPUT_DATA!AX:AX,INPUT_DATA!$A:$A,$C110,INPUT_DATA!$C:$C,"D"))</f>
        <v/>
      </c>
      <c r="AA110" s="739" t="str">
        <f t="shared" si="12"/>
        <v/>
      </c>
      <c r="AB110" s="738" t="str">
        <f>IF($C110=0,"",SUMIFS(INPUT_DATA!AZ:AZ,INPUT_DATA!$A:$A,$C110,INPUT_DATA!$C:$C,"D"))</f>
        <v/>
      </c>
      <c r="AC110" s="738" t="str">
        <f>IF($C110=0,"",SUMIFS(INPUT_DATA!BA:BA,INPUT_DATA!$A:$A,$C110,INPUT_DATA!$C:$C,"D"))</f>
        <v/>
      </c>
      <c r="AD110" s="738" t="str">
        <f>IF($C110=0,"",SUMIFS(INPUT_DATA!BB:BB,INPUT_DATA!$A:$A,$C110,INPUT_DATA!$C:$C,"D"))</f>
        <v/>
      </c>
      <c r="AE110" s="738" t="str">
        <f>IF($C110=0,"",SUMIFS(INPUT_DATA!BC:BC,INPUT_DATA!$A:$A,$C110,INPUT_DATA!$C:$C,"D"))</f>
        <v/>
      </c>
      <c r="AF110" s="738" t="str">
        <f>IF($C110=0,"",SUMIFS(INPUT_DATA!BD:BD,INPUT_DATA!$A:$A,$C110,INPUT_DATA!$C:$C,"D"))</f>
        <v/>
      </c>
      <c r="AG110" s="738" t="str">
        <f>IF($C110=0,"",SUMIFS(INPUT_DATA!BE:BE,INPUT_DATA!$A:$A,$C110,INPUT_DATA!$C:$C,"D"))</f>
        <v/>
      </c>
      <c r="AH110" s="738" t="str">
        <f>IF($C110=0,"",SUMIFS(INPUT_DATA!BF:BF,INPUT_DATA!$A:$A,$C110,INPUT_DATA!$C:$C,"D"))</f>
        <v/>
      </c>
      <c r="AI110" s="738" t="str">
        <f>IF($C110=0,"",SUMIFS(INPUT_DATA!BG:BG,INPUT_DATA!$A:$A,$C110,INPUT_DATA!$C:$C,"D"))</f>
        <v/>
      </c>
      <c r="AJ110" s="299" t="str">
        <f t="shared" si="13"/>
        <v/>
      </c>
      <c r="AK110" s="746" t="str">
        <f>IF($C110=0,"",SUMIFS(INPUT_DATA!BI:BI,INPUT_DATA!$A:$A,$C110,INPUT_DATA!$C:$C,"D"))</f>
        <v/>
      </c>
      <c r="AL110" s="746" t="str">
        <f>IF($C110=0,"",SUMIFS(INPUT_DATA!BJ:BJ,INPUT_DATA!$A:$A,$C110,INPUT_DATA!$C:$C,"D"))</f>
        <v/>
      </c>
      <c r="AM110" s="746" t="str">
        <f>IF($C110=0,"",SUMIFS(INPUT_DATA!BK:BK,INPUT_DATA!$A:$A,$C110,INPUT_DATA!$C:$C,"D"))</f>
        <v/>
      </c>
      <c r="AN110" s="744" t="str">
        <f t="shared" si="17"/>
        <v/>
      </c>
      <c r="AO110" s="749" t="str">
        <f>IF($C110=0,"",SUMIFS(INPUT_DATA!BM:BM,INPUT_DATA!$A:$A,$C110,INPUT_DATA!$C:$C,"D"))</f>
        <v/>
      </c>
      <c r="AP110" s="338" t="str">
        <f t="shared" si="18"/>
        <v/>
      </c>
      <c r="AQ110" s="149"/>
      <c r="AS110" s="338" t="str">
        <f t="shared" si="19"/>
        <v/>
      </c>
      <c r="AU110" s="361" t="str">
        <f>IF($C110=0,"",'03 - Monthly Asset Follow up'!F114+'03 - Monthly Asset Follow up'!G114-'03 - Monthly Asset Follow up'!V114+'03 - Monthly Asset Follow up'!Y114-H110)</f>
        <v/>
      </c>
      <c r="AV110" s="361" t="str">
        <f>IF($C110=0,"",'03 - Monthly Asset Follow up'!BE114+'03 - Monthly Asset Follow up'!BF114-'03 - Monthly Asset Follow up'!BU114+'03 - Monthly Asset Follow up'!BX114-AA110)</f>
        <v/>
      </c>
      <c r="AX110" s="154"/>
    </row>
    <row r="111" spans="2:50">
      <c r="B111" s="730" t="str">
        <f t="shared" si="14"/>
        <v/>
      </c>
      <c r="C111" s="733">
        <f>'03 - Monthly Asset Follow up'!B115</f>
        <v>0</v>
      </c>
      <c r="D111" s="149"/>
      <c r="E111" s="726" t="str">
        <f>IF($C111=0,"",SUMIFS(INPUT_DATA!AV:AV,INPUT_DATA!$A:$A,$C111,INPUT_DATA!$C:$C,"S"))</f>
        <v/>
      </c>
      <c r="F111" s="738" t="str">
        <f>IF($C111=0,"",SUMIFS(INPUT_DATA!AW:AW,INPUT_DATA!$A:$A,$C111,INPUT_DATA!$C:$C,"S"))</f>
        <v/>
      </c>
      <c r="G111" s="738" t="str">
        <f>IF($C111=0,"",SUMIFS(INPUT_DATA!AX:AX,INPUT_DATA!$A:$A,$C111,INPUT_DATA!$C:$C,"S"))</f>
        <v/>
      </c>
      <c r="H111" s="740" t="str">
        <f t="shared" si="10"/>
        <v/>
      </c>
      <c r="I111" s="738" t="str">
        <f>IF($C111=0,"",SUMIFS(INPUT_DATA!AZ:AZ,INPUT_DATA!$A:$A,$C111,INPUT_DATA!$C:$C,"S"))</f>
        <v/>
      </c>
      <c r="J111" s="738" t="str">
        <f>IF($C111=0,"",SUMIFS(INPUT_DATA!BA:BA,INPUT_DATA!$A:$A,$C111,INPUT_DATA!$C:$C,"S"))</f>
        <v/>
      </c>
      <c r="K111" s="738" t="str">
        <f>IF($C111=0,"",SUMIFS(INPUT_DATA!BB:BB,INPUT_DATA!$A:$A,$C111,INPUT_DATA!$C:$C,"S"))</f>
        <v/>
      </c>
      <c r="L111" s="738" t="str">
        <f>IF($C111=0,"",SUMIFS(INPUT_DATA!BC:BC,INPUT_DATA!$A:$A,$C111,INPUT_DATA!$C:$C,"S"))</f>
        <v/>
      </c>
      <c r="M111" s="738" t="str">
        <f>IF($C111=0,"",SUMIFS(INPUT_DATA!BD:BD,INPUT_DATA!$A:$A,$C111,INPUT_DATA!$C:$C,"S"))</f>
        <v/>
      </c>
      <c r="N111" s="738" t="str">
        <f>IF($C111=0,"",SUMIFS(INPUT_DATA!BE:BE,INPUT_DATA!$A:$A,$C111,INPUT_DATA!$C:$C,"S"))</f>
        <v/>
      </c>
      <c r="O111" s="738" t="str">
        <f>IF($C111=0,"",SUMIFS(INPUT_DATA!BF:BF,INPUT_DATA!$A:$A,$C111,INPUT_DATA!$C:$C,"S"))</f>
        <v/>
      </c>
      <c r="P111" s="738" t="str">
        <f>IF($C111=0,"",SUMIFS(INPUT_DATA!BG:BG,INPUT_DATA!$A:$A,$C111,INPUT_DATA!$C:$C,"S"))</f>
        <v/>
      </c>
      <c r="Q111" s="744" t="str">
        <f t="shared" si="15"/>
        <v/>
      </c>
      <c r="R111" s="746" t="str">
        <f>IF($C111=0,"",SUMIFS(INPUT_DATA!BI:BI,INPUT_DATA!$A:$A,$C111,INPUT_DATA!$C:$C,"S"))</f>
        <v/>
      </c>
      <c r="S111" s="746" t="str">
        <f>IF($C111=0,"",SUMIFS(INPUT_DATA!BJ:BJ,INPUT_DATA!$A:$A,$C111,INPUT_DATA!$C:$C,"S"))</f>
        <v/>
      </c>
      <c r="T111" s="744" t="str">
        <f t="shared" si="16"/>
        <v/>
      </c>
      <c r="U111" s="749" t="str">
        <f>IF($C111=0,"",SUMIFS(INPUT_DATA!BM:BM,INPUT_DATA!$A:$A,$C111,INPUT_DATA!$C:$C,"S"))</f>
        <v/>
      </c>
      <c r="V111" s="155" t="str">
        <f t="shared" si="11"/>
        <v/>
      </c>
      <c r="W111" s="149"/>
      <c r="X111" s="726" t="str">
        <f>IF($C111=0,"",SUMIFS(INPUT_DATA!AV:AV,INPUT_DATA!$A:$A,$C111,INPUT_DATA!$C:$C,"D"))</f>
        <v/>
      </c>
      <c r="Y111" s="738" t="str">
        <f>IF($C111=0,"",SUMIFS(INPUT_DATA!AW:AW,INPUT_DATA!$A:$A,$C111,INPUT_DATA!$C:$C,"D"))</f>
        <v/>
      </c>
      <c r="Z111" s="738" t="str">
        <f>IF($C111=0,"",SUMIFS(INPUT_DATA!AX:AX,INPUT_DATA!$A:$A,$C111,INPUT_DATA!$C:$C,"D"))</f>
        <v/>
      </c>
      <c r="AA111" s="739" t="str">
        <f t="shared" si="12"/>
        <v/>
      </c>
      <c r="AB111" s="738" t="str">
        <f>IF($C111=0,"",SUMIFS(INPUT_DATA!AZ:AZ,INPUT_DATA!$A:$A,$C111,INPUT_DATA!$C:$C,"D"))</f>
        <v/>
      </c>
      <c r="AC111" s="738" t="str">
        <f>IF($C111=0,"",SUMIFS(INPUT_DATA!BA:BA,INPUT_DATA!$A:$A,$C111,INPUT_DATA!$C:$C,"D"))</f>
        <v/>
      </c>
      <c r="AD111" s="738" t="str">
        <f>IF($C111=0,"",SUMIFS(INPUT_DATA!BB:BB,INPUT_DATA!$A:$A,$C111,INPUT_DATA!$C:$C,"D"))</f>
        <v/>
      </c>
      <c r="AE111" s="738" t="str">
        <f>IF($C111=0,"",SUMIFS(INPUT_DATA!BC:BC,INPUT_DATA!$A:$A,$C111,INPUT_DATA!$C:$C,"D"))</f>
        <v/>
      </c>
      <c r="AF111" s="738" t="str">
        <f>IF($C111=0,"",SUMIFS(INPUT_DATA!BD:BD,INPUT_DATA!$A:$A,$C111,INPUT_DATA!$C:$C,"D"))</f>
        <v/>
      </c>
      <c r="AG111" s="738" t="str">
        <f>IF($C111=0,"",SUMIFS(INPUT_DATA!BE:BE,INPUT_DATA!$A:$A,$C111,INPUT_DATA!$C:$C,"D"))</f>
        <v/>
      </c>
      <c r="AH111" s="738" t="str">
        <f>IF($C111=0,"",SUMIFS(INPUT_DATA!BF:BF,INPUT_DATA!$A:$A,$C111,INPUT_DATA!$C:$C,"D"))</f>
        <v/>
      </c>
      <c r="AI111" s="738" t="str">
        <f>IF($C111=0,"",SUMIFS(INPUT_DATA!BG:BG,INPUT_DATA!$A:$A,$C111,INPUT_DATA!$C:$C,"D"))</f>
        <v/>
      </c>
      <c r="AJ111" s="299" t="str">
        <f t="shared" si="13"/>
        <v/>
      </c>
      <c r="AK111" s="746" t="str">
        <f>IF($C111=0,"",SUMIFS(INPUT_DATA!BI:BI,INPUT_DATA!$A:$A,$C111,INPUT_DATA!$C:$C,"D"))</f>
        <v/>
      </c>
      <c r="AL111" s="746" t="str">
        <f>IF($C111=0,"",SUMIFS(INPUT_DATA!BJ:BJ,INPUT_DATA!$A:$A,$C111,INPUT_DATA!$C:$C,"D"))</f>
        <v/>
      </c>
      <c r="AM111" s="746" t="str">
        <f>IF($C111=0,"",SUMIFS(INPUT_DATA!BK:BK,INPUT_DATA!$A:$A,$C111,INPUT_DATA!$C:$C,"D"))</f>
        <v/>
      </c>
      <c r="AN111" s="744" t="str">
        <f t="shared" si="17"/>
        <v/>
      </c>
      <c r="AO111" s="749" t="str">
        <f>IF($C111=0,"",SUMIFS(INPUT_DATA!BM:BM,INPUT_DATA!$A:$A,$C111,INPUT_DATA!$C:$C,"D"))</f>
        <v/>
      </c>
      <c r="AP111" s="338" t="str">
        <f t="shared" si="18"/>
        <v/>
      </c>
      <c r="AQ111" s="149"/>
      <c r="AS111" s="338" t="str">
        <f t="shared" si="19"/>
        <v/>
      </c>
      <c r="AU111" s="361" t="str">
        <f>IF($C111=0,"",'03 - Monthly Asset Follow up'!F115+'03 - Monthly Asset Follow up'!G115-'03 - Monthly Asset Follow up'!V115+'03 - Monthly Asset Follow up'!Y115-H111)</f>
        <v/>
      </c>
      <c r="AV111" s="361" t="str">
        <f>IF($C111=0,"",'03 - Monthly Asset Follow up'!BE115+'03 - Monthly Asset Follow up'!BF115-'03 - Monthly Asset Follow up'!BU115+'03 - Monthly Asset Follow up'!BX115-AA111)</f>
        <v/>
      </c>
      <c r="AX111" s="154"/>
    </row>
    <row r="112" spans="2:50">
      <c r="B112" s="730" t="str">
        <f t="shared" si="14"/>
        <v/>
      </c>
      <c r="C112" s="733">
        <f>'03 - Monthly Asset Follow up'!B116</f>
        <v>0</v>
      </c>
      <c r="D112" s="149"/>
      <c r="E112" s="726" t="str">
        <f>IF($C112=0,"",SUMIFS(INPUT_DATA!AV:AV,INPUT_DATA!$A:$A,$C112,INPUT_DATA!$C:$C,"S"))</f>
        <v/>
      </c>
      <c r="F112" s="738" t="str">
        <f>IF($C112=0,"",SUMIFS(INPUT_DATA!AW:AW,INPUT_DATA!$A:$A,$C112,INPUT_DATA!$C:$C,"S"))</f>
        <v/>
      </c>
      <c r="G112" s="738" t="str">
        <f>IF($C112=0,"",SUMIFS(INPUT_DATA!AX:AX,INPUT_DATA!$A:$A,$C112,INPUT_DATA!$C:$C,"S"))</f>
        <v/>
      </c>
      <c r="H112" s="740" t="str">
        <f t="shared" si="10"/>
        <v/>
      </c>
      <c r="I112" s="738" t="str">
        <f>IF($C112=0,"",SUMIFS(INPUT_DATA!AZ:AZ,INPUT_DATA!$A:$A,$C112,INPUT_DATA!$C:$C,"S"))</f>
        <v/>
      </c>
      <c r="J112" s="738" t="str">
        <f>IF($C112=0,"",SUMIFS(INPUT_DATA!BA:BA,INPUT_DATA!$A:$A,$C112,INPUT_DATA!$C:$C,"S"))</f>
        <v/>
      </c>
      <c r="K112" s="738" t="str">
        <f>IF($C112=0,"",SUMIFS(INPUT_DATA!BB:BB,INPUT_DATA!$A:$A,$C112,INPUT_DATA!$C:$C,"S"))</f>
        <v/>
      </c>
      <c r="L112" s="738" t="str">
        <f>IF($C112=0,"",SUMIFS(INPUT_DATA!BC:BC,INPUT_DATA!$A:$A,$C112,INPUT_DATA!$C:$C,"S"))</f>
        <v/>
      </c>
      <c r="M112" s="738" t="str">
        <f>IF($C112=0,"",SUMIFS(INPUT_DATA!BD:BD,INPUT_DATA!$A:$A,$C112,INPUT_DATA!$C:$C,"S"))</f>
        <v/>
      </c>
      <c r="N112" s="738" t="str">
        <f>IF($C112=0,"",SUMIFS(INPUT_DATA!BE:BE,INPUT_DATA!$A:$A,$C112,INPUT_DATA!$C:$C,"S"))</f>
        <v/>
      </c>
      <c r="O112" s="738" t="str">
        <f>IF($C112=0,"",SUMIFS(INPUT_DATA!BF:BF,INPUT_DATA!$A:$A,$C112,INPUT_DATA!$C:$C,"S"))</f>
        <v/>
      </c>
      <c r="P112" s="738" t="str">
        <f>IF($C112=0,"",SUMIFS(INPUT_DATA!BG:BG,INPUT_DATA!$A:$A,$C112,INPUT_DATA!$C:$C,"S"))</f>
        <v/>
      </c>
      <c r="Q112" s="744" t="str">
        <f t="shared" si="15"/>
        <v/>
      </c>
      <c r="R112" s="746" t="str">
        <f>IF($C112=0,"",SUMIFS(INPUT_DATA!BI:BI,INPUT_DATA!$A:$A,$C112,INPUT_DATA!$C:$C,"S"))</f>
        <v/>
      </c>
      <c r="S112" s="746" t="str">
        <f>IF($C112=0,"",SUMIFS(INPUT_DATA!BJ:BJ,INPUT_DATA!$A:$A,$C112,INPUT_DATA!$C:$C,"S"))</f>
        <v/>
      </c>
      <c r="T112" s="744" t="str">
        <f t="shared" si="16"/>
        <v/>
      </c>
      <c r="U112" s="749" t="str">
        <f>IF($C112=0,"",SUMIFS(INPUT_DATA!BM:BM,INPUT_DATA!$A:$A,$C112,INPUT_DATA!$C:$C,"S"))</f>
        <v/>
      </c>
      <c r="V112" s="155" t="str">
        <f t="shared" si="11"/>
        <v/>
      </c>
      <c r="W112" s="149"/>
      <c r="X112" s="726" t="str">
        <f>IF($C112=0,"",SUMIFS(INPUT_DATA!AV:AV,INPUT_DATA!$A:$A,$C112,INPUT_DATA!$C:$C,"D"))</f>
        <v/>
      </c>
      <c r="Y112" s="738" t="str">
        <f>IF($C112=0,"",SUMIFS(INPUT_DATA!AW:AW,INPUT_DATA!$A:$A,$C112,INPUT_DATA!$C:$C,"D"))</f>
        <v/>
      </c>
      <c r="Z112" s="738" t="str">
        <f>IF($C112=0,"",SUMIFS(INPUT_DATA!AX:AX,INPUT_DATA!$A:$A,$C112,INPUT_DATA!$C:$C,"D"))</f>
        <v/>
      </c>
      <c r="AA112" s="739" t="str">
        <f t="shared" si="12"/>
        <v/>
      </c>
      <c r="AB112" s="738" t="str">
        <f>IF($C112=0,"",SUMIFS(INPUT_DATA!AZ:AZ,INPUT_DATA!$A:$A,$C112,INPUT_DATA!$C:$C,"D"))</f>
        <v/>
      </c>
      <c r="AC112" s="738" t="str">
        <f>IF($C112=0,"",SUMIFS(INPUT_DATA!BA:BA,INPUT_DATA!$A:$A,$C112,INPUT_DATA!$C:$C,"D"))</f>
        <v/>
      </c>
      <c r="AD112" s="738" t="str">
        <f>IF($C112=0,"",SUMIFS(INPUT_DATA!BB:BB,INPUT_DATA!$A:$A,$C112,INPUT_DATA!$C:$C,"D"))</f>
        <v/>
      </c>
      <c r="AE112" s="738" t="str">
        <f>IF($C112=0,"",SUMIFS(INPUT_DATA!BC:BC,INPUT_DATA!$A:$A,$C112,INPUT_DATA!$C:$C,"D"))</f>
        <v/>
      </c>
      <c r="AF112" s="738" t="str">
        <f>IF($C112=0,"",SUMIFS(INPUT_DATA!BD:BD,INPUT_DATA!$A:$A,$C112,INPUT_DATA!$C:$C,"D"))</f>
        <v/>
      </c>
      <c r="AG112" s="738" t="str">
        <f>IF($C112=0,"",SUMIFS(INPUT_DATA!BE:BE,INPUT_DATA!$A:$A,$C112,INPUT_DATA!$C:$C,"D"))</f>
        <v/>
      </c>
      <c r="AH112" s="738" t="str">
        <f>IF($C112=0,"",SUMIFS(INPUT_DATA!BF:BF,INPUT_DATA!$A:$A,$C112,INPUT_DATA!$C:$C,"D"))</f>
        <v/>
      </c>
      <c r="AI112" s="738" t="str">
        <f>IF($C112=0,"",SUMIFS(INPUT_DATA!BG:BG,INPUT_DATA!$A:$A,$C112,INPUT_DATA!$C:$C,"D"))</f>
        <v/>
      </c>
      <c r="AJ112" s="299" t="str">
        <f t="shared" si="13"/>
        <v/>
      </c>
      <c r="AK112" s="746" t="str">
        <f>IF($C112=0,"",SUMIFS(INPUT_DATA!BI:BI,INPUT_DATA!$A:$A,$C112,INPUT_DATA!$C:$C,"D"))</f>
        <v/>
      </c>
      <c r="AL112" s="746" t="str">
        <f>IF($C112=0,"",SUMIFS(INPUT_DATA!BJ:BJ,INPUT_DATA!$A:$A,$C112,INPUT_DATA!$C:$C,"D"))</f>
        <v/>
      </c>
      <c r="AM112" s="746" t="str">
        <f>IF($C112=0,"",SUMIFS(INPUT_DATA!BK:BK,INPUT_DATA!$A:$A,$C112,INPUT_DATA!$C:$C,"D"))</f>
        <v/>
      </c>
      <c r="AN112" s="744" t="str">
        <f t="shared" si="17"/>
        <v/>
      </c>
      <c r="AO112" s="749" t="str">
        <f>IF($C112=0,"",SUMIFS(INPUT_DATA!BM:BM,INPUT_DATA!$A:$A,$C112,INPUT_DATA!$C:$C,"D"))</f>
        <v/>
      </c>
      <c r="AP112" s="338" t="str">
        <f t="shared" si="18"/>
        <v/>
      </c>
      <c r="AQ112" s="149"/>
      <c r="AS112" s="338" t="str">
        <f t="shared" si="19"/>
        <v/>
      </c>
      <c r="AU112" s="361" t="str">
        <f>IF($C112=0,"",'03 - Monthly Asset Follow up'!F116+'03 - Monthly Asset Follow up'!G116-'03 - Monthly Asset Follow up'!V116+'03 - Monthly Asset Follow up'!Y116-H112)</f>
        <v/>
      </c>
      <c r="AV112" s="361" t="str">
        <f>IF($C112=0,"",'03 - Monthly Asset Follow up'!BE116+'03 - Monthly Asset Follow up'!BF116-'03 - Monthly Asset Follow up'!BU116+'03 - Monthly Asset Follow up'!BX116-AA112)</f>
        <v/>
      </c>
      <c r="AX112" s="154"/>
    </row>
    <row r="113" spans="2:50">
      <c r="B113" s="730" t="str">
        <f t="shared" si="14"/>
        <v/>
      </c>
      <c r="C113" s="733">
        <f>'03 - Monthly Asset Follow up'!B117</f>
        <v>0</v>
      </c>
      <c r="D113" s="149"/>
      <c r="E113" s="726" t="str">
        <f>IF($C113=0,"",SUMIFS(INPUT_DATA!AV:AV,INPUT_DATA!$A:$A,$C113,INPUT_DATA!$C:$C,"S"))</f>
        <v/>
      </c>
      <c r="F113" s="738" t="str">
        <f>IF($C113=0,"",SUMIFS(INPUT_DATA!AW:AW,INPUT_DATA!$A:$A,$C113,INPUT_DATA!$C:$C,"S"))</f>
        <v/>
      </c>
      <c r="G113" s="738" t="str">
        <f>IF($C113=0,"",SUMIFS(INPUT_DATA!AX:AX,INPUT_DATA!$A:$A,$C113,INPUT_DATA!$C:$C,"S"))</f>
        <v/>
      </c>
      <c r="H113" s="740" t="str">
        <f t="shared" si="10"/>
        <v/>
      </c>
      <c r="I113" s="738" t="str">
        <f>IF($C113=0,"",SUMIFS(INPUT_DATA!AZ:AZ,INPUT_DATA!$A:$A,$C113,INPUT_DATA!$C:$C,"S"))</f>
        <v/>
      </c>
      <c r="J113" s="738" t="str">
        <f>IF($C113=0,"",SUMIFS(INPUT_DATA!BA:BA,INPUT_DATA!$A:$A,$C113,INPUT_DATA!$C:$C,"S"))</f>
        <v/>
      </c>
      <c r="K113" s="738" t="str">
        <f>IF($C113=0,"",SUMIFS(INPUT_DATA!BB:BB,INPUT_DATA!$A:$A,$C113,INPUT_DATA!$C:$C,"S"))</f>
        <v/>
      </c>
      <c r="L113" s="738" t="str">
        <f>IF($C113=0,"",SUMIFS(INPUT_DATA!BC:BC,INPUT_DATA!$A:$A,$C113,INPUT_DATA!$C:$C,"S"))</f>
        <v/>
      </c>
      <c r="M113" s="738" t="str">
        <f>IF($C113=0,"",SUMIFS(INPUT_DATA!BD:BD,INPUT_DATA!$A:$A,$C113,INPUT_DATA!$C:$C,"S"))</f>
        <v/>
      </c>
      <c r="N113" s="738" t="str">
        <f>IF($C113=0,"",SUMIFS(INPUT_DATA!BE:BE,INPUT_DATA!$A:$A,$C113,INPUT_DATA!$C:$C,"S"))</f>
        <v/>
      </c>
      <c r="O113" s="738" t="str">
        <f>IF($C113=0,"",SUMIFS(INPUT_DATA!BF:BF,INPUT_DATA!$A:$A,$C113,INPUT_DATA!$C:$C,"S"))</f>
        <v/>
      </c>
      <c r="P113" s="738" t="str">
        <f>IF($C113=0,"",SUMIFS(INPUT_DATA!BG:BG,INPUT_DATA!$A:$A,$C113,INPUT_DATA!$C:$C,"S"))</f>
        <v/>
      </c>
      <c r="Q113" s="744" t="str">
        <f t="shared" si="15"/>
        <v/>
      </c>
      <c r="R113" s="746" t="str">
        <f>IF($C113=0,"",SUMIFS(INPUT_DATA!BI:BI,INPUT_DATA!$A:$A,$C113,INPUT_DATA!$C:$C,"S"))</f>
        <v/>
      </c>
      <c r="S113" s="746" t="str">
        <f>IF($C113=0,"",SUMIFS(INPUT_DATA!BJ:BJ,INPUT_DATA!$A:$A,$C113,INPUT_DATA!$C:$C,"S"))</f>
        <v/>
      </c>
      <c r="T113" s="744" t="str">
        <f t="shared" si="16"/>
        <v/>
      </c>
      <c r="U113" s="749" t="str">
        <f>IF($C113=0,"",SUMIFS(INPUT_DATA!BM:BM,INPUT_DATA!$A:$A,$C113,INPUT_DATA!$C:$C,"S"))</f>
        <v/>
      </c>
      <c r="V113" s="155" t="str">
        <f t="shared" si="11"/>
        <v/>
      </c>
      <c r="W113" s="149"/>
      <c r="X113" s="726" t="str">
        <f>IF($C113=0,"",SUMIFS(INPUT_DATA!AV:AV,INPUT_DATA!$A:$A,$C113,INPUT_DATA!$C:$C,"D"))</f>
        <v/>
      </c>
      <c r="Y113" s="738" t="str">
        <f>IF($C113=0,"",SUMIFS(INPUT_DATA!AW:AW,INPUT_DATA!$A:$A,$C113,INPUT_DATA!$C:$C,"D"))</f>
        <v/>
      </c>
      <c r="Z113" s="738" t="str">
        <f>IF($C113=0,"",SUMIFS(INPUT_DATA!AX:AX,INPUT_DATA!$A:$A,$C113,INPUT_DATA!$C:$C,"D"))</f>
        <v/>
      </c>
      <c r="AA113" s="739" t="str">
        <f t="shared" si="12"/>
        <v/>
      </c>
      <c r="AB113" s="738" t="str">
        <f>IF($C113=0,"",SUMIFS(INPUT_DATA!AZ:AZ,INPUT_DATA!$A:$A,$C113,INPUT_DATA!$C:$C,"D"))</f>
        <v/>
      </c>
      <c r="AC113" s="738" t="str">
        <f>IF($C113=0,"",SUMIFS(INPUT_DATA!BA:BA,INPUT_DATA!$A:$A,$C113,INPUT_DATA!$C:$C,"D"))</f>
        <v/>
      </c>
      <c r="AD113" s="738" t="str">
        <f>IF($C113=0,"",SUMIFS(INPUT_DATA!BB:BB,INPUT_DATA!$A:$A,$C113,INPUT_DATA!$C:$C,"D"))</f>
        <v/>
      </c>
      <c r="AE113" s="738" t="str">
        <f>IF($C113=0,"",SUMIFS(INPUT_DATA!BC:BC,INPUT_DATA!$A:$A,$C113,INPUT_DATA!$C:$C,"D"))</f>
        <v/>
      </c>
      <c r="AF113" s="738" t="str">
        <f>IF($C113=0,"",SUMIFS(INPUT_DATA!BD:BD,INPUT_DATA!$A:$A,$C113,INPUT_DATA!$C:$C,"D"))</f>
        <v/>
      </c>
      <c r="AG113" s="738" t="str">
        <f>IF($C113=0,"",SUMIFS(INPUT_DATA!BE:BE,INPUT_DATA!$A:$A,$C113,INPUT_DATA!$C:$C,"D"))</f>
        <v/>
      </c>
      <c r="AH113" s="738" t="str">
        <f>IF($C113=0,"",SUMIFS(INPUT_DATA!BF:BF,INPUT_DATA!$A:$A,$C113,INPUT_DATA!$C:$C,"D"))</f>
        <v/>
      </c>
      <c r="AI113" s="738" t="str">
        <f>IF($C113=0,"",SUMIFS(INPUT_DATA!BG:BG,INPUT_DATA!$A:$A,$C113,INPUT_DATA!$C:$C,"D"))</f>
        <v/>
      </c>
      <c r="AJ113" s="299" t="str">
        <f t="shared" si="13"/>
        <v/>
      </c>
      <c r="AK113" s="746" t="str">
        <f>IF($C113=0,"",SUMIFS(INPUT_DATA!BI:BI,INPUT_DATA!$A:$A,$C113,INPUT_DATA!$C:$C,"D"))</f>
        <v/>
      </c>
      <c r="AL113" s="746" t="str">
        <f>IF($C113=0,"",SUMIFS(INPUT_DATA!BJ:BJ,INPUT_DATA!$A:$A,$C113,INPUT_DATA!$C:$C,"D"))</f>
        <v/>
      </c>
      <c r="AM113" s="746" t="str">
        <f>IF($C113=0,"",SUMIFS(INPUT_DATA!BK:BK,INPUT_DATA!$A:$A,$C113,INPUT_DATA!$C:$C,"D"))</f>
        <v/>
      </c>
      <c r="AN113" s="744" t="str">
        <f t="shared" si="17"/>
        <v/>
      </c>
      <c r="AO113" s="749" t="str">
        <f>IF($C113=0,"",SUMIFS(INPUT_DATA!BM:BM,INPUT_DATA!$A:$A,$C113,INPUT_DATA!$C:$C,"D"))</f>
        <v/>
      </c>
      <c r="AP113" s="338" t="str">
        <f t="shared" si="18"/>
        <v/>
      </c>
      <c r="AQ113" s="149"/>
      <c r="AS113" s="338" t="str">
        <f t="shared" si="19"/>
        <v/>
      </c>
      <c r="AU113" s="361" t="str">
        <f>IF($C113=0,"",'03 - Monthly Asset Follow up'!F117+'03 - Monthly Asset Follow up'!G117-'03 - Monthly Asset Follow up'!V117+'03 - Monthly Asset Follow up'!Y117-H113)</f>
        <v/>
      </c>
      <c r="AV113" s="361" t="str">
        <f>IF($C113=0,"",'03 - Monthly Asset Follow up'!BE117+'03 - Monthly Asset Follow up'!BF117-'03 - Monthly Asset Follow up'!BU117+'03 - Monthly Asset Follow up'!BX117-AA113)</f>
        <v/>
      </c>
      <c r="AX113" s="154"/>
    </row>
    <row r="114" spans="2:50">
      <c r="B114" s="730" t="str">
        <f t="shared" si="14"/>
        <v/>
      </c>
      <c r="C114" s="733">
        <f>'03 - Monthly Asset Follow up'!B118</f>
        <v>0</v>
      </c>
      <c r="D114" s="149"/>
      <c r="E114" s="726" t="str">
        <f>IF($C114=0,"",SUMIFS(INPUT_DATA!AV:AV,INPUT_DATA!$A:$A,$C114,INPUT_DATA!$C:$C,"S"))</f>
        <v/>
      </c>
      <c r="F114" s="738" t="str">
        <f>IF($C114=0,"",SUMIFS(INPUT_DATA!AW:AW,INPUT_DATA!$A:$A,$C114,INPUT_DATA!$C:$C,"S"))</f>
        <v/>
      </c>
      <c r="G114" s="738" t="str">
        <f>IF($C114=0,"",SUMIFS(INPUT_DATA!AX:AX,INPUT_DATA!$A:$A,$C114,INPUT_DATA!$C:$C,"S"))</f>
        <v/>
      </c>
      <c r="H114" s="740" t="str">
        <f t="shared" si="10"/>
        <v/>
      </c>
      <c r="I114" s="738" t="str">
        <f>IF($C114=0,"",SUMIFS(INPUT_DATA!AZ:AZ,INPUT_DATA!$A:$A,$C114,INPUT_DATA!$C:$C,"S"))</f>
        <v/>
      </c>
      <c r="J114" s="738" t="str">
        <f>IF($C114=0,"",SUMIFS(INPUT_DATA!BA:BA,INPUT_DATA!$A:$A,$C114,INPUT_DATA!$C:$C,"S"))</f>
        <v/>
      </c>
      <c r="K114" s="738" t="str">
        <f>IF($C114=0,"",SUMIFS(INPUT_DATA!BB:BB,INPUT_DATA!$A:$A,$C114,INPUT_DATA!$C:$C,"S"))</f>
        <v/>
      </c>
      <c r="L114" s="738" t="str">
        <f>IF($C114=0,"",SUMIFS(INPUT_DATA!BC:BC,INPUT_DATA!$A:$A,$C114,INPUT_DATA!$C:$C,"S"))</f>
        <v/>
      </c>
      <c r="M114" s="738" t="str">
        <f>IF($C114=0,"",SUMIFS(INPUT_DATA!BD:BD,INPUT_DATA!$A:$A,$C114,INPUT_DATA!$C:$C,"S"))</f>
        <v/>
      </c>
      <c r="N114" s="738" t="str">
        <f>IF($C114=0,"",SUMIFS(INPUT_DATA!BE:BE,INPUT_DATA!$A:$A,$C114,INPUT_DATA!$C:$C,"S"))</f>
        <v/>
      </c>
      <c r="O114" s="738" t="str">
        <f>IF($C114=0,"",SUMIFS(INPUT_DATA!BF:BF,INPUT_DATA!$A:$A,$C114,INPUT_DATA!$C:$C,"S"))</f>
        <v/>
      </c>
      <c r="P114" s="738" t="str">
        <f>IF($C114=0,"",SUMIFS(INPUT_DATA!BG:BG,INPUT_DATA!$A:$A,$C114,INPUT_DATA!$C:$C,"S"))</f>
        <v/>
      </c>
      <c r="Q114" s="744" t="str">
        <f t="shared" si="15"/>
        <v/>
      </c>
      <c r="R114" s="746" t="str">
        <f>IF($C114=0,"",SUMIFS(INPUT_DATA!BI:BI,INPUT_DATA!$A:$A,$C114,INPUT_DATA!$C:$C,"S"))</f>
        <v/>
      </c>
      <c r="S114" s="746" t="str">
        <f>IF($C114=0,"",SUMIFS(INPUT_DATA!BJ:BJ,INPUT_DATA!$A:$A,$C114,INPUT_DATA!$C:$C,"S"))</f>
        <v/>
      </c>
      <c r="T114" s="744" t="str">
        <f t="shared" si="16"/>
        <v/>
      </c>
      <c r="U114" s="749" t="str">
        <f>IF($C114=0,"",SUMIFS(INPUT_DATA!BM:BM,INPUT_DATA!$A:$A,$C114,INPUT_DATA!$C:$C,"S"))</f>
        <v/>
      </c>
      <c r="V114" s="155" t="str">
        <f t="shared" si="11"/>
        <v/>
      </c>
      <c r="W114" s="149"/>
      <c r="X114" s="726" t="str">
        <f>IF($C114=0,"",SUMIFS(INPUT_DATA!AV:AV,INPUT_DATA!$A:$A,$C114,INPUT_DATA!$C:$C,"D"))</f>
        <v/>
      </c>
      <c r="Y114" s="738" t="str">
        <f>IF($C114=0,"",SUMIFS(INPUT_DATA!AW:AW,INPUT_DATA!$A:$A,$C114,INPUT_DATA!$C:$C,"D"))</f>
        <v/>
      </c>
      <c r="Z114" s="738" t="str">
        <f>IF($C114=0,"",SUMIFS(INPUT_DATA!AX:AX,INPUT_DATA!$A:$A,$C114,INPUT_DATA!$C:$C,"D"))</f>
        <v/>
      </c>
      <c r="AA114" s="739" t="str">
        <f t="shared" si="12"/>
        <v/>
      </c>
      <c r="AB114" s="738" t="str">
        <f>IF($C114=0,"",SUMIFS(INPUT_DATA!AZ:AZ,INPUT_DATA!$A:$A,$C114,INPUT_DATA!$C:$C,"D"))</f>
        <v/>
      </c>
      <c r="AC114" s="738" t="str">
        <f>IF($C114=0,"",SUMIFS(INPUT_DATA!BA:BA,INPUT_DATA!$A:$A,$C114,INPUT_DATA!$C:$C,"D"))</f>
        <v/>
      </c>
      <c r="AD114" s="738" t="str">
        <f>IF($C114=0,"",SUMIFS(INPUT_DATA!BB:BB,INPUT_DATA!$A:$A,$C114,INPUT_DATA!$C:$C,"D"))</f>
        <v/>
      </c>
      <c r="AE114" s="738" t="str">
        <f>IF($C114=0,"",SUMIFS(INPUT_DATA!BC:BC,INPUT_DATA!$A:$A,$C114,INPUT_DATA!$C:$C,"D"))</f>
        <v/>
      </c>
      <c r="AF114" s="738" t="str">
        <f>IF($C114=0,"",SUMIFS(INPUT_DATA!BD:BD,INPUT_DATA!$A:$A,$C114,INPUT_DATA!$C:$C,"D"))</f>
        <v/>
      </c>
      <c r="AG114" s="738" t="str">
        <f>IF($C114=0,"",SUMIFS(INPUT_DATA!BE:BE,INPUT_DATA!$A:$A,$C114,INPUT_DATA!$C:$C,"D"))</f>
        <v/>
      </c>
      <c r="AH114" s="738" t="str">
        <f>IF($C114=0,"",SUMIFS(INPUT_DATA!BF:BF,INPUT_DATA!$A:$A,$C114,INPUT_DATA!$C:$C,"D"))</f>
        <v/>
      </c>
      <c r="AI114" s="738" t="str">
        <f>IF($C114=0,"",SUMIFS(INPUT_DATA!BG:BG,INPUT_DATA!$A:$A,$C114,INPUT_DATA!$C:$C,"D"))</f>
        <v/>
      </c>
      <c r="AJ114" s="299" t="str">
        <f t="shared" si="13"/>
        <v/>
      </c>
      <c r="AK114" s="746" t="str">
        <f>IF($C114=0,"",SUMIFS(INPUT_DATA!BI:BI,INPUT_DATA!$A:$A,$C114,INPUT_DATA!$C:$C,"D"))</f>
        <v/>
      </c>
      <c r="AL114" s="746" t="str">
        <f>IF($C114=0,"",SUMIFS(INPUT_DATA!BJ:BJ,INPUT_DATA!$A:$A,$C114,INPUT_DATA!$C:$C,"D"))</f>
        <v/>
      </c>
      <c r="AM114" s="746" t="str">
        <f>IF($C114=0,"",SUMIFS(INPUT_DATA!BK:BK,INPUT_DATA!$A:$A,$C114,INPUT_DATA!$C:$C,"D"))</f>
        <v/>
      </c>
      <c r="AN114" s="744" t="str">
        <f t="shared" si="17"/>
        <v/>
      </c>
      <c r="AO114" s="749" t="str">
        <f>IF($C114=0,"",SUMIFS(INPUT_DATA!BM:BM,INPUT_DATA!$A:$A,$C114,INPUT_DATA!$C:$C,"D"))</f>
        <v/>
      </c>
      <c r="AP114" s="338" t="str">
        <f t="shared" si="18"/>
        <v/>
      </c>
      <c r="AQ114" s="149"/>
      <c r="AS114" s="338" t="str">
        <f t="shared" si="19"/>
        <v/>
      </c>
      <c r="AU114" s="361" t="str">
        <f>IF($C114=0,"",'03 - Monthly Asset Follow up'!F118+'03 - Monthly Asset Follow up'!G118-'03 - Monthly Asset Follow up'!V118+'03 - Monthly Asset Follow up'!Y118-H114)</f>
        <v/>
      </c>
      <c r="AV114" s="361" t="str">
        <f>IF($C114=0,"",'03 - Monthly Asset Follow up'!BE118+'03 - Monthly Asset Follow up'!BF118-'03 - Monthly Asset Follow up'!BU118+'03 - Monthly Asset Follow up'!BX118-AA114)</f>
        <v/>
      </c>
      <c r="AX114" s="154"/>
    </row>
    <row r="115" spans="2:50">
      <c r="B115" s="730" t="str">
        <f t="shared" si="14"/>
        <v/>
      </c>
      <c r="C115" s="733">
        <f>'03 - Monthly Asset Follow up'!B119</f>
        <v>0</v>
      </c>
      <c r="D115" s="149"/>
      <c r="E115" s="726" t="str">
        <f>IF($C115=0,"",SUMIFS(INPUT_DATA!AV:AV,INPUT_DATA!$A:$A,$C115,INPUT_DATA!$C:$C,"S"))</f>
        <v/>
      </c>
      <c r="F115" s="738" t="str">
        <f>IF($C115=0,"",SUMIFS(INPUT_DATA!AW:AW,INPUT_DATA!$A:$A,$C115,INPUT_DATA!$C:$C,"S"))</f>
        <v/>
      </c>
      <c r="G115" s="738" t="str">
        <f>IF($C115=0,"",SUMIFS(INPUT_DATA!AX:AX,INPUT_DATA!$A:$A,$C115,INPUT_DATA!$C:$C,"S"))</f>
        <v/>
      </c>
      <c r="H115" s="740" t="str">
        <f t="shared" si="10"/>
        <v/>
      </c>
      <c r="I115" s="738" t="str">
        <f>IF($C115=0,"",SUMIFS(INPUT_DATA!AZ:AZ,INPUT_DATA!$A:$A,$C115,INPUT_DATA!$C:$C,"S"))</f>
        <v/>
      </c>
      <c r="J115" s="738" t="str">
        <f>IF($C115=0,"",SUMIFS(INPUT_DATA!BA:BA,INPUT_DATA!$A:$A,$C115,INPUT_DATA!$C:$C,"S"))</f>
        <v/>
      </c>
      <c r="K115" s="738" t="str">
        <f>IF($C115=0,"",SUMIFS(INPUT_DATA!BB:BB,INPUT_DATA!$A:$A,$C115,INPUT_DATA!$C:$C,"S"))</f>
        <v/>
      </c>
      <c r="L115" s="738" t="str">
        <f>IF($C115=0,"",SUMIFS(INPUT_DATA!BC:BC,INPUT_DATA!$A:$A,$C115,INPUT_DATA!$C:$C,"S"))</f>
        <v/>
      </c>
      <c r="M115" s="738" t="str">
        <f>IF($C115=0,"",SUMIFS(INPUT_DATA!BD:BD,INPUT_DATA!$A:$A,$C115,INPUT_DATA!$C:$C,"S"))</f>
        <v/>
      </c>
      <c r="N115" s="738" t="str">
        <f>IF($C115=0,"",SUMIFS(INPUT_DATA!BE:BE,INPUT_DATA!$A:$A,$C115,INPUT_DATA!$C:$C,"S"))</f>
        <v/>
      </c>
      <c r="O115" s="738" t="str">
        <f>IF($C115=0,"",SUMIFS(INPUT_DATA!BF:BF,INPUT_DATA!$A:$A,$C115,INPUT_DATA!$C:$C,"S"))</f>
        <v/>
      </c>
      <c r="P115" s="738" t="str">
        <f>IF($C115=0,"",SUMIFS(INPUT_DATA!BG:BG,INPUT_DATA!$A:$A,$C115,INPUT_DATA!$C:$C,"S"))</f>
        <v/>
      </c>
      <c r="Q115" s="744" t="str">
        <f t="shared" si="15"/>
        <v/>
      </c>
      <c r="R115" s="746" t="str">
        <f>IF($C115=0,"",SUMIFS(INPUT_DATA!BI:BI,INPUT_DATA!$A:$A,$C115,INPUT_DATA!$C:$C,"S"))</f>
        <v/>
      </c>
      <c r="S115" s="746" t="str">
        <f>IF($C115=0,"",SUMIFS(INPUT_DATA!BJ:BJ,INPUT_DATA!$A:$A,$C115,INPUT_DATA!$C:$C,"S"))</f>
        <v/>
      </c>
      <c r="T115" s="744" t="str">
        <f t="shared" si="16"/>
        <v/>
      </c>
      <c r="U115" s="749" t="str">
        <f>IF($C115=0,"",SUMIFS(INPUT_DATA!BM:BM,INPUT_DATA!$A:$A,$C115,INPUT_DATA!$C:$C,"S"))</f>
        <v/>
      </c>
      <c r="V115" s="155" t="str">
        <f t="shared" si="11"/>
        <v/>
      </c>
      <c r="W115" s="149"/>
      <c r="X115" s="726" t="str">
        <f>IF($C115=0,"",SUMIFS(INPUT_DATA!AV:AV,INPUT_DATA!$A:$A,$C115,INPUT_DATA!$C:$C,"D"))</f>
        <v/>
      </c>
      <c r="Y115" s="738" t="str">
        <f>IF($C115=0,"",SUMIFS(INPUT_DATA!AW:AW,INPUT_DATA!$A:$A,$C115,INPUT_DATA!$C:$C,"D"))</f>
        <v/>
      </c>
      <c r="Z115" s="738" t="str">
        <f>IF($C115=0,"",SUMIFS(INPUT_DATA!AX:AX,INPUT_DATA!$A:$A,$C115,INPUT_DATA!$C:$C,"D"))</f>
        <v/>
      </c>
      <c r="AA115" s="739" t="str">
        <f t="shared" si="12"/>
        <v/>
      </c>
      <c r="AB115" s="738" t="str">
        <f>IF($C115=0,"",SUMIFS(INPUT_DATA!AZ:AZ,INPUT_DATA!$A:$A,$C115,INPUT_DATA!$C:$C,"D"))</f>
        <v/>
      </c>
      <c r="AC115" s="738" t="str">
        <f>IF($C115=0,"",SUMIFS(INPUT_DATA!BA:BA,INPUT_DATA!$A:$A,$C115,INPUT_DATA!$C:$C,"D"))</f>
        <v/>
      </c>
      <c r="AD115" s="738" t="str">
        <f>IF($C115=0,"",SUMIFS(INPUT_DATA!BB:BB,INPUT_DATA!$A:$A,$C115,INPUT_DATA!$C:$C,"D"))</f>
        <v/>
      </c>
      <c r="AE115" s="738" t="str">
        <f>IF($C115=0,"",SUMIFS(INPUT_DATA!BC:BC,INPUT_DATA!$A:$A,$C115,INPUT_DATA!$C:$C,"D"))</f>
        <v/>
      </c>
      <c r="AF115" s="738" t="str">
        <f>IF($C115=0,"",SUMIFS(INPUT_DATA!BD:BD,INPUT_DATA!$A:$A,$C115,INPUT_DATA!$C:$C,"D"))</f>
        <v/>
      </c>
      <c r="AG115" s="738" t="str">
        <f>IF($C115=0,"",SUMIFS(INPUT_DATA!BE:BE,INPUT_DATA!$A:$A,$C115,INPUT_DATA!$C:$C,"D"))</f>
        <v/>
      </c>
      <c r="AH115" s="738" t="str">
        <f>IF($C115=0,"",SUMIFS(INPUT_DATA!BF:BF,INPUT_DATA!$A:$A,$C115,INPUT_DATA!$C:$C,"D"))</f>
        <v/>
      </c>
      <c r="AI115" s="738" t="str">
        <f>IF($C115=0,"",SUMIFS(INPUT_DATA!BG:BG,INPUT_DATA!$A:$A,$C115,INPUT_DATA!$C:$C,"D"))</f>
        <v/>
      </c>
      <c r="AJ115" s="299" t="str">
        <f t="shared" si="13"/>
        <v/>
      </c>
      <c r="AK115" s="746" t="str">
        <f>IF($C115=0,"",SUMIFS(INPUT_DATA!BI:BI,INPUT_DATA!$A:$A,$C115,INPUT_DATA!$C:$C,"D"))</f>
        <v/>
      </c>
      <c r="AL115" s="746" t="str">
        <f>IF($C115=0,"",SUMIFS(INPUT_DATA!BJ:BJ,INPUT_DATA!$A:$A,$C115,INPUT_DATA!$C:$C,"D"))</f>
        <v/>
      </c>
      <c r="AM115" s="746" t="str">
        <f>IF($C115=0,"",SUMIFS(INPUT_DATA!BK:BK,INPUT_DATA!$A:$A,$C115,INPUT_DATA!$C:$C,"D"))</f>
        <v/>
      </c>
      <c r="AN115" s="744" t="str">
        <f t="shared" si="17"/>
        <v/>
      </c>
      <c r="AO115" s="749" t="str">
        <f>IF($C115=0,"",SUMIFS(INPUT_DATA!BM:BM,INPUT_DATA!$A:$A,$C115,INPUT_DATA!$C:$C,"D"))</f>
        <v/>
      </c>
      <c r="AP115" s="338" t="str">
        <f t="shared" si="18"/>
        <v/>
      </c>
      <c r="AQ115" s="149"/>
      <c r="AS115" s="338" t="str">
        <f t="shared" si="19"/>
        <v/>
      </c>
      <c r="AU115" s="361" t="str">
        <f>IF($C115=0,"",'03 - Monthly Asset Follow up'!F119+'03 - Monthly Asset Follow up'!G119-'03 - Monthly Asset Follow up'!V119+'03 - Monthly Asset Follow up'!Y119-H115)</f>
        <v/>
      </c>
      <c r="AV115" s="361" t="str">
        <f>IF($C115=0,"",'03 - Monthly Asset Follow up'!BE119+'03 - Monthly Asset Follow up'!BF119-'03 - Monthly Asset Follow up'!BU119+'03 - Monthly Asset Follow up'!BX119-AA115)</f>
        <v/>
      </c>
      <c r="AX115" s="154"/>
    </row>
    <row r="116" spans="2:50">
      <c r="B116" s="730" t="str">
        <f t="shared" si="14"/>
        <v/>
      </c>
      <c r="C116" s="733">
        <f>'03 - Monthly Asset Follow up'!B120</f>
        <v>0</v>
      </c>
      <c r="D116" s="149"/>
      <c r="E116" s="726" t="str">
        <f>IF($C116=0,"",SUMIFS(INPUT_DATA!AV:AV,INPUT_DATA!$A:$A,$C116,INPUT_DATA!$C:$C,"S"))</f>
        <v/>
      </c>
      <c r="F116" s="738" t="str">
        <f>IF($C116=0,"",SUMIFS(INPUT_DATA!AW:AW,INPUT_DATA!$A:$A,$C116,INPUT_DATA!$C:$C,"S"))</f>
        <v/>
      </c>
      <c r="G116" s="738" t="str">
        <f>IF($C116=0,"",SUMIFS(INPUT_DATA!AX:AX,INPUT_DATA!$A:$A,$C116,INPUT_DATA!$C:$C,"S"))</f>
        <v/>
      </c>
      <c r="H116" s="740" t="str">
        <f t="shared" si="10"/>
        <v/>
      </c>
      <c r="I116" s="738" t="str">
        <f>IF($C116=0,"",SUMIFS(INPUT_DATA!AZ:AZ,INPUT_DATA!$A:$A,$C116,INPUT_DATA!$C:$C,"S"))</f>
        <v/>
      </c>
      <c r="J116" s="738" t="str">
        <f>IF($C116=0,"",SUMIFS(INPUT_DATA!BA:BA,INPUT_DATA!$A:$A,$C116,INPUT_DATA!$C:$C,"S"))</f>
        <v/>
      </c>
      <c r="K116" s="738" t="str">
        <f>IF($C116=0,"",SUMIFS(INPUT_DATA!BB:BB,INPUT_DATA!$A:$A,$C116,INPUT_DATA!$C:$C,"S"))</f>
        <v/>
      </c>
      <c r="L116" s="738" t="str">
        <f>IF($C116=0,"",SUMIFS(INPUT_DATA!BC:BC,INPUT_DATA!$A:$A,$C116,INPUT_DATA!$C:$C,"S"))</f>
        <v/>
      </c>
      <c r="M116" s="738" t="str">
        <f>IF($C116=0,"",SUMIFS(INPUT_DATA!BD:BD,INPUT_DATA!$A:$A,$C116,INPUT_DATA!$C:$C,"S"))</f>
        <v/>
      </c>
      <c r="N116" s="738" t="str">
        <f>IF($C116=0,"",SUMIFS(INPUT_DATA!BE:BE,INPUT_DATA!$A:$A,$C116,INPUT_DATA!$C:$C,"S"))</f>
        <v/>
      </c>
      <c r="O116" s="738" t="str">
        <f>IF($C116=0,"",SUMIFS(INPUT_DATA!BF:BF,INPUT_DATA!$A:$A,$C116,INPUT_DATA!$C:$C,"S"))</f>
        <v/>
      </c>
      <c r="P116" s="738" t="str">
        <f>IF($C116=0,"",SUMIFS(INPUT_DATA!BG:BG,INPUT_DATA!$A:$A,$C116,INPUT_DATA!$C:$C,"S"))</f>
        <v/>
      </c>
      <c r="Q116" s="744" t="str">
        <f t="shared" si="15"/>
        <v/>
      </c>
      <c r="R116" s="746" t="str">
        <f>IF($C116=0,"",SUMIFS(INPUT_DATA!BI:BI,INPUT_DATA!$A:$A,$C116,INPUT_DATA!$C:$C,"S"))</f>
        <v/>
      </c>
      <c r="S116" s="746" t="str">
        <f>IF($C116=0,"",SUMIFS(INPUT_DATA!BJ:BJ,INPUT_DATA!$A:$A,$C116,INPUT_DATA!$C:$C,"S"))</f>
        <v/>
      </c>
      <c r="T116" s="744" t="str">
        <f t="shared" si="16"/>
        <v/>
      </c>
      <c r="U116" s="749" t="str">
        <f>IF($C116=0,"",SUMIFS(INPUT_DATA!BM:BM,INPUT_DATA!$A:$A,$C116,INPUT_DATA!$C:$C,"S"))</f>
        <v/>
      </c>
      <c r="V116" s="155" t="str">
        <f t="shared" si="11"/>
        <v/>
      </c>
      <c r="W116" s="149"/>
      <c r="X116" s="726" t="str">
        <f>IF($C116=0,"",SUMIFS(INPUT_DATA!AV:AV,INPUT_DATA!$A:$A,$C116,INPUT_DATA!$C:$C,"D"))</f>
        <v/>
      </c>
      <c r="Y116" s="738" t="str">
        <f>IF($C116=0,"",SUMIFS(INPUT_DATA!AW:AW,INPUT_DATA!$A:$A,$C116,INPUT_DATA!$C:$C,"D"))</f>
        <v/>
      </c>
      <c r="Z116" s="738" t="str">
        <f>IF($C116=0,"",SUMIFS(INPUT_DATA!AX:AX,INPUT_DATA!$A:$A,$C116,INPUT_DATA!$C:$C,"D"))</f>
        <v/>
      </c>
      <c r="AA116" s="739" t="str">
        <f t="shared" si="12"/>
        <v/>
      </c>
      <c r="AB116" s="738" t="str">
        <f>IF($C116=0,"",SUMIFS(INPUT_DATA!AZ:AZ,INPUT_DATA!$A:$A,$C116,INPUT_DATA!$C:$C,"D"))</f>
        <v/>
      </c>
      <c r="AC116" s="738" t="str">
        <f>IF($C116=0,"",SUMIFS(INPUT_DATA!BA:BA,INPUT_DATA!$A:$A,$C116,INPUT_DATA!$C:$C,"D"))</f>
        <v/>
      </c>
      <c r="AD116" s="738" t="str">
        <f>IF($C116=0,"",SUMIFS(INPUT_DATA!BB:BB,INPUT_DATA!$A:$A,$C116,INPUT_DATA!$C:$C,"D"))</f>
        <v/>
      </c>
      <c r="AE116" s="738" t="str">
        <f>IF($C116=0,"",SUMIFS(INPUT_DATA!BC:BC,INPUT_DATA!$A:$A,$C116,INPUT_DATA!$C:$C,"D"))</f>
        <v/>
      </c>
      <c r="AF116" s="738" t="str">
        <f>IF($C116=0,"",SUMIFS(INPUT_DATA!BD:BD,INPUT_DATA!$A:$A,$C116,INPUT_DATA!$C:$C,"D"))</f>
        <v/>
      </c>
      <c r="AG116" s="738" t="str">
        <f>IF($C116=0,"",SUMIFS(INPUT_DATA!BE:BE,INPUT_DATA!$A:$A,$C116,INPUT_DATA!$C:$C,"D"))</f>
        <v/>
      </c>
      <c r="AH116" s="738" t="str">
        <f>IF($C116=0,"",SUMIFS(INPUT_DATA!BF:BF,INPUT_DATA!$A:$A,$C116,INPUT_DATA!$C:$C,"D"))</f>
        <v/>
      </c>
      <c r="AI116" s="738" t="str">
        <f>IF($C116=0,"",SUMIFS(INPUT_DATA!BG:BG,INPUT_DATA!$A:$A,$C116,INPUT_DATA!$C:$C,"D"))</f>
        <v/>
      </c>
      <c r="AJ116" s="299" t="str">
        <f t="shared" si="13"/>
        <v/>
      </c>
      <c r="AK116" s="746" t="str">
        <f>IF($C116=0,"",SUMIFS(INPUT_DATA!BI:BI,INPUT_DATA!$A:$A,$C116,INPUT_DATA!$C:$C,"D"))</f>
        <v/>
      </c>
      <c r="AL116" s="746" t="str">
        <f>IF($C116=0,"",SUMIFS(INPUT_DATA!BJ:BJ,INPUT_DATA!$A:$A,$C116,INPUT_DATA!$C:$C,"D"))</f>
        <v/>
      </c>
      <c r="AM116" s="746" t="str">
        <f>IF($C116=0,"",SUMIFS(INPUT_DATA!BK:BK,INPUT_DATA!$A:$A,$C116,INPUT_DATA!$C:$C,"D"))</f>
        <v/>
      </c>
      <c r="AN116" s="744" t="str">
        <f t="shared" si="17"/>
        <v/>
      </c>
      <c r="AO116" s="749" t="str">
        <f>IF($C116=0,"",SUMIFS(INPUT_DATA!BM:BM,INPUT_DATA!$A:$A,$C116,INPUT_DATA!$C:$C,"D"))</f>
        <v/>
      </c>
      <c r="AP116" s="338" t="str">
        <f t="shared" si="18"/>
        <v/>
      </c>
      <c r="AQ116" s="149"/>
      <c r="AS116" s="338" t="str">
        <f t="shared" si="19"/>
        <v/>
      </c>
      <c r="AU116" s="361" t="str">
        <f>IF($C116=0,"",'03 - Monthly Asset Follow up'!F120+'03 - Monthly Asset Follow up'!G120-'03 - Monthly Asset Follow up'!V120+'03 - Monthly Asset Follow up'!Y120-H116)</f>
        <v/>
      </c>
      <c r="AV116" s="361" t="str">
        <f>IF($C116=0,"",'03 - Monthly Asset Follow up'!BE120+'03 - Monthly Asset Follow up'!BF120-'03 - Monthly Asset Follow up'!BU120+'03 - Monthly Asset Follow up'!BX120-AA116)</f>
        <v/>
      </c>
      <c r="AX116" s="154"/>
    </row>
    <row r="117" spans="2:50">
      <c r="B117" s="730" t="str">
        <f t="shared" si="14"/>
        <v/>
      </c>
      <c r="C117" s="733">
        <f>'03 - Monthly Asset Follow up'!B121</f>
        <v>0</v>
      </c>
      <c r="D117" s="149"/>
      <c r="E117" s="726" t="str">
        <f>IF($C117=0,"",SUMIFS(INPUT_DATA!AV:AV,INPUT_DATA!$A:$A,$C117,INPUT_DATA!$C:$C,"S"))</f>
        <v/>
      </c>
      <c r="F117" s="738" t="str">
        <f>IF($C117=0,"",SUMIFS(INPUT_DATA!AW:AW,INPUT_DATA!$A:$A,$C117,INPUT_DATA!$C:$C,"S"))</f>
        <v/>
      </c>
      <c r="G117" s="738" t="str">
        <f>IF($C117=0,"",SUMIFS(INPUT_DATA!AX:AX,INPUT_DATA!$A:$A,$C117,INPUT_DATA!$C:$C,"S"))</f>
        <v/>
      </c>
      <c r="H117" s="740" t="str">
        <f t="shared" si="10"/>
        <v/>
      </c>
      <c r="I117" s="738" t="str">
        <f>IF($C117=0,"",SUMIFS(INPUT_DATA!AZ:AZ,INPUT_DATA!$A:$A,$C117,INPUT_DATA!$C:$C,"S"))</f>
        <v/>
      </c>
      <c r="J117" s="738" t="str">
        <f>IF($C117=0,"",SUMIFS(INPUT_DATA!BA:BA,INPUT_DATA!$A:$A,$C117,INPUT_DATA!$C:$C,"S"))</f>
        <v/>
      </c>
      <c r="K117" s="738" t="str">
        <f>IF($C117=0,"",SUMIFS(INPUT_DATA!BB:BB,INPUT_DATA!$A:$A,$C117,INPUT_DATA!$C:$C,"S"))</f>
        <v/>
      </c>
      <c r="L117" s="738" t="str">
        <f>IF($C117=0,"",SUMIFS(INPUT_DATA!BC:BC,INPUT_DATA!$A:$A,$C117,INPUT_DATA!$C:$C,"S"))</f>
        <v/>
      </c>
      <c r="M117" s="738" t="str">
        <f>IF($C117=0,"",SUMIFS(INPUT_DATA!BD:BD,INPUT_DATA!$A:$A,$C117,INPUT_DATA!$C:$C,"S"))</f>
        <v/>
      </c>
      <c r="N117" s="738" t="str">
        <f>IF($C117=0,"",SUMIFS(INPUT_DATA!BE:BE,INPUT_DATA!$A:$A,$C117,INPUT_DATA!$C:$C,"S"))</f>
        <v/>
      </c>
      <c r="O117" s="738" t="str">
        <f>IF($C117=0,"",SUMIFS(INPUT_DATA!BF:BF,INPUT_DATA!$A:$A,$C117,INPUT_DATA!$C:$C,"S"))</f>
        <v/>
      </c>
      <c r="P117" s="738" t="str">
        <f>IF($C117=0,"",SUMIFS(INPUT_DATA!BG:BG,INPUT_DATA!$A:$A,$C117,INPUT_DATA!$C:$C,"S"))</f>
        <v/>
      </c>
      <c r="Q117" s="744" t="str">
        <f t="shared" si="15"/>
        <v/>
      </c>
      <c r="R117" s="746" t="str">
        <f>IF($C117=0,"",SUMIFS(INPUT_DATA!BI:BI,INPUT_DATA!$A:$A,$C117,INPUT_DATA!$C:$C,"S"))</f>
        <v/>
      </c>
      <c r="S117" s="746" t="str">
        <f>IF($C117=0,"",SUMIFS(INPUT_DATA!BJ:BJ,INPUT_DATA!$A:$A,$C117,INPUT_DATA!$C:$C,"S"))</f>
        <v/>
      </c>
      <c r="T117" s="744" t="str">
        <f t="shared" si="16"/>
        <v/>
      </c>
      <c r="U117" s="749" t="str">
        <f>IF($C117=0,"",SUMIFS(INPUT_DATA!BM:BM,INPUT_DATA!$A:$A,$C117,INPUT_DATA!$C:$C,"S"))</f>
        <v/>
      </c>
      <c r="V117" s="155" t="str">
        <f t="shared" si="11"/>
        <v/>
      </c>
      <c r="W117" s="149"/>
      <c r="X117" s="726" t="str">
        <f>IF($C117=0,"",SUMIFS(INPUT_DATA!AV:AV,INPUT_DATA!$A:$A,$C117,INPUT_DATA!$C:$C,"D"))</f>
        <v/>
      </c>
      <c r="Y117" s="738" t="str">
        <f>IF($C117=0,"",SUMIFS(INPUT_DATA!AW:AW,INPUT_DATA!$A:$A,$C117,INPUT_DATA!$C:$C,"D"))</f>
        <v/>
      </c>
      <c r="Z117" s="738" t="str">
        <f>IF($C117=0,"",SUMIFS(INPUT_DATA!AX:AX,INPUT_DATA!$A:$A,$C117,INPUT_DATA!$C:$C,"D"))</f>
        <v/>
      </c>
      <c r="AA117" s="739" t="str">
        <f t="shared" si="12"/>
        <v/>
      </c>
      <c r="AB117" s="738" t="str">
        <f>IF($C117=0,"",SUMIFS(INPUT_DATA!AZ:AZ,INPUT_DATA!$A:$A,$C117,INPUT_DATA!$C:$C,"D"))</f>
        <v/>
      </c>
      <c r="AC117" s="738" t="str">
        <f>IF($C117=0,"",SUMIFS(INPUT_DATA!BA:BA,INPUT_DATA!$A:$A,$C117,INPUT_DATA!$C:$C,"D"))</f>
        <v/>
      </c>
      <c r="AD117" s="738" t="str">
        <f>IF($C117=0,"",SUMIFS(INPUT_DATA!BB:BB,INPUT_DATA!$A:$A,$C117,INPUT_DATA!$C:$C,"D"))</f>
        <v/>
      </c>
      <c r="AE117" s="738" t="str">
        <f>IF($C117=0,"",SUMIFS(INPUT_DATA!BC:BC,INPUT_DATA!$A:$A,$C117,INPUT_DATA!$C:$C,"D"))</f>
        <v/>
      </c>
      <c r="AF117" s="738" t="str">
        <f>IF($C117=0,"",SUMIFS(INPUT_DATA!BD:BD,INPUT_DATA!$A:$A,$C117,INPUT_DATA!$C:$C,"D"))</f>
        <v/>
      </c>
      <c r="AG117" s="738" t="str">
        <f>IF($C117=0,"",SUMIFS(INPUT_DATA!BE:BE,INPUT_DATA!$A:$A,$C117,INPUT_DATA!$C:$C,"D"))</f>
        <v/>
      </c>
      <c r="AH117" s="738" t="str">
        <f>IF($C117=0,"",SUMIFS(INPUT_DATA!BF:BF,INPUT_DATA!$A:$A,$C117,INPUT_DATA!$C:$C,"D"))</f>
        <v/>
      </c>
      <c r="AI117" s="738" t="str">
        <f>IF($C117=0,"",SUMIFS(INPUT_DATA!BG:BG,INPUT_DATA!$A:$A,$C117,INPUT_DATA!$C:$C,"D"))</f>
        <v/>
      </c>
      <c r="AJ117" s="299" t="str">
        <f t="shared" si="13"/>
        <v/>
      </c>
      <c r="AK117" s="746" t="str">
        <f>IF($C117=0,"",SUMIFS(INPUT_DATA!BI:BI,INPUT_DATA!$A:$A,$C117,INPUT_DATA!$C:$C,"D"))</f>
        <v/>
      </c>
      <c r="AL117" s="746" t="str">
        <f>IF($C117=0,"",SUMIFS(INPUT_DATA!BJ:BJ,INPUT_DATA!$A:$A,$C117,INPUT_DATA!$C:$C,"D"))</f>
        <v/>
      </c>
      <c r="AM117" s="746" t="str">
        <f>IF($C117=0,"",SUMIFS(INPUT_DATA!BK:BK,INPUT_DATA!$A:$A,$C117,INPUT_DATA!$C:$C,"D"))</f>
        <v/>
      </c>
      <c r="AN117" s="744" t="str">
        <f t="shared" si="17"/>
        <v/>
      </c>
      <c r="AO117" s="749" t="str">
        <f>IF($C117=0,"",SUMIFS(INPUT_DATA!BM:BM,INPUT_DATA!$A:$A,$C117,INPUT_DATA!$C:$C,"D"))</f>
        <v/>
      </c>
      <c r="AP117" s="338" t="str">
        <f t="shared" si="18"/>
        <v/>
      </c>
      <c r="AQ117" s="149"/>
      <c r="AS117" s="338" t="str">
        <f t="shared" si="19"/>
        <v/>
      </c>
      <c r="AU117" s="361" t="str">
        <f>IF($C117=0,"",'03 - Monthly Asset Follow up'!F121+'03 - Monthly Asset Follow up'!G121-'03 - Monthly Asset Follow up'!V121+'03 - Monthly Asset Follow up'!Y121-H117)</f>
        <v/>
      </c>
      <c r="AV117" s="361" t="str">
        <f>IF($C117=0,"",'03 - Monthly Asset Follow up'!BE121+'03 - Monthly Asset Follow up'!BF121-'03 - Monthly Asset Follow up'!BU121+'03 - Monthly Asset Follow up'!BX121-AA117)</f>
        <v/>
      </c>
      <c r="AX117" s="154"/>
    </row>
    <row r="118" spans="2:50">
      <c r="B118" s="730" t="str">
        <f t="shared" si="14"/>
        <v/>
      </c>
      <c r="C118" s="733">
        <f>'03 - Monthly Asset Follow up'!B122</f>
        <v>0</v>
      </c>
      <c r="D118" s="149"/>
      <c r="E118" s="726" t="str">
        <f>IF($C118=0,"",SUMIFS(INPUT_DATA!AV:AV,INPUT_DATA!$A:$A,$C118,INPUT_DATA!$C:$C,"S"))</f>
        <v/>
      </c>
      <c r="F118" s="738" t="str">
        <f>IF($C118=0,"",SUMIFS(INPUT_DATA!AW:AW,INPUT_DATA!$A:$A,$C118,INPUT_DATA!$C:$C,"S"))</f>
        <v/>
      </c>
      <c r="G118" s="738" t="str">
        <f>IF($C118=0,"",SUMIFS(INPUT_DATA!AX:AX,INPUT_DATA!$A:$A,$C118,INPUT_DATA!$C:$C,"S"))</f>
        <v/>
      </c>
      <c r="H118" s="740" t="str">
        <f t="shared" si="10"/>
        <v/>
      </c>
      <c r="I118" s="738" t="str">
        <f>IF($C118=0,"",SUMIFS(INPUT_DATA!AZ:AZ,INPUT_DATA!$A:$A,$C118,INPUT_DATA!$C:$C,"S"))</f>
        <v/>
      </c>
      <c r="J118" s="738" t="str">
        <f>IF($C118=0,"",SUMIFS(INPUT_DATA!BA:BA,INPUT_DATA!$A:$A,$C118,INPUT_DATA!$C:$C,"S"))</f>
        <v/>
      </c>
      <c r="K118" s="738" t="str">
        <f>IF($C118=0,"",SUMIFS(INPUT_DATA!BB:BB,INPUT_DATA!$A:$A,$C118,INPUT_DATA!$C:$C,"S"))</f>
        <v/>
      </c>
      <c r="L118" s="738" t="str">
        <f>IF($C118=0,"",SUMIFS(INPUT_DATA!BC:BC,INPUT_DATA!$A:$A,$C118,INPUT_DATA!$C:$C,"S"))</f>
        <v/>
      </c>
      <c r="M118" s="738" t="str">
        <f>IF($C118=0,"",SUMIFS(INPUT_DATA!BD:BD,INPUT_DATA!$A:$A,$C118,INPUT_DATA!$C:$C,"S"))</f>
        <v/>
      </c>
      <c r="N118" s="738" t="str">
        <f>IF($C118=0,"",SUMIFS(INPUT_DATA!BE:BE,INPUT_DATA!$A:$A,$C118,INPUT_DATA!$C:$C,"S"))</f>
        <v/>
      </c>
      <c r="O118" s="738" t="str">
        <f>IF($C118=0,"",SUMIFS(INPUT_DATA!BF:BF,INPUT_DATA!$A:$A,$C118,INPUT_DATA!$C:$C,"S"))</f>
        <v/>
      </c>
      <c r="P118" s="738" t="str">
        <f>IF($C118=0,"",SUMIFS(INPUT_DATA!BG:BG,INPUT_DATA!$A:$A,$C118,INPUT_DATA!$C:$C,"S"))</f>
        <v/>
      </c>
      <c r="Q118" s="744" t="str">
        <f t="shared" si="15"/>
        <v/>
      </c>
      <c r="R118" s="746" t="str">
        <f>IF($C118=0,"",SUMIFS(INPUT_DATA!BI:BI,INPUT_DATA!$A:$A,$C118,INPUT_DATA!$C:$C,"S"))</f>
        <v/>
      </c>
      <c r="S118" s="746" t="str">
        <f>IF($C118=0,"",SUMIFS(INPUT_DATA!BJ:BJ,INPUT_DATA!$A:$A,$C118,INPUT_DATA!$C:$C,"S"))</f>
        <v/>
      </c>
      <c r="T118" s="744" t="str">
        <f t="shared" si="16"/>
        <v/>
      </c>
      <c r="U118" s="749" t="str">
        <f>IF($C118=0,"",SUMIFS(INPUT_DATA!BM:BM,INPUT_DATA!$A:$A,$C118,INPUT_DATA!$C:$C,"S"))</f>
        <v/>
      </c>
      <c r="V118" s="155" t="str">
        <f t="shared" si="11"/>
        <v/>
      </c>
      <c r="W118" s="149"/>
      <c r="X118" s="726" t="str">
        <f>IF($C118=0,"",SUMIFS(INPUT_DATA!AV:AV,INPUT_DATA!$A:$A,$C118,INPUT_DATA!$C:$C,"D"))</f>
        <v/>
      </c>
      <c r="Y118" s="738" t="str">
        <f>IF($C118=0,"",SUMIFS(INPUT_DATA!AW:AW,INPUT_DATA!$A:$A,$C118,INPUT_DATA!$C:$C,"D"))</f>
        <v/>
      </c>
      <c r="Z118" s="738" t="str">
        <f>IF($C118=0,"",SUMIFS(INPUT_DATA!AX:AX,INPUT_DATA!$A:$A,$C118,INPUT_DATA!$C:$C,"D"))</f>
        <v/>
      </c>
      <c r="AA118" s="739" t="str">
        <f t="shared" si="12"/>
        <v/>
      </c>
      <c r="AB118" s="738" t="str">
        <f>IF($C118=0,"",SUMIFS(INPUT_DATA!AZ:AZ,INPUT_DATA!$A:$A,$C118,INPUT_DATA!$C:$C,"D"))</f>
        <v/>
      </c>
      <c r="AC118" s="738" t="str">
        <f>IF($C118=0,"",SUMIFS(INPUT_DATA!BA:BA,INPUT_DATA!$A:$A,$C118,INPUT_DATA!$C:$C,"D"))</f>
        <v/>
      </c>
      <c r="AD118" s="738" t="str">
        <f>IF($C118=0,"",SUMIFS(INPUT_DATA!BB:BB,INPUT_DATA!$A:$A,$C118,INPUT_DATA!$C:$C,"D"))</f>
        <v/>
      </c>
      <c r="AE118" s="738" t="str">
        <f>IF($C118=0,"",SUMIFS(INPUT_DATA!BC:BC,INPUT_DATA!$A:$A,$C118,INPUT_DATA!$C:$C,"D"))</f>
        <v/>
      </c>
      <c r="AF118" s="738" t="str">
        <f>IF($C118=0,"",SUMIFS(INPUT_DATA!BD:BD,INPUT_DATA!$A:$A,$C118,INPUT_DATA!$C:$C,"D"))</f>
        <v/>
      </c>
      <c r="AG118" s="738" t="str">
        <f>IF($C118=0,"",SUMIFS(INPUT_DATA!BE:BE,INPUT_DATA!$A:$A,$C118,INPUT_DATA!$C:$C,"D"))</f>
        <v/>
      </c>
      <c r="AH118" s="738" t="str">
        <f>IF($C118=0,"",SUMIFS(INPUT_DATA!BF:BF,INPUT_DATA!$A:$A,$C118,INPUT_DATA!$C:$C,"D"))</f>
        <v/>
      </c>
      <c r="AI118" s="738" t="str">
        <f>IF($C118=0,"",SUMIFS(INPUT_DATA!BG:BG,INPUT_DATA!$A:$A,$C118,INPUT_DATA!$C:$C,"D"))</f>
        <v/>
      </c>
      <c r="AJ118" s="299" t="str">
        <f t="shared" si="13"/>
        <v/>
      </c>
      <c r="AK118" s="746" t="str">
        <f>IF($C118=0,"",SUMIFS(INPUT_DATA!BI:BI,INPUT_DATA!$A:$A,$C118,INPUT_DATA!$C:$C,"D"))</f>
        <v/>
      </c>
      <c r="AL118" s="746" t="str">
        <f>IF($C118=0,"",SUMIFS(INPUT_DATA!BJ:BJ,INPUT_DATA!$A:$A,$C118,INPUT_DATA!$C:$C,"D"))</f>
        <v/>
      </c>
      <c r="AM118" s="746" t="str">
        <f>IF($C118=0,"",SUMIFS(INPUT_DATA!BK:BK,INPUT_DATA!$A:$A,$C118,INPUT_DATA!$C:$C,"D"))</f>
        <v/>
      </c>
      <c r="AN118" s="744" t="str">
        <f t="shared" si="17"/>
        <v/>
      </c>
      <c r="AO118" s="749" t="str">
        <f>IF($C118=0,"",SUMIFS(INPUT_DATA!BM:BM,INPUT_DATA!$A:$A,$C118,INPUT_DATA!$C:$C,"D"))</f>
        <v/>
      </c>
      <c r="AP118" s="338" t="str">
        <f t="shared" si="18"/>
        <v/>
      </c>
      <c r="AQ118" s="149"/>
      <c r="AS118" s="338" t="str">
        <f t="shared" si="19"/>
        <v/>
      </c>
      <c r="AU118" s="361" t="str">
        <f>IF($C118=0,"",'03 - Monthly Asset Follow up'!F122+'03 - Monthly Asset Follow up'!G122-'03 - Monthly Asset Follow up'!V122+'03 - Monthly Asset Follow up'!Y122-H118)</f>
        <v/>
      </c>
      <c r="AV118" s="361" t="str">
        <f>IF($C118=0,"",'03 - Monthly Asset Follow up'!BE122+'03 - Monthly Asset Follow up'!BF122-'03 - Monthly Asset Follow up'!BU122+'03 - Monthly Asset Follow up'!BX122-AA118)</f>
        <v/>
      </c>
      <c r="AX118" s="154"/>
    </row>
    <row r="119" spans="2:50">
      <c r="B119" s="730" t="str">
        <f t="shared" si="14"/>
        <v/>
      </c>
      <c r="C119" s="733">
        <f>'03 - Monthly Asset Follow up'!B123</f>
        <v>0</v>
      </c>
      <c r="D119" s="149"/>
      <c r="E119" s="726" t="str">
        <f>IF($C119=0,"",SUMIFS(INPUT_DATA!AV:AV,INPUT_DATA!$A:$A,$C119,INPUT_DATA!$C:$C,"S"))</f>
        <v/>
      </c>
      <c r="F119" s="738" t="str">
        <f>IF($C119=0,"",SUMIFS(INPUT_DATA!AW:AW,INPUT_DATA!$A:$A,$C119,INPUT_DATA!$C:$C,"S"))</f>
        <v/>
      </c>
      <c r="G119" s="738" t="str">
        <f>IF($C119=0,"",SUMIFS(INPUT_DATA!AX:AX,INPUT_DATA!$A:$A,$C119,INPUT_DATA!$C:$C,"S"))</f>
        <v/>
      </c>
      <c r="H119" s="740" t="str">
        <f t="shared" si="10"/>
        <v/>
      </c>
      <c r="I119" s="738" t="str">
        <f>IF($C119=0,"",SUMIFS(INPUT_DATA!AZ:AZ,INPUT_DATA!$A:$A,$C119,INPUT_DATA!$C:$C,"S"))</f>
        <v/>
      </c>
      <c r="J119" s="738" t="str">
        <f>IF($C119=0,"",SUMIFS(INPUT_DATA!BA:BA,INPUT_DATA!$A:$A,$C119,INPUT_DATA!$C:$C,"S"))</f>
        <v/>
      </c>
      <c r="K119" s="738" t="str">
        <f>IF($C119=0,"",SUMIFS(INPUT_DATA!BB:BB,INPUT_DATA!$A:$A,$C119,INPUT_DATA!$C:$C,"S"))</f>
        <v/>
      </c>
      <c r="L119" s="738" t="str">
        <f>IF($C119=0,"",SUMIFS(INPUT_DATA!BC:BC,INPUT_DATA!$A:$A,$C119,INPUT_DATA!$C:$C,"S"))</f>
        <v/>
      </c>
      <c r="M119" s="738" t="str">
        <f>IF($C119=0,"",SUMIFS(INPUT_DATA!BD:BD,INPUT_DATA!$A:$A,$C119,INPUT_DATA!$C:$C,"S"))</f>
        <v/>
      </c>
      <c r="N119" s="738" t="str">
        <f>IF($C119=0,"",SUMIFS(INPUT_DATA!BE:BE,INPUT_DATA!$A:$A,$C119,INPUT_DATA!$C:$C,"S"))</f>
        <v/>
      </c>
      <c r="O119" s="738" t="str">
        <f>IF($C119=0,"",SUMIFS(INPUT_DATA!BF:BF,INPUT_DATA!$A:$A,$C119,INPUT_DATA!$C:$C,"S"))</f>
        <v/>
      </c>
      <c r="P119" s="738" t="str">
        <f>IF($C119=0,"",SUMIFS(INPUT_DATA!BG:BG,INPUT_DATA!$A:$A,$C119,INPUT_DATA!$C:$C,"S"))</f>
        <v/>
      </c>
      <c r="Q119" s="744" t="str">
        <f t="shared" si="15"/>
        <v/>
      </c>
      <c r="R119" s="746" t="str">
        <f>IF($C119=0,"",SUMIFS(INPUT_DATA!BI:BI,INPUT_DATA!$A:$A,$C119,INPUT_DATA!$C:$C,"S"))</f>
        <v/>
      </c>
      <c r="S119" s="746" t="str">
        <f>IF($C119=0,"",SUMIFS(INPUT_DATA!BJ:BJ,INPUT_DATA!$A:$A,$C119,INPUT_DATA!$C:$C,"S"))</f>
        <v/>
      </c>
      <c r="T119" s="744" t="str">
        <f t="shared" si="16"/>
        <v/>
      </c>
      <c r="U119" s="749" t="str">
        <f>IF($C119=0,"",SUMIFS(INPUT_DATA!BM:BM,INPUT_DATA!$A:$A,$C119,INPUT_DATA!$C:$C,"S"))</f>
        <v/>
      </c>
      <c r="V119" s="155" t="str">
        <f t="shared" si="11"/>
        <v/>
      </c>
      <c r="W119" s="149"/>
      <c r="X119" s="726" t="str">
        <f>IF($C119=0,"",SUMIFS(INPUT_DATA!AV:AV,INPUT_DATA!$A:$A,$C119,INPUT_DATA!$C:$C,"D"))</f>
        <v/>
      </c>
      <c r="Y119" s="738" t="str">
        <f>IF($C119=0,"",SUMIFS(INPUT_DATA!AW:AW,INPUT_DATA!$A:$A,$C119,INPUT_DATA!$C:$C,"D"))</f>
        <v/>
      </c>
      <c r="Z119" s="738" t="str">
        <f>IF($C119=0,"",SUMIFS(INPUT_DATA!AX:AX,INPUT_DATA!$A:$A,$C119,INPUT_DATA!$C:$C,"D"))</f>
        <v/>
      </c>
      <c r="AA119" s="739" t="str">
        <f t="shared" si="12"/>
        <v/>
      </c>
      <c r="AB119" s="738" t="str">
        <f>IF($C119=0,"",SUMIFS(INPUT_DATA!AZ:AZ,INPUT_DATA!$A:$A,$C119,INPUT_DATA!$C:$C,"D"))</f>
        <v/>
      </c>
      <c r="AC119" s="738" t="str">
        <f>IF($C119=0,"",SUMIFS(INPUT_DATA!BA:BA,INPUT_DATA!$A:$A,$C119,INPUT_DATA!$C:$C,"D"))</f>
        <v/>
      </c>
      <c r="AD119" s="738" t="str">
        <f>IF($C119=0,"",SUMIFS(INPUT_DATA!BB:BB,INPUT_DATA!$A:$A,$C119,INPUT_DATA!$C:$C,"D"))</f>
        <v/>
      </c>
      <c r="AE119" s="738" t="str">
        <f>IF($C119=0,"",SUMIFS(INPUT_DATA!BC:BC,INPUT_DATA!$A:$A,$C119,INPUT_DATA!$C:$C,"D"))</f>
        <v/>
      </c>
      <c r="AF119" s="738" t="str">
        <f>IF($C119=0,"",SUMIFS(INPUT_DATA!BD:BD,INPUT_DATA!$A:$A,$C119,INPUT_DATA!$C:$C,"D"))</f>
        <v/>
      </c>
      <c r="AG119" s="738" t="str">
        <f>IF($C119=0,"",SUMIFS(INPUT_DATA!BE:BE,INPUT_DATA!$A:$A,$C119,INPUT_DATA!$C:$C,"D"))</f>
        <v/>
      </c>
      <c r="AH119" s="738" t="str">
        <f>IF($C119=0,"",SUMIFS(INPUT_DATA!BF:BF,INPUT_DATA!$A:$A,$C119,INPUT_DATA!$C:$C,"D"))</f>
        <v/>
      </c>
      <c r="AI119" s="738" t="str">
        <f>IF($C119=0,"",SUMIFS(INPUT_DATA!BG:BG,INPUT_DATA!$A:$A,$C119,INPUT_DATA!$C:$C,"D"))</f>
        <v/>
      </c>
      <c r="AJ119" s="299" t="str">
        <f t="shared" si="13"/>
        <v/>
      </c>
      <c r="AK119" s="746" t="str">
        <f>IF($C119=0,"",SUMIFS(INPUT_DATA!BI:BI,INPUT_DATA!$A:$A,$C119,INPUT_DATA!$C:$C,"D"))</f>
        <v/>
      </c>
      <c r="AL119" s="746" t="str">
        <f>IF($C119=0,"",SUMIFS(INPUT_DATA!BJ:BJ,INPUT_DATA!$A:$A,$C119,INPUT_DATA!$C:$C,"D"))</f>
        <v/>
      </c>
      <c r="AM119" s="746" t="str">
        <f>IF($C119=0,"",SUMIFS(INPUT_DATA!BK:BK,INPUT_DATA!$A:$A,$C119,INPUT_DATA!$C:$C,"D"))</f>
        <v/>
      </c>
      <c r="AN119" s="744" t="str">
        <f t="shared" si="17"/>
        <v/>
      </c>
      <c r="AO119" s="749" t="str">
        <f>IF($C119=0,"",SUMIFS(INPUT_DATA!BM:BM,INPUT_DATA!$A:$A,$C119,INPUT_DATA!$C:$C,"D"))</f>
        <v/>
      </c>
      <c r="AP119" s="338" t="str">
        <f t="shared" si="18"/>
        <v/>
      </c>
      <c r="AQ119" s="149"/>
      <c r="AS119" s="338" t="str">
        <f t="shared" si="19"/>
        <v/>
      </c>
      <c r="AU119" s="361" t="str">
        <f>IF($C119=0,"",'03 - Monthly Asset Follow up'!F123+'03 - Monthly Asset Follow up'!G123-'03 - Monthly Asset Follow up'!V123+'03 - Monthly Asset Follow up'!Y123-H119)</f>
        <v/>
      </c>
      <c r="AV119" s="361" t="str">
        <f>IF($C119=0,"",'03 - Monthly Asset Follow up'!BE123+'03 - Monthly Asset Follow up'!BF123-'03 - Monthly Asset Follow up'!BU123+'03 - Monthly Asset Follow up'!BX123-AA119)</f>
        <v/>
      </c>
      <c r="AX119" s="154"/>
    </row>
    <row r="120" spans="2:50">
      <c r="B120" s="730" t="str">
        <f t="shared" si="14"/>
        <v/>
      </c>
      <c r="C120" s="733">
        <f>'03 - Monthly Asset Follow up'!B124</f>
        <v>0</v>
      </c>
      <c r="D120" s="149"/>
      <c r="E120" s="726" t="str">
        <f>IF($C120=0,"",SUMIFS(INPUT_DATA!AV:AV,INPUT_DATA!$A:$A,$C120,INPUT_DATA!$C:$C,"S"))</f>
        <v/>
      </c>
      <c r="F120" s="738" t="str">
        <f>IF($C120=0,"",SUMIFS(INPUT_DATA!AW:AW,INPUT_DATA!$A:$A,$C120,INPUT_DATA!$C:$C,"S"))</f>
        <v/>
      </c>
      <c r="G120" s="738" t="str">
        <f>IF($C120=0,"",SUMIFS(INPUT_DATA!AX:AX,INPUT_DATA!$A:$A,$C120,INPUT_DATA!$C:$C,"S"))</f>
        <v/>
      </c>
      <c r="H120" s="740" t="str">
        <f t="shared" si="10"/>
        <v/>
      </c>
      <c r="I120" s="738" t="str">
        <f>IF($C120=0,"",SUMIFS(INPUT_DATA!AZ:AZ,INPUT_DATA!$A:$A,$C120,INPUT_DATA!$C:$C,"S"))</f>
        <v/>
      </c>
      <c r="J120" s="738" t="str">
        <f>IF($C120=0,"",SUMIFS(INPUT_DATA!BA:BA,INPUT_DATA!$A:$A,$C120,INPUT_DATA!$C:$C,"S"))</f>
        <v/>
      </c>
      <c r="K120" s="738" t="str">
        <f>IF($C120=0,"",SUMIFS(INPUT_DATA!BB:BB,INPUT_DATA!$A:$A,$C120,INPUT_DATA!$C:$C,"S"))</f>
        <v/>
      </c>
      <c r="L120" s="738" t="str">
        <f>IF($C120=0,"",SUMIFS(INPUT_DATA!BC:BC,INPUT_DATA!$A:$A,$C120,INPUT_DATA!$C:$C,"S"))</f>
        <v/>
      </c>
      <c r="M120" s="738" t="str">
        <f>IF($C120=0,"",SUMIFS(INPUT_DATA!BD:BD,INPUT_DATA!$A:$A,$C120,INPUT_DATA!$C:$C,"S"))</f>
        <v/>
      </c>
      <c r="N120" s="738" t="str">
        <f>IF($C120=0,"",SUMIFS(INPUT_DATA!BE:BE,INPUT_DATA!$A:$A,$C120,INPUT_DATA!$C:$C,"S"))</f>
        <v/>
      </c>
      <c r="O120" s="738" t="str">
        <f>IF($C120=0,"",SUMIFS(INPUT_DATA!BF:BF,INPUT_DATA!$A:$A,$C120,INPUT_DATA!$C:$C,"S"))</f>
        <v/>
      </c>
      <c r="P120" s="738" t="str">
        <f>IF($C120=0,"",SUMIFS(INPUT_DATA!BG:BG,INPUT_DATA!$A:$A,$C120,INPUT_DATA!$C:$C,"S"))</f>
        <v/>
      </c>
      <c r="Q120" s="744" t="str">
        <f t="shared" si="15"/>
        <v/>
      </c>
      <c r="R120" s="746" t="str">
        <f>IF($C120=0,"",SUMIFS(INPUT_DATA!BI:BI,INPUT_DATA!$A:$A,$C120,INPUT_DATA!$C:$C,"S"))</f>
        <v/>
      </c>
      <c r="S120" s="746" t="str">
        <f>IF($C120=0,"",SUMIFS(INPUT_DATA!BJ:BJ,INPUT_DATA!$A:$A,$C120,INPUT_DATA!$C:$C,"S"))</f>
        <v/>
      </c>
      <c r="T120" s="744" t="str">
        <f t="shared" si="16"/>
        <v/>
      </c>
      <c r="U120" s="749" t="str">
        <f>IF($C120=0,"",SUMIFS(INPUT_DATA!BM:BM,INPUT_DATA!$A:$A,$C120,INPUT_DATA!$C:$C,"S"))</f>
        <v/>
      </c>
      <c r="V120" s="155" t="str">
        <f t="shared" si="11"/>
        <v/>
      </c>
      <c r="W120" s="149"/>
      <c r="X120" s="726" t="str">
        <f>IF($C120=0,"",SUMIFS(INPUT_DATA!AV:AV,INPUT_DATA!$A:$A,$C120,INPUT_DATA!$C:$C,"D"))</f>
        <v/>
      </c>
      <c r="Y120" s="738" t="str">
        <f>IF($C120=0,"",SUMIFS(INPUT_DATA!AW:AW,INPUT_DATA!$A:$A,$C120,INPUT_DATA!$C:$C,"D"))</f>
        <v/>
      </c>
      <c r="Z120" s="738" t="str">
        <f>IF($C120=0,"",SUMIFS(INPUT_DATA!AX:AX,INPUT_DATA!$A:$A,$C120,INPUT_DATA!$C:$C,"D"))</f>
        <v/>
      </c>
      <c r="AA120" s="739" t="str">
        <f t="shared" si="12"/>
        <v/>
      </c>
      <c r="AB120" s="738" t="str">
        <f>IF($C120=0,"",SUMIFS(INPUT_DATA!AZ:AZ,INPUT_DATA!$A:$A,$C120,INPUT_DATA!$C:$C,"D"))</f>
        <v/>
      </c>
      <c r="AC120" s="738" t="str">
        <f>IF($C120=0,"",SUMIFS(INPUT_DATA!BA:BA,INPUT_DATA!$A:$A,$C120,INPUT_DATA!$C:$C,"D"))</f>
        <v/>
      </c>
      <c r="AD120" s="738" t="str">
        <f>IF($C120=0,"",SUMIFS(INPUT_DATA!BB:BB,INPUT_DATA!$A:$A,$C120,INPUT_DATA!$C:$C,"D"))</f>
        <v/>
      </c>
      <c r="AE120" s="738" t="str">
        <f>IF($C120=0,"",SUMIFS(INPUT_DATA!BC:BC,INPUT_DATA!$A:$A,$C120,INPUT_DATA!$C:$C,"D"))</f>
        <v/>
      </c>
      <c r="AF120" s="738" t="str">
        <f>IF($C120=0,"",SUMIFS(INPUT_DATA!BD:BD,INPUT_DATA!$A:$A,$C120,INPUT_DATA!$C:$C,"D"))</f>
        <v/>
      </c>
      <c r="AG120" s="738" t="str">
        <f>IF($C120=0,"",SUMIFS(INPUT_DATA!BE:BE,INPUT_DATA!$A:$A,$C120,INPUT_DATA!$C:$C,"D"))</f>
        <v/>
      </c>
      <c r="AH120" s="738" t="str">
        <f>IF($C120=0,"",SUMIFS(INPUT_DATA!BF:BF,INPUT_DATA!$A:$A,$C120,INPUT_DATA!$C:$C,"D"))</f>
        <v/>
      </c>
      <c r="AI120" s="738" t="str">
        <f>IF($C120=0,"",SUMIFS(INPUT_DATA!BG:BG,INPUT_DATA!$A:$A,$C120,INPUT_DATA!$C:$C,"D"))</f>
        <v/>
      </c>
      <c r="AJ120" s="299" t="str">
        <f t="shared" si="13"/>
        <v/>
      </c>
      <c r="AK120" s="746" t="str">
        <f>IF($C120=0,"",SUMIFS(INPUT_DATA!BI:BI,INPUT_DATA!$A:$A,$C120,INPUT_DATA!$C:$C,"D"))</f>
        <v/>
      </c>
      <c r="AL120" s="746" t="str">
        <f>IF($C120=0,"",SUMIFS(INPUT_DATA!BJ:BJ,INPUT_DATA!$A:$A,$C120,INPUT_DATA!$C:$C,"D"))</f>
        <v/>
      </c>
      <c r="AM120" s="746" t="str">
        <f>IF($C120=0,"",SUMIFS(INPUT_DATA!BK:BK,INPUT_DATA!$A:$A,$C120,INPUT_DATA!$C:$C,"D"))</f>
        <v/>
      </c>
      <c r="AN120" s="744" t="str">
        <f t="shared" si="17"/>
        <v/>
      </c>
      <c r="AO120" s="749" t="str">
        <f>IF($C120=0,"",SUMIFS(INPUT_DATA!BM:BM,INPUT_DATA!$A:$A,$C120,INPUT_DATA!$C:$C,"D"))</f>
        <v/>
      </c>
      <c r="AP120" s="338" t="str">
        <f t="shared" si="18"/>
        <v/>
      </c>
      <c r="AQ120" s="149"/>
      <c r="AS120" s="338" t="str">
        <f t="shared" si="19"/>
        <v/>
      </c>
      <c r="AU120" s="361" t="str">
        <f>IF($C120=0,"",'03 - Monthly Asset Follow up'!F124+'03 - Monthly Asset Follow up'!G124-'03 - Monthly Asset Follow up'!V124+'03 - Monthly Asset Follow up'!Y124-H120)</f>
        <v/>
      </c>
      <c r="AV120" s="361" t="str">
        <f>IF($C120=0,"",'03 - Monthly Asset Follow up'!BE124+'03 - Monthly Asset Follow up'!BF124-'03 - Monthly Asset Follow up'!BU124+'03 - Monthly Asset Follow up'!BX124-AA120)</f>
        <v/>
      </c>
      <c r="AX120" s="154"/>
    </row>
    <row r="121" spans="2:50" ht="13.5" thickBot="1">
      <c r="B121" s="731" t="str">
        <f t="shared" si="14"/>
        <v/>
      </c>
      <c r="C121" s="734">
        <f>'03 - Monthly Asset Follow up'!B125</f>
        <v>0</v>
      </c>
      <c r="D121" s="149"/>
      <c r="E121" s="728" t="str">
        <f>IF($C121=0,"",SUMIFS(INPUT_DATA!AV:AV,INPUT_DATA!$A:$A,$C121,INPUT_DATA!$C:$C,"S"))</f>
        <v/>
      </c>
      <c r="F121" s="742" t="str">
        <f>IF($C121=0,"",SUMIFS(INPUT_DATA!AW:AW,INPUT_DATA!$A:$A,$C121,INPUT_DATA!$C:$C,"S"))</f>
        <v/>
      </c>
      <c r="G121" s="743" t="str">
        <f>IF($C121=0,"",SUMIFS(INPUT_DATA!AX:AX,INPUT_DATA!$A:$A,$C121,INPUT_DATA!$C:$C,"S"))</f>
        <v/>
      </c>
      <c r="H121" s="741" t="str">
        <f t="shared" si="10"/>
        <v/>
      </c>
      <c r="I121" s="742" t="str">
        <f>IF($C121=0,"",SUMIFS(INPUT_DATA!AZ:AZ,INPUT_DATA!$A:$A,$C121,INPUT_DATA!$C:$C,"S"))</f>
        <v/>
      </c>
      <c r="J121" s="742" t="str">
        <f>IF($C121=0,"",SUMIFS(INPUT_DATA!BA:BA,INPUT_DATA!$A:$A,$C121,INPUT_DATA!$C:$C,"S"))</f>
        <v/>
      </c>
      <c r="K121" s="742" t="str">
        <f>IF($C121=0,"",SUMIFS(INPUT_DATA!BB:BB,INPUT_DATA!$A:$A,$C121,INPUT_DATA!$C:$C,"S"))</f>
        <v/>
      </c>
      <c r="L121" s="742" t="str">
        <f>IF($C121=0,"",SUMIFS(INPUT_DATA!BC:BC,INPUT_DATA!$A:$A,$C121,INPUT_DATA!$C:$C,"S"))</f>
        <v/>
      </c>
      <c r="M121" s="742" t="str">
        <f>IF($C121=0,"",SUMIFS(INPUT_DATA!BD:BD,INPUT_DATA!$A:$A,$C121,INPUT_DATA!$C:$C,"S"))</f>
        <v/>
      </c>
      <c r="N121" s="742" t="str">
        <f>IF($C121=0,"",SUMIFS(INPUT_DATA!BE:BE,INPUT_DATA!$A:$A,$C121,INPUT_DATA!$C:$C,"S"))</f>
        <v/>
      </c>
      <c r="O121" s="742" t="str">
        <f>IF($C121=0,"",SUMIFS(INPUT_DATA!BF:BF,INPUT_DATA!$A:$A,$C121,INPUT_DATA!$C:$C,"S"))</f>
        <v/>
      </c>
      <c r="P121" s="742" t="str">
        <f>IF($C121=0,"",SUMIFS(INPUT_DATA!BG:BG,INPUT_DATA!$A:$A,$C121,INPUT_DATA!$C:$C,"S"))</f>
        <v/>
      </c>
      <c r="Q121" s="747" t="str">
        <f t="shared" si="15"/>
        <v/>
      </c>
      <c r="R121" s="746" t="str">
        <f>IF($C121=0,"",SUMIFS(INPUT_DATA!BI:BI,INPUT_DATA!$A:$A,$C121,INPUT_DATA!$C:$C,"S"))</f>
        <v/>
      </c>
      <c r="S121" s="746" t="str">
        <f>IF($C121=0,"",SUMIFS(INPUT_DATA!BJ:BJ,INPUT_DATA!$A:$A,$C121,INPUT_DATA!$C:$C,"S"))</f>
        <v/>
      </c>
      <c r="T121" s="744" t="str">
        <f t="shared" si="16"/>
        <v/>
      </c>
      <c r="U121" s="749" t="str">
        <f>IF($C121=0,"",SUMIFS(INPUT_DATA!BM:BM,INPUT_DATA!$A:$A,$C121,INPUT_DATA!$C:$C,"S"))</f>
        <v/>
      </c>
      <c r="V121" s="182" t="str">
        <f t="shared" si="11"/>
        <v/>
      </c>
      <c r="W121" s="149"/>
      <c r="X121" s="728" t="str">
        <f>IF($C121=0,"",SUMIFS(INPUT_DATA!AV:AV,INPUT_DATA!$A:$A,$C121,INPUT_DATA!$C:$C,"D"))</f>
        <v/>
      </c>
      <c r="Y121" s="742" t="str">
        <f>IF($C121=0,"",SUMIFS(INPUT_DATA!AW:AW,INPUT_DATA!$A:$A,$C121,INPUT_DATA!$C:$C,"D"))</f>
        <v/>
      </c>
      <c r="Z121" s="743" t="str">
        <f>IF($C121=0,"",SUMIFS(INPUT_DATA!AX:AX,INPUT_DATA!$A:$A,$C121,INPUT_DATA!$C:$C,"D"))</f>
        <v/>
      </c>
      <c r="AA121" s="751" t="str">
        <f t="shared" si="12"/>
        <v/>
      </c>
      <c r="AB121" s="742" t="str">
        <f>IF($C121=0,"",SUMIFS(INPUT_DATA!AZ:AZ,INPUT_DATA!$A:$A,$C121,INPUT_DATA!$C:$C,"D"))</f>
        <v/>
      </c>
      <c r="AC121" s="742" t="str">
        <f>IF($C121=0,"",SUMIFS(INPUT_DATA!BA:BA,INPUT_DATA!$A:$A,$C121,INPUT_DATA!$C:$C,"D"))</f>
        <v/>
      </c>
      <c r="AD121" s="742" t="str">
        <f>IF($C121=0,"",SUMIFS(INPUT_DATA!BB:BB,INPUT_DATA!$A:$A,$C121,INPUT_DATA!$C:$C,"D"))</f>
        <v/>
      </c>
      <c r="AE121" s="742" t="str">
        <f>IF($C121=0,"",SUMIFS(INPUT_DATA!BC:BC,INPUT_DATA!$A:$A,$C121,INPUT_DATA!$C:$C,"D"))</f>
        <v/>
      </c>
      <c r="AF121" s="742" t="str">
        <f>IF($C121=0,"",SUMIFS(INPUT_DATA!BD:BD,INPUT_DATA!$A:$A,$C121,INPUT_DATA!$C:$C,"D"))</f>
        <v/>
      </c>
      <c r="AG121" s="742" t="str">
        <f>IF($C121=0,"",SUMIFS(INPUT_DATA!BE:BE,INPUT_DATA!$A:$A,$C121,INPUT_DATA!$C:$C,"D"))</f>
        <v/>
      </c>
      <c r="AH121" s="742" t="str">
        <f>IF($C121=0,"",SUMIFS(INPUT_DATA!BF:BF,INPUT_DATA!$A:$A,$C121,INPUT_DATA!$C:$C,"D"))</f>
        <v/>
      </c>
      <c r="AI121" s="742" t="str">
        <f>IF($C121=0,"",SUMIFS(INPUT_DATA!BG:BG,INPUT_DATA!$A:$A,$C121,INPUT_DATA!$C:$C,"D"))</f>
        <v/>
      </c>
      <c r="AJ121" s="752" t="str">
        <f t="shared" si="13"/>
        <v/>
      </c>
      <c r="AK121" s="748" t="str">
        <f>IF($C121=0,"",SUMIFS(INPUT_DATA!BI:BI,INPUT_DATA!$A:$A,$C121,INPUT_DATA!$C:$C,"D"))</f>
        <v/>
      </c>
      <c r="AL121" s="748" t="str">
        <f>IF($C121=0,"",SUMIFS(INPUT_DATA!BJ:BJ,INPUT_DATA!$A:$A,$C121,INPUT_DATA!$C:$C,"D"))</f>
        <v/>
      </c>
      <c r="AM121" s="748" t="str">
        <f>IF($C121=0,"",SUMIFS(INPUT_DATA!BK:BK,INPUT_DATA!$A:$A,$C121,INPUT_DATA!$C:$C,"D"))</f>
        <v/>
      </c>
      <c r="AN121" s="747" t="str">
        <f t="shared" si="17"/>
        <v/>
      </c>
      <c r="AO121" s="750" t="str">
        <f>IF($C121=0,"",SUMIFS(INPUT_DATA!BM:BM,INPUT_DATA!$A:$A,$C121,INPUT_DATA!$C:$C,"D"))</f>
        <v/>
      </c>
      <c r="AP121" s="753" t="str">
        <f t="shared" si="18"/>
        <v/>
      </c>
      <c r="AQ121" s="149"/>
      <c r="AS121" s="753" t="str">
        <f t="shared" si="19"/>
        <v/>
      </c>
      <c r="AU121" s="754" t="str">
        <f>IF($C121=0,"",'03 - Monthly Asset Follow up'!F125+'03 - Monthly Asset Follow up'!G125-'03 - Monthly Asset Follow up'!V125+'03 - Monthly Asset Follow up'!Y125-H121)</f>
        <v/>
      </c>
      <c r="AV121" s="361" t="str">
        <f>IF($C121=0,"",'03 - Monthly Asset Follow up'!BE125+'03 - Monthly Asset Follow up'!BF125-'03 - Monthly Asset Follow up'!BU125+'03 - Monthly Asset Follow up'!BX125-AA121)</f>
        <v/>
      </c>
      <c r="AX121" s="181"/>
    </row>
  </sheetData>
  <conditionalFormatting sqref="B14:C121">
    <cfRule type="cellIs" dxfId="52"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G4" sqref="G4"/>
    </sheetView>
  </sheetViews>
  <sheetFormatPr defaultColWidth="10.85546875" defaultRowHeight="15"/>
  <cols>
    <col min="1" max="1" width="4.42578125" style="380" customWidth="1"/>
    <col min="2" max="4" width="23" style="380" customWidth="1"/>
    <col min="5" max="6" width="29.5703125" style="380" customWidth="1"/>
    <col min="7" max="7" width="17.5703125" style="380" customWidth="1"/>
    <col min="8" max="16384" width="10.85546875" style="380"/>
  </cols>
  <sheetData>
    <row r="1" spans="1:10">
      <c r="A1" s="104"/>
      <c r="B1" s="104"/>
      <c r="C1" s="104"/>
      <c r="D1" s="104"/>
      <c r="E1" s="104"/>
      <c r="F1" s="104"/>
      <c r="G1" s="104"/>
      <c r="H1" s="104"/>
      <c r="I1" s="104"/>
      <c r="J1" s="104"/>
    </row>
    <row r="2" spans="1:10">
      <c r="A2" s="104"/>
      <c r="B2" s="106"/>
      <c r="C2" s="106"/>
      <c r="D2" s="106"/>
      <c r="E2" s="106"/>
      <c r="F2" s="106"/>
      <c r="G2" s="106"/>
      <c r="H2" s="106"/>
      <c r="I2" s="106"/>
      <c r="J2" s="106"/>
    </row>
    <row r="3" spans="1:10" ht="14.45" customHeight="1">
      <c r="A3" s="104"/>
      <c r="B3" s="106"/>
      <c r="C3" s="106"/>
      <c r="D3" s="106"/>
      <c r="E3" s="106"/>
      <c r="F3" s="101" t="s">
        <v>132</v>
      </c>
      <c r="G3" s="101">
        <f>'00 - Cover'!F13</f>
        <v>46203</v>
      </c>
      <c r="H3" s="106"/>
      <c r="I3" s="105"/>
      <c r="J3" s="105"/>
    </row>
    <row r="4" spans="1:10" ht="14.45" customHeight="1">
      <c r="A4" s="104"/>
      <c r="B4" s="106"/>
      <c r="C4" s="106"/>
      <c r="D4" s="106"/>
      <c r="E4" s="106"/>
      <c r="F4" s="101" t="s">
        <v>651</v>
      </c>
      <c r="G4" s="101">
        <f>'00 - Cover'!$F$14</f>
        <v>46219</v>
      </c>
      <c r="H4" s="106"/>
      <c r="I4" s="105"/>
      <c r="J4" s="105"/>
    </row>
    <row r="5" spans="1:10" ht="14.45" customHeight="1">
      <c r="A5" s="104"/>
      <c r="B5" s="106"/>
      <c r="C5" s="106"/>
      <c r="D5" s="106"/>
      <c r="E5" s="106"/>
      <c r="F5" s="101" t="s">
        <v>92</v>
      </c>
      <c r="G5" s="101">
        <f>'00 - Cover'!$F$15</f>
        <v>46224</v>
      </c>
      <c r="H5" s="106"/>
      <c r="I5" s="105"/>
      <c r="J5" s="105"/>
    </row>
    <row r="6" spans="1:10" ht="14.45" customHeight="1">
      <c r="A6" s="104"/>
      <c r="B6" s="106"/>
      <c r="C6" s="106"/>
      <c r="D6" s="106"/>
      <c r="E6" s="106"/>
      <c r="F6" s="101" t="s">
        <v>85</v>
      </c>
      <c r="G6" s="101">
        <f>'00 - Cover'!$F$16</f>
        <v>46230</v>
      </c>
      <c r="H6" s="106"/>
      <c r="I6" s="106"/>
      <c r="J6" s="106"/>
    </row>
    <row r="7" spans="1:10">
      <c r="A7" s="104"/>
      <c r="B7" s="106"/>
      <c r="C7" s="106"/>
      <c r="D7" s="106"/>
      <c r="E7" s="106"/>
      <c r="F7" s="106"/>
      <c r="G7" s="106"/>
      <c r="H7" s="106"/>
      <c r="I7" s="106"/>
      <c r="J7" s="106"/>
    </row>
    <row r="8" spans="1:10">
      <c r="A8" s="379"/>
    </row>
    <row r="9" spans="1:10" ht="18" customHeight="1">
      <c r="B9" s="634" t="s">
        <v>556</v>
      </c>
      <c r="C9" s="600"/>
      <c r="D9" s="601"/>
      <c r="E9" s="602"/>
      <c r="F9" s="603"/>
    </row>
    <row r="11" spans="1:10" ht="63.6" customHeight="1">
      <c r="A11" s="396"/>
      <c r="B11" s="599" t="s">
        <v>93</v>
      </c>
      <c r="C11" s="566" t="s">
        <v>685</v>
      </c>
      <c r="D11" s="566" t="s">
        <v>686</v>
      </c>
      <c r="E11" s="599" t="s">
        <v>877</v>
      </c>
      <c r="F11" s="599" t="s">
        <v>878</v>
      </c>
    </row>
    <row r="12" spans="1:10">
      <c r="A12" s="396"/>
      <c r="B12" s="756">
        <f>'03 - Monthly Asset Follow up'!B17</f>
        <v>46203</v>
      </c>
      <c r="C12" s="759">
        <f>IF(OR(B12=0,F12=""),"",MAX(D12:D23))</f>
        <v>4.1040012864360592E-3</v>
      </c>
      <c r="D12" s="759">
        <f>IF(OR(B12=0,F12=""),"",E12/F12)</f>
        <v>2.2612276605801325E-3</v>
      </c>
      <c r="E12" s="401">
        <f>IF(B12=0,"",'03 - Monthly Asset Follow up'!G17)</f>
        <v>1686366.88</v>
      </c>
      <c r="F12" s="400">
        <f>IF(B12=0,"",'03 - Monthly Asset Follow up'!Q18)</f>
        <v>745774921.02999997</v>
      </c>
    </row>
    <row r="13" spans="1:10">
      <c r="A13" s="396"/>
      <c r="B13" s="755">
        <f>'03 - Monthly Asset Follow up'!B18</f>
        <v>46173</v>
      </c>
      <c r="C13" s="760">
        <f>IF(OR(B13=0,F13=""),"",MAX(D13:D24))</f>
        <v>4.1040012864360592E-3</v>
      </c>
      <c r="D13" s="760">
        <f t="shared" ref="D13:D72" si="0">IF(OR(B13=0,F13=""),"",E13/F13)</f>
        <v>3.843299149934453E-3</v>
      </c>
      <c r="E13" s="757">
        <f>IF(B13=0,"",'03 - Monthly Asset Follow up'!G18)</f>
        <v>2896329.51</v>
      </c>
      <c r="F13" s="758">
        <f>IF(B13=0,"",'03 - Monthly Asset Follow up'!Q19)</f>
        <v>753605014.07999849</v>
      </c>
    </row>
    <row r="14" spans="1:10">
      <c r="A14" s="396"/>
      <c r="B14" s="755">
        <f>'03 - Monthly Asset Follow up'!B19</f>
        <v>46142</v>
      </c>
      <c r="C14" s="760">
        <f t="shared" ref="C14:C72" si="1">IF(OR(B14=0,F14=""),"",MAX(D14:D25))</f>
        <v>4.1040012864360592E-3</v>
      </c>
      <c r="D14" s="760">
        <f t="shared" si="0"/>
        <v>1.112144271028461E-3</v>
      </c>
      <c r="E14" s="757">
        <f>IF(B14=0,"",'03 - Monthly Asset Follow up'!G19)</f>
        <v>843973.88000000012</v>
      </c>
      <c r="F14" s="758">
        <f>IF(B14=0,"",'03 - Monthly Asset Follow up'!Q20)</f>
        <v>758870860.5400008</v>
      </c>
    </row>
    <row r="15" spans="1:10">
      <c r="B15" s="755">
        <f>'03 - Monthly Asset Follow up'!B20</f>
        <v>46112</v>
      </c>
      <c r="C15" s="760">
        <f t="shared" si="1"/>
        <v>4.1040012864360592E-3</v>
      </c>
      <c r="D15" s="760">
        <f t="shared" si="0"/>
        <v>2.5800500011172755E-3</v>
      </c>
      <c r="E15" s="757">
        <f>IF(B15=0,"",'03 - Monthly Asset Follow up'!G20)</f>
        <v>1918641.2699999998</v>
      </c>
      <c r="F15" s="758">
        <f>IF(B15=0,"",'03 - Monthly Asset Follow up'!Q21)</f>
        <v>743644994.92999887</v>
      </c>
    </row>
    <row r="16" spans="1:10">
      <c r="B16" s="755">
        <f>'03 - Monthly Asset Follow up'!B21</f>
        <v>46081</v>
      </c>
      <c r="C16" s="760">
        <f t="shared" si="1"/>
        <v>4.1040012864360592E-3</v>
      </c>
      <c r="D16" s="760">
        <f t="shared" si="0"/>
        <v>8.3448253451014621E-4</v>
      </c>
      <c r="E16" s="757">
        <f>IF(B16=0,"",'03 - Monthly Asset Follow up'!G21)</f>
        <v>625313.35000000009</v>
      </c>
      <c r="F16" s="758">
        <f>IF(B16=0,"",'03 - Monthly Asset Follow up'!Q22)</f>
        <v>749342645.46000171</v>
      </c>
    </row>
    <row r="17" spans="2:6">
      <c r="B17" s="755">
        <f>'03 - Monthly Asset Follow up'!B22</f>
        <v>46053</v>
      </c>
      <c r="C17" s="760">
        <f t="shared" si="1"/>
        <v>4.1040012864360592E-3</v>
      </c>
      <c r="D17" s="760">
        <f t="shared" si="0"/>
        <v>2.0173781885865945E-3</v>
      </c>
      <c r="E17" s="757">
        <f>IF(B17=0,"",'03 - Monthly Asset Follow up'!G22)</f>
        <v>1524250.5</v>
      </c>
      <c r="F17" s="758">
        <f>IF(B17=0,"",'03 - Monthly Asset Follow up'!Q23)</f>
        <v>755560116.90000117</v>
      </c>
    </row>
    <row r="18" spans="2:6">
      <c r="B18" s="755">
        <f>'03 - Monthly Asset Follow up'!B23</f>
        <v>46022</v>
      </c>
      <c r="C18" s="760">
        <f t="shared" si="1"/>
        <v>4.1040012864360592E-3</v>
      </c>
      <c r="D18" s="760">
        <f t="shared" si="0"/>
        <v>4.1040012864360592E-3</v>
      </c>
      <c r="E18" s="757">
        <f>IF(B18=0,"",'03 - Monthly Asset Follow up'!G23)</f>
        <v>3056146.9900000007</v>
      </c>
      <c r="F18" s="758">
        <f>IF(B18=0,"",'03 - Monthly Asset Follow up'!Q24)</f>
        <v>744674959.07000017</v>
      </c>
    </row>
    <row r="19" spans="2:6">
      <c r="B19" s="755">
        <f>'03 - Monthly Asset Follow up'!B24</f>
        <v>45991</v>
      </c>
      <c r="C19" s="760">
        <f t="shared" si="1"/>
        <v>2.9357915373464587E-3</v>
      </c>
      <c r="D19" s="760">
        <f t="shared" si="0"/>
        <v>1.3519070483533891E-3</v>
      </c>
      <c r="E19" s="757">
        <f>IF(B19=0,"",'03 - Monthly Asset Follow up'!G24)</f>
        <v>1014185.5799999998</v>
      </c>
      <c r="F19" s="758">
        <f>IF(B19=0,"",'03 - Monthly Asset Follow up'!Q25)</f>
        <v>750188839.71000004</v>
      </c>
    </row>
    <row r="20" spans="2:6">
      <c r="B20" s="755">
        <f>'03 - Monthly Asset Follow up'!B25</f>
        <v>45961</v>
      </c>
      <c r="C20" s="760">
        <f t="shared" si="1"/>
        <v>2.9357915373464587E-3</v>
      </c>
      <c r="D20" s="760">
        <f t="shared" si="0"/>
        <v>1.6009852271531735E-3</v>
      </c>
      <c r="E20" s="757">
        <f>IF(B20=0,"",'03 - Monthly Asset Follow up'!G25)</f>
        <v>1209634.6200000001</v>
      </c>
      <c r="F20" s="758">
        <f>IF(B20=0,"",'03 - Monthly Asset Follow up'!Q26)</f>
        <v>755556390.8300004</v>
      </c>
    </row>
    <row r="21" spans="2:6">
      <c r="B21" s="755">
        <f>'03 - Monthly Asset Follow up'!B26</f>
        <v>45930</v>
      </c>
      <c r="C21" s="760">
        <f t="shared" si="1"/>
        <v>2.9357915373464587E-3</v>
      </c>
      <c r="D21" s="760">
        <f t="shared" si="0"/>
        <v>1.6190097591957297E-3</v>
      </c>
      <c r="E21" s="757">
        <f>IF(B21=0,"",'03 - Monthly Asset Follow up'!G26)</f>
        <v>1206284.69</v>
      </c>
      <c r="F21" s="758">
        <f>IF(B21=0,"",'03 - Monthly Asset Follow up'!Q27)</f>
        <v>745075613.75000119</v>
      </c>
    </row>
    <row r="22" spans="2:6">
      <c r="B22" s="755">
        <f>'03 - Monthly Asset Follow up'!B27</f>
        <v>45900</v>
      </c>
      <c r="C22" s="760">
        <f t="shared" si="1"/>
        <v>2.9357915373464587E-3</v>
      </c>
      <c r="D22" s="760">
        <f t="shared" si="0"/>
        <v>1.5704199630022545E-3</v>
      </c>
      <c r="E22" s="757">
        <f>IF(B22=0,"",'03 - Monthly Asset Follow up'!G27)</f>
        <v>1179293.54</v>
      </c>
      <c r="F22" s="758">
        <f>IF(B22=0,"",'03 - Monthly Asset Follow up'!Q28)</f>
        <v>750941511.05000126</v>
      </c>
    </row>
    <row r="23" spans="2:6">
      <c r="B23" s="755">
        <f>'03 - Monthly Asset Follow up'!B28</f>
        <v>45869</v>
      </c>
      <c r="C23" s="760">
        <f t="shared" si="1"/>
        <v>2.9357915373464587E-3</v>
      </c>
      <c r="D23" s="760">
        <f t="shared" si="0"/>
        <v>1.9423812794037135E-3</v>
      </c>
      <c r="E23" s="757">
        <f>IF(B23=0,"",'03 - Monthly Asset Follow up'!G28)</f>
        <v>1470425.3499999999</v>
      </c>
      <c r="F23" s="758">
        <f>IF(B23=0,"",'03 - Monthly Asset Follow up'!Q29)</f>
        <v>757021994.39000046</v>
      </c>
    </row>
    <row r="24" spans="2:6">
      <c r="B24" s="755">
        <f>'03 - Monthly Asset Follow up'!B29</f>
        <v>45838</v>
      </c>
      <c r="C24" s="760">
        <f t="shared" si="1"/>
        <v>2.9357915373464587E-3</v>
      </c>
      <c r="D24" s="760">
        <f t="shared" si="0"/>
        <v>1.8403563837065219E-3</v>
      </c>
      <c r="E24" s="757">
        <f>IF(B24=0,"",'03 - Monthly Asset Follow up'!G29)</f>
        <v>1167911.44</v>
      </c>
      <c r="F24" s="758">
        <f>IF(B24=0,"",'03 - Monthly Asset Follow up'!Q30)</f>
        <v>634611562.37999856</v>
      </c>
    </row>
    <row r="25" spans="2:6">
      <c r="B25" s="755">
        <f>'03 - Monthly Asset Follow up'!B30</f>
        <v>45808</v>
      </c>
      <c r="C25" s="760">
        <f t="shared" si="1"/>
        <v>2.9357915373464587E-3</v>
      </c>
      <c r="D25" s="760">
        <f t="shared" si="0"/>
        <v>7.5307655417950273E-4</v>
      </c>
      <c r="E25" s="757">
        <f>IF(B25=0,"",'03 - Monthly Asset Follow up'!G30)</f>
        <v>482114.58999999997</v>
      </c>
      <c r="F25" s="758">
        <f>IF(B25=0,"",'03 - Monthly Asset Follow up'!Q31)</f>
        <v>640193334.03000021</v>
      </c>
    </row>
    <row r="26" spans="2:6">
      <c r="B26" s="755">
        <f>'03 - Monthly Asset Follow up'!B31</f>
        <v>45777</v>
      </c>
      <c r="C26" s="760">
        <f t="shared" si="1"/>
        <v>2.9357915373464587E-3</v>
      </c>
      <c r="D26" s="760">
        <f t="shared" si="0"/>
        <v>1.5192184761358158E-3</v>
      </c>
      <c r="E26" s="757">
        <f>IF(B26=0,"",'03 - Monthly Asset Follow up'!G31)</f>
        <v>981192.52999999991</v>
      </c>
      <c r="F26" s="758">
        <f>IF(B26=0,"",'03 - Monthly Asset Follow up'!Q32)</f>
        <v>645853473.62000012</v>
      </c>
    </row>
    <row r="27" spans="2:6">
      <c r="B27" s="755">
        <f>'03 - Monthly Asset Follow up'!B32</f>
        <v>45747</v>
      </c>
      <c r="C27" s="760">
        <f t="shared" si="1"/>
        <v>2.9357915373464587E-3</v>
      </c>
      <c r="D27" s="760">
        <f t="shared" si="0"/>
        <v>2.9357915373464587E-3</v>
      </c>
      <c r="E27" s="757">
        <f>IF(B27=0,"",'03 - Monthly Asset Follow up'!G32)</f>
        <v>1914870.19</v>
      </c>
      <c r="F27" s="758">
        <f>IF(B27=0,"",'03 - Monthly Asset Follow up'!Q33)</f>
        <v>652250054.41999888</v>
      </c>
    </row>
    <row r="28" spans="2:6">
      <c r="B28" s="755">
        <f>'03 - Monthly Asset Follow up'!B33</f>
        <v>45716</v>
      </c>
      <c r="C28" s="760">
        <f t="shared" si="1"/>
        <v>2.8812224963535708E-3</v>
      </c>
      <c r="D28" s="760">
        <f t="shared" si="0"/>
        <v>8.9912268568924933E-4</v>
      </c>
      <c r="E28" s="757">
        <f>IF(B28=0,"",'03 - Monthly Asset Follow up'!G33)</f>
        <v>591214.62</v>
      </c>
      <c r="F28" s="758">
        <f>IF(B28=0,"",'03 - Monthly Asset Follow up'!Q34)</f>
        <v>657546105.12000012</v>
      </c>
    </row>
    <row r="29" spans="2:6">
      <c r="B29" s="755">
        <f>'03 - Monthly Asset Follow up'!B34</f>
        <v>45688</v>
      </c>
      <c r="C29" s="760">
        <f t="shared" si="1"/>
        <v>5.0177773501827901E-3</v>
      </c>
      <c r="D29" s="760">
        <f t="shared" si="0"/>
        <v>1.8001469337966987E-3</v>
      </c>
      <c r="E29" s="757">
        <f>IF(B29=0,"",'03 - Monthly Asset Follow up'!G34)</f>
        <v>1194425.79</v>
      </c>
      <c r="F29" s="758">
        <f>IF(B29=0,"",'03 - Monthly Asset Follow up'!Q35)</f>
        <v>663515720.62</v>
      </c>
    </row>
    <row r="30" spans="2:6">
      <c r="B30" s="755">
        <f>'03 - Monthly Asset Follow up'!B35</f>
        <v>45657</v>
      </c>
      <c r="C30" s="760">
        <f t="shared" si="1"/>
        <v>5.0177773501827901E-3</v>
      </c>
      <c r="D30" s="760">
        <f t="shared" si="0"/>
        <v>1.4676784149386525E-3</v>
      </c>
      <c r="E30" s="757">
        <f>IF(B30=0,"",'03 - Monthly Asset Follow up'!G35)</f>
        <v>982640.81</v>
      </c>
      <c r="F30" s="758">
        <f>IF(B30=0,"",'03 - Monthly Asset Follow up'!Q36)</f>
        <v>669520516.2099992</v>
      </c>
    </row>
    <row r="31" spans="2:6">
      <c r="B31" s="755">
        <f>'03 - Monthly Asset Follow up'!B36</f>
        <v>45626</v>
      </c>
      <c r="C31" s="760">
        <f t="shared" si="1"/>
        <v>5.0177773501827901E-3</v>
      </c>
      <c r="D31" s="760">
        <f t="shared" si="0"/>
        <v>7.0986524482642721E-4</v>
      </c>
      <c r="E31" s="757">
        <f>IF(B31=0,"",'03 - Monthly Asset Follow up'!G36)</f>
        <v>479363.94000000006</v>
      </c>
      <c r="F31" s="758">
        <f>IF(B31=0,"",'03 - Monthly Asset Follow up'!Q37)</f>
        <v>675288645.96999931</v>
      </c>
    </row>
    <row r="32" spans="2:6">
      <c r="B32" s="755">
        <f>'03 - Monthly Asset Follow up'!B37</f>
        <v>45596</v>
      </c>
      <c r="C32" s="760">
        <f t="shared" si="1"/>
        <v>5.0177773501827901E-3</v>
      </c>
      <c r="D32" s="760">
        <f t="shared" si="0"/>
        <v>1.2413334558627497E-3</v>
      </c>
      <c r="E32" s="757">
        <f>IF(B32=0,"",'03 - Monthly Asset Follow up'!G37)</f>
        <v>847789.26</v>
      </c>
      <c r="F32" s="758">
        <f>IF(B32=0,"",'03 - Monthly Asset Follow up'!Q38)</f>
        <v>682966575.97999787</v>
      </c>
    </row>
    <row r="33" spans="2:6">
      <c r="B33" s="755">
        <f>'03 - Monthly Asset Follow up'!B38</f>
        <v>45565</v>
      </c>
      <c r="C33" s="760">
        <f t="shared" si="1"/>
        <v>5.0177773501827901E-3</v>
      </c>
      <c r="D33" s="760">
        <f t="shared" si="0"/>
        <v>1.1707526393398703E-3</v>
      </c>
      <c r="E33" s="757">
        <f>IF(B33=0,"",'03 - Monthly Asset Follow up'!G38)</f>
        <v>806173.41</v>
      </c>
      <c r="F33" s="758">
        <f>IF(B33=0,"",'03 - Monthly Asset Follow up'!Q39)</f>
        <v>688594142.69999981</v>
      </c>
    </row>
    <row r="34" spans="2:6">
      <c r="B34" s="755">
        <f>'03 - Monthly Asset Follow up'!B39</f>
        <v>45535</v>
      </c>
      <c r="C34" s="760">
        <f t="shared" si="1"/>
        <v>5.0177773501827901E-3</v>
      </c>
      <c r="D34" s="760">
        <f t="shared" si="0"/>
        <v>2.8812224963535708E-3</v>
      </c>
      <c r="E34" s="757">
        <f>IF(B34=0,"",'03 - Monthly Asset Follow up'!G39)</f>
        <v>2003699.8000000003</v>
      </c>
      <c r="F34" s="758">
        <f>IF(B34=0,"",'03 - Monthly Asset Follow up'!Q40)</f>
        <v>695433900.90000021</v>
      </c>
    </row>
    <row r="35" spans="2:6">
      <c r="B35" s="755">
        <f>'03 - Monthly Asset Follow up'!B40</f>
        <v>45504</v>
      </c>
      <c r="C35" s="760">
        <f t="shared" si="1"/>
        <v>5.0177773501827901E-3</v>
      </c>
      <c r="D35" s="760">
        <f t="shared" si="0"/>
        <v>1.3084254321757099E-3</v>
      </c>
      <c r="E35" s="757">
        <f>IF(B35=0,"",'03 - Monthly Asset Follow up'!G40)</f>
        <v>917582.09000000008</v>
      </c>
      <c r="F35" s="758">
        <f>IF(B35=0,"",'03 - Monthly Asset Follow up'!Q41)</f>
        <v>701287262.86999977</v>
      </c>
    </row>
    <row r="36" spans="2:6">
      <c r="B36" s="755">
        <f>'03 - Monthly Asset Follow up'!B41</f>
        <v>45473</v>
      </c>
      <c r="C36" s="760">
        <f t="shared" si="1"/>
        <v>5.0177773501827901E-3</v>
      </c>
      <c r="D36" s="760">
        <f t="shared" si="0"/>
        <v>9.4456121676121402E-4</v>
      </c>
      <c r="E36" s="757">
        <f>IF(B36=0,"",'03 - Monthly Asset Follow up'!G41)</f>
        <v>667655.79</v>
      </c>
      <c r="F36" s="758">
        <f>IF(B36=0,"",'03 - Monthly Asset Follow up'!Q42)</f>
        <v>706842265.12000024</v>
      </c>
    </row>
    <row r="37" spans="2:6">
      <c r="B37" s="755">
        <f>'03 - Monthly Asset Follow up'!B42</f>
        <v>45443</v>
      </c>
      <c r="C37" s="760">
        <f t="shared" si="1"/>
        <v>5.0177773501827901E-3</v>
      </c>
      <c r="D37" s="760">
        <f t="shared" si="0"/>
        <v>8.1693512277940174E-4</v>
      </c>
      <c r="E37" s="757">
        <f>IF(B37=0,"",'03 - Monthly Asset Follow up'!G42)</f>
        <v>581914.99</v>
      </c>
      <c r="F37" s="758">
        <f>IF(B37=0,"",'03 - Monthly Asset Follow up'!Q43)</f>
        <v>712314813.96000087</v>
      </c>
    </row>
    <row r="38" spans="2:6">
      <c r="B38" s="755">
        <f>'03 - Monthly Asset Follow up'!B43</f>
        <v>45412</v>
      </c>
      <c r="C38" s="760">
        <f t="shared" si="1"/>
        <v>5.0177773501827901E-3</v>
      </c>
      <c r="D38" s="760">
        <f t="shared" si="0"/>
        <v>7.181915862556963E-4</v>
      </c>
      <c r="E38" s="757">
        <f>IF(B38=0,"",'03 - Monthly Asset Follow up'!G43)</f>
        <v>515506.72</v>
      </c>
      <c r="F38" s="758">
        <f>IF(B38=0,"",'03 - Monthly Asset Follow up'!Q44)</f>
        <v>717784404.41999996</v>
      </c>
    </row>
    <row r="39" spans="2:6">
      <c r="B39" s="755">
        <f>'03 - Monthly Asset Follow up'!B44</f>
        <v>45382</v>
      </c>
      <c r="C39" s="760">
        <f t="shared" si="1"/>
        <v>5.0177773501827901E-3</v>
      </c>
      <c r="D39" s="760">
        <f t="shared" si="0"/>
        <v>1.8944064172423847E-3</v>
      </c>
      <c r="E39" s="757">
        <f>IF(B39=0,"",'03 - Monthly Asset Follow up'!G44)</f>
        <v>1371710.64</v>
      </c>
      <c r="F39" s="758">
        <f>IF(B39=0,"",'03 - Monthly Asset Follow up'!Q45)</f>
        <v>724084667.11000001</v>
      </c>
    </row>
    <row r="40" spans="2:6">
      <c r="B40" s="755">
        <f>'03 - Monthly Asset Follow up'!B45</f>
        <v>45351</v>
      </c>
      <c r="C40" s="760">
        <f t="shared" si="1"/>
        <v>5.0177773501827901E-3</v>
      </c>
      <c r="D40" s="760">
        <f t="shared" si="0"/>
        <v>5.0177773501827901E-3</v>
      </c>
      <c r="E40" s="757">
        <f>IF(B40=0,"",'03 - Monthly Asset Follow up'!G45)</f>
        <v>3676512.91</v>
      </c>
      <c r="F40" s="758">
        <f>IF(B40=0,"",'03 - Monthly Asset Follow up'!Q46)</f>
        <v>732697498</v>
      </c>
    </row>
    <row r="41" spans="2:6">
      <c r="B41" s="755">
        <f>'03 - Monthly Asset Follow up'!B46</f>
        <v>45322</v>
      </c>
      <c r="C41" s="760">
        <f t="shared" si="1"/>
        <v>2.0110449893448283E-3</v>
      </c>
      <c r="D41" s="760">
        <f t="shared" si="0"/>
        <v>2.0110449893448283E-3</v>
      </c>
      <c r="E41" s="757">
        <f>IF(B41=0,"",'03 - Monthly Asset Follow up'!G46)</f>
        <v>1486537.02</v>
      </c>
      <c r="F41" s="758">
        <f>IF(B41=0,"",'03 - Monthly Asset Follow up'!Q47)</f>
        <v>739186357.27999997</v>
      </c>
    </row>
    <row r="42" spans="2:6">
      <c r="B42" s="755">
        <f>'03 - Monthly Asset Follow up'!B47</f>
        <v>45291</v>
      </c>
      <c r="C42" s="760">
        <f t="shared" si="1"/>
        <v>1.7111986065626074E-3</v>
      </c>
      <c r="D42" s="760">
        <f t="shared" si="0"/>
        <v>8.2723997605679985E-4</v>
      </c>
      <c r="E42" s="757">
        <f>IF(B42=0,"",'03 - Monthly Asset Follow up'!G47)</f>
        <v>616128.16</v>
      </c>
      <c r="F42" s="758">
        <f>IF(B42=0,"",'03 - Monthly Asset Follow up'!Q48)</f>
        <v>744799789.46000004</v>
      </c>
    </row>
    <row r="43" spans="2:6">
      <c r="B43" s="755">
        <f>'03 - Monthly Asset Follow up'!B48</f>
        <v>45260</v>
      </c>
      <c r="C43" s="760">
        <f t="shared" si="1"/>
        <v>1.7111986065626074E-3</v>
      </c>
      <c r="D43" s="760">
        <f t="shared" si="0"/>
        <v>1.7111986065626074E-3</v>
      </c>
      <c r="E43" s="757">
        <f>IF(B43=0,"",'03 - Monthly Asset Follow up'!G48)</f>
        <v>1285255.6299999999</v>
      </c>
      <c r="F43" s="758">
        <f>IF(B43=0,"",'03 - Monthly Asset Follow up'!Q49)</f>
        <v>751085014.37</v>
      </c>
    </row>
    <row r="44" spans="2:6">
      <c r="B44" s="755">
        <f>'03 - Monthly Asset Follow up'!B49</f>
        <v>45230</v>
      </c>
      <c r="C44" s="760" t="str">
        <f t="shared" si="1"/>
        <v/>
      </c>
      <c r="D44" s="760" t="str">
        <f t="shared" si="0"/>
        <v/>
      </c>
      <c r="E44" s="757">
        <f>IF(B44=0,"",'03 - Monthly Asset Follow up'!G49)</f>
        <v>0</v>
      </c>
      <c r="F44" s="758" t="str">
        <f>IF(B44=0,"",'03 - Monthly Asset Follow up'!Q50)</f>
        <v/>
      </c>
    </row>
    <row r="45" spans="2:6">
      <c r="B45" s="755">
        <f>'03 - Monthly Asset Follow up'!B50</f>
        <v>0</v>
      </c>
      <c r="C45" s="760" t="str">
        <f t="shared" si="1"/>
        <v/>
      </c>
      <c r="D45" s="760" t="str">
        <f t="shared" si="0"/>
        <v/>
      </c>
      <c r="E45" s="757" t="str">
        <f>IF(B45=0,"",'03 - Monthly Asset Follow up'!G50)</f>
        <v/>
      </c>
      <c r="F45" s="758" t="str">
        <f>IF(B45=0,"",'03 - Monthly Asset Follow up'!Q51)</f>
        <v/>
      </c>
    </row>
    <row r="46" spans="2:6">
      <c r="B46" s="755">
        <f>'03 - Monthly Asset Follow up'!B51</f>
        <v>0</v>
      </c>
      <c r="C46" s="760" t="str">
        <f t="shared" si="1"/>
        <v/>
      </c>
      <c r="D46" s="760" t="str">
        <f t="shared" si="0"/>
        <v/>
      </c>
      <c r="E46" s="757" t="str">
        <f>IF(B46=0,"",'03 - Monthly Asset Follow up'!G51)</f>
        <v/>
      </c>
      <c r="F46" s="758" t="str">
        <f>IF(B46=0,"",'03 - Monthly Asset Follow up'!Q52)</f>
        <v/>
      </c>
    </row>
    <row r="47" spans="2:6">
      <c r="B47" s="755">
        <f>'03 - Monthly Asset Follow up'!B52</f>
        <v>0</v>
      </c>
      <c r="C47" s="760" t="str">
        <f t="shared" si="1"/>
        <v/>
      </c>
      <c r="D47" s="760" t="str">
        <f t="shared" si="0"/>
        <v/>
      </c>
      <c r="E47" s="757" t="str">
        <f>IF(B47=0,"",'03 - Monthly Asset Follow up'!G52)</f>
        <v/>
      </c>
      <c r="F47" s="758" t="str">
        <f>IF(B47=0,"",'03 - Monthly Asset Follow up'!Q53)</f>
        <v/>
      </c>
    </row>
    <row r="48" spans="2:6">
      <c r="B48" s="755">
        <f>'03 - Monthly Asset Follow up'!B53</f>
        <v>0</v>
      </c>
      <c r="C48" s="760" t="str">
        <f t="shared" si="1"/>
        <v/>
      </c>
      <c r="D48" s="760" t="str">
        <f t="shared" si="0"/>
        <v/>
      </c>
      <c r="E48" s="757" t="str">
        <f>IF(B48=0,"",'03 - Monthly Asset Follow up'!G53)</f>
        <v/>
      </c>
      <c r="F48" s="758" t="str">
        <f>IF(B48=0,"",'03 - Monthly Asset Follow up'!Q54)</f>
        <v/>
      </c>
    </row>
    <row r="49" spans="2:6">
      <c r="B49" s="755">
        <f>'03 - Monthly Asset Follow up'!B54</f>
        <v>0</v>
      </c>
      <c r="C49" s="760" t="str">
        <f t="shared" si="1"/>
        <v/>
      </c>
      <c r="D49" s="760" t="str">
        <f t="shared" si="0"/>
        <v/>
      </c>
      <c r="E49" s="757" t="str">
        <f>IF(B49=0,"",'03 - Monthly Asset Follow up'!G54)</f>
        <v/>
      </c>
      <c r="F49" s="758" t="str">
        <f>IF(B49=0,"",'03 - Monthly Asset Follow up'!Q55)</f>
        <v/>
      </c>
    </row>
    <row r="50" spans="2:6">
      <c r="B50" s="755">
        <f>'03 - Monthly Asset Follow up'!B55</f>
        <v>0</v>
      </c>
      <c r="C50" s="760" t="str">
        <f t="shared" si="1"/>
        <v/>
      </c>
      <c r="D50" s="760" t="str">
        <f t="shared" si="0"/>
        <v/>
      </c>
      <c r="E50" s="757" t="str">
        <f>IF(B50=0,"",'03 - Monthly Asset Follow up'!G55)</f>
        <v/>
      </c>
      <c r="F50" s="758" t="str">
        <f>IF(B50=0,"",'03 - Monthly Asset Follow up'!Q56)</f>
        <v/>
      </c>
    </row>
    <row r="51" spans="2:6">
      <c r="B51" s="755">
        <f>'03 - Monthly Asset Follow up'!B56</f>
        <v>0</v>
      </c>
      <c r="C51" s="760" t="str">
        <f t="shared" si="1"/>
        <v/>
      </c>
      <c r="D51" s="760" t="str">
        <f t="shared" si="0"/>
        <v/>
      </c>
      <c r="E51" s="757" t="str">
        <f>IF(B51=0,"",'03 - Monthly Asset Follow up'!G56)</f>
        <v/>
      </c>
      <c r="F51" s="758" t="str">
        <f>IF(B51=0,"",'03 - Monthly Asset Follow up'!Q57)</f>
        <v/>
      </c>
    </row>
    <row r="52" spans="2:6">
      <c r="B52" s="755">
        <f>'03 - Monthly Asset Follow up'!B57</f>
        <v>0</v>
      </c>
      <c r="C52" s="760" t="str">
        <f t="shared" si="1"/>
        <v/>
      </c>
      <c r="D52" s="760" t="str">
        <f t="shared" si="0"/>
        <v/>
      </c>
      <c r="E52" s="757" t="str">
        <f>IF(B52=0,"",'03 - Monthly Asset Follow up'!G57)</f>
        <v/>
      </c>
      <c r="F52" s="758" t="str">
        <f>IF(B52=0,"",'03 - Monthly Asset Follow up'!Q58)</f>
        <v/>
      </c>
    </row>
    <row r="53" spans="2:6">
      <c r="B53" s="755">
        <f>'03 - Monthly Asset Follow up'!B58</f>
        <v>0</v>
      </c>
      <c r="C53" s="760" t="str">
        <f t="shared" si="1"/>
        <v/>
      </c>
      <c r="D53" s="760" t="str">
        <f t="shared" si="0"/>
        <v/>
      </c>
      <c r="E53" s="757" t="str">
        <f>IF(B53=0,"",'03 - Monthly Asset Follow up'!G58)</f>
        <v/>
      </c>
      <c r="F53" s="758" t="str">
        <f>IF(B53=0,"",'03 - Monthly Asset Follow up'!Q59)</f>
        <v/>
      </c>
    </row>
    <row r="54" spans="2:6">
      <c r="B54" s="755">
        <f>'03 - Monthly Asset Follow up'!B59</f>
        <v>0</v>
      </c>
      <c r="C54" s="760" t="str">
        <f t="shared" si="1"/>
        <v/>
      </c>
      <c r="D54" s="760" t="str">
        <f t="shared" si="0"/>
        <v/>
      </c>
      <c r="E54" s="757" t="str">
        <f>IF(B54=0,"",'03 - Monthly Asset Follow up'!G59)</f>
        <v/>
      </c>
      <c r="F54" s="758" t="str">
        <f>IF(B54=0,"",'03 - Monthly Asset Follow up'!Q60)</f>
        <v/>
      </c>
    </row>
    <row r="55" spans="2:6">
      <c r="B55" s="755">
        <f>'03 - Monthly Asset Follow up'!B60</f>
        <v>0</v>
      </c>
      <c r="C55" s="760" t="str">
        <f t="shared" si="1"/>
        <v/>
      </c>
      <c r="D55" s="760" t="str">
        <f t="shared" si="0"/>
        <v/>
      </c>
      <c r="E55" s="757" t="str">
        <f>IF(B55=0,"",'03 - Monthly Asset Follow up'!G60)</f>
        <v/>
      </c>
      <c r="F55" s="758" t="str">
        <f>IF(B55=0,"",'03 - Monthly Asset Follow up'!Q61)</f>
        <v/>
      </c>
    </row>
    <row r="56" spans="2:6">
      <c r="B56" s="755">
        <f>'03 - Monthly Asset Follow up'!B61</f>
        <v>0</v>
      </c>
      <c r="C56" s="760" t="str">
        <f t="shared" si="1"/>
        <v/>
      </c>
      <c r="D56" s="760" t="str">
        <f t="shared" si="0"/>
        <v/>
      </c>
      <c r="E56" s="757" t="str">
        <f>IF(B56=0,"",'03 - Monthly Asset Follow up'!G61)</f>
        <v/>
      </c>
      <c r="F56" s="758" t="str">
        <f>IF(B56=0,"",'03 - Monthly Asset Follow up'!Q62)</f>
        <v/>
      </c>
    </row>
    <row r="57" spans="2:6">
      <c r="B57" s="755">
        <f>'03 - Monthly Asset Follow up'!B62</f>
        <v>0</v>
      </c>
      <c r="C57" s="760" t="str">
        <f t="shared" si="1"/>
        <v/>
      </c>
      <c r="D57" s="760" t="str">
        <f t="shared" si="0"/>
        <v/>
      </c>
      <c r="E57" s="757" t="str">
        <f>IF(B57=0,"",'03 - Monthly Asset Follow up'!G62)</f>
        <v/>
      </c>
      <c r="F57" s="758" t="str">
        <f>IF(B57=0,"",'03 - Monthly Asset Follow up'!Q63)</f>
        <v/>
      </c>
    </row>
    <row r="58" spans="2:6">
      <c r="B58" s="755">
        <f>'03 - Monthly Asset Follow up'!B63</f>
        <v>0</v>
      </c>
      <c r="C58" s="760" t="str">
        <f t="shared" si="1"/>
        <v/>
      </c>
      <c r="D58" s="760" t="str">
        <f t="shared" si="0"/>
        <v/>
      </c>
      <c r="E58" s="757" t="str">
        <f>IF(B58=0,"",'03 - Monthly Asset Follow up'!G63)</f>
        <v/>
      </c>
      <c r="F58" s="758" t="str">
        <f>IF(B58=0,"",'03 - Monthly Asset Follow up'!Q64)</f>
        <v/>
      </c>
    </row>
    <row r="59" spans="2:6">
      <c r="B59" s="755">
        <f>'03 - Monthly Asset Follow up'!B64</f>
        <v>0</v>
      </c>
      <c r="C59" s="760" t="str">
        <f t="shared" si="1"/>
        <v/>
      </c>
      <c r="D59" s="760" t="str">
        <f t="shared" si="0"/>
        <v/>
      </c>
      <c r="E59" s="757" t="str">
        <f>IF(B59=0,"",'03 - Monthly Asset Follow up'!G64)</f>
        <v/>
      </c>
      <c r="F59" s="758" t="str">
        <f>IF(B59=0,"",'03 - Monthly Asset Follow up'!Q65)</f>
        <v/>
      </c>
    </row>
    <row r="60" spans="2:6">
      <c r="B60" s="755">
        <f>'03 - Monthly Asset Follow up'!B65</f>
        <v>0</v>
      </c>
      <c r="C60" s="760" t="str">
        <f t="shared" si="1"/>
        <v/>
      </c>
      <c r="D60" s="760" t="str">
        <f t="shared" si="0"/>
        <v/>
      </c>
      <c r="E60" s="757" t="str">
        <f>IF(B60=0,"",'03 - Monthly Asset Follow up'!G65)</f>
        <v/>
      </c>
      <c r="F60" s="758" t="str">
        <f>IF(B60=0,"",'03 - Monthly Asset Follow up'!Q66)</f>
        <v/>
      </c>
    </row>
    <row r="61" spans="2:6">
      <c r="B61" s="755">
        <f>'03 - Monthly Asset Follow up'!B66</f>
        <v>0</v>
      </c>
      <c r="C61" s="760" t="str">
        <f t="shared" si="1"/>
        <v/>
      </c>
      <c r="D61" s="760" t="str">
        <f t="shared" si="0"/>
        <v/>
      </c>
      <c r="E61" s="757" t="str">
        <f>IF(B61=0,"",'03 - Monthly Asset Follow up'!G66)</f>
        <v/>
      </c>
      <c r="F61" s="758" t="str">
        <f>IF(B61=0,"",'03 - Monthly Asset Follow up'!Q67)</f>
        <v/>
      </c>
    </row>
    <row r="62" spans="2:6">
      <c r="B62" s="755">
        <f>'03 - Monthly Asset Follow up'!B67</f>
        <v>0</v>
      </c>
      <c r="C62" s="760" t="str">
        <f t="shared" si="1"/>
        <v/>
      </c>
      <c r="D62" s="760" t="str">
        <f t="shared" si="0"/>
        <v/>
      </c>
      <c r="E62" s="757" t="str">
        <f>IF(B62=0,"",'03 - Monthly Asset Follow up'!G67)</f>
        <v/>
      </c>
      <c r="F62" s="758" t="str">
        <f>IF(B62=0,"",'03 - Monthly Asset Follow up'!Q68)</f>
        <v/>
      </c>
    </row>
    <row r="63" spans="2:6">
      <c r="B63" s="755">
        <f>'03 - Monthly Asset Follow up'!B68</f>
        <v>0</v>
      </c>
      <c r="C63" s="760" t="str">
        <f t="shared" si="1"/>
        <v/>
      </c>
      <c r="D63" s="760" t="str">
        <f t="shared" si="0"/>
        <v/>
      </c>
      <c r="E63" s="757" t="str">
        <f>IF(B63=0,"",'03 - Monthly Asset Follow up'!G68)</f>
        <v/>
      </c>
      <c r="F63" s="758" t="str">
        <f>IF(B63=0,"",'03 - Monthly Asset Follow up'!Q69)</f>
        <v/>
      </c>
    </row>
    <row r="64" spans="2:6">
      <c r="B64" s="755">
        <f>'03 - Monthly Asset Follow up'!B69</f>
        <v>0</v>
      </c>
      <c r="C64" s="760" t="str">
        <f t="shared" si="1"/>
        <v/>
      </c>
      <c r="D64" s="760" t="str">
        <f t="shared" si="0"/>
        <v/>
      </c>
      <c r="E64" s="757" t="str">
        <f>IF(B64=0,"",'03 - Monthly Asset Follow up'!G69)</f>
        <v/>
      </c>
      <c r="F64" s="758" t="str">
        <f>IF(B64=0,"",'03 - Monthly Asset Follow up'!Q70)</f>
        <v/>
      </c>
    </row>
    <row r="65" spans="2:6">
      <c r="B65" s="755">
        <f>'03 - Monthly Asset Follow up'!B70</f>
        <v>0</v>
      </c>
      <c r="C65" s="760" t="str">
        <f t="shared" si="1"/>
        <v/>
      </c>
      <c r="D65" s="760" t="str">
        <f t="shared" si="0"/>
        <v/>
      </c>
      <c r="E65" s="757" t="str">
        <f>IF(B65=0,"",'03 - Monthly Asset Follow up'!G70)</f>
        <v/>
      </c>
      <c r="F65" s="758" t="str">
        <f>IF(B65=0,"",'03 - Monthly Asset Follow up'!Q71)</f>
        <v/>
      </c>
    </row>
    <row r="66" spans="2:6">
      <c r="B66" s="755">
        <f>'03 - Monthly Asset Follow up'!B71</f>
        <v>0</v>
      </c>
      <c r="C66" s="760" t="str">
        <f t="shared" si="1"/>
        <v/>
      </c>
      <c r="D66" s="760" t="str">
        <f t="shared" si="0"/>
        <v/>
      </c>
      <c r="E66" s="757" t="str">
        <f>IF(B66=0,"",'03 - Monthly Asset Follow up'!G71)</f>
        <v/>
      </c>
      <c r="F66" s="758" t="str">
        <f>IF(B66=0,"",'03 - Monthly Asset Follow up'!Q72)</f>
        <v/>
      </c>
    </row>
    <row r="67" spans="2:6">
      <c r="B67" s="755">
        <f>'03 - Monthly Asset Follow up'!B72</f>
        <v>0</v>
      </c>
      <c r="C67" s="760" t="str">
        <f t="shared" si="1"/>
        <v/>
      </c>
      <c r="D67" s="760" t="str">
        <f t="shared" si="0"/>
        <v/>
      </c>
      <c r="E67" s="757" t="str">
        <f>IF(B67=0,"",'03 - Monthly Asset Follow up'!G72)</f>
        <v/>
      </c>
      <c r="F67" s="758" t="str">
        <f>IF(B67=0,"",'03 - Monthly Asset Follow up'!Q73)</f>
        <v/>
      </c>
    </row>
    <row r="68" spans="2:6">
      <c r="B68" s="755">
        <f>'03 - Monthly Asset Follow up'!B73</f>
        <v>0</v>
      </c>
      <c r="C68" s="760" t="str">
        <f t="shared" si="1"/>
        <v/>
      </c>
      <c r="D68" s="760" t="str">
        <f t="shared" si="0"/>
        <v/>
      </c>
      <c r="E68" s="757" t="str">
        <f>IF(B68=0,"",'03 - Monthly Asset Follow up'!G73)</f>
        <v/>
      </c>
      <c r="F68" s="758" t="str">
        <f>IF(B68=0,"",'03 - Monthly Asset Follow up'!Q74)</f>
        <v/>
      </c>
    </row>
    <row r="69" spans="2:6">
      <c r="B69" s="755">
        <f>'03 - Monthly Asset Follow up'!B74</f>
        <v>0</v>
      </c>
      <c r="C69" s="760" t="str">
        <f t="shared" si="1"/>
        <v/>
      </c>
      <c r="D69" s="760" t="str">
        <f t="shared" si="0"/>
        <v/>
      </c>
      <c r="E69" s="757" t="str">
        <f>IF(B69=0,"",'03 - Monthly Asset Follow up'!G74)</f>
        <v/>
      </c>
      <c r="F69" s="758" t="str">
        <f>IF(B69=0,"",'03 - Monthly Asset Follow up'!Q75)</f>
        <v/>
      </c>
    </row>
    <row r="70" spans="2:6">
      <c r="B70" s="755">
        <f>'03 - Monthly Asset Follow up'!B75</f>
        <v>0</v>
      </c>
      <c r="C70" s="760" t="str">
        <f t="shared" si="1"/>
        <v/>
      </c>
      <c r="D70" s="760" t="str">
        <f t="shared" si="0"/>
        <v/>
      </c>
      <c r="E70" s="757" t="str">
        <f>IF(B70=0,"",'03 - Monthly Asset Follow up'!G75)</f>
        <v/>
      </c>
      <c r="F70" s="758" t="str">
        <f>IF(B70=0,"",'03 - Monthly Asset Follow up'!Q76)</f>
        <v/>
      </c>
    </row>
    <row r="71" spans="2:6">
      <c r="B71" s="755">
        <f>'03 - Monthly Asset Follow up'!B76</f>
        <v>0</v>
      </c>
      <c r="C71" s="760" t="str">
        <f t="shared" si="1"/>
        <v/>
      </c>
      <c r="D71" s="760" t="str">
        <f t="shared" si="0"/>
        <v/>
      </c>
      <c r="E71" s="757" t="str">
        <f>IF(B71=0,"",'03 - Monthly Asset Follow up'!G76)</f>
        <v/>
      </c>
      <c r="F71" s="758" t="str">
        <f>IF(B71=0,"",'03 - Monthly Asset Follow up'!Q77)</f>
        <v/>
      </c>
    </row>
    <row r="72" spans="2:6">
      <c r="B72" s="755">
        <f>'03 - Monthly Asset Follow up'!B77</f>
        <v>0</v>
      </c>
      <c r="C72" s="760" t="str">
        <f t="shared" si="1"/>
        <v/>
      </c>
      <c r="D72" s="760" t="str">
        <f t="shared" si="0"/>
        <v/>
      </c>
      <c r="E72" s="757" t="str">
        <f>IF(B72=0,"",'03 - Monthly Asset Follow up'!G77)</f>
        <v/>
      </c>
      <c r="F72" s="758" t="str">
        <f>IF(B72=0,"",'03 - Monthly Asset Follow up'!Q78)</f>
        <v/>
      </c>
    </row>
  </sheetData>
  <conditionalFormatting sqref="B12:B72">
    <cfRule type="cellIs" dxfId="51"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99"/>
  <sheetViews>
    <sheetView showGridLines="0" zoomScale="80" zoomScaleNormal="80" workbookViewId="0">
      <selection activeCell="H4" sqref="H4"/>
    </sheetView>
  </sheetViews>
  <sheetFormatPr defaultColWidth="9.140625" defaultRowHeight="12.75"/>
  <cols>
    <col min="1" max="1" width="4" style="362" bestFit="1" customWidth="1"/>
    <col min="2" max="2" width="16.85546875" style="293" customWidth="1"/>
    <col min="3" max="3" width="1.42578125" style="293" customWidth="1"/>
    <col min="4" max="6" width="27.42578125" style="293" customWidth="1"/>
    <col min="7" max="7" width="20.140625" style="293" customWidth="1"/>
    <col min="8" max="8" width="15.42578125" style="293" customWidth="1"/>
    <col min="9" max="16384" width="9.140625" style="293"/>
  </cols>
  <sheetData>
    <row r="3" spans="1:8" ht="15">
      <c r="F3" s="334"/>
      <c r="G3" s="101" t="s">
        <v>132</v>
      </c>
      <c r="H3" s="101">
        <f>'00 - Cover'!F13</f>
        <v>46203</v>
      </c>
    </row>
    <row r="4" spans="1:8" ht="15">
      <c r="F4" s="334"/>
      <c r="G4" s="101" t="s">
        <v>651</v>
      </c>
      <c r="H4" s="101">
        <f>'00 - Cover'!$F$14</f>
        <v>46219</v>
      </c>
    </row>
    <row r="5" spans="1:8" ht="15">
      <c r="F5" s="334"/>
      <c r="G5" s="101" t="s">
        <v>92</v>
      </c>
      <c r="H5" s="101">
        <f>'00 - Cover'!$F$15</f>
        <v>46224</v>
      </c>
    </row>
    <row r="6" spans="1:8">
      <c r="G6" s="101" t="s">
        <v>85</v>
      </c>
      <c r="H6" s="101">
        <f>'00 - Cover'!$F$16</f>
        <v>46230</v>
      </c>
    </row>
    <row r="8" spans="1:8" ht="15.75">
      <c r="B8" s="564" t="s">
        <v>727</v>
      </c>
      <c r="C8" s="565"/>
      <c r="D8" s="565"/>
      <c r="E8" s="565"/>
      <c r="F8" s="565"/>
      <c r="G8" s="565"/>
      <c r="H8" s="565"/>
    </row>
    <row r="9" spans="1:8" ht="13.5" thickBot="1"/>
    <row r="10" spans="1:8" ht="18.600000000000001" customHeight="1">
      <c r="A10" s="363"/>
      <c r="B10" s="1187" t="s">
        <v>207</v>
      </c>
      <c r="C10" s="301"/>
      <c r="D10" s="1187" t="s">
        <v>647</v>
      </c>
      <c r="E10" s="1187" t="s">
        <v>649</v>
      </c>
      <c r="F10" s="1187" t="s">
        <v>648</v>
      </c>
      <c r="G10" s="1187" t="s">
        <v>2613</v>
      </c>
    </row>
    <row r="11" spans="1:8" ht="18">
      <c r="A11" s="363"/>
      <c r="B11" s="1188"/>
      <c r="C11" s="301"/>
      <c r="D11" s="1188"/>
      <c r="E11" s="1188"/>
      <c r="F11" s="1188"/>
      <c r="G11" s="1188"/>
    </row>
    <row r="12" spans="1:8" ht="13.5" thickBot="1">
      <c r="A12" s="363"/>
      <c r="B12" s="1189"/>
      <c r="C12" s="302"/>
      <c r="D12" s="1189"/>
      <c r="E12" s="1189"/>
      <c r="F12" s="1189"/>
      <c r="G12" s="1189"/>
      <c r="H12" s="362"/>
    </row>
    <row r="13" spans="1:8" ht="13.5" thickBot="1">
      <c r="A13" s="363"/>
      <c r="B13" s="303">
        <v>46234</v>
      </c>
      <c r="C13" s="304"/>
      <c r="D13" s="305">
        <v>769425869.9600004</v>
      </c>
      <c r="E13" s="1089">
        <v>4951714.950000002</v>
      </c>
      <c r="F13" s="306">
        <v>1130408.8799999992</v>
      </c>
      <c r="G13" s="1120">
        <f>D13-'03 - Monthly Asset Follow up'!P17-'03 - Monthly Asset Follow up'!BO17</f>
        <v>-301427.06000009086</v>
      </c>
      <c r="H13" s="1112"/>
    </row>
    <row r="14" spans="1:8">
      <c r="A14" s="363"/>
      <c r="B14" s="307">
        <v>46265</v>
      </c>
      <c r="C14" s="304"/>
      <c r="D14" s="308">
        <v>764474155.01000035</v>
      </c>
      <c r="E14" s="1090">
        <v>4901275.1100000059</v>
      </c>
      <c r="F14" s="309">
        <v>1119652.6500000001</v>
      </c>
      <c r="G14" s="300"/>
      <c r="H14" s="1104">
        <f>H13-'03 - Monthly Asset Follow up'!O17</f>
        <v>0</v>
      </c>
    </row>
    <row r="15" spans="1:8">
      <c r="A15" s="363"/>
      <c r="B15" s="307">
        <v>46295</v>
      </c>
      <c r="C15" s="304"/>
      <c r="D15" s="308">
        <v>759572879.90000033</v>
      </c>
      <c r="E15" s="1091">
        <v>4897190.3800000036</v>
      </c>
      <c r="F15" s="309">
        <v>1113470.58</v>
      </c>
      <c r="G15" s="300"/>
      <c r="H15" s="362"/>
    </row>
    <row r="16" spans="1:8">
      <c r="A16" s="363"/>
      <c r="B16" s="307">
        <v>46326</v>
      </c>
      <c r="C16" s="304"/>
      <c r="D16" s="308">
        <v>754675689.52000034</v>
      </c>
      <c r="E16" s="1091">
        <v>4939238.5300000086</v>
      </c>
      <c r="F16" s="309">
        <v>1111165.7800000005</v>
      </c>
      <c r="G16" s="300"/>
    </row>
    <row r="17" spans="1:7">
      <c r="A17" s="363"/>
      <c r="B17" s="307">
        <v>46356</v>
      </c>
      <c r="C17" s="304"/>
      <c r="D17" s="308">
        <v>749736450.99000037</v>
      </c>
      <c r="E17" s="1091">
        <v>4878796.4200000027</v>
      </c>
      <c r="F17" s="309">
        <v>1099251.8299999977</v>
      </c>
      <c r="G17" s="300"/>
    </row>
    <row r="18" spans="1:7">
      <c r="A18" s="363"/>
      <c r="B18" s="307">
        <v>46387</v>
      </c>
      <c r="C18" s="304"/>
      <c r="D18" s="308">
        <v>744857654.57000041</v>
      </c>
      <c r="E18" s="1091">
        <v>5578430.7899999907</v>
      </c>
      <c r="F18" s="309">
        <v>1094928.9400000004</v>
      </c>
      <c r="G18" s="300"/>
    </row>
    <row r="19" spans="1:7">
      <c r="A19" s="363"/>
      <c r="B19" s="307">
        <v>46418</v>
      </c>
      <c r="C19" s="304"/>
      <c r="D19" s="308">
        <v>739279223.78000045</v>
      </c>
      <c r="E19" s="1091">
        <v>4910271.9399999855</v>
      </c>
      <c r="F19" s="309">
        <v>1090176.1900000016</v>
      </c>
      <c r="G19" s="300"/>
    </row>
    <row r="20" spans="1:7">
      <c r="A20" s="363"/>
      <c r="B20" s="307">
        <v>46446</v>
      </c>
      <c r="C20" s="304"/>
      <c r="D20" s="308">
        <v>734368951.84000051</v>
      </c>
      <c r="E20" s="1091">
        <v>4005422.4200000097</v>
      </c>
      <c r="F20" s="309">
        <v>866336.3400000009</v>
      </c>
      <c r="G20" s="300"/>
    </row>
    <row r="21" spans="1:7">
      <c r="A21" s="363"/>
      <c r="B21" s="307">
        <v>46477</v>
      </c>
      <c r="C21" s="304"/>
      <c r="D21" s="308">
        <v>730363529.42000055</v>
      </c>
      <c r="E21" s="1091">
        <v>5710049.240000003</v>
      </c>
      <c r="F21" s="309">
        <v>1287355.5700000022</v>
      </c>
      <c r="G21" s="300"/>
    </row>
    <row r="22" spans="1:7">
      <c r="A22" s="363"/>
      <c r="B22" s="307">
        <v>46507</v>
      </c>
      <c r="C22" s="304"/>
      <c r="D22" s="308">
        <v>724653480.18000054</v>
      </c>
      <c r="E22" s="1091">
        <v>5082270.8500000071</v>
      </c>
      <c r="F22" s="309">
        <v>1069915.9199999981</v>
      </c>
      <c r="G22" s="300"/>
    </row>
    <row r="23" spans="1:7">
      <c r="A23" s="363"/>
      <c r="B23" s="307">
        <v>46538</v>
      </c>
      <c r="C23" s="304"/>
      <c r="D23" s="308">
        <v>719571209.33000052</v>
      </c>
      <c r="E23" s="1091">
        <v>4842426.5700000152</v>
      </c>
      <c r="F23" s="309">
        <v>1060548.7599999988</v>
      </c>
      <c r="G23" s="300"/>
    </row>
    <row r="24" spans="1:7">
      <c r="A24" s="363"/>
      <c r="B24" s="307">
        <v>46568</v>
      </c>
      <c r="C24" s="304"/>
      <c r="D24" s="308">
        <v>714728782.76000047</v>
      </c>
      <c r="E24" s="1091">
        <v>4832870.2999999858</v>
      </c>
      <c r="F24" s="309">
        <v>1053825.5999999992</v>
      </c>
      <c r="G24" s="300"/>
    </row>
    <row r="25" spans="1:7">
      <c r="A25" s="363"/>
      <c r="B25" s="307">
        <v>46599</v>
      </c>
      <c r="C25" s="304"/>
      <c r="D25" s="308">
        <v>709895912.46000051</v>
      </c>
      <c r="E25" s="1091">
        <v>4871553.4300000109</v>
      </c>
      <c r="F25" s="309">
        <v>1051426.6499999983</v>
      </c>
      <c r="G25" s="300"/>
    </row>
    <row r="26" spans="1:7">
      <c r="A26" s="363"/>
      <c r="B26" s="307">
        <v>46630</v>
      </c>
      <c r="C26" s="304"/>
      <c r="D26" s="308">
        <v>705024359.03000045</v>
      </c>
      <c r="E26" s="1091">
        <v>4817354.0399999777</v>
      </c>
      <c r="F26" s="309">
        <v>1040432.9900000005</v>
      </c>
      <c r="G26" s="300"/>
    </row>
    <row r="27" spans="1:7">
      <c r="A27" s="363"/>
      <c r="B27" s="307">
        <v>46660</v>
      </c>
      <c r="C27" s="304"/>
      <c r="D27" s="308">
        <v>700207004.99000049</v>
      </c>
      <c r="E27" s="1091">
        <v>4813400.6900000013</v>
      </c>
      <c r="F27" s="309">
        <v>1034325.0800000004</v>
      </c>
      <c r="G27" s="300"/>
    </row>
    <row r="28" spans="1:7">
      <c r="A28" s="363"/>
      <c r="B28" s="307">
        <v>46691</v>
      </c>
      <c r="C28" s="304"/>
      <c r="D28" s="308">
        <v>695393604.30000043</v>
      </c>
      <c r="E28" s="1091">
        <v>4846040.7899999944</v>
      </c>
      <c r="F28" s="309">
        <v>1031890.0500000032</v>
      </c>
      <c r="G28" s="300"/>
    </row>
    <row r="29" spans="1:7">
      <c r="A29" s="363"/>
      <c r="B29" s="307">
        <v>46721</v>
      </c>
      <c r="C29" s="304"/>
      <c r="D29" s="308">
        <v>690547563.51000047</v>
      </c>
      <c r="E29" s="1091">
        <v>4779737.4700000072</v>
      </c>
      <c r="F29" s="309">
        <v>1020433.2399999995</v>
      </c>
      <c r="G29" s="300"/>
    </row>
    <row r="30" spans="1:7">
      <c r="A30" s="363"/>
      <c r="B30" s="307">
        <v>46752</v>
      </c>
      <c r="C30" s="304"/>
      <c r="D30" s="308">
        <v>685767826.04000044</v>
      </c>
      <c r="E30" s="1091">
        <v>4793743.6500000022</v>
      </c>
      <c r="F30" s="309">
        <v>1016087.4500000007</v>
      </c>
      <c r="G30" s="300"/>
    </row>
    <row r="31" spans="1:7">
      <c r="A31" s="363"/>
      <c r="B31" s="307">
        <v>46783</v>
      </c>
      <c r="C31" s="304"/>
      <c r="D31" s="308">
        <v>680974082.39000046</v>
      </c>
      <c r="E31" s="1091">
        <v>5003695.3000000063</v>
      </c>
      <c r="F31" s="309">
        <v>1011906.6100000009</v>
      </c>
      <c r="G31" s="300"/>
    </row>
    <row r="32" spans="1:7">
      <c r="A32" s="363"/>
      <c r="B32" s="307">
        <v>46812</v>
      </c>
      <c r="C32" s="304"/>
      <c r="D32" s="308">
        <v>675970387.09000051</v>
      </c>
      <c r="E32" s="1091">
        <v>3930462.3399999957</v>
      </c>
      <c r="F32" s="309">
        <v>803614.62999999837</v>
      </c>
      <c r="G32" s="300"/>
    </row>
    <row r="33" spans="1:7">
      <c r="A33" s="363"/>
      <c r="B33" s="307">
        <v>46843</v>
      </c>
      <c r="C33" s="304"/>
      <c r="D33" s="308">
        <v>672039924.75000048</v>
      </c>
      <c r="E33" s="1091">
        <v>5757695.6799999913</v>
      </c>
      <c r="F33" s="309">
        <v>1194023.969999999</v>
      </c>
      <c r="G33" s="300"/>
    </row>
    <row r="34" spans="1:7">
      <c r="A34" s="363"/>
      <c r="B34" s="307">
        <v>46873</v>
      </c>
      <c r="C34" s="304"/>
      <c r="D34" s="308">
        <v>666282229.07000053</v>
      </c>
      <c r="E34" s="1091">
        <v>4760389.0100000165</v>
      </c>
      <c r="F34" s="309">
        <v>991621.63000000082</v>
      </c>
      <c r="G34" s="300"/>
    </row>
    <row r="35" spans="1:7">
      <c r="A35" s="363"/>
      <c r="B35" s="307">
        <v>46904</v>
      </c>
      <c r="C35" s="304"/>
      <c r="D35" s="308">
        <v>661521840.06000054</v>
      </c>
      <c r="E35" s="1091">
        <v>4714793.5100000016</v>
      </c>
      <c r="F35" s="309">
        <v>982648.38999999862</v>
      </c>
      <c r="G35" s="300"/>
    </row>
    <row r="36" spans="1:7">
      <c r="A36" s="363"/>
      <c r="B36" s="307">
        <v>46934</v>
      </c>
      <c r="C36" s="304"/>
      <c r="D36" s="308">
        <v>656807046.55000055</v>
      </c>
      <c r="E36" s="1091">
        <v>4704877.6400000146</v>
      </c>
      <c r="F36" s="309">
        <v>976081.35000000009</v>
      </c>
      <c r="G36" s="300"/>
    </row>
    <row r="37" spans="1:7">
      <c r="A37" s="363"/>
      <c r="B37" s="307">
        <v>46965</v>
      </c>
      <c r="C37" s="304"/>
      <c r="D37" s="308">
        <v>652102168.91000056</v>
      </c>
      <c r="E37" s="1091">
        <v>4733475.0200000117</v>
      </c>
      <c r="F37" s="309">
        <v>973594.67999999889</v>
      </c>
      <c r="G37" s="300"/>
    </row>
    <row r="38" spans="1:7">
      <c r="A38" s="363"/>
      <c r="B38" s="307">
        <v>46996</v>
      </c>
      <c r="C38" s="304"/>
      <c r="D38" s="308">
        <v>647368693.89000058</v>
      </c>
      <c r="E38" s="1091">
        <v>4852011.5899999989</v>
      </c>
      <c r="F38" s="309">
        <v>963051.79000000027</v>
      </c>
      <c r="G38" s="300"/>
    </row>
    <row r="39" spans="1:7">
      <c r="A39" s="363"/>
      <c r="B39" s="307">
        <v>47026</v>
      </c>
      <c r="C39" s="304"/>
      <c r="D39" s="308">
        <v>642516682.30000055</v>
      </c>
      <c r="E39" s="1091">
        <v>4578645.7900000028</v>
      </c>
      <c r="F39" s="309">
        <v>956985.95999999961</v>
      </c>
      <c r="G39" s="300"/>
    </row>
    <row r="40" spans="1:7">
      <c r="A40" s="363"/>
      <c r="B40" s="307">
        <v>47057</v>
      </c>
      <c r="C40" s="304"/>
      <c r="D40" s="308">
        <v>637938036.51000059</v>
      </c>
      <c r="E40" s="1091">
        <v>4615864.7099999972</v>
      </c>
      <c r="F40" s="309">
        <v>954516.80000000109</v>
      </c>
      <c r="G40" s="300"/>
    </row>
    <row r="41" spans="1:7">
      <c r="A41" s="363"/>
      <c r="B41" s="307">
        <v>47087</v>
      </c>
      <c r="C41" s="304"/>
      <c r="D41" s="308">
        <v>633322171.80000055</v>
      </c>
      <c r="E41" s="1091">
        <v>4548950.6800000099</v>
      </c>
      <c r="F41" s="309">
        <v>943590.6300000021</v>
      </c>
      <c r="G41" s="300"/>
    </row>
    <row r="42" spans="1:7">
      <c r="A42" s="363"/>
      <c r="B42" s="307">
        <v>47118</v>
      </c>
      <c r="C42" s="304"/>
      <c r="D42" s="308">
        <v>628773221.12000048</v>
      </c>
      <c r="E42" s="1091">
        <v>4546292.5900000017</v>
      </c>
      <c r="F42" s="309">
        <v>939289.36999999941</v>
      </c>
      <c r="G42" s="300"/>
    </row>
    <row r="43" spans="1:7">
      <c r="A43" s="363"/>
      <c r="B43" s="307">
        <v>47149</v>
      </c>
      <c r="C43" s="304"/>
      <c r="D43" s="308">
        <v>624226928.53000045</v>
      </c>
      <c r="E43" s="1091">
        <v>4566675.9500000095</v>
      </c>
      <c r="F43" s="309">
        <v>935208.11999999906</v>
      </c>
      <c r="G43" s="300"/>
    </row>
    <row r="44" spans="1:7">
      <c r="A44" s="363"/>
      <c r="B44" s="307">
        <v>47177</v>
      </c>
      <c r="C44" s="304"/>
      <c r="D44" s="308">
        <v>619660252.5800004</v>
      </c>
      <c r="E44" s="1091">
        <v>3731093.7699999963</v>
      </c>
      <c r="F44" s="309">
        <v>739688.86999999988</v>
      </c>
      <c r="G44" s="300"/>
    </row>
    <row r="45" spans="1:7">
      <c r="A45" s="363"/>
      <c r="B45" s="307">
        <v>47208</v>
      </c>
      <c r="C45" s="304"/>
      <c r="D45" s="308">
        <v>615929158.81000042</v>
      </c>
      <c r="E45" s="1091">
        <v>5310328.1000000043</v>
      </c>
      <c r="F45" s="309">
        <v>1105876.9099999971</v>
      </c>
      <c r="G45" s="300"/>
    </row>
    <row r="46" spans="1:7">
      <c r="A46" s="363"/>
      <c r="B46" s="307">
        <v>47238</v>
      </c>
      <c r="C46" s="304"/>
      <c r="D46" s="308">
        <v>610618830.7100004</v>
      </c>
      <c r="E46" s="1091">
        <v>4547290.060000007</v>
      </c>
      <c r="F46" s="309">
        <v>915994.87999999803</v>
      </c>
      <c r="G46" s="300"/>
    </row>
    <row r="47" spans="1:7">
      <c r="A47" s="363"/>
      <c r="B47" s="307">
        <v>47269</v>
      </c>
      <c r="C47" s="304"/>
      <c r="D47" s="308">
        <v>606071540.65000033</v>
      </c>
      <c r="E47" s="1091">
        <v>4706279.0199999893</v>
      </c>
      <c r="F47" s="309">
        <v>907349.32999999891</v>
      </c>
      <c r="G47" s="300"/>
    </row>
    <row r="48" spans="1:7">
      <c r="A48" s="363"/>
      <c r="B48" s="307">
        <v>47299</v>
      </c>
      <c r="C48" s="304"/>
      <c r="D48" s="308">
        <v>601365261.63000035</v>
      </c>
      <c r="E48" s="1091">
        <v>4494628.5500000045</v>
      </c>
      <c r="F48" s="309">
        <v>900719.03000000049</v>
      </c>
      <c r="G48" s="300"/>
    </row>
    <row r="49" spans="1:7">
      <c r="A49" s="363"/>
      <c r="B49" s="307">
        <v>47330</v>
      </c>
      <c r="C49" s="304"/>
      <c r="D49" s="308">
        <v>596870633.0800004</v>
      </c>
      <c r="E49" s="1091">
        <v>4523038.9999999963</v>
      </c>
      <c r="F49" s="309">
        <v>898136.98000000045</v>
      </c>
      <c r="G49" s="300"/>
    </row>
    <row r="50" spans="1:7">
      <c r="A50" s="363"/>
      <c r="B50" s="307">
        <v>47361</v>
      </c>
      <c r="C50" s="304"/>
      <c r="D50" s="308">
        <v>592347594.0800004</v>
      </c>
      <c r="E50" s="1091">
        <v>4436390.0800000019</v>
      </c>
      <c r="F50" s="309">
        <v>888040.4399999982</v>
      </c>
      <c r="G50" s="300"/>
    </row>
    <row r="51" spans="1:7">
      <c r="A51" s="363"/>
      <c r="B51" s="307">
        <v>47391</v>
      </c>
      <c r="C51" s="304"/>
      <c r="D51" s="308">
        <v>587911204.00000036</v>
      </c>
      <c r="E51" s="1091">
        <v>4423905.460000013</v>
      </c>
      <c r="F51" s="309">
        <v>882214.12999999837</v>
      </c>
      <c r="G51" s="300"/>
    </row>
    <row r="52" spans="1:7">
      <c r="A52" s="363"/>
      <c r="B52" s="307">
        <v>47422</v>
      </c>
      <c r="C52" s="304"/>
      <c r="D52" s="308">
        <v>583487298.54000032</v>
      </c>
      <c r="E52" s="1091">
        <v>4451675.6499999976</v>
      </c>
      <c r="F52" s="309">
        <v>879677.24999999988</v>
      </c>
      <c r="G52" s="300"/>
    </row>
    <row r="53" spans="1:7">
      <c r="A53" s="363"/>
      <c r="B53" s="307">
        <v>47452</v>
      </c>
      <c r="C53" s="304"/>
      <c r="D53" s="308">
        <v>579035622.89000034</v>
      </c>
      <c r="E53" s="1091">
        <v>4347860.8100000052</v>
      </c>
      <c r="F53" s="309">
        <v>869273.21000000217</v>
      </c>
      <c r="G53" s="300"/>
    </row>
    <row r="54" spans="1:7">
      <c r="A54" s="363"/>
      <c r="B54" s="307">
        <v>47483</v>
      </c>
      <c r="C54" s="304"/>
      <c r="D54" s="308">
        <v>574687762.08000028</v>
      </c>
      <c r="E54" s="1091">
        <v>4336201.91</v>
      </c>
      <c r="F54" s="309">
        <v>865061.33999999939</v>
      </c>
      <c r="G54" s="300"/>
    </row>
    <row r="55" spans="1:7">
      <c r="A55" s="363"/>
      <c r="B55" s="307">
        <v>47514</v>
      </c>
      <c r="C55" s="304"/>
      <c r="D55" s="308">
        <v>570351560.17000031</v>
      </c>
      <c r="E55" s="1091">
        <v>4324394.340000012</v>
      </c>
      <c r="F55" s="309">
        <v>861129.46000000043</v>
      </c>
      <c r="G55" s="300"/>
    </row>
    <row r="56" spans="1:7">
      <c r="A56" s="363"/>
      <c r="B56" s="307">
        <v>47542</v>
      </c>
      <c r="C56" s="304"/>
      <c r="D56" s="308">
        <v>566027165.83000028</v>
      </c>
      <c r="E56" s="1091">
        <v>3473175.6400000011</v>
      </c>
      <c r="F56" s="309">
        <v>679672.4099999991</v>
      </c>
      <c r="G56" s="300"/>
    </row>
    <row r="57" spans="1:7">
      <c r="A57" s="363"/>
      <c r="B57" s="307">
        <v>47573</v>
      </c>
      <c r="C57" s="304"/>
      <c r="D57" s="308">
        <v>562553990.1900003</v>
      </c>
      <c r="E57" s="1091">
        <v>5357239.9099999908</v>
      </c>
      <c r="F57" s="309">
        <v>1019136.8600000006</v>
      </c>
      <c r="G57" s="300"/>
    </row>
    <row r="58" spans="1:7">
      <c r="A58" s="363"/>
      <c r="B58" s="307">
        <v>47603</v>
      </c>
      <c r="C58" s="304"/>
      <c r="D58" s="308">
        <v>557196750.28000033</v>
      </c>
      <c r="E58" s="1091">
        <v>4779876.2999999821</v>
      </c>
      <c r="F58" s="309">
        <v>842711.73999999987</v>
      </c>
      <c r="G58" s="300"/>
    </row>
    <row r="59" spans="1:7">
      <c r="A59" s="363"/>
      <c r="B59" s="307">
        <v>47634</v>
      </c>
      <c r="C59" s="304"/>
      <c r="D59" s="308">
        <v>552416873.98000038</v>
      </c>
      <c r="E59" s="1091">
        <v>4220635.3900000015</v>
      </c>
      <c r="F59" s="309">
        <v>834230.06999999972</v>
      </c>
      <c r="G59" s="300"/>
    </row>
    <row r="60" spans="1:7">
      <c r="A60" s="363"/>
      <c r="B60" s="307">
        <v>47664</v>
      </c>
      <c r="C60" s="304"/>
      <c r="D60" s="308">
        <v>548196238.59000039</v>
      </c>
      <c r="E60" s="1091">
        <v>4192576.1100000045</v>
      </c>
      <c r="F60" s="309">
        <v>828208.17999999959</v>
      </c>
      <c r="G60" s="300"/>
    </row>
    <row r="61" spans="1:7">
      <c r="A61" s="363"/>
      <c r="B61" s="307">
        <v>47695</v>
      </c>
      <c r="C61" s="304"/>
      <c r="D61" s="308">
        <v>544003662.48000038</v>
      </c>
      <c r="E61" s="1091">
        <v>4419465.7199999979</v>
      </c>
      <c r="F61" s="309">
        <v>825782.80999999947</v>
      </c>
      <c r="G61" s="300"/>
    </row>
    <row r="62" spans="1:7">
      <c r="A62" s="363"/>
      <c r="B62" s="307">
        <v>47726</v>
      </c>
      <c r="C62" s="304"/>
      <c r="D62" s="308">
        <v>539584196.76000035</v>
      </c>
      <c r="E62" s="1091">
        <v>4162953.1299999966</v>
      </c>
      <c r="F62" s="309">
        <v>816254.51999999851</v>
      </c>
      <c r="G62" s="300"/>
    </row>
    <row r="63" spans="1:7">
      <c r="A63" s="363"/>
      <c r="B63" s="307">
        <v>47756</v>
      </c>
      <c r="C63" s="304"/>
      <c r="D63" s="308">
        <v>535421243.63000035</v>
      </c>
      <c r="E63" s="1091">
        <v>5251148.5400000047</v>
      </c>
      <c r="F63" s="309">
        <v>810754.84999999928</v>
      </c>
      <c r="G63" s="300"/>
    </row>
    <row r="64" spans="1:7">
      <c r="A64" s="363"/>
      <c r="B64" s="307">
        <v>47787</v>
      </c>
      <c r="C64" s="304"/>
      <c r="D64" s="308">
        <v>530170095.09000033</v>
      </c>
      <c r="E64" s="1091">
        <v>4177910.1299999948</v>
      </c>
      <c r="F64" s="309">
        <v>807590.29999999807</v>
      </c>
      <c r="G64" s="300"/>
    </row>
    <row r="65" spans="1:7">
      <c r="A65" s="363"/>
      <c r="B65" s="307">
        <v>47817</v>
      </c>
      <c r="C65" s="304"/>
      <c r="D65" s="308">
        <v>525992184.96000034</v>
      </c>
      <c r="E65" s="1091">
        <v>4105144.4600000023</v>
      </c>
      <c r="F65" s="309">
        <v>797865.34999999974</v>
      </c>
      <c r="G65" s="300"/>
    </row>
    <row r="66" spans="1:7">
      <c r="A66" s="363"/>
      <c r="B66" s="307">
        <v>47848</v>
      </c>
      <c r="C66" s="304"/>
      <c r="D66" s="308">
        <v>521887040.50000036</v>
      </c>
      <c r="E66" s="1091">
        <v>4108339.1200000048</v>
      </c>
      <c r="F66" s="309">
        <v>793789.24000000022</v>
      </c>
      <c r="G66" s="300"/>
    </row>
    <row r="67" spans="1:7">
      <c r="A67" s="363"/>
      <c r="B67" s="307">
        <v>47879</v>
      </c>
      <c r="C67" s="304"/>
      <c r="D67" s="308">
        <v>517778701.38000035</v>
      </c>
      <c r="E67" s="1091">
        <v>4107033.6800000044</v>
      </c>
      <c r="F67" s="309">
        <v>790005.2699999992</v>
      </c>
      <c r="G67" s="300"/>
    </row>
    <row r="68" spans="1:7">
      <c r="A68" s="363"/>
      <c r="B68" s="307">
        <v>47907</v>
      </c>
      <c r="C68" s="304"/>
      <c r="D68" s="308">
        <v>513671667.70000035</v>
      </c>
      <c r="E68" s="1091">
        <v>3294715.1899999972</v>
      </c>
      <c r="F68" s="309">
        <v>622489.51999999862</v>
      </c>
      <c r="G68" s="300"/>
    </row>
    <row r="69" spans="1:7">
      <c r="A69" s="363"/>
      <c r="B69" s="307">
        <v>47938</v>
      </c>
      <c r="C69" s="304"/>
      <c r="D69" s="308">
        <v>510376952.51000035</v>
      </c>
      <c r="E69" s="1091">
        <v>4819727.4199999869</v>
      </c>
      <c r="F69" s="309">
        <v>935278.4500000003</v>
      </c>
      <c r="G69" s="300"/>
    </row>
    <row r="70" spans="1:7">
      <c r="A70" s="363"/>
      <c r="B70" s="307">
        <v>47968</v>
      </c>
      <c r="C70" s="304"/>
      <c r="D70" s="308">
        <v>505557225.09000039</v>
      </c>
      <c r="E70" s="1091">
        <v>4082543.9899999942</v>
      </c>
      <c r="F70" s="309">
        <v>772659.19000000018</v>
      </c>
      <c r="G70" s="300"/>
    </row>
    <row r="71" spans="1:7">
      <c r="A71" s="363"/>
      <c r="B71" s="307">
        <v>47999</v>
      </c>
      <c r="C71" s="304"/>
      <c r="D71" s="308">
        <v>501474681.10000038</v>
      </c>
      <c r="E71" s="1091">
        <v>4043335.2299999995</v>
      </c>
      <c r="F71" s="309">
        <v>764966.06999999937</v>
      </c>
      <c r="G71" s="300"/>
    </row>
    <row r="72" spans="1:7">
      <c r="A72" s="363"/>
      <c r="B72" s="307">
        <v>48029</v>
      </c>
      <c r="C72" s="304"/>
      <c r="D72" s="308">
        <v>497431345.87000036</v>
      </c>
      <c r="E72" s="1091">
        <v>4038959.4800000028</v>
      </c>
      <c r="F72" s="309">
        <v>759154.90999999992</v>
      </c>
      <c r="G72" s="300"/>
    </row>
    <row r="73" spans="1:7">
      <c r="A73" s="363"/>
      <c r="B73" s="307">
        <v>48060</v>
      </c>
      <c r="C73" s="304"/>
      <c r="D73" s="308">
        <v>493392386.39000034</v>
      </c>
      <c r="E73" s="1091">
        <v>4082920.3999999957</v>
      </c>
      <c r="F73" s="309">
        <v>756677.71000000124</v>
      </c>
      <c r="G73" s="300"/>
    </row>
    <row r="74" spans="1:7">
      <c r="A74" s="363"/>
      <c r="B74" s="307">
        <v>48091</v>
      </c>
      <c r="C74" s="304"/>
      <c r="D74" s="308">
        <v>489309465.99000037</v>
      </c>
      <c r="E74" s="1091">
        <v>4027808.2999999872</v>
      </c>
      <c r="F74" s="309">
        <v>747744.38999999955</v>
      </c>
      <c r="G74" s="300"/>
    </row>
    <row r="75" spans="1:7">
      <c r="A75" s="363"/>
      <c r="B75" s="307">
        <v>48121</v>
      </c>
      <c r="C75" s="304"/>
      <c r="D75" s="308">
        <v>485281657.69000036</v>
      </c>
      <c r="E75" s="1091">
        <v>4176940.0500000054</v>
      </c>
      <c r="F75" s="309">
        <v>742373.27000000072</v>
      </c>
      <c r="G75" s="300"/>
    </row>
    <row r="76" spans="1:7">
      <c r="A76" s="363"/>
      <c r="B76" s="307">
        <v>48152</v>
      </c>
      <c r="C76" s="304"/>
      <c r="D76" s="308">
        <v>481104717.64000034</v>
      </c>
      <c r="E76" s="1091">
        <v>4064875.1399999955</v>
      </c>
      <c r="F76" s="309">
        <v>739745.96000000043</v>
      </c>
      <c r="G76" s="300"/>
    </row>
    <row r="77" spans="1:7">
      <c r="A77" s="363"/>
      <c r="B77" s="307">
        <v>48182</v>
      </c>
      <c r="C77" s="304"/>
      <c r="D77" s="308">
        <v>477039842.50000036</v>
      </c>
      <c r="E77" s="1091">
        <v>3994622.9200000013</v>
      </c>
      <c r="F77" s="309">
        <v>730486.20999999985</v>
      </c>
      <c r="G77" s="300"/>
    </row>
    <row r="78" spans="1:7">
      <c r="A78" s="363"/>
      <c r="B78" s="307">
        <v>48213</v>
      </c>
      <c r="C78" s="304"/>
      <c r="D78" s="308">
        <v>473045219.58000034</v>
      </c>
      <c r="E78" s="1091">
        <v>3999178.5700000003</v>
      </c>
      <c r="F78" s="309">
        <v>726369.44999999844</v>
      </c>
      <c r="G78" s="300"/>
    </row>
    <row r="79" spans="1:7">
      <c r="A79" s="363"/>
      <c r="B79" s="307">
        <v>48244</v>
      </c>
      <c r="C79" s="304"/>
      <c r="D79" s="308">
        <v>469046041.01000035</v>
      </c>
      <c r="E79" s="1091">
        <v>4547388.8199999928</v>
      </c>
      <c r="F79" s="309">
        <v>722580.5700000003</v>
      </c>
      <c r="G79" s="300"/>
    </row>
    <row r="80" spans="1:7">
      <c r="A80" s="363"/>
      <c r="B80" s="307">
        <v>48273</v>
      </c>
      <c r="C80" s="304"/>
      <c r="D80" s="308">
        <v>464498652.19000036</v>
      </c>
      <c r="E80" s="1091">
        <v>3342013.2600000002</v>
      </c>
      <c r="F80" s="309">
        <v>569063.57999999903</v>
      </c>
      <c r="G80" s="300"/>
    </row>
    <row r="81" spans="1:7">
      <c r="A81" s="363"/>
      <c r="B81" s="307">
        <v>48304</v>
      </c>
      <c r="C81" s="304"/>
      <c r="D81" s="308">
        <v>461156638.93000036</v>
      </c>
      <c r="E81" s="1091">
        <v>5102517.5599999959</v>
      </c>
      <c r="F81" s="309">
        <v>853883.09999999811</v>
      </c>
      <c r="G81" s="300"/>
    </row>
    <row r="82" spans="1:7">
      <c r="A82" s="363"/>
      <c r="B82" s="307">
        <v>48334</v>
      </c>
      <c r="C82" s="304"/>
      <c r="D82" s="308">
        <v>456054121.37000036</v>
      </c>
      <c r="E82" s="1091">
        <v>3967849.4599999934</v>
      </c>
      <c r="F82" s="309">
        <v>704920.49000000092</v>
      </c>
      <c r="G82" s="300"/>
    </row>
    <row r="83" spans="1:7">
      <c r="A83" s="363"/>
      <c r="B83" s="307">
        <v>48365</v>
      </c>
      <c r="C83" s="304"/>
      <c r="D83" s="308">
        <v>452086271.91000038</v>
      </c>
      <c r="E83" s="1091">
        <v>3906883.9699999969</v>
      </c>
      <c r="F83" s="309">
        <v>697523.67999999877</v>
      </c>
      <c r="G83" s="300"/>
    </row>
    <row r="84" spans="1:7">
      <c r="A84" s="363"/>
      <c r="B84" s="307">
        <v>48395</v>
      </c>
      <c r="C84" s="304"/>
      <c r="D84" s="308">
        <v>448179387.94000041</v>
      </c>
      <c r="E84" s="1091">
        <v>3899893.5899999961</v>
      </c>
      <c r="F84" s="309">
        <v>691849.83000000136</v>
      </c>
      <c r="G84" s="300"/>
    </row>
    <row r="85" spans="1:7">
      <c r="A85" s="363"/>
      <c r="B85" s="307">
        <v>48426</v>
      </c>
      <c r="C85" s="304"/>
      <c r="D85" s="308">
        <v>444279494.35000044</v>
      </c>
      <c r="E85" s="1091">
        <v>3937899.63</v>
      </c>
      <c r="F85" s="309">
        <v>689279.90000000084</v>
      </c>
      <c r="G85" s="300"/>
    </row>
    <row r="86" spans="1:7">
      <c r="A86" s="363"/>
      <c r="B86" s="307">
        <v>48457</v>
      </c>
      <c r="C86" s="304"/>
      <c r="D86" s="308">
        <v>440341594.72000045</v>
      </c>
      <c r="E86" s="1091">
        <v>4428445.9799999967</v>
      </c>
      <c r="F86" s="309">
        <v>680790.39000000025</v>
      </c>
      <c r="G86" s="300"/>
    </row>
    <row r="87" spans="1:7">
      <c r="A87" s="363"/>
      <c r="B87" s="307">
        <v>48487</v>
      </c>
      <c r="C87" s="304"/>
      <c r="D87" s="308">
        <v>435913148.74000043</v>
      </c>
      <c r="E87" s="1091">
        <v>4452383.9899999974</v>
      </c>
      <c r="F87" s="309">
        <v>675005.39000000025</v>
      </c>
      <c r="G87" s="300"/>
    </row>
    <row r="88" spans="1:7">
      <c r="A88" s="363"/>
      <c r="B88" s="307">
        <v>48518</v>
      </c>
      <c r="C88" s="304"/>
      <c r="D88" s="308">
        <v>431460764.75000042</v>
      </c>
      <c r="E88" s="1091">
        <v>5307240.799999998</v>
      </c>
      <c r="F88" s="309">
        <v>671752.49000000011</v>
      </c>
      <c r="G88" s="300"/>
    </row>
    <row r="89" spans="1:7">
      <c r="A89" s="363"/>
      <c r="B89" s="307">
        <v>48548</v>
      </c>
      <c r="C89" s="304"/>
      <c r="D89" s="308">
        <v>426153523.95000041</v>
      </c>
      <c r="E89" s="1091">
        <v>3845129.9299999992</v>
      </c>
      <c r="F89" s="309">
        <v>660983.61000000115</v>
      </c>
      <c r="G89" s="300"/>
    </row>
    <row r="90" spans="1:7">
      <c r="A90" s="363"/>
      <c r="B90" s="307">
        <v>48579</v>
      </c>
      <c r="C90" s="304"/>
      <c r="D90" s="308">
        <v>422308394.0200004</v>
      </c>
      <c r="E90" s="1091">
        <v>3853810.7899999991</v>
      </c>
      <c r="F90" s="309">
        <v>656867.72999999975</v>
      </c>
      <c r="G90" s="300"/>
    </row>
    <row r="91" spans="1:7">
      <c r="A91" s="363"/>
      <c r="B91" s="307">
        <v>48610</v>
      </c>
      <c r="C91" s="304"/>
      <c r="D91" s="308">
        <v>418454583.23000038</v>
      </c>
      <c r="E91" s="1091">
        <v>3877507.3699999982</v>
      </c>
      <c r="F91" s="309">
        <v>653094.96999999927</v>
      </c>
      <c r="G91" s="300"/>
    </row>
    <row r="92" spans="1:7">
      <c r="A92" s="363"/>
      <c r="B92" s="307">
        <v>48638</v>
      </c>
      <c r="C92" s="304"/>
      <c r="D92" s="308">
        <v>414577075.86000037</v>
      </c>
      <c r="E92" s="1091">
        <v>3087991.6300000004</v>
      </c>
      <c r="F92" s="309">
        <v>513806.18999999925</v>
      </c>
      <c r="G92" s="300"/>
    </row>
    <row r="93" spans="1:7">
      <c r="A93" s="363"/>
      <c r="B93" s="307">
        <v>48669</v>
      </c>
      <c r="C93" s="304"/>
      <c r="D93" s="308">
        <v>411489084.23000038</v>
      </c>
      <c r="E93" s="1091">
        <v>4521465.3200000115</v>
      </c>
      <c r="F93" s="309">
        <v>771706.37000000058</v>
      </c>
      <c r="G93" s="300"/>
    </row>
    <row r="94" spans="1:7">
      <c r="A94" s="363"/>
      <c r="B94" s="307">
        <v>48699</v>
      </c>
      <c r="C94" s="304"/>
      <c r="D94" s="308">
        <v>406967618.91000038</v>
      </c>
      <c r="E94" s="1091">
        <v>4648055.1799999848</v>
      </c>
      <c r="F94" s="309">
        <v>636605.7499999986</v>
      </c>
      <c r="G94" s="300"/>
    </row>
    <row r="95" spans="1:7">
      <c r="A95" s="363"/>
      <c r="B95" s="307">
        <v>48730</v>
      </c>
      <c r="C95" s="304"/>
      <c r="D95" s="308">
        <v>402319563.73000038</v>
      </c>
      <c r="E95" s="1091">
        <v>3779057.1600000057</v>
      </c>
      <c r="F95" s="309">
        <v>628462.86999999895</v>
      </c>
      <c r="G95" s="300"/>
    </row>
    <row r="96" spans="1:7">
      <c r="A96" s="363"/>
      <c r="B96" s="307">
        <v>48760</v>
      </c>
      <c r="C96" s="304"/>
      <c r="D96" s="308">
        <v>398540506.57000035</v>
      </c>
      <c r="E96" s="1091">
        <v>5373773.5300000031</v>
      </c>
      <c r="F96" s="309">
        <v>622914.90000000095</v>
      </c>
      <c r="G96" s="300"/>
    </row>
    <row r="97" spans="1:7">
      <c r="A97" s="363"/>
      <c r="B97" s="307">
        <v>48791</v>
      </c>
      <c r="C97" s="304"/>
      <c r="D97" s="308">
        <v>393166733.04000032</v>
      </c>
      <c r="E97" s="1091">
        <v>3806317.3700000099</v>
      </c>
      <c r="F97" s="309">
        <v>618525.21000000136</v>
      </c>
      <c r="G97" s="300"/>
    </row>
    <row r="98" spans="1:7">
      <c r="A98" s="363"/>
      <c r="B98" s="307">
        <v>48822</v>
      </c>
      <c r="C98" s="304"/>
      <c r="D98" s="308">
        <v>389360415.67000031</v>
      </c>
      <c r="E98" s="1091">
        <v>4075704.6200000015</v>
      </c>
      <c r="F98" s="309">
        <v>610480.87999999919</v>
      </c>
      <c r="G98" s="300"/>
    </row>
    <row r="99" spans="1:7">
      <c r="A99" s="363"/>
      <c r="B99" s="307">
        <v>48852</v>
      </c>
      <c r="C99" s="304"/>
      <c r="D99" s="308">
        <v>385284711.05000031</v>
      </c>
      <c r="E99" s="1091">
        <v>3722688.6500000069</v>
      </c>
      <c r="F99" s="309">
        <v>605035.72000000114</v>
      </c>
      <c r="G99" s="300"/>
    </row>
    <row r="100" spans="1:7">
      <c r="A100" s="363"/>
      <c r="B100" s="307">
        <v>48883</v>
      </c>
      <c r="C100" s="304"/>
      <c r="D100" s="308">
        <v>381562022.40000027</v>
      </c>
      <c r="E100" s="1091">
        <v>3750749.8899999978</v>
      </c>
      <c r="F100" s="309">
        <v>602388.00000000058</v>
      </c>
      <c r="G100" s="300"/>
    </row>
    <row r="101" spans="1:7">
      <c r="A101" s="363"/>
      <c r="B101" s="307">
        <v>48913</v>
      </c>
      <c r="C101" s="304"/>
      <c r="D101" s="308">
        <v>377811272.51000029</v>
      </c>
      <c r="E101" s="1091">
        <v>3682985.2899999977</v>
      </c>
      <c r="F101" s="309">
        <v>594140.98999999941</v>
      </c>
      <c r="G101" s="300"/>
    </row>
    <row r="102" spans="1:7">
      <c r="A102" s="363"/>
      <c r="B102" s="307">
        <v>48944</v>
      </c>
      <c r="C102" s="304"/>
      <c r="D102" s="308">
        <v>374128287.22000027</v>
      </c>
      <c r="E102" s="1091">
        <v>4294403.8299999917</v>
      </c>
      <c r="F102" s="309">
        <v>590088.01000000013</v>
      </c>
      <c r="G102" s="300"/>
    </row>
    <row r="103" spans="1:7">
      <c r="A103" s="363"/>
      <c r="B103" s="307">
        <v>48975</v>
      </c>
      <c r="C103" s="304"/>
      <c r="D103" s="308">
        <v>369833883.39000028</v>
      </c>
      <c r="E103" s="1091">
        <v>3720293.9599999981</v>
      </c>
      <c r="F103" s="309">
        <v>585830.44999999902</v>
      </c>
      <c r="G103" s="300"/>
    </row>
    <row r="104" spans="1:7">
      <c r="A104" s="363"/>
      <c r="B104" s="307">
        <v>49003</v>
      </c>
      <c r="C104" s="304"/>
      <c r="D104" s="308">
        <v>366113589.43000031</v>
      </c>
      <c r="E104" s="1091">
        <v>2968090.1999999955</v>
      </c>
      <c r="F104" s="309">
        <v>459861.43000000028</v>
      </c>
      <c r="G104" s="300"/>
    </row>
    <row r="105" spans="1:7">
      <c r="A105" s="363"/>
      <c r="B105" s="307">
        <v>49034</v>
      </c>
      <c r="C105" s="304"/>
      <c r="D105" s="308">
        <v>363145499.23000032</v>
      </c>
      <c r="E105" s="1091">
        <v>4386693.1000000006</v>
      </c>
      <c r="F105" s="309">
        <v>692123.26000000094</v>
      </c>
      <c r="G105" s="300"/>
    </row>
    <row r="106" spans="1:7">
      <c r="A106" s="363"/>
      <c r="B106" s="307">
        <v>49064</v>
      </c>
      <c r="C106" s="304"/>
      <c r="D106" s="308">
        <v>358758806.13000029</v>
      </c>
      <c r="E106" s="1091">
        <v>3707285.3600000003</v>
      </c>
      <c r="F106" s="309">
        <v>569889.98999999964</v>
      </c>
      <c r="G106" s="300"/>
    </row>
    <row r="107" spans="1:7">
      <c r="A107" s="363"/>
      <c r="B107" s="307">
        <v>49095</v>
      </c>
      <c r="C107" s="304"/>
      <c r="D107" s="308">
        <v>355051520.77000028</v>
      </c>
      <c r="E107" s="1091">
        <v>3658315.9700000007</v>
      </c>
      <c r="F107" s="309">
        <v>563172.26000000036</v>
      </c>
      <c r="G107" s="300"/>
    </row>
    <row r="108" spans="1:7">
      <c r="A108" s="363"/>
      <c r="B108" s="307">
        <v>49125</v>
      </c>
      <c r="C108" s="304"/>
      <c r="D108" s="308">
        <v>351393204.80000025</v>
      </c>
      <c r="E108" s="1091">
        <v>3624996.829999994</v>
      </c>
      <c r="F108" s="309">
        <v>557755.84999999963</v>
      </c>
      <c r="G108" s="300"/>
    </row>
    <row r="109" spans="1:7">
      <c r="A109" s="363"/>
      <c r="B109" s="307">
        <v>49156</v>
      </c>
      <c r="C109" s="304"/>
      <c r="D109" s="308">
        <v>347768207.97000027</v>
      </c>
      <c r="E109" s="1091">
        <v>3658107.9399999972</v>
      </c>
      <c r="F109" s="309">
        <v>555054.42000000086</v>
      </c>
      <c r="G109" s="300"/>
    </row>
    <row r="110" spans="1:7">
      <c r="A110" s="363"/>
      <c r="B110" s="307">
        <v>49187</v>
      </c>
      <c r="C110" s="304"/>
      <c r="D110" s="308">
        <v>344110100.03000027</v>
      </c>
      <c r="E110" s="1091">
        <v>4789416.1900000032</v>
      </c>
      <c r="F110" s="309">
        <v>547484.1199999993</v>
      </c>
      <c r="G110" s="300"/>
    </row>
    <row r="111" spans="1:7">
      <c r="A111" s="363"/>
      <c r="B111" s="307">
        <v>49217</v>
      </c>
      <c r="C111" s="304"/>
      <c r="D111" s="308">
        <v>339320683.84000027</v>
      </c>
      <c r="E111" s="1091">
        <v>3566350.2300000009</v>
      </c>
      <c r="F111" s="309">
        <v>541125.9499999996</v>
      </c>
      <c r="G111" s="300"/>
    </row>
    <row r="112" spans="1:7">
      <c r="A112" s="363"/>
      <c r="B112" s="307">
        <v>49248</v>
      </c>
      <c r="C112" s="304"/>
      <c r="D112" s="308">
        <v>335754333.61000025</v>
      </c>
      <c r="E112" s="1091">
        <v>3585311.6699999995</v>
      </c>
      <c r="F112" s="309">
        <v>538442.30999999994</v>
      </c>
      <c r="G112" s="300"/>
    </row>
    <row r="113" spans="1:7">
      <c r="A113" s="363"/>
      <c r="B113" s="307">
        <v>49278</v>
      </c>
      <c r="C113" s="304"/>
      <c r="D113" s="308">
        <v>332169021.94000024</v>
      </c>
      <c r="E113" s="1091">
        <v>3499089.8200000017</v>
      </c>
      <c r="F113" s="309">
        <v>530729.94999999972</v>
      </c>
      <c r="G113" s="300"/>
    </row>
    <row r="114" spans="1:7">
      <c r="A114" s="363"/>
      <c r="B114" s="307">
        <v>49309</v>
      </c>
      <c r="C114" s="304"/>
      <c r="D114" s="308">
        <v>328669932.12000024</v>
      </c>
      <c r="E114" s="1091">
        <v>3489871.2800000045</v>
      </c>
      <c r="F114" s="309">
        <v>526780.34000000067</v>
      </c>
      <c r="G114" s="300"/>
    </row>
    <row r="115" spans="1:7">
      <c r="A115" s="363"/>
      <c r="B115" s="307">
        <v>49340</v>
      </c>
      <c r="C115" s="304"/>
      <c r="D115" s="308">
        <v>325180060.84000021</v>
      </c>
      <c r="E115" s="1091">
        <v>3507969.3899999931</v>
      </c>
      <c r="F115" s="309">
        <v>523229.8500000005</v>
      </c>
      <c r="G115" s="300"/>
    </row>
    <row r="116" spans="1:7">
      <c r="A116" s="363"/>
      <c r="B116" s="307">
        <v>49368</v>
      </c>
      <c r="C116" s="304"/>
      <c r="D116" s="308">
        <v>321672091.45000023</v>
      </c>
      <c r="E116" s="1091">
        <v>2773618.3000000012</v>
      </c>
      <c r="F116" s="309">
        <v>410027.00999999989</v>
      </c>
      <c r="G116" s="300"/>
    </row>
    <row r="117" spans="1:7">
      <c r="A117" s="363"/>
      <c r="B117" s="307">
        <v>49399</v>
      </c>
      <c r="C117" s="304"/>
      <c r="D117" s="308">
        <v>318898473.15000021</v>
      </c>
      <c r="E117" s="1091">
        <v>4114965.0300000017</v>
      </c>
      <c r="F117" s="309">
        <v>618059.11000000022</v>
      </c>
      <c r="G117" s="300"/>
    </row>
    <row r="118" spans="1:7">
      <c r="A118" s="363"/>
      <c r="B118" s="307">
        <v>49429</v>
      </c>
      <c r="C118" s="304"/>
      <c r="D118" s="308">
        <v>314783508.12000018</v>
      </c>
      <c r="E118" s="1091">
        <v>3595998.3899999969</v>
      </c>
      <c r="F118" s="309">
        <v>508236.04000000021</v>
      </c>
      <c r="G118" s="300"/>
    </row>
    <row r="119" spans="1:7">
      <c r="A119" s="363"/>
      <c r="B119" s="307">
        <v>49460</v>
      </c>
      <c r="C119" s="304"/>
      <c r="D119" s="308">
        <v>311187509.7300002</v>
      </c>
      <c r="E119" s="1091">
        <v>3420555.0200000009</v>
      </c>
      <c r="F119" s="309">
        <v>501659.75000000017</v>
      </c>
      <c r="G119" s="300"/>
    </row>
    <row r="120" spans="1:7">
      <c r="A120" s="363"/>
      <c r="B120" s="307">
        <v>49490</v>
      </c>
      <c r="C120" s="304"/>
      <c r="D120" s="308">
        <v>307766954.71000022</v>
      </c>
      <c r="E120" s="1091">
        <v>3418822.4000000004</v>
      </c>
      <c r="F120" s="309">
        <v>496525.54999999976</v>
      </c>
      <c r="G120" s="300"/>
    </row>
    <row r="121" spans="1:7">
      <c r="A121" s="363"/>
      <c r="B121" s="307">
        <v>49521</v>
      </c>
      <c r="C121" s="304"/>
      <c r="D121" s="308">
        <v>304348132.31000024</v>
      </c>
      <c r="E121" s="1091">
        <v>3447447.180000003</v>
      </c>
      <c r="F121" s="309">
        <v>493841.1700000001</v>
      </c>
      <c r="G121" s="300"/>
    </row>
    <row r="122" spans="1:7">
      <c r="A122" s="363"/>
      <c r="B122" s="307">
        <v>49552</v>
      </c>
      <c r="C122" s="304"/>
      <c r="D122" s="308">
        <v>300900685.13000023</v>
      </c>
      <c r="E122" s="1091">
        <v>3389120.3800000031</v>
      </c>
      <c r="F122" s="309">
        <v>486811.59</v>
      </c>
      <c r="G122" s="300"/>
    </row>
    <row r="123" spans="1:7">
      <c r="A123" s="363"/>
      <c r="B123" s="307">
        <v>49582</v>
      </c>
      <c r="C123" s="304"/>
      <c r="D123" s="308">
        <v>297511564.75000024</v>
      </c>
      <c r="E123" s="1091">
        <v>3388814.6400000006</v>
      </c>
      <c r="F123" s="309">
        <v>481986.17000000121</v>
      </c>
      <c r="G123" s="300"/>
    </row>
    <row r="124" spans="1:7">
      <c r="A124" s="363"/>
      <c r="B124" s="307">
        <v>49613</v>
      </c>
      <c r="C124" s="304"/>
      <c r="D124" s="308">
        <v>294122750.11000025</v>
      </c>
      <c r="E124" s="1091">
        <v>3421253.8000000003</v>
      </c>
      <c r="F124" s="309">
        <v>479265.89000000031</v>
      </c>
      <c r="G124" s="300"/>
    </row>
    <row r="125" spans="1:7">
      <c r="A125" s="363"/>
      <c r="B125" s="307">
        <v>49643</v>
      </c>
      <c r="C125" s="304"/>
      <c r="D125" s="308">
        <v>290701496.31000024</v>
      </c>
      <c r="E125" s="1091">
        <v>4041910.4700000016</v>
      </c>
      <c r="F125" s="309">
        <v>472049.45000000071</v>
      </c>
      <c r="G125" s="300"/>
    </row>
    <row r="126" spans="1:7">
      <c r="A126" s="363"/>
      <c r="B126" s="307">
        <v>49674</v>
      </c>
      <c r="C126" s="304"/>
      <c r="D126" s="308">
        <v>286659585.84000021</v>
      </c>
      <c r="E126" s="1091">
        <v>3571016.6399999978</v>
      </c>
      <c r="F126" s="309">
        <v>467413.81000000023</v>
      </c>
      <c r="G126" s="300"/>
    </row>
    <row r="127" spans="1:7">
      <c r="A127" s="363"/>
      <c r="B127" s="307">
        <v>49705</v>
      </c>
      <c r="C127" s="304"/>
      <c r="D127" s="308">
        <v>283088569.20000023</v>
      </c>
      <c r="E127" s="1091">
        <v>3362007.9199999948</v>
      </c>
      <c r="F127" s="309">
        <v>463601.49999999983</v>
      </c>
      <c r="G127" s="300"/>
    </row>
    <row r="128" spans="1:7">
      <c r="A128" s="363"/>
      <c r="B128" s="307">
        <v>49734</v>
      </c>
      <c r="C128" s="304"/>
      <c r="D128" s="308">
        <v>279726561.28000021</v>
      </c>
      <c r="E128" s="1091">
        <v>3241933.7200000072</v>
      </c>
      <c r="F128" s="309">
        <v>363053.85000000009</v>
      </c>
      <c r="G128" s="300"/>
    </row>
    <row r="129" spans="1:7">
      <c r="A129" s="363"/>
      <c r="B129" s="307">
        <v>49765</v>
      </c>
      <c r="C129" s="304"/>
      <c r="D129" s="308">
        <v>276484627.56000018</v>
      </c>
      <c r="E129" s="1091">
        <v>4241901.0099999988</v>
      </c>
      <c r="F129" s="309">
        <v>545902.81999999878</v>
      </c>
      <c r="G129" s="300"/>
    </row>
    <row r="130" spans="1:7">
      <c r="A130" s="363"/>
      <c r="B130" s="307">
        <v>49795</v>
      </c>
      <c r="C130" s="304"/>
      <c r="D130" s="308">
        <v>272242726.55000019</v>
      </c>
      <c r="E130" s="1091">
        <v>3342316.4900000053</v>
      </c>
      <c r="F130" s="309">
        <v>447931.14000000071</v>
      </c>
      <c r="G130" s="300"/>
    </row>
    <row r="131" spans="1:7">
      <c r="A131" s="363"/>
      <c r="B131" s="307">
        <v>49826</v>
      </c>
      <c r="C131" s="304"/>
      <c r="D131" s="308">
        <v>268900410.06000018</v>
      </c>
      <c r="E131" s="1091">
        <v>3738094.609999998</v>
      </c>
      <c r="F131" s="309">
        <v>441990.14000000019</v>
      </c>
      <c r="G131" s="300"/>
    </row>
    <row r="132" spans="1:7">
      <c r="A132" s="363"/>
      <c r="B132" s="307">
        <v>49856</v>
      </c>
      <c r="C132" s="304"/>
      <c r="D132" s="308">
        <v>265162315.4500002</v>
      </c>
      <c r="E132" s="1091">
        <v>3284599.8200000082</v>
      </c>
      <c r="F132" s="309">
        <v>436476.08000000054</v>
      </c>
      <c r="G132" s="300"/>
    </row>
    <row r="133" spans="1:7">
      <c r="A133" s="363"/>
      <c r="B133" s="307">
        <v>49887</v>
      </c>
      <c r="C133" s="304"/>
      <c r="D133" s="308">
        <v>261877715.63000017</v>
      </c>
      <c r="E133" s="1091">
        <v>3321399.8699999992</v>
      </c>
      <c r="F133" s="309">
        <v>433658.6999999996</v>
      </c>
      <c r="G133" s="300"/>
    </row>
    <row r="134" spans="1:7">
      <c r="A134" s="363"/>
      <c r="B134" s="307">
        <v>49918</v>
      </c>
      <c r="C134" s="304"/>
      <c r="D134" s="308">
        <v>258556315.76000017</v>
      </c>
      <c r="E134" s="1091">
        <v>3260003.4299999997</v>
      </c>
      <c r="F134" s="309">
        <v>427019.18000000058</v>
      </c>
      <c r="G134" s="300"/>
    </row>
    <row r="135" spans="1:7">
      <c r="A135" s="363"/>
      <c r="B135" s="307">
        <v>49948</v>
      </c>
      <c r="C135" s="304"/>
      <c r="D135" s="308">
        <v>255296312.33000016</v>
      </c>
      <c r="E135" s="1091">
        <v>3316458.4399999995</v>
      </c>
      <c r="F135" s="309">
        <v>422232.40000000037</v>
      </c>
      <c r="G135" s="300"/>
    </row>
    <row r="136" spans="1:7">
      <c r="A136" s="363"/>
      <c r="B136" s="307">
        <v>49979</v>
      </c>
      <c r="C136" s="304"/>
      <c r="D136" s="308">
        <v>251979853.89000016</v>
      </c>
      <c r="E136" s="1091">
        <v>3295551.4199999981</v>
      </c>
      <c r="F136" s="309">
        <v>419304.9000000009</v>
      </c>
      <c r="G136" s="300"/>
    </row>
    <row r="137" spans="1:7">
      <c r="A137" s="363"/>
      <c r="B137" s="307">
        <v>50009</v>
      </c>
      <c r="C137" s="304"/>
      <c r="D137" s="308">
        <v>248684302.47000018</v>
      </c>
      <c r="E137" s="1091">
        <v>3519101.549999997</v>
      </c>
      <c r="F137" s="309">
        <v>412492.9</v>
      </c>
      <c r="G137" s="300"/>
    </row>
    <row r="138" spans="1:7">
      <c r="A138" s="363"/>
      <c r="B138" s="307">
        <v>50040</v>
      </c>
      <c r="C138" s="304"/>
      <c r="D138" s="308">
        <v>245165200.9200002</v>
      </c>
      <c r="E138" s="1091">
        <v>3841771.620000002</v>
      </c>
      <c r="F138" s="309">
        <v>407978.78000000044</v>
      </c>
      <c r="G138" s="300"/>
    </row>
    <row r="139" spans="1:7">
      <c r="A139" s="363"/>
      <c r="B139" s="307">
        <v>50071</v>
      </c>
      <c r="C139" s="304"/>
      <c r="D139" s="308">
        <v>241323429.30000019</v>
      </c>
      <c r="E139" s="1091">
        <v>3258745.6899999976</v>
      </c>
      <c r="F139" s="309">
        <v>403712.58999999991</v>
      </c>
      <c r="G139" s="300"/>
    </row>
    <row r="140" spans="1:7">
      <c r="A140" s="363"/>
      <c r="B140" s="307">
        <v>50099</v>
      </c>
      <c r="C140" s="304"/>
      <c r="D140" s="308">
        <v>238064683.61000019</v>
      </c>
      <c r="E140" s="1091">
        <v>2677792.3000000035</v>
      </c>
      <c r="F140" s="309">
        <v>315685.5499999997</v>
      </c>
      <c r="G140" s="300"/>
    </row>
    <row r="141" spans="1:7">
      <c r="A141" s="363"/>
      <c r="B141" s="307">
        <v>50130</v>
      </c>
      <c r="C141" s="304"/>
      <c r="D141" s="308">
        <v>235386891.31000018</v>
      </c>
      <c r="E141" s="1091">
        <v>5724298.6499999994</v>
      </c>
      <c r="F141" s="309">
        <v>474634.97999999963</v>
      </c>
      <c r="G141" s="300"/>
    </row>
    <row r="142" spans="1:7">
      <c r="A142" s="363"/>
      <c r="B142" s="307">
        <v>50160</v>
      </c>
      <c r="C142" s="304"/>
      <c r="D142" s="308">
        <v>229662592.66000018</v>
      </c>
      <c r="E142" s="1091">
        <v>3243004.2699999963</v>
      </c>
      <c r="F142" s="309">
        <v>387226.07999999978</v>
      </c>
      <c r="G142" s="300"/>
    </row>
    <row r="143" spans="1:7">
      <c r="A143" s="363"/>
      <c r="B143" s="307">
        <v>50191</v>
      </c>
      <c r="C143" s="304"/>
      <c r="D143" s="308">
        <v>226419588.39000016</v>
      </c>
      <c r="E143" s="1091">
        <v>5997450.9099999992</v>
      </c>
      <c r="F143" s="309">
        <v>381530.56999999995</v>
      </c>
      <c r="G143" s="300"/>
    </row>
    <row r="144" spans="1:7">
      <c r="A144" s="363"/>
      <c r="B144" s="307">
        <v>50221</v>
      </c>
      <c r="C144" s="304"/>
      <c r="D144" s="308">
        <v>220422137.48000017</v>
      </c>
      <c r="E144" s="1091">
        <v>3606346.5199999982</v>
      </c>
      <c r="F144" s="309">
        <v>374274.140000001</v>
      </c>
      <c r="G144" s="300"/>
    </row>
    <row r="145" spans="1:7">
      <c r="A145" s="363"/>
      <c r="B145" s="307">
        <v>50252</v>
      </c>
      <c r="C145" s="304"/>
      <c r="D145" s="308">
        <v>216815790.96000016</v>
      </c>
      <c r="E145" s="1091">
        <v>3411149.3800000055</v>
      </c>
      <c r="F145" s="309">
        <v>370916.40999999986</v>
      </c>
      <c r="G145" s="300"/>
    </row>
    <row r="146" spans="1:7">
      <c r="A146" s="363"/>
      <c r="B146" s="307">
        <v>50283</v>
      </c>
      <c r="C146" s="304"/>
      <c r="D146" s="308">
        <v>213404641.58000016</v>
      </c>
      <c r="E146" s="1091">
        <v>4018178.2100000046</v>
      </c>
      <c r="F146" s="309">
        <v>364445.63999999978</v>
      </c>
      <c r="G146" s="300"/>
    </row>
    <row r="147" spans="1:7">
      <c r="A147" s="363"/>
      <c r="B147" s="307">
        <v>50313</v>
      </c>
      <c r="C147" s="304"/>
      <c r="D147" s="308">
        <v>209386463.37000015</v>
      </c>
      <c r="E147" s="1091">
        <v>4137636.9000000036</v>
      </c>
      <c r="F147" s="309">
        <v>359158.67999999988</v>
      </c>
      <c r="G147" s="300"/>
    </row>
    <row r="148" spans="1:7">
      <c r="A148" s="363"/>
      <c r="B148" s="307">
        <v>50344</v>
      </c>
      <c r="C148" s="304"/>
      <c r="D148" s="308">
        <v>205248826.47000015</v>
      </c>
      <c r="E148" s="1091">
        <v>3450609.5199999977</v>
      </c>
      <c r="F148" s="309">
        <v>354569.64000000089</v>
      </c>
      <c r="G148" s="300"/>
    </row>
    <row r="149" spans="1:7">
      <c r="A149" s="363"/>
      <c r="B149" s="307">
        <v>50374</v>
      </c>
      <c r="C149" s="304"/>
      <c r="D149" s="308">
        <v>201798216.95000014</v>
      </c>
      <c r="E149" s="1091">
        <v>3646122.879999998</v>
      </c>
      <c r="F149" s="309">
        <v>347628.08000000025</v>
      </c>
      <c r="G149" s="300"/>
    </row>
    <row r="150" spans="1:7">
      <c r="A150" s="363"/>
      <c r="B150" s="307">
        <v>50405</v>
      </c>
      <c r="C150" s="304"/>
      <c r="D150" s="308">
        <v>198152094.07000014</v>
      </c>
      <c r="E150" s="1091">
        <v>3260557.4000000074</v>
      </c>
      <c r="F150" s="309">
        <v>342663.37000000011</v>
      </c>
      <c r="G150" s="300"/>
    </row>
    <row r="151" spans="1:7">
      <c r="A151" s="363"/>
      <c r="B151" s="307">
        <v>50436</v>
      </c>
      <c r="C151" s="304"/>
      <c r="D151" s="308">
        <v>194891536.67000014</v>
      </c>
      <c r="E151" s="1091">
        <v>3010148.9700000025</v>
      </c>
      <c r="F151" s="309">
        <v>338610.22000000061</v>
      </c>
      <c r="G151" s="300"/>
    </row>
    <row r="152" spans="1:7">
      <c r="A152" s="363"/>
      <c r="B152" s="307">
        <v>50464</v>
      </c>
      <c r="C152" s="304"/>
      <c r="D152" s="308">
        <v>191881387.70000014</v>
      </c>
      <c r="E152" s="1091">
        <v>2359847.2100000028</v>
      </c>
      <c r="F152" s="309">
        <v>264132.97000000003</v>
      </c>
      <c r="G152" s="300"/>
    </row>
    <row r="153" spans="1:7">
      <c r="A153" s="363"/>
      <c r="B153" s="307">
        <v>50495</v>
      </c>
      <c r="C153" s="304"/>
      <c r="D153" s="308">
        <v>189521540.49000013</v>
      </c>
      <c r="E153" s="1091">
        <v>5279811.1900000116</v>
      </c>
      <c r="F153" s="309">
        <v>397147.95999999996</v>
      </c>
      <c r="G153" s="300"/>
    </row>
    <row r="154" spans="1:7">
      <c r="A154" s="363"/>
      <c r="B154" s="307">
        <v>50525</v>
      </c>
      <c r="C154" s="304"/>
      <c r="D154" s="308">
        <v>184241729.30000013</v>
      </c>
      <c r="E154" s="1091">
        <v>2945571.4199999971</v>
      </c>
      <c r="F154" s="309">
        <v>321334.57</v>
      </c>
      <c r="G154" s="300"/>
    </row>
    <row r="155" spans="1:7">
      <c r="A155" s="363"/>
      <c r="B155" s="307">
        <v>50556</v>
      </c>
      <c r="C155" s="304"/>
      <c r="D155" s="308">
        <v>181296157.88000014</v>
      </c>
      <c r="E155" s="1091">
        <v>2906935.7999999984</v>
      </c>
      <c r="F155" s="309">
        <v>316101.07000000018</v>
      </c>
      <c r="G155" s="300"/>
    </row>
    <row r="156" spans="1:7">
      <c r="A156" s="363"/>
      <c r="B156" s="307">
        <v>50586</v>
      </c>
      <c r="C156" s="304"/>
      <c r="D156" s="308">
        <v>178389222.08000013</v>
      </c>
      <c r="E156" s="1091">
        <v>2881231.6600000011</v>
      </c>
      <c r="F156" s="309">
        <v>311308.2100000002</v>
      </c>
      <c r="G156" s="300"/>
    </row>
    <row r="157" spans="1:7">
      <c r="A157" s="363"/>
      <c r="B157" s="307">
        <v>50617</v>
      </c>
      <c r="C157" s="304"/>
      <c r="D157" s="308">
        <v>175507990.42000014</v>
      </c>
      <c r="E157" s="1091">
        <v>2967624.9799999958</v>
      </c>
      <c r="F157" s="309">
        <v>308353.99000000011</v>
      </c>
      <c r="G157" s="300"/>
    </row>
    <row r="158" spans="1:7">
      <c r="A158" s="363"/>
      <c r="B158" s="307">
        <v>50648</v>
      </c>
      <c r="C158" s="304"/>
      <c r="D158" s="308">
        <v>172540365.44000015</v>
      </c>
      <c r="E158" s="1091">
        <v>3025475.8199999947</v>
      </c>
      <c r="F158" s="309">
        <v>302606.13000000012</v>
      </c>
      <c r="G158" s="300"/>
    </row>
    <row r="159" spans="1:7">
      <c r="A159" s="363"/>
      <c r="B159" s="307">
        <v>50678</v>
      </c>
      <c r="C159" s="304"/>
      <c r="D159" s="308">
        <v>169514889.62000015</v>
      </c>
      <c r="E159" s="1091">
        <v>2803596.8899999992</v>
      </c>
      <c r="F159" s="309">
        <v>297905.32999999932</v>
      </c>
      <c r="G159" s="300"/>
    </row>
    <row r="160" spans="1:7">
      <c r="A160" s="363"/>
      <c r="B160" s="307">
        <v>50709</v>
      </c>
      <c r="C160" s="304"/>
      <c r="D160" s="308">
        <v>166711292.73000017</v>
      </c>
      <c r="E160" s="1091">
        <v>3197497.080000008</v>
      </c>
      <c r="F160" s="309">
        <v>295031.24000000005</v>
      </c>
      <c r="G160" s="300"/>
    </row>
    <row r="161" spans="1:7">
      <c r="A161" s="363"/>
      <c r="B161" s="307">
        <v>50739</v>
      </c>
      <c r="C161" s="304"/>
      <c r="D161" s="308">
        <v>163513795.65000015</v>
      </c>
      <c r="E161" s="1091">
        <v>2755315.1700000032</v>
      </c>
      <c r="F161" s="309">
        <v>288270.69999999978</v>
      </c>
      <c r="G161" s="300"/>
    </row>
    <row r="162" spans="1:7">
      <c r="A162" s="363"/>
      <c r="B162" s="307">
        <v>50770</v>
      </c>
      <c r="C162" s="304"/>
      <c r="D162" s="308">
        <v>160758480.48000014</v>
      </c>
      <c r="E162" s="1091">
        <v>2755206.7799999989</v>
      </c>
      <c r="F162" s="309">
        <v>284395.22000000038</v>
      </c>
      <c r="G162" s="300"/>
    </row>
    <row r="163" spans="1:7">
      <c r="A163" s="363"/>
      <c r="B163" s="307">
        <v>50801</v>
      </c>
      <c r="C163" s="304"/>
      <c r="D163" s="308">
        <v>158003273.70000014</v>
      </c>
      <c r="E163" s="1091">
        <v>2932485.409999995</v>
      </c>
      <c r="F163" s="309">
        <v>280991.64000000013</v>
      </c>
      <c r="G163" s="300"/>
    </row>
    <row r="164" spans="1:7">
      <c r="A164" s="363"/>
      <c r="B164" s="307">
        <v>50829</v>
      </c>
      <c r="C164" s="304"/>
      <c r="D164" s="308">
        <v>155070788.29000014</v>
      </c>
      <c r="E164" s="1091">
        <v>2191351.1500000041</v>
      </c>
      <c r="F164" s="309">
        <v>218636.7399999999</v>
      </c>
      <c r="G164" s="300"/>
    </row>
    <row r="165" spans="1:7">
      <c r="A165" s="363"/>
      <c r="B165" s="307">
        <v>50860</v>
      </c>
      <c r="C165" s="304"/>
      <c r="D165" s="308">
        <v>152879437.14000013</v>
      </c>
      <c r="E165" s="1091">
        <v>3270149.2200000021</v>
      </c>
      <c r="F165" s="309">
        <v>328291.54000000015</v>
      </c>
      <c r="G165" s="300"/>
    </row>
    <row r="166" spans="1:7">
      <c r="A166" s="363"/>
      <c r="B166" s="307">
        <v>50890</v>
      </c>
      <c r="C166" s="304"/>
      <c r="D166" s="308">
        <v>149609287.92000014</v>
      </c>
      <c r="E166" s="1091">
        <v>2765484.0199999949</v>
      </c>
      <c r="F166" s="309">
        <v>267921.95999999979</v>
      </c>
      <c r="G166" s="300"/>
    </row>
    <row r="167" spans="1:7">
      <c r="A167" s="363"/>
      <c r="B167" s="307">
        <v>50921</v>
      </c>
      <c r="C167" s="304"/>
      <c r="D167" s="308">
        <v>146843803.90000015</v>
      </c>
      <c r="E167" s="1091">
        <v>2714053.8100000028</v>
      </c>
      <c r="F167" s="309">
        <v>263125.98</v>
      </c>
      <c r="G167" s="300"/>
    </row>
    <row r="168" spans="1:7">
      <c r="A168" s="363"/>
      <c r="B168" s="307">
        <v>50951</v>
      </c>
      <c r="C168" s="304"/>
      <c r="D168" s="308">
        <v>144129750.09000015</v>
      </c>
      <c r="E168" s="1091">
        <v>2668810.2500000084</v>
      </c>
      <c r="F168" s="309">
        <v>258626.44999999975</v>
      </c>
      <c r="G168" s="300"/>
    </row>
    <row r="169" spans="1:7">
      <c r="A169" s="363"/>
      <c r="B169" s="307">
        <v>50982</v>
      </c>
      <c r="C169" s="304"/>
      <c r="D169" s="308">
        <v>141460939.84000015</v>
      </c>
      <c r="E169" s="1091">
        <v>2706487.5299999979</v>
      </c>
      <c r="F169" s="309">
        <v>255654.38999999998</v>
      </c>
      <c r="G169" s="300"/>
    </row>
    <row r="170" spans="1:7">
      <c r="A170" s="363"/>
      <c r="B170" s="307">
        <v>51013</v>
      </c>
      <c r="C170" s="304"/>
      <c r="D170" s="308">
        <v>138754452.31000015</v>
      </c>
      <c r="E170" s="1091">
        <v>2634869.4700000011</v>
      </c>
      <c r="F170" s="309">
        <v>250508.86000000025</v>
      </c>
      <c r="G170" s="300"/>
    </row>
    <row r="171" spans="1:7">
      <c r="A171" s="363"/>
      <c r="B171" s="307">
        <v>51043</v>
      </c>
      <c r="C171" s="304"/>
      <c r="D171" s="308">
        <v>136119582.84000015</v>
      </c>
      <c r="E171" s="1091">
        <v>2624217.29</v>
      </c>
      <c r="F171" s="309">
        <v>246267.94999999955</v>
      </c>
      <c r="G171" s="300"/>
    </row>
    <row r="172" spans="1:7">
      <c r="A172" s="363"/>
      <c r="B172" s="307">
        <v>51074</v>
      </c>
      <c r="C172" s="304"/>
      <c r="D172" s="308">
        <v>133495365.55000015</v>
      </c>
      <c r="E172" s="1091">
        <v>2907155.9899999918</v>
      </c>
      <c r="F172" s="309">
        <v>243272.49000000063</v>
      </c>
      <c r="G172" s="300"/>
    </row>
    <row r="173" spans="1:7">
      <c r="A173" s="363"/>
      <c r="B173" s="307">
        <v>51104</v>
      </c>
      <c r="C173" s="304"/>
      <c r="D173" s="308">
        <v>130588209.56000015</v>
      </c>
      <c r="E173" s="1091">
        <v>2592704.1499999976</v>
      </c>
      <c r="F173" s="309">
        <v>237195.52000000002</v>
      </c>
      <c r="G173" s="300"/>
    </row>
    <row r="174" spans="1:7">
      <c r="A174" s="363"/>
      <c r="B174" s="307">
        <v>51135</v>
      </c>
      <c r="C174" s="304"/>
      <c r="D174" s="308">
        <v>127995505.41000016</v>
      </c>
      <c r="E174" s="1091">
        <v>2589899.2900000033</v>
      </c>
      <c r="F174" s="309">
        <v>233422.01999999987</v>
      </c>
      <c r="G174" s="300"/>
    </row>
    <row r="175" spans="1:7">
      <c r="A175" s="363"/>
      <c r="B175" s="307">
        <v>51166</v>
      </c>
      <c r="C175" s="304"/>
      <c r="D175" s="308">
        <v>125405606.12000015</v>
      </c>
      <c r="E175" s="1091">
        <v>2589708.7600000007</v>
      </c>
      <c r="F175" s="309">
        <v>229953.94999999963</v>
      </c>
      <c r="G175" s="300"/>
    </row>
    <row r="176" spans="1:7">
      <c r="A176" s="363"/>
      <c r="B176" s="307">
        <v>51195</v>
      </c>
      <c r="C176" s="304"/>
      <c r="D176" s="308">
        <v>122815897.36000015</v>
      </c>
      <c r="E176" s="1091">
        <v>2041860.8999999976</v>
      </c>
      <c r="F176" s="309">
        <v>178531.46000000005</v>
      </c>
      <c r="G176" s="300"/>
    </row>
    <row r="177" spans="1:7">
      <c r="A177" s="363"/>
      <c r="B177" s="307">
        <v>51226</v>
      </c>
      <c r="C177" s="304"/>
      <c r="D177" s="308">
        <v>120774036.46000016</v>
      </c>
      <c r="E177" s="1091">
        <v>2979926.6499999985</v>
      </c>
      <c r="F177" s="309">
        <v>267895.95999999973</v>
      </c>
      <c r="G177" s="300"/>
    </row>
    <row r="178" spans="1:7">
      <c r="A178" s="363"/>
      <c r="B178" s="307">
        <v>51256</v>
      </c>
      <c r="C178" s="304"/>
      <c r="D178" s="308">
        <v>117794109.81000015</v>
      </c>
      <c r="E178" s="1091">
        <v>2516719.4299999997</v>
      </c>
      <c r="F178" s="309">
        <v>217779.73999999976</v>
      </c>
      <c r="G178" s="300"/>
    </row>
    <row r="179" spans="1:7">
      <c r="A179" s="363"/>
      <c r="B179" s="307">
        <v>51287</v>
      </c>
      <c r="C179" s="304"/>
      <c r="D179" s="308">
        <v>115277390.38000014</v>
      </c>
      <c r="E179" s="1091">
        <v>2473335.4299999997</v>
      </c>
      <c r="F179" s="309">
        <v>213435.34999999971</v>
      </c>
      <c r="G179" s="300"/>
    </row>
    <row r="180" spans="1:7">
      <c r="A180" s="363"/>
      <c r="B180" s="307">
        <v>51317</v>
      </c>
      <c r="C180" s="304"/>
      <c r="D180" s="308">
        <v>112804054.95000014</v>
      </c>
      <c r="E180" s="1091">
        <v>2433416.0799999987</v>
      </c>
      <c r="F180" s="309">
        <v>209249.3800000003</v>
      </c>
      <c r="G180" s="300"/>
    </row>
    <row r="181" spans="1:7">
      <c r="A181" s="363"/>
      <c r="B181" s="307">
        <v>51348</v>
      </c>
      <c r="C181" s="304"/>
      <c r="D181" s="308">
        <v>110370638.87000014</v>
      </c>
      <c r="E181" s="1091">
        <v>2470670.5500000012</v>
      </c>
      <c r="F181" s="309">
        <v>206184.08999999988</v>
      </c>
      <c r="G181" s="300"/>
    </row>
    <row r="182" spans="1:7">
      <c r="A182" s="363"/>
      <c r="B182" s="307">
        <v>51379</v>
      </c>
      <c r="C182" s="304"/>
      <c r="D182" s="308">
        <v>107899968.32000014</v>
      </c>
      <c r="E182" s="1091">
        <v>2390004.0100000012</v>
      </c>
      <c r="F182" s="309">
        <v>201580.27000000011</v>
      </c>
      <c r="G182" s="300"/>
    </row>
    <row r="183" spans="1:7">
      <c r="A183" s="363"/>
      <c r="B183" s="307">
        <v>51409</v>
      </c>
      <c r="C183" s="304"/>
      <c r="D183" s="308">
        <v>105509964.31000014</v>
      </c>
      <c r="E183" s="1091">
        <v>2350474.3300000043</v>
      </c>
      <c r="F183" s="309">
        <v>197626.2899999998</v>
      </c>
      <c r="G183" s="300"/>
    </row>
    <row r="184" spans="1:7">
      <c r="A184" s="363"/>
      <c r="B184" s="307">
        <v>51440</v>
      </c>
      <c r="C184" s="304"/>
      <c r="D184" s="308">
        <v>103159489.98000014</v>
      </c>
      <c r="E184" s="1091">
        <v>2364507.4500000007</v>
      </c>
      <c r="F184" s="309">
        <v>194580.21000000028</v>
      </c>
      <c r="G184" s="300"/>
    </row>
    <row r="185" spans="1:7">
      <c r="A185" s="363"/>
      <c r="B185" s="307">
        <v>51470</v>
      </c>
      <c r="C185" s="304"/>
      <c r="D185" s="308">
        <v>100794982.53000014</v>
      </c>
      <c r="E185" s="1091">
        <v>2277178.0700000022</v>
      </c>
      <c r="F185" s="309">
        <v>190072.24999999977</v>
      </c>
      <c r="G185" s="300"/>
    </row>
    <row r="186" spans="1:7">
      <c r="A186" s="363"/>
      <c r="B186" s="307">
        <v>51501</v>
      </c>
      <c r="C186" s="304"/>
      <c r="D186" s="308">
        <v>98517804.460000128</v>
      </c>
      <c r="E186" s="1091">
        <v>2246966.2000000011</v>
      </c>
      <c r="F186" s="309">
        <v>186567.60999999984</v>
      </c>
      <c r="G186" s="300"/>
    </row>
    <row r="187" spans="1:7">
      <c r="A187" s="363"/>
      <c r="B187" s="307">
        <v>51532</v>
      </c>
      <c r="C187" s="304"/>
      <c r="D187" s="308">
        <v>96270838.260000125</v>
      </c>
      <c r="E187" s="1091">
        <v>2261330.5699999984</v>
      </c>
      <c r="F187" s="309">
        <v>183240.40000000014</v>
      </c>
      <c r="G187" s="300"/>
    </row>
    <row r="188" spans="1:7">
      <c r="A188" s="363"/>
      <c r="B188" s="307">
        <v>51560</v>
      </c>
      <c r="C188" s="304"/>
      <c r="D188" s="308">
        <v>94009507.690000132</v>
      </c>
      <c r="E188" s="1091">
        <v>1755855.9500000004</v>
      </c>
      <c r="F188" s="309">
        <v>142105.59000000003</v>
      </c>
      <c r="G188" s="300"/>
    </row>
    <row r="189" spans="1:7">
      <c r="A189" s="363"/>
      <c r="B189" s="307">
        <v>51591</v>
      </c>
      <c r="C189" s="304"/>
      <c r="D189" s="308">
        <v>92253651.740000129</v>
      </c>
      <c r="E189" s="1091">
        <v>2596324.9299999969</v>
      </c>
      <c r="F189" s="309">
        <v>212534.55</v>
      </c>
      <c r="G189" s="300"/>
    </row>
    <row r="190" spans="1:7">
      <c r="A190" s="363"/>
      <c r="B190" s="307">
        <v>51621</v>
      </c>
      <c r="C190" s="304"/>
      <c r="D190" s="308">
        <v>89657326.810000136</v>
      </c>
      <c r="E190" s="1091">
        <v>2177855.1900000041</v>
      </c>
      <c r="F190" s="309">
        <v>172219.6800000002</v>
      </c>
      <c r="G190" s="300"/>
    </row>
    <row r="191" spans="1:7">
      <c r="A191" s="363"/>
      <c r="B191" s="307">
        <v>51652</v>
      </c>
      <c r="C191" s="304"/>
      <c r="D191" s="308">
        <v>87479471.620000139</v>
      </c>
      <c r="E191" s="1091">
        <v>2792739.1500000032</v>
      </c>
      <c r="F191" s="309">
        <v>168448.81999999998</v>
      </c>
      <c r="G191" s="300"/>
    </row>
    <row r="192" spans="1:7">
      <c r="A192" s="363"/>
      <c r="B192" s="307">
        <v>51682</v>
      </c>
      <c r="C192" s="304"/>
      <c r="D192" s="308">
        <v>84686732.470000133</v>
      </c>
      <c r="E192" s="1091">
        <v>2070563.6500000006</v>
      </c>
      <c r="F192" s="309">
        <v>162932.05000000019</v>
      </c>
      <c r="G192" s="300"/>
    </row>
    <row r="193" spans="1:7">
      <c r="A193" s="363"/>
      <c r="B193" s="307">
        <v>51713</v>
      </c>
      <c r="C193" s="304"/>
      <c r="D193" s="308">
        <v>82616168.820000127</v>
      </c>
      <c r="E193" s="1091">
        <v>2094959.3599999996</v>
      </c>
      <c r="F193" s="309">
        <v>159959.30999999997</v>
      </c>
      <c r="G193" s="300"/>
    </row>
    <row r="194" spans="1:7">
      <c r="A194" s="363"/>
      <c r="B194" s="307">
        <v>51744</v>
      </c>
      <c r="C194" s="304"/>
      <c r="D194" s="308">
        <v>80521209.460000128</v>
      </c>
      <c r="E194" s="1091">
        <v>2014104.0899999978</v>
      </c>
      <c r="F194" s="309">
        <v>156077.30999999994</v>
      </c>
      <c r="G194" s="300"/>
    </row>
    <row r="195" spans="1:7">
      <c r="A195" s="363"/>
      <c r="B195" s="307">
        <v>51774</v>
      </c>
      <c r="C195" s="304"/>
      <c r="D195" s="308">
        <v>78507105.370000124</v>
      </c>
      <c r="E195" s="1091">
        <v>2002354.919999999</v>
      </c>
      <c r="F195" s="309">
        <v>152548.87</v>
      </c>
      <c r="G195" s="300"/>
    </row>
    <row r="196" spans="1:7">
      <c r="A196" s="363"/>
      <c r="B196" s="307">
        <v>51805</v>
      </c>
      <c r="C196" s="304"/>
      <c r="D196" s="308">
        <v>76504750.450000122</v>
      </c>
      <c r="E196" s="1091">
        <v>2021057.7300000002</v>
      </c>
      <c r="F196" s="309">
        <v>149534.79999999999</v>
      </c>
      <c r="G196" s="300"/>
    </row>
    <row r="197" spans="1:7">
      <c r="A197" s="363"/>
      <c r="B197" s="307">
        <v>51835</v>
      </c>
      <c r="C197" s="304"/>
      <c r="D197" s="308">
        <v>74483692.720000118</v>
      </c>
      <c r="E197" s="1091">
        <v>1962940.7299999979</v>
      </c>
      <c r="F197" s="309">
        <v>145683.92999999988</v>
      </c>
      <c r="G197" s="300"/>
    </row>
    <row r="198" spans="1:7">
      <c r="A198" s="363"/>
      <c r="B198" s="307">
        <v>51866</v>
      </c>
      <c r="C198" s="304"/>
      <c r="D198" s="308">
        <v>72520751.990000114</v>
      </c>
      <c r="E198" s="1091">
        <v>1934789.3199999982</v>
      </c>
      <c r="F198" s="309">
        <v>142416.64000000004</v>
      </c>
      <c r="G198" s="300"/>
    </row>
    <row r="199" spans="1:7">
      <c r="A199" s="363"/>
      <c r="B199" s="307">
        <v>51897</v>
      </c>
      <c r="C199" s="304"/>
      <c r="D199" s="308">
        <v>70585962.670000121</v>
      </c>
      <c r="E199" s="1091">
        <v>1949590.3999999966</v>
      </c>
      <c r="F199" s="309">
        <v>139133.24000000011</v>
      </c>
      <c r="G199" s="300"/>
    </row>
    <row r="200" spans="1:7">
      <c r="A200" s="363"/>
      <c r="B200" s="307">
        <v>51925</v>
      </c>
      <c r="C200" s="304"/>
      <c r="D200" s="308">
        <v>68636372.27000013</v>
      </c>
      <c r="E200" s="1091">
        <v>1500624.18</v>
      </c>
      <c r="F200" s="309">
        <v>107505.23999999987</v>
      </c>
      <c r="G200" s="300"/>
    </row>
    <row r="201" spans="1:7">
      <c r="A201" s="363"/>
      <c r="B201" s="307">
        <v>51956</v>
      </c>
      <c r="C201" s="304"/>
      <c r="D201" s="308">
        <v>67135748.090000123</v>
      </c>
      <c r="E201" s="1091">
        <v>2275910.6700000023</v>
      </c>
      <c r="F201" s="309">
        <v>160204.8300000001</v>
      </c>
      <c r="G201" s="300"/>
    </row>
    <row r="202" spans="1:7">
      <c r="A202" s="363"/>
      <c r="B202" s="307">
        <v>51986</v>
      </c>
      <c r="C202" s="304"/>
      <c r="D202" s="308">
        <v>64859837.420000121</v>
      </c>
      <c r="E202" s="1091">
        <v>1910219.600000001</v>
      </c>
      <c r="F202" s="309">
        <v>128847.5799999999</v>
      </c>
      <c r="G202" s="300"/>
    </row>
    <row r="203" spans="1:7">
      <c r="A203" s="363"/>
      <c r="B203" s="307">
        <v>52017</v>
      </c>
      <c r="C203" s="304"/>
      <c r="D203" s="308">
        <v>62949617.82000012</v>
      </c>
      <c r="E203" s="1091">
        <v>1845622.9600000007</v>
      </c>
      <c r="F203" s="309">
        <v>125482.89</v>
      </c>
      <c r="G203" s="300"/>
    </row>
    <row r="204" spans="1:7">
      <c r="A204" s="363"/>
      <c r="B204" s="307">
        <v>52047</v>
      </c>
      <c r="C204" s="304"/>
      <c r="D204" s="308">
        <v>61103994.860000119</v>
      </c>
      <c r="E204" s="1091">
        <v>1813329.2200000009</v>
      </c>
      <c r="F204" s="309">
        <v>121990.44000000005</v>
      </c>
      <c r="G204" s="300"/>
    </row>
    <row r="205" spans="1:7">
      <c r="A205" s="363"/>
      <c r="B205" s="307">
        <v>52078</v>
      </c>
      <c r="C205" s="304"/>
      <c r="D205" s="308">
        <v>59290665.64000012</v>
      </c>
      <c r="E205" s="1091">
        <v>1821446.1300000001</v>
      </c>
      <c r="F205" s="309">
        <v>118848.81999999996</v>
      </c>
      <c r="G205" s="300"/>
    </row>
    <row r="206" spans="1:7">
      <c r="A206" s="363"/>
      <c r="B206" s="307">
        <v>52109</v>
      </c>
      <c r="C206" s="304"/>
      <c r="D206" s="308">
        <v>57469219.510000117</v>
      </c>
      <c r="E206" s="1091">
        <v>1712699.1899999992</v>
      </c>
      <c r="F206" s="309">
        <v>115403.83999999997</v>
      </c>
      <c r="G206" s="300"/>
    </row>
    <row r="207" spans="1:7">
      <c r="A207" s="363"/>
      <c r="B207" s="307">
        <v>52139</v>
      </c>
      <c r="C207" s="304"/>
      <c r="D207" s="308">
        <v>55756520.32000012</v>
      </c>
      <c r="E207" s="1091">
        <v>1688738.8099999996</v>
      </c>
      <c r="F207" s="309">
        <v>112080.29</v>
      </c>
      <c r="G207" s="300"/>
    </row>
    <row r="208" spans="1:7">
      <c r="A208" s="363"/>
      <c r="B208" s="307">
        <v>52170</v>
      </c>
      <c r="C208" s="304"/>
      <c r="D208" s="308">
        <v>54067781.510000117</v>
      </c>
      <c r="E208" s="1091">
        <v>1628676.7199999997</v>
      </c>
      <c r="F208" s="309">
        <v>108960.61999999998</v>
      </c>
      <c r="G208" s="300"/>
    </row>
    <row r="209" spans="1:7">
      <c r="A209" s="363"/>
      <c r="B209" s="307">
        <v>52200</v>
      </c>
      <c r="C209" s="304"/>
      <c r="D209" s="308">
        <v>52439104.790000118</v>
      </c>
      <c r="E209" s="1091">
        <v>1576961.7200000004</v>
      </c>
      <c r="F209" s="309">
        <v>105665.31999999999</v>
      </c>
      <c r="G209" s="300"/>
    </row>
    <row r="210" spans="1:7">
      <c r="A210" s="363"/>
      <c r="B210" s="307">
        <v>52231</v>
      </c>
      <c r="C210" s="304"/>
      <c r="D210" s="308">
        <v>50862143.07000012</v>
      </c>
      <c r="E210" s="1091">
        <v>1534863.2900000017</v>
      </c>
      <c r="F210" s="309">
        <v>102653.27000000006</v>
      </c>
      <c r="G210" s="300"/>
    </row>
    <row r="211" spans="1:7">
      <c r="A211" s="363"/>
      <c r="B211" s="307">
        <v>52262</v>
      </c>
      <c r="C211" s="304"/>
      <c r="D211" s="308">
        <v>49327279.78000012</v>
      </c>
      <c r="E211" s="1091">
        <v>1499530.5299999996</v>
      </c>
      <c r="F211" s="309">
        <v>99526.620000000112</v>
      </c>
      <c r="G211" s="300"/>
    </row>
    <row r="212" spans="1:7">
      <c r="A212" s="363"/>
      <c r="B212" s="307">
        <v>52290</v>
      </c>
      <c r="C212" s="304"/>
      <c r="D212" s="308">
        <v>47827749.250000119</v>
      </c>
      <c r="E212" s="1091">
        <v>1176161.8599999994</v>
      </c>
      <c r="F212" s="309">
        <v>77048.129999999961</v>
      </c>
      <c r="G212" s="300"/>
    </row>
    <row r="213" spans="1:7">
      <c r="A213" s="363"/>
      <c r="B213" s="307">
        <v>52321</v>
      </c>
      <c r="C213" s="304"/>
      <c r="D213" s="308">
        <v>46651587.39000012</v>
      </c>
      <c r="E213" s="1091">
        <v>1729380.5599999996</v>
      </c>
      <c r="F213" s="309">
        <v>112970.62000000005</v>
      </c>
      <c r="G213" s="300"/>
    </row>
    <row r="214" spans="1:7">
      <c r="A214" s="363"/>
      <c r="B214" s="307">
        <v>52351</v>
      </c>
      <c r="C214" s="304"/>
      <c r="D214" s="308">
        <v>44922206.830000117</v>
      </c>
      <c r="E214" s="1091">
        <v>1395831.5000000019</v>
      </c>
      <c r="F214" s="309">
        <v>90549.939999999944</v>
      </c>
      <c r="G214" s="300"/>
    </row>
    <row r="215" spans="1:7">
      <c r="A215" s="363"/>
      <c r="B215" s="307">
        <v>52382</v>
      </c>
      <c r="C215" s="304"/>
      <c r="D215" s="308">
        <v>43526375.330000117</v>
      </c>
      <c r="E215" s="1091">
        <v>1367475.1300000018</v>
      </c>
      <c r="F215" s="309">
        <v>87796.030000000042</v>
      </c>
      <c r="G215" s="300"/>
    </row>
    <row r="216" spans="1:7">
      <c r="A216" s="363"/>
      <c r="B216" s="307">
        <v>52412</v>
      </c>
      <c r="C216" s="304"/>
      <c r="D216" s="308">
        <v>42158900.200000115</v>
      </c>
      <c r="E216" s="1091">
        <v>1342312.36</v>
      </c>
      <c r="F216" s="309">
        <v>84905.420000000042</v>
      </c>
      <c r="G216" s="300"/>
    </row>
    <row r="217" spans="1:7">
      <c r="A217" s="363"/>
      <c r="B217" s="307">
        <v>52443</v>
      </c>
      <c r="C217" s="304"/>
      <c r="D217" s="308">
        <v>40816587.840000115</v>
      </c>
      <c r="E217" s="1091">
        <v>1292040.0299999993</v>
      </c>
      <c r="F217" s="309">
        <v>82240.890000000043</v>
      </c>
      <c r="G217" s="300"/>
    </row>
    <row r="218" spans="1:7">
      <c r="A218" s="363"/>
      <c r="B218" s="307">
        <v>52474</v>
      </c>
      <c r="C218" s="304"/>
      <c r="D218" s="308">
        <v>39524547.810000114</v>
      </c>
      <c r="E218" s="1091">
        <v>1228766.1500000022</v>
      </c>
      <c r="F218" s="309">
        <v>79573.520000000019</v>
      </c>
      <c r="G218" s="300"/>
    </row>
    <row r="219" spans="1:7">
      <c r="A219" s="363"/>
      <c r="B219" s="307">
        <v>52504</v>
      </c>
      <c r="C219" s="304"/>
      <c r="D219" s="308">
        <v>38295781.660000116</v>
      </c>
      <c r="E219" s="1091">
        <v>1209646.9300000002</v>
      </c>
      <c r="F219" s="309">
        <v>77070.879999999946</v>
      </c>
      <c r="G219" s="300"/>
    </row>
    <row r="220" spans="1:7">
      <c r="A220" s="363"/>
      <c r="B220" s="307">
        <v>52535</v>
      </c>
      <c r="C220" s="304"/>
      <c r="D220" s="308">
        <v>37086134.730000116</v>
      </c>
      <c r="E220" s="1091">
        <v>1201684.0900000001</v>
      </c>
      <c r="F220" s="309">
        <v>74737.860000000015</v>
      </c>
      <c r="G220" s="300"/>
    </row>
    <row r="221" spans="1:7">
      <c r="A221" s="363"/>
      <c r="B221" s="307">
        <v>52565</v>
      </c>
      <c r="C221" s="304"/>
      <c r="D221" s="308">
        <v>35884450.640000112</v>
      </c>
      <c r="E221" s="1091">
        <v>1169826.1900000002</v>
      </c>
      <c r="F221" s="309">
        <v>72278.659999999945</v>
      </c>
      <c r="G221" s="300"/>
    </row>
    <row r="222" spans="1:7">
      <c r="A222" s="363"/>
      <c r="B222" s="307">
        <v>52596</v>
      </c>
      <c r="C222" s="304"/>
      <c r="D222" s="308">
        <v>34714624.450000115</v>
      </c>
      <c r="E222" s="1091">
        <v>1128567.3800000006</v>
      </c>
      <c r="F222" s="309">
        <v>70052.900000000038</v>
      </c>
      <c r="G222" s="300"/>
    </row>
    <row r="223" spans="1:7">
      <c r="A223" s="363"/>
      <c r="B223" s="307">
        <v>52627</v>
      </c>
      <c r="C223" s="304"/>
      <c r="D223" s="308">
        <v>33586057.070000112</v>
      </c>
      <c r="E223" s="1091">
        <v>1083056.2099999997</v>
      </c>
      <c r="F223" s="309">
        <v>67858.37000000001</v>
      </c>
      <c r="G223" s="300"/>
    </row>
    <row r="224" spans="1:7">
      <c r="A224" s="363"/>
      <c r="B224" s="307">
        <v>52656</v>
      </c>
      <c r="C224" s="304"/>
      <c r="D224" s="308">
        <v>32503000.860000111</v>
      </c>
      <c r="E224" s="1091">
        <v>877354.09999999963</v>
      </c>
      <c r="F224" s="309">
        <v>53335.309999999983</v>
      </c>
      <c r="G224" s="300"/>
    </row>
    <row r="225" spans="1:7">
      <c r="A225" s="363"/>
      <c r="B225" s="307">
        <v>52687</v>
      </c>
      <c r="C225" s="304"/>
      <c r="D225" s="308">
        <v>31625646.76000011</v>
      </c>
      <c r="E225" s="1091">
        <v>1256196.1300000006</v>
      </c>
      <c r="F225" s="309">
        <v>76323.210000000021</v>
      </c>
      <c r="G225" s="300"/>
    </row>
    <row r="226" spans="1:7">
      <c r="A226" s="363"/>
      <c r="B226" s="307">
        <v>52717</v>
      </c>
      <c r="C226" s="304"/>
      <c r="D226" s="308">
        <v>30369450.630000111</v>
      </c>
      <c r="E226" s="1091">
        <v>1033629.4199999997</v>
      </c>
      <c r="F226" s="309">
        <v>61829.099999999977</v>
      </c>
      <c r="G226" s="300"/>
    </row>
    <row r="227" spans="1:7">
      <c r="A227" s="363"/>
      <c r="B227" s="307">
        <v>52748</v>
      </c>
      <c r="C227" s="304"/>
      <c r="D227" s="308">
        <v>29335821.210000113</v>
      </c>
      <c r="E227" s="1091">
        <v>1027171.7099999995</v>
      </c>
      <c r="F227" s="309">
        <v>59979.21</v>
      </c>
      <c r="G227" s="300"/>
    </row>
    <row r="228" spans="1:7">
      <c r="A228" s="363"/>
      <c r="B228" s="307">
        <v>52778</v>
      </c>
      <c r="C228" s="304"/>
      <c r="D228" s="308">
        <v>28308649.500000112</v>
      </c>
      <c r="E228" s="1091">
        <v>1012131.8200000004</v>
      </c>
      <c r="F228" s="309">
        <v>58052.729999999938</v>
      </c>
      <c r="G228" s="300"/>
    </row>
    <row r="229" spans="1:7">
      <c r="A229" s="363"/>
      <c r="B229" s="307">
        <v>52809</v>
      </c>
      <c r="C229" s="304"/>
      <c r="D229" s="308">
        <v>27296517.680000111</v>
      </c>
      <c r="E229" s="1092">
        <v>1009194.8800000004</v>
      </c>
      <c r="F229" s="309">
        <v>56262.900000000016</v>
      </c>
      <c r="G229" s="300"/>
    </row>
    <row r="230" spans="1:7">
      <c r="A230" s="363"/>
      <c r="B230" s="307">
        <v>52840</v>
      </c>
      <c r="C230" s="304"/>
      <c r="D230" s="308">
        <v>26287322.800000113</v>
      </c>
      <c r="E230" s="1092">
        <v>997362.19999999984</v>
      </c>
      <c r="F230" s="309">
        <v>54420.29000000003</v>
      </c>
      <c r="G230" s="300"/>
    </row>
    <row r="231" spans="1:7">
      <c r="A231" s="363"/>
      <c r="B231" s="307">
        <v>52870</v>
      </c>
      <c r="C231" s="304"/>
      <c r="D231" s="308">
        <v>25289960.600000113</v>
      </c>
      <c r="E231" s="1092">
        <v>992469.2999999997</v>
      </c>
      <c r="F231" s="309">
        <v>52604.400000000016</v>
      </c>
      <c r="G231" s="300"/>
    </row>
    <row r="232" spans="1:7">
      <c r="A232" s="363"/>
      <c r="B232" s="307">
        <v>52901</v>
      </c>
      <c r="C232" s="304"/>
      <c r="D232" s="308">
        <v>24297491.300000113</v>
      </c>
      <c r="E232" s="1092">
        <v>975344.31000000029</v>
      </c>
      <c r="F232" s="309">
        <v>50853.259999999958</v>
      </c>
      <c r="G232" s="300"/>
    </row>
    <row r="233" spans="1:7">
      <c r="A233" s="363"/>
      <c r="B233" s="307">
        <v>52931</v>
      </c>
      <c r="C233" s="304"/>
      <c r="D233" s="308">
        <v>23322146.990000114</v>
      </c>
      <c r="E233" s="1092">
        <v>959230.21000000008</v>
      </c>
      <c r="F233" s="309">
        <v>49078.369999999974</v>
      </c>
      <c r="G233" s="300"/>
    </row>
    <row r="234" spans="1:7">
      <c r="A234" s="363"/>
      <c r="B234" s="307">
        <v>52962</v>
      </c>
      <c r="C234" s="304"/>
      <c r="D234" s="308">
        <v>22362916.780000113</v>
      </c>
      <c r="E234" s="1092">
        <v>939010.10999999987</v>
      </c>
      <c r="F234" s="309">
        <v>47401.759999999973</v>
      </c>
      <c r="G234" s="300"/>
    </row>
    <row r="235" spans="1:7">
      <c r="A235" s="363"/>
      <c r="B235" s="307">
        <v>52993</v>
      </c>
      <c r="C235" s="304"/>
      <c r="D235" s="308">
        <v>21423906.670000114</v>
      </c>
      <c r="E235" s="1092">
        <v>896237.84000000043</v>
      </c>
      <c r="F235" s="309">
        <v>45738.280000000028</v>
      </c>
      <c r="G235" s="300"/>
    </row>
    <row r="236" spans="1:7">
      <c r="A236" s="363"/>
      <c r="B236" s="307">
        <v>53021</v>
      </c>
      <c r="C236" s="304"/>
      <c r="D236" s="308">
        <v>20527668.830000114</v>
      </c>
      <c r="E236" s="1092">
        <v>693764.92000000039</v>
      </c>
      <c r="F236" s="309">
        <v>35762.260000000024</v>
      </c>
      <c r="G236" s="300"/>
    </row>
    <row r="237" spans="1:7">
      <c r="A237" s="363"/>
      <c r="B237" s="307">
        <v>53052</v>
      </c>
      <c r="C237" s="304"/>
      <c r="D237" s="308">
        <v>19833903.910000112</v>
      </c>
      <c r="E237" s="1092">
        <v>971544.37999999989</v>
      </c>
      <c r="F237" s="309">
        <v>51035.87999999999</v>
      </c>
      <c r="G237" s="300"/>
    </row>
    <row r="238" spans="1:7">
      <c r="A238" s="363">
        <v>225</v>
      </c>
      <c r="B238" s="307">
        <v>53082</v>
      </c>
      <c r="C238" s="304"/>
      <c r="D238" s="308">
        <v>18862359.530000113</v>
      </c>
      <c r="E238" s="1092">
        <v>767671.83999999985</v>
      </c>
      <c r="F238" s="309">
        <v>41147.929999999964</v>
      </c>
      <c r="G238" s="300"/>
    </row>
    <row r="239" spans="1:7">
      <c r="A239" s="363">
        <v>226</v>
      </c>
      <c r="B239" s="307">
        <v>53113</v>
      </c>
      <c r="C239" s="304"/>
      <c r="D239" s="308">
        <v>18094687.690000113</v>
      </c>
      <c r="E239" s="1092">
        <v>745940.45999999973</v>
      </c>
      <c r="F239" s="309">
        <v>39742.449999999968</v>
      </c>
      <c r="G239" s="300"/>
    </row>
    <row r="240" spans="1:7">
      <c r="B240" s="307">
        <v>53143</v>
      </c>
      <c r="C240" s="304"/>
      <c r="D240" s="308">
        <v>17348747.230000112</v>
      </c>
      <c r="E240" s="1092">
        <v>721347.49999999988</v>
      </c>
      <c r="F240" s="309">
        <v>38363.410000000018</v>
      </c>
    </row>
    <row r="241" spans="2:6">
      <c r="B241" s="307">
        <v>53174</v>
      </c>
      <c r="C241" s="304"/>
      <c r="D241" s="308">
        <v>16627399.730000112</v>
      </c>
      <c r="E241" s="1092">
        <v>683456.58000000054</v>
      </c>
      <c r="F241" s="309">
        <v>37033.639999999985</v>
      </c>
    </row>
    <row r="242" spans="2:6">
      <c r="B242" s="307">
        <v>53205</v>
      </c>
      <c r="C242" s="304"/>
      <c r="D242" s="308">
        <v>15943943.150000112</v>
      </c>
      <c r="E242" s="1092">
        <v>619114.66000000027</v>
      </c>
      <c r="F242" s="309">
        <v>35746.080000000009</v>
      </c>
    </row>
    <row r="243" spans="2:6">
      <c r="B243" s="307">
        <v>53235</v>
      </c>
      <c r="C243" s="304"/>
      <c r="D243" s="308">
        <v>15324828.490000112</v>
      </c>
      <c r="E243" s="1092">
        <v>605137.7100000002</v>
      </c>
      <c r="F243" s="309">
        <v>34584.269999999997</v>
      </c>
    </row>
    <row r="244" spans="2:6">
      <c r="B244" s="307">
        <v>53266</v>
      </c>
      <c r="C244" s="304"/>
      <c r="D244" s="308">
        <v>14719690.780000111</v>
      </c>
      <c r="E244" s="1092">
        <v>584208.09</v>
      </c>
      <c r="F244" s="309">
        <v>33447.180000000015</v>
      </c>
    </row>
    <row r="245" spans="2:6">
      <c r="B245" s="307">
        <v>53296</v>
      </c>
      <c r="C245" s="304"/>
      <c r="D245" s="308">
        <v>14135482.690000111</v>
      </c>
      <c r="E245" s="1092">
        <v>561147.23000000045</v>
      </c>
      <c r="F245" s="309">
        <v>32347.03999999999</v>
      </c>
    </row>
    <row r="246" spans="2:6">
      <c r="B246" s="307">
        <v>53327</v>
      </c>
      <c r="C246" s="304"/>
      <c r="D246" s="308">
        <v>13574335.460000111</v>
      </c>
      <c r="E246" s="1092">
        <v>530117.58000000007</v>
      </c>
      <c r="F246" s="309">
        <v>31296.079999999987</v>
      </c>
    </row>
    <row r="247" spans="2:6">
      <c r="B247" s="307">
        <v>53358</v>
      </c>
      <c r="C247" s="304"/>
      <c r="D247" s="308">
        <v>13044217.880000111</v>
      </c>
      <c r="E247" s="1092">
        <v>501444.53000000014</v>
      </c>
      <c r="F247" s="309">
        <v>30302.149999999991</v>
      </c>
    </row>
    <row r="248" spans="2:6">
      <c r="B248" s="307">
        <v>53386</v>
      </c>
      <c r="C248" s="304"/>
      <c r="D248" s="308">
        <v>12542773.350000111</v>
      </c>
      <c r="E248" s="1092">
        <v>367943.18000000023</v>
      </c>
      <c r="F248" s="309">
        <v>24102.799999999996</v>
      </c>
    </row>
    <row r="249" spans="2:6">
      <c r="B249" s="307">
        <v>53417</v>
      </c>
      <c r="C249" s="304"/>
      <c r="D249" s="308">
        <v>12174830.170000112</v>
      </c>
      <c r="E249" s="1092">
        <v>590195.03000000014</v>
      </c>
      <c r="F249" s="309">
        <v>33761.259999999987</v>
      </c>
    </row>
    <row r="250" spans="2:6">
      <c r="B250" s="307">
        <v>53447</v>
      </c>
      <c r="C250" s="304"/>
      <c r="D250" s="308">
        <v>11584635.140000112</v>
      </c>
      <c r="E250" s="1092">
        <v>447630.08999999979</v>
      </c>
      <c r="F250" s="309">
        <v>27617.73</v>
      </c>
    </row>
    <row r="251" spans="2:6">
      <c r="B251" s="307">
        <v>53478</v>
      </c>
      <c r="C251" s="304"/>
      <c r="D251" s="308">
        <v>11137005.050000113</v>
      </c>
      <c r="E251" s="1092">
        <v>421382.79</v>
      </c>
      <c r="F251" s="309">
        <v>26809.020000000004</v>
      </c>
    </row>
    <row r="252" spans="2:6">
      <c r="B252" s="307">
        <v>53508</v>
      </c>
      <c r="C252" s="304"/>
      <c r="D252" s="308">
        <v>10715622.260000113</v>
      </c>
      <c r="E252" s="1092">
        <v>400271.02000000031</v>
      </c>
      <c r="F252" s="309">
        <v>26052.630000000008</v>
      </c>
    </row>
    <row r="253" spans="2:6">
      <c r="B253" s="307">
        <v>53539</v>
      </c>
      <c r="C253" s="304"/>
      <c r="D253" s="308">
        <v>10315351.240000114</v>
      </c>
      <c r="E253" s="1092">
        <v>393855.80999999982</v>
      </c>
      <c r="F253" s="309">
        <v>25341.730000000014</v>
      </c>
    </row>
    <row r="254" spans="2:6">
      <c r="B254" s="307">
        <v>53570</v>
      </c>
      <c r="C254" s="304"/>
      <c r="D254" s="308">
        <v>9921495.4300001133</v>
      </c>
      <c r="E254" s="1092">
        <v>366474.48</v>
      </c>
      <c r="F254" s="309">
        <v>24635.87</v>
      </c>
    </row>
    <row r="255" spans="2:6">
      <c r="B255" s="307">
        <v>53600</v>
      </c>
      <c r="C255" s="304"/>
      <c r="D255" s="308">
        <v>9555020.9500001129</v>
      </c>
      <c r="E255" s="1092">
        <v>361573.17999999988</v>
      </c>
      <c r="F255" s="309">
        <v>23953.69</v>
      </c>
    </row>
    <row r="256" spans="2:6">
      <c r="B256" s="307">
        <v>53631</v>
      </c>
      <c r="C256" s="304"/>
      <c r="D256" s="308">
        <v>9193447.7700001132</v>
      </c>
      <c r="E256" s="1092">
        <v>351298.25999999989</v>
      </c>
      <c r="F256" s="309">
        <v>23275.16</v>
      </c>
    </row>
    <row r="257" spans="2:6">
      <c r="B257" s="307">
        <v>53661</v>
      </c>
      <c r="C257" s="304"/>
      <c r="D257" s="308">
        <v>8842149.5100001134</v>
      </c>
      <c r="E257" s="1092">
        <v>347696.50000000017</v>
      </c>
      <c r="F257" s="309">
        <v>22605.219999999994</v>
      </c>
    </row>
    <row r="258" spans="2:6">
      <c r="B258" s="307">
        <v>53692</v>
      </c>
      <c r="C258" s="304"/>
      <c r="D258" s="308">
        <v>8494453.0100001134</v>
      </c>
      <c r="E258" s="1092">
        <v>339627.14999999997</v>
      </c>
      <c r="F258" s="309">
        <v>21937.34</v>
      </c>
    </row>
    <row r="259" spans="2:6">
      <c r="B259" s="307">
        <v>53723</v>
      </c>
      <c r="C259" s="304"/>
      <c r="D259" s="308">
        <v>8154825.860000113</v>
      </c>
      <c r="E259" s="1092">
        <v>333799.69</v>
      </c>
      <c r="F259" s="309">
        <v>21276.110000000011</v>
      </c>
    </row>
    <row r="260" spans="2:6">
      <c r="B260" s="307">
        <v>53751</v>
      </c>
      <c r="C260" s="304"/>
      <c r="D260" s="308">
        <v>7821026.1700001126</v>
      </c>
      <c r="E260" s="1092">
        <v>263276.33</v>
      </c>
      <c r="F260" s="309">
        <v>17088.440000000002</v>
      </c>
    </row>
    <row r="261" spans="2:6">
      <c r="B261" s="307">
        <v>53782</v>
      </c>
      <c r="C261" s="304"/>
      <c r="D261" s="308">
        <v>7557749.8400001125</v>
      </c>
      <c r="E261" s="1092">
        <v>402450.63999999996</v>
      </c>
      <c r="F261" s="309">
        <v>23491.440000000006</v>
      </c>
    </row>
    <row r="262" spans="2:6">
      <c r="B262" s="307">
        <v>53812</v>
      </c>
      <c r="C262" s="304"/>
      <c r="D262" s="308">
        <v>7155299.2000001129</v>
      </c>
      <c r="E262" s="1092">
        <v>328291.67000000016</v>
      </c>
      <c r="F262" s="309">
        <v>19304.280000000002</v>
      </c>
    </row>
    <row r="263" spans="2:6">
      <c r="B263" s="307">
        <v>53843</v>
      </c>
      <c r="C263" s="304"/>
      <c r="D263" s="308">
        <v>6827007.530000113</v>
      </c>
      <c r="E263" s="1092">
        <v>320314.15999999997</v>
      </c>
      <c r="F263" s="309">
        <v>18649.559999999998</v>
      </c>
    </row>
    <row r="264" spans="2:6">
      <c r="B264" s="307">
        <v>53873</v>
      </c>
      <c r="C264" s="304"/>
      <c r="D264" s="308">
        <v>6506693.3700001128</v>
      </c>
      <c r="E264" s="1092">
        <v>313889.33000000007</v>
      </c>
      <c r="F264" s="309">
        <v>18001.149999999998</v>
      </c>
    </row>
    <row r="265" spans="2:6">
      <c r="B265" s="307">
        <v>53904</v>
      </c>
      <c r="C265" s="304"/>
      <c r="D265" s="308">
        <v>6192804.0400001127</v>
      </c>
      <c r="E265" s="1092">
        <v>299726.17999999993</v>
      </c>
      <c r="F265" s="309">
        <v>17357.499999999996</v>
      </c>
    </row>
    <row r="266" spans="2:6">
      <c r="B266" s="307">
        <v>53935</v>
      </c>
      <c r="C266" s="304"/>
      <c r="D266" s="308">
        <v>5893077.860000113</v>
      </c>
      <c r="E266" s="1092">
        <v>280731.94000000006</v>
      </c>
      <c r="F266" s="309">
        <v>16726.000000000004</v>
      </c>
    </row>
    <row r="267" spans="2:6">
      <c r="B267" s="307">
        <v>53965</v>
      </c>
      <c r="C267" s="304"/>
      <c r="D267" s="308">
        <v>5612345.9200001126</v>
      </c>
      <c r="E267" s="1092">
        <v>247852.50999999995</v>
      </c>
      <c r="F267" s="309">
        <v>16111.34</v>
      </c>
    </row>
    <row r="268" spans="2:6">
      <c r="B268" s="307">
        <v>53996</v>
      </c>
      <c r="C268" s="304"/>
      <c r="D268" s="308">
        <v>5364493.4100001128</v>
      </c>
      <c r="E268" s="1092">
        <v>231824.81999999998</v>
      </c>
      <c r="F268" s="309">
        <v>15530.169999999998</v>
      </c>
    </row>
    <row r="269" spans="2:6">
      <c r="B269" s="307">
        <v>54026</v>
      </c>
      <c r="C269" s="304"/>
      <c r="D269" s="308">
        <v>5132668.5900001125</v>
      </c>
      <c r="E269" s="1092">
        <v>192595.92999999996</v>
      </c>
      <c r="F269" s="309">
        <v>14968.199999999997</v>
      </c>
    </row>
    <row r="270" spans="2:6">
      <c r="B270" s="307">
        <v>54057</v>
      </c>
      <c r="C270" s="304"/>
      <c r="D270" s="308">
        <v>4940072.6600001128</v>
      </c>
      <c r="E270" s="1092">
        <v>182894.90000000005</v>
      </c>
      <c r="F270" s="309">
        <v>14452.989999999998</v>
      </c>
    </row>
    <row r="271" spans="2:6">
      <c r="B271" s="307">
        <v>54088</v>
      </c>
      <c r="C271" s="304"/>
      <c r="D271" s="308">
        <v>4757177.7600001125</v>
      </c>
      <c r="E271" s="1092">
        <v>179165.84000000003</v>
      </c>
      <c r="F271" s="309">
        <v>13948.389999999998</v>
      </c>
    </row>
    <row r="272" spans="2:6">
      <c r="B272" s="307">
        <v>54117</v>
      </c>
      <c r="C272" s="304"/>
      <c r="D272" s="308">
        <v>4578011.9200001126</v>
      </c>
      <c r="E272" s="1092">
        <v>150485.20000000001</v>
      </c>
      <c r="F272" s="309">
        <v>11172.04</v>
      </c>
    </row>
    <row r="273" spans="2:6">
      <c r="B273" s="307">
        <v>54148</v>
      </c>
      <c r="C273" s="304"/>
      <c r="D273" s="308">
        <v>4427526.7200001124</v>
      </c>
      <c r="E273" s="1092">
        <v>206675.16</v>
      </c>
      <c r="F273" s="309">
        <v>15223.719999999998</v>
      </c>
    </row>
    <row r="274" spans="2:6">
      <c r="B274" s="307">
        <v>54178</v>
      </c>
      <c r="C274" s="304"/>
      <c r="D274" s="308">
        <v>4220851.5600001123</v>
      </c>
      <c r="E274" s="1092">
        <v>179331.75000000003</v>
      </c>
      <c r="F274" s="309">
        <v>12446.31</v>
      </c>
    </row>
    <row r="275" spans="2:6">
      <c r="B275" s="307">
        <v>54209</v>
      </c>
      <c r="C275" s="304"/>
      <c r="D275" s="308">
        <v>4041519.8100001123</v>
      </c>
      <c r="E275" s="1092">
        <v>179834.73</v>
      </c>
      <c r="F275" s="309">
        <v>11943.329999999996</v>
      </c>
    </row>
    <row r="276" spans="2:6">
      <c r="B276" s="307">
        <v>54239</v>
      </c>
      <c r="C276" s="304"/>
      <c r="D276" s="308">
        <v>3861685.0800001123</v>
      </c>
      <c r="E276" s="1092">
        <v>180339.13999999998</v>
      </c>
      <c r="F276" s="309">
        <v>11438.919999999998</v>
      </c>
    </row>
    <row r="277" spans="2:6">
      <c r="B277" s="307">
        <v>54270</v>
      </c>
      <c r="C277" s="304"/>
      <c r="D277" s="308">
        <v>3681345.9400001122</v>
      </c>
      <c r="E277" s="1092">
        <v>180844.63999999998</v>
      </c>
      <c r="F277" s="309">
        <v>10933.08</v>
      </c>
    </row>
    <row r="278" spans="2:6">
      <c r="B278" s="307">
        <v>54301</v>
      </c>
      <c r="C278" s="304"/>
      <c r="D278" s="308">
        <v>3500501.300000112</v>
      </c>
      <c r="E278" s="1092">
        <v>173332.08000000002</v>
      </c>
      <c r="F278" s="309">
        <v>10425.789999999995</v>
      </c>
    </row>
    <row r="279" spans="2:6">
      <c r="B279" s="307">
        <v>54331</v>
      </c>
      <c r="C279" s="304"/>
      <c r="D279" s="308">
        <v>3327169.220000112</v>
      </c>
      <c r="E279" s="1092">
        <v>173817.38999999998</v>
      </c>
      <c r="F279" s="309">
        <v>9940.6099999999988</v>
      </c>
    </row>
    <row r="280" spans="2:6">
      <c r="B280" s="307">
        <v>54362</v>
      </c>
      <c r="C280" s="304"/>
      <c r="D280" s="308">
        <v>3153351.8300001118</v>
      </c>
      <c r="E280" s="1092">
        <v>173061.55999999997</v>
      </c>
      <c r="F280" s="309">
        <v>9454.0400000000045</v>
      </c>
    </row>
    <row r="281" spans="2:6">
      <c r="B281" s="307">
        <v>54392</v>
      </c>
      <c r="C281" s="304"/>
      <c r="D281" s="308">
        <v>2980290.2700001118</v>
      </c>
      <c r="E281" s="1092">
        <v>173546.48000000007</v>
      </c>
      <c r="F281" s="309">
        <v>8969.119999999999</v>
      </c>
    </row>
    <row r="282" spans="2:6">
      <c r="B282" s="307">
        <v>54423</v>
      </c>
      <c r="C282" s="304"/>
      <c r="D282" s="308">
        <v>2806743.7900001118</v>
      </c>
      <c r="E282" s="1092">
        <v>174032.82</v>
      </c>
      <c r="F282" s="309">
        <v>8482.7800000000007</v>
      </c>
    </row>
    <row r="283" spans="2:6">
      <c r="B283" s="307">
        <v>54454</v>
      </c>
      <c r="C283" s="304"/>
      <c r="D283" s="308">
        <v>2632710.970000112</v>
      </c>
      <c r="E283" s="1092">
        <v>174520.48</v>
      </c>
      <c r="F283" s="309">
        <v>7995.12</v>
      </c>
    </row>
    <row r="284" spans="2:6">
      <c r="B284" s="307">
        <v>54482</v>
      </c>
      <c r="C284" s="304"/>
      <c r="D284" s="308">
        <v>2458190.490000112</v>
      </c>
      <c r="E284" s="1092">
        <v>147451.54999999996</v>
      </c>
      <c r="F284" s="309">
        <v>6184.4400000000005</v>
      </c>
    </row>
    <row r="285" spans="2:6">
      <c r="B285" s="307">
        <v>54513</v>
      </c>
      <c r="C285" s="304"/>
      <c r="D285" s="308">
        <v>2310738.9400001122</v>
      </c>
      <c r="E285" s="1092">
        <v>195598.53000000006</v>
      </c>
      <c r="F285" s="309">
        <v>8337.1900000000023</v>
      </c>
    </row>
    <row r="286" spans="2:6">
      <c r="B286" s="307">
        <v>54543</v>
      </c>
      <c r="C286" s="304"/>
      <c r="D286" s="308">
        <v>2115140.4100001119</v>
      </c>
      <c r="E286" s="1092">
        <v>168515.4500000001</v>
      </c>
      <c r="F286" s="309">
        <v>6543.6400000000021</v>
      </c>
    </row>
    <row r="287" spans="2:6">
      <c r="B287" s="307">
        <v>54574</v>
      </c>
      <c r="C287" s="304"/>
      <c r="D287" s="308">
        <v>1946624.9600001117</v>
      </c>
      <c r="E287" s="1092">
        <v>167737.21000000002</v>
      </c>
      <c r="F287" s="309">
        <v>6070.3399999999983</v>
      </c>
    </row>
    <row r="288" spans="2:6">
      <c r="B288" s="307">
        <v>54604</v>
      </c>
      <c r="C288" s="304"/>
      <c r="D288" s="308">
        <v>1778887.7500001118</v>
      </c>
      <c r="E288" s="1092">
        <v>155694.68999999997</v>
      </c>
      <c r="F288" s="309">
        <v>5599.8899999999985</v>
      </c>
    </row>
    <row r="289" spans="2:6">
      <c r="B289" s="307">
        <v>54635</v>
      </c>
      <c r="C289" s="304"/>
      <c r="D289" s="308">
        <v>1623193.0600001118</v>
      </c>
      <c r="E289" s="1092">
        <v>156125.55000000005</v>
      </c>
      <c r="F289" s="309">
        <v>5164.6499999999996</v>
      </c>
    </row>
    <row r="290" spans="2:6">
      <c r="B290" s="307">
        <v>54666</v>
      </c>
      <c r="C290" s="304"/>
      <c r="D290" s="308">
        <v>1467067.5100001118</v>
      </c>
      <c r="E290" s="1092">
        <v>133257.01</v>
      </c>
      <c r="F290" s="309">
        <v>4728.2</v>
      </c>
    </row>
    <row r="291" spans="2:6">
      <c r="B291" s="307">
        <v>54696</v>
      </c>
      <c r="C291" s="304"/>
      <c r="D291" s="308">
        <v>1333810.5000001118</v>
      </c>
      <c r="E291" s="1092">
        <v>132425.81000000003</v>
      </c>
      <c r="F291" s="309">
        <v>4364.45</v>
      </c>
    </row>
    <row r="292" spans="2:6">
      <c r="B292" s="307">
        <v>54727</v>
      </c>
      <c r="C292" s="304"/>
      <c r="D292" s="308">
        <v>1201384.6900001117</v>
      </c>
      <c r="E292" s="1092">
        <v>122173.82999999999</v>
      </c>
      <c r="F292" s="309">
        <v>4003.389999999999</v>
      </c>
    </row>
    <row r="293" spans="2:6">
      <c r="B293" s="307">
        <v>54757</v>
      </c>
      <c r="C293" s="304"/>
      <c r="D293" s="308">
        <v>1079210.8600001116</v>
      </c>
      <c r="E293" s="1092">
        <v>116021.05000000002</v>
      </c>
      <c r="F293" s="309">
        <v>3673.8299999999995</v>
      </c>
    </row>
    <row r="294" spans="2:6">
      <c r="B294" s="307">
        <v>54788</v>
      </c>
      <c r="C294" s="304"/>
      <c r="D294" s="308">
        <v>963189.81000011158</v>
      </c>
      <c r="E294" s="1092">
        <v>107944.09999999999</v>
      </c>
      <c r="F294" s="309">
        <v>3362.18</v>
      </c>
    </row>
    <row r="295" spans="2:6">
      <c r="B295" s="307">
        <v>54819</v>
      </c>
      <c r="C295" s="304"/>
      <c r="D295" s="308">
        <v>855245.71000011161</v>
      </c>
      <c r="E295" s="1092">
        <v>100973.55999999997</v>
      </c>
      <c r="F295" s="309">
        <v>3074.4099999999994</v>
      </c>
    </row>
    <row r="296" spans="2:6">
      <c r="B296" s="307">
        <v>54847</v>
      </c>
      <c r="C296" s="304"/>
      <c r="D296" s="308">
        <v>754272.15000011167</v>
      </c>
      <c r="E296" s="1092">
        <v>86427.74000000002</v>
      </c>
      <c r="F296" s="309">
        <v>2258.9100000000003</v>
      </c>
    </row>
    <row r="297" spans="2:6">
      <c r="B297" s="307">
        <v>54878</v>
      </c>
      <c r="C297" s="304"/>
      <c r="D297" s="308">
        <v>667844.41000011167</v>
      </c>
      <c r="E297" s="1092">
        <v>102202.14000000003</v>
      </c>
      <c r="F297" s="309">
        <v>3084.0499999999993</v>
      </c>
    </row>
    <row r="298" spans="2:6">
      <c r="B298" s="307">
        <v>54908</v>
      </c>
      <c r="C298" s="304"/>
      <c r="D298" s="308">
        <v>565642.27000011166</v>
      </c>
      <c r="E298" s="1092">
        <v>83340.62</v>
      </c>
      <c r="F298" s="309">
        <v>2305.2899999999995</v>
      </c>
    </row>
    <row r="299" spans="2:6">
      <c r="B299" s="307">
        <v>54939</v>
      </c>
      <c r="C299" s="304"/>
      <c r="D299" s="308">
        <v>482301.65000011167</v>
      </c>
      <c r="E299" s="1092">
        <v>83561.50999999998</v>
      </c>
      <c r="F299" s="309">
        <v>2084.3999999999996</v>
      </c>
    </row>
    <row r="300" spans="2:6">
      <c r="B300" s="307">
        <v>54969</v>
      </c>
      <c r="C300" s="304"/>
      <c r="D300" s="308">
        <v>398740.14000011166</v>
      </c>
      <c r="E300" s="1092">
        <v>83782.909999999974</v>
      </c>
      <c r="F300" s="309">
        <v>1862.9999999999998</v>
      </c>
    </row>
    <row r="301" spans="2:6">
      <c r="B301" s="307">
        <v>55000</v>
      </c>
      <c r="C301" s="304"/>
      <c r="D301" s="308">
        <v>314957.23000011168</v>
      </c>
      <c r="E301" s="1092">
        <v>84004.14</v>
      </c>
      <c r="F301" s="309">
        <v>1640.9400000000003</v>
      </c>
    </row>
    <row r="302" spans="2:6">
      <c r="B302" s="307">
        <v>55031</v>
      </c>
      <c r="C302" s="304"/>
      <c r="D302" s="308">
        <v>230953.09000011167</v>
      </c>
      <c r="E302" s="1092">
        <v>79615.570000000022</v>
      </c>
      <c r="F302" s="309">
        <v>1418.3300000000004</v>
      </c>
    </row>
    <row r="303" spans="2:6">
      <c r="B303" s="307">
        <v>55061</v>
      </c>
      <c r="C303" s="304"/>
      <c r="D303" s="308">
        <v>151337.52000011166</v>
      </c>
      <c r="E303" s="1092">
        <v>77884.449999999983</v>
      </c>
      <c r="F303" s="309">
        <v>1206.9300000000003</v>
      </c>
    </row>
    <row r="304" spans="2:6">
      <c r="B304" s="307"/>
      <c r="C304" s="304"/>
      <c r="D304" s="308"/>
      <c r="E304" s="1092"/>
      <c r="F304" s="309"/>
    </row>
    <row r="305" spans="2:6">
      <c r="B305" s="307"/>
      <c r="C305" s="304"/>
      <c r="D305" s="308"/>
      <c r="E305" s="1092"/>
      <c r="F305" s="309"/>
    </row>
    <row r="306" spans="2:6">
      <c r="B306" s="307"/>
      <c r="C306" s="304"/>
      <c r="D306" s="308"/>
      <c r="E306" s="1092"/>
      <c r="F306" s="309"/>
    </row>
    <row r="307" spans="2:6">
      <c r="B307" s="307"/>
      <c r="C307" s="304"/>
      <c r="D307" s="308"/>
      <c r="E307" s="1092"/>
      <c r="F307" s="309"/>
    </row>
    <row r="308" spans="2:6">
      <c r="B308" s="307"/>
      <c r="C308" s="304"/>
      <c r="D308" s="308"/>
      <c r="E308" s="1092"/>
      <c r="F308" s="309"/>
    </row>
    <row r="309" spans="2:6">
      <c r="B309" s="307"/>
      <c r="C309" s="304"/>
      <c r="D309" s="308"/>
      <c r="E309" s="1092"/>
      <c r="F309" s="309"/>
    </row>
    <row r="310" spans="2:6">
      <c r="B310" s="307"/>
      <c r="C310" s="304"/>
      <c r="D310" s="308"/>
      <c r="E310" s="1092"/>
      <c r="F310" s="309"/>
    </row>
    <row r="311" spans="2:6">
      <c r="B311" s="307"/>
      <c r="C311" s="304"/>
      <c r="D311" s="308"/>
      <c r="E311" s="1092"/>
      <c r="F311" s="309"/>
    </row>
    <row r="312" spans="2:6">
      <c r="B312" s="307"/>
      <c r="C312" s="304"/>
      <c r="D312" s="308"/>
      <c r="E312" s="1092"/>
      <c r="F312" s="309"/>
    </row>
    <row r="313" spans="2:6">
      <c r="B313" s="307"/>
      <c r="C313" s="304"/>
      <c r="D313" s="308"/>
      <c r="E313" s="1092"/>
      <c r="F313" s="309"/>
    </row>
    <row r="314" spans="2:6">
      <c r="B314" s="307"/>
      <c r="C314" s="304"/>
      <c r="D314" s="308"/>
      <c r="E314" s="1092"/>
      <c r="F314" s="309"/>
    </row>
    <row r="315" spans="2:6">
      <c r="B315" s="307"/>
      <c r="C315" s="304"/>
      <c r="D315" s="308"/>
      <c r="E315" s="1092"/>
      <c r="F315" s="309"/>
    </row>
    <row r="316" spans="2:6">
      <c r="B316" s="307"/>
      <c r="C316" s="304"/>
      <c r="D316" s="308"/>
      <c r="E316" s="1092"/>
      <c r="F316" s="309"/>
    </row>
    <row r="317" spans="2:6">
      <c r="B317" s="307"/>
      <c r="C317" s="304"/>
      <c r="D317" s="308"/>
      <c r="E317" s="1092"/>
      <c r="F317" s="309"/>
    </row>
    <row r="318" spans="2:6">
      <c r="B318" s="307"/>
      <c r="C318" s="304"/>
      <c r="D318" s="308"/>
      <c r="E318" s="1092"/>
      <c r="F318" s="309"/>
    </row>
    <row r="319" spans="2:6">
      <c r="B319" s="307"/>
      <c r="C319" s="304"/>
      <c r="D319" s="308"/>
      <c r="E319" s="1092"/>
      <c r="F319" s="309"/>
    </row>
    <row r="320" spans="2:6">
      <c r="B320" s="307"/>
      <c r="C320" s="304"/>
      <c r="D320" s="308"/>
      <c r="E320" s="1092"/>
      <c r="F320" s="309"/>
    </row>
    <row r="321" spans="2:6">
      <c r="B321" s="307"/>
      <c r="C321" s="304"/>
      <c r="D321" s="308"/>
      <c r="E321" s="1092"/>
      <c r="F321" s="309"/>
    </row>
    <row r="322" spans="2:6">
      <c r="B322" s="307"/>
      <c r="C322" s="304"/>
      <c r="D322" s="308"/>
      <c r="E322" s="1092"/>
      <c r="F322" s="309"/>
    </row>
    <row r="323" spans="2:6">
      <c r="B323" s="307"/>
      <c r="C323" s="304"/>
      <c r="D323" s="308"/>
      <c r="E323" s="1092"/>
      <c r="F323" s="309"/>
    </row>
    <row r="324" spans="2:6">
      <c r="B324" s="307"/>
      <c r="C324" s="304"/>
      <c r="D324" s="308"/>
      <c r="E324" s="1092"/>
      <c r="F324" s="309"/>
    </row>
    <row r="325" spans="2:6">
      <c r="B325" s="307"/>
      <c r="C325" s="304"/>
      <c r="D325" s="308"/>
      <c r="E325" s="1092"/>
      <c r="F325" s="309"/>
    </row>
    <row r="326" spans="2:6">
      <c r="B326" s="307"/>
      <c r="C326" s="304"/>
      <c r="D326" s="308"/>
      <c r="E326" s="1092"/>
      <c r="F326" s="309"/>
    </row>
    <row r="327" spans="2:6">
      <c r="B327" s="307"/>
      <c r="C327" s="304"/>
      <c r="D327" s="308"/>
      <c r="E327" s="1092"/>
      <c r="F327" s="309"/>
    </row>
    <row r="328" spans="2:6">
      <c r="B328" s="307"/>
      <c r="C328" s="304"/>
      <c r="D328" s="308"/>
      <c r="E328" s="1092"/>
      <c r="F328" s="309"/>
    </row>
    <row r="329" spans="2:6">
      <c r="B329" s="307"/>
      <c r="C329" s="304"/>
      <c r="D329" s="308"/>
      <c r="E329" s="1092"/>
      <c r="F329" s="309"/>
    </row>
    <row r="330" spans="2:6">
      <c r="B330" s="307"/>
      <c r="C330" s="304"/>
      <c r="D330" s="308"/>
      <c r="E330" s="1092"/>
      <c r="F330" s="309"/>
    </row>
    <row r="331" spans="2:6">
      <c r="B331" s="307"/>
      <c r="C331" s="304"/>
      <c r="D331" s="308"/>
      <c r="E331" s="1092"/>
      <c r="F331" s="309"/>
    </row>
    <row r="332" spans="2:6">
      <c r="B332" s="307"/>
      <c r="C332" s="304"/>
      <c r="D332" s="308"/>
      <c r="E332" s="1092"/>
      <c r="F332" s="309"/>
    </row>
    <row r="333" spans="2:6">
      <c r="B333" s="307"/>
      <c r="C333" s="304"/>
      <c r="D333" s="308"/>
      <c r="E333" s="1092"/>
      <c r="F333" s="309"/>
    </row>
    <row r="334" spans="2:6">
      <c r="B334" s="307"/>
      <c r="C334" s="304"/>
      <c r="D334" s="308"/>
      <c r="E334" s="1092"/>
      <c r="F334" s="309"/>
    </row>
    <row r="335" spans="2:6">
      <c r="B335" s="307"/>
      <c r="C335" s="304"/>
      <c r="D335" s="308"/>
      <c r="E335" s="1092"/>
      <c r="F335" s="309"/>
    </row>
    <row r="336" spans="2:6">
      <c r="B336" s="307"/>
      <c r="C336" s="304"/>
      <c r="D336" s="308"/>
      <c r="E336" s="1092"/>
      <c r="F336" s="309"/>
    </row>
    <row r="337" spans="2:6">
      <c r="B337" s="307"/>
      <c r="C337" s="304"/>
      <c r="D337" s="308"/>
      <c r="E337" s="1092"/>
      <c r="F337" s="309"/>
    </row>
    <row r="338" spans="2:6">
      <c r="B338" s="307"/>
      <c r="C338" s="304"/>
      <c r="D338" s="308"/>
      <c r="E338" s="1092"/>
      <c r="F338" s="309"/>
    </row>
    <row r="339" spans="2:6">
      <c r="B339" s="307"/>
      <c r="C339" s="304"/>
      <c r="D339" s="308"/>
      <c r="E339" s="1092"/>
      <c r="F339" s="309"/>
    </row>
    <row r="340" spans="2:6">
      <c r="B340" s="307"/>
      <c r="C340" s="304"/>
      <c r="D340" s="308"/>
      <c r="E340" s="1092"/>
      <c r="F340" s="309"/>
    </row>
    <row r="341" spans="2:6">
      <c r="B341" s="307"/>
      <c r="C341" s="304"/>
      <c r="D341" s="308"/>
      <c r="E341" s="1092"/>
      <c r="F341" s="309"/>
    </row>
    <row r="342" spans="2:6">
      <c r="B342" s="307"/>
      <c r="C342" s="304"/>
      <c r="D342" s="308"/>
      <c r="E342" s="1092"/>
      <c r="F342" s="309"/>
    </row>
    <row r="343" spans="2:6">
      <c r="B343" s="307"/>
      <c r="C343" s="304"/>
      <c r="D343" s="308"/>
      <c r="E343" s="1092"/>
      <c r="F343" s="309"/>
    </row>
    <row r="344" spans="2:6">
      <c r="B344" s="307"/>
      <c r="C344" s="304"/>
      <c r="D344" s="308"/>
      <c r="E344" s="1092"/>
      <c r="F344" s="309"/>
    </row>
    <row r="345" spans="2:6">
      <c r="B345" s="307"/>
      <c r="C345" s="304"/>
      <c r="D345" s="308"/>
      <c r="E345" s="1092"/>
      <c r="F345" s="309"/>
    </row>
    <row r="346" spans="2:6">
      <c r="B346" s="307"/>
      <c r="C346" s="304"/>
      <c r="D346" s="308"/>
      <c r="E346" s="1092"/>
      <c r="F346" s="309"/>
    </row>
    <row r="347" spans="2:6">
      <c r="B347" s="307"/>
      <c r="C347" s="304"/>
      <c r="D347" s="308"/>
      <c r="E347" s="1092"/>
      <c r="F347" s="309"/>
    </row>
    <row r="348" spans="2:6">
      <c r="B348" s="307"/>
      <c r="C348" s="304"/>
      <c r="D348" s="308"/>
      <c r="E348" s="1092"/>
      <c r="F348" s="309"/>
    </row>
    <row r="349" spans="2:6">
      <c r="B349" s="307"/>
      <c r="C349" s="304"/>
      <c r="D349" s="308"/>
      <c r="E349" s="1092"/>
      <c r="F349" s="309"/>
    </row>
    <row r="350" spans="2:6">
      <c r="B350" s="307"/>
      <c r="C350" s="304"/>
      <c r="D350" s="308"/>
      <c r="E350" s="1092"/>
      <c r="F350" s="309"/>
    </row>
    <row r="351" spans="2:6">
      <c r="B351" s="307"/>
      <c r="C351" s="304"/>
      <c r="D351" s="308"/>
      <c r="E351" s="1092"/>
      <c r="F351" s="309"/>
    </row>
    <row r="352" spans="2:6">
      <c r="B352" s="307"/>
      <c r="C352" s="304"/>
      <c r="D352" s="308"/>
      <c r="E352" s="1092"/>
      <c r="F352" s="309"/>
    </row>
    <row r="353" spans="2:6">
      <c r="B353" s="307"/>
      <c r="C353" s="304"/>
      <c r="D353" s="308"/>
      <c r="E353" s="1092"/>
      <c r="F353" s="309"/>
    </row>
    <row r="354" spans="2:6">
      <c r="B354" s="307"/>
      <c r="C354" s="304"/>
      <c r="D354" s="308"/>
      <c r="E354" s="1092"/>
      <c r="F354" s="309"/>
    </row>
    <row r="355" spans="2:6">
      <c r="B355" s="307"/>
      <c r="C355" s="304"/>
      <c r="D355" s="308"/>
      <c r="E355" s="1092"/>
      <c r="F355" s="309"/>
    </row>
    <row r="356" spans="2:6">
      <c r="B356" s="307"/>
      <c r="C356" s="304"/>
      <c r="D356" s="308"/>
      <c r="E356" s="1092"/>
      <c r="F356" s="309"/>
    </row>
    <row r="357" spans="2:6">
      <c r="B357" s="307"/>
      <c r="C357" s="304"/>
      <c r="D357" s="308"/>
      <c r="E357" s="1092"/>
      <c r="F357" s="309"/>
    </row>
    <row r="358" spans="2:6">
      <c r="B358" s="307"/>
      <c r="C358" s="304"/>
      <c r="D358" s="308"/>
      <c r="E358" s="1092"/>
      <c r="F358" s="309"/>
    </row>
    <row r="359" spans="2:6">
      <c r="B359" s="307"/>
      <c r="C359" s="304"/>
      <c r="D359" s="308"/>
      <c r="E359" s="1092"/>
      <c r="F359" s="309"/>
    </row>
    <row r="360" spans="2:6">
      <c r="B360" s="307"/>
      <c r="C360" s="304"/>
      <c r="D360" s="308"/>
      <c r="E360" s="1092"/>
      <c r="F360" s="309"/>
    </row>
    <row r="361" spans="2:6">
      <c r="B361" s="307"/>
      <c r="C361" s="304"/>
      <c r="D361" s="308"/>
      <c r="E361" s="1092"/>
      <c r="F361" s="309"/>
    </row>
    <row r="362" spans="2:6">
      <c r="B362" s="307"/>
      <c r="C362" s="304"/>
      <c r="D362" s="308"/>
      <c r="E362" s="1092"/>
      <c r="F362" s="309"/>
    </row>
    <row r="363" spans="2:6">
      <c r="B363" s="307"/>
      <c r="C363" s="304"/>
      <c r="D363" s="308"/>
      <c r="E363" s="1092"/>
      <c r="F363" s="309"/>
    </row>
    <row r="364" spans="2:6">
      <c r="B364" s="307"/>
      <c r="C364" s="304"/>
      <c r="D364" s="308"/>
      <c r="E364" s="1092"/>
      <c r="F364" s="309"/>
    </row>
    <row r="365" spans="2:6">
      <c r="B365" s="307"/>
      <c r="C365" s="304"/>
      <c r="D365" s="308"/>
      <c r="E365" s="1092"/>
      <c r="F365" s="309"/>
    </row>
    <row r="366" spans="2:6">
      <c r="B366" s="307"/>
      <c r="C366" s="304"/>
      <c r="D366" s="308"/>
      <c r="E366" s="1092"/>
      <c r="F366" s="309"/>
    </row>
    <row r="367" spans="2:6">
      <c r="B367" s="307"/>
      <c r="C367" s="304"/>
      <c r="D367" s="308"/>
      <c r="E367" s="1092"/>
      <c r="F367" s="309"/>
    </row>
    <row r="368" spans="2:6">
      <c r="B368" s="307"/>
      <c r="C368" s="304"/>
      <c r="D368" s="308"/>
      <c r="E368" s="1092"/>
      <c r="F368" s="309"/>
    </row>
    <row r="369" spans="2:6">
      <c r="B369" s="307"/>
      <c r="C369" s="304"/>
      <c r="D369" s="308"/>
      <c r="E369" s="1092"/>
      <c r="F369" s="309"/>
    </row>
    <row r="370" spans="2:6">
      <c r="B370" s="307"/>
      <c r="C370" s="304"/>
      <c r="D370" s="308"/>
      <c r="E370" s="1092"/>
      <c r="F370" s="309"/>
    </row>
    <row r="371" spans="2:6">
      <c r="B371" s="307"/>
      <c r="C371" s="304"/>
      <c r="D371" s="308"/>
      <c r="E371" s="1092"/>
      <c r="F371" s="309"/>
    </row>
    <row r="372" spans="2:6">
      <c r="B372" s="307"/>
      <c r="C372" s="304"/>
      <c r="D372" s="308"/>
      <c r="E372" s="1092"/>
      <c r="F372" s="309"/>
    </row>
    <row r="373" spans="2:6">
      <c r="B373" s="307"/>
      <c r="C373" s="304"/>
      <c r="D373" s="308"/>
      <c r="E373" s="1092"/>
      <c r="F373" s="309"/>
    </row>
    <row r="374" spans="2:6">
      <c r="B374" s="307"/>
      <c r="C374" s="304"/>
      <c r="D374" s="308"/>
      <c r="E374" s="1092"/>
      <c r="F374" s="309"/>
    </row>
    <row r="375" spans="2:6">
      <c r="B375" s="307"/>
      <c r="C375" s="304"/>
      <c r="D375" s="308"/>
      <c r="E375" s="1092"/>
      <c r="F375" s="309"/>
    </row>
    <row r="376" spans="2:6">
      <c r="B376" s="307"/>
      <c r="C376" s="304"/>
      <c r="D376" s="308"/>
      <c r="E376" s="1092"/>
      <c r="F376" s="309"/>
    </row>
    <row r="377" spans="2:6">
      <c r="B377" s="307"/>
      <c r="C377" s="304"/>
      <c r="D377" s="308"/>
      <c r="E377" s="1092"/>
      <c r="F377" s="309"/>
    </row>
    <row r="378" spans="2:6">
      <c r="B378" s="307"/>
      <c r="C378" s="304"/>
      <c r="D378" s="308"/>
      <c r="E378" s="1092"/>
      <c r="F378" s="309"/>
    </row>
    <row r="379" spans="2:6">
      <c r="B379" s="307"/>
      <c r="C379" s="304"/>
      <c r="D379" s="308"/>
      <c r="E379" s="1092"/>
      <c r="F379" s="309"/>
    </row>
    <row r="380" spans="2:6">
      <c r="B380" s="307"/>
      <c r="C380" s="304"/>
      <c r="D380" s="308"/>
      <c r="E380" s="1092"/>
      <c r="F380" s="309"/>
    </row>
    <row r="381" spans="2:6">
      <c r="B381" s="307"/>
      <c r="C381" s="304"/>
      <c r="D381" s="308"/>
      <c r="E381" s="1092"/>
      <c r="F381" s="309"/>
    </row>
    <row r="382" spans="2:6">
      <c r="B382" s="307"/>
      <c r="C382" s="304"/>
      <c r="D382" s="308"/>
      <c r="E382" s="1092"/>
      <c r="F382" s="309"/>
    </row>
    <row r="383" spans="2:6">
      <c r="B383" s="307"/>
      <c r="C383" s="304"/>
      <c r="D383" s="308"/>
      <c r="E383" s="1092"/>
      <c r="F383" s="309"/>
    </row>
    <row r="384" spans="2:6">
      <c r="B384" s="307"/>
      <c r="C384" s="304"/>
      <c r="D384" s="308"/>
      <c r="E384" s="1092"/>
      <c r="F384" s="309"/>
    </row>
    <row r="385" spans="2:6">
      <c r="B385" s="307"/>
      <c r="C385" s="304"/>
      <c r="D385" s="308"/>
      <c r="E385" s="1092"/>
      <c r="F385" s="309"/>
    </row>
    <row r="386" spans="2:6">
      <c r="B386" s="307"/>
      <c r="C386" s="304"/>
      <c r="D386" s="308"/>
      <c r="E386" s="1092"/>
      <c r="F386" s="309"/>
    </row>
    <row r="387" spans="2:6">
      <c r="B387" s="307"/>
      <c r="C387" s="304"/>
      <c r="D387" s="308"/>
      <c r="E387" s="1092"/>
      <c r="F387" s="309"/>
    </row>
    <row r="388" spans="2:6">
      <c r="B388" s="307"/>
      <c r="C388" s="304"/>
      <c r="D388" s="308"/>
      <c r="E388" s="1092"/>
      <c r="F388" s="309"/>
    </row>
    <row r="389" spans="2:6">
      <c r="B389" s="307"/>
      <c r="C389" s="304"/>
      <c r="D389" s="308"/>
      <c r="E389" s="1092"/>
      <c r="F389" s="309"/>
    </row>
    <row r="390" spans="2:6">
      <c r="B390" s="307"/>
      <c r="C390" s="304"/>
      <c r="D390" s="308"/>
      <c r="E390" s="1092"/>
      <c r="F390" s="309"/>
    </row>
    <row r="391" spans="2:6">
      <c r="B391" s="307"/>
      <c r="C391" s="304"/>
      <c r="D391" s="308"/>
      <c r="E391" s="1092"/>
      <c r="F391" s="309"/>
    </row>
    <row r="392" spans="2:6">
      <c r="B392" s="307"/>
      <c r="C392" s="304"/>
      <c r="D392" s="308"/>
      <c r="E392" s="1092"/>
      <c r="F392" s="309"/>
    </row>
    <row r="393" spans="2:6">
      <c r="B393" s="307"/>
      <c r="C393" s="304"/>
      <c r="D393" s="308"/>
      <c r="E393" s="1092"/>
      <c r="F393" s="309"/>
    </row>
    <row r="394" spans="2:6">
      <c r="B394" s="307"/>
      <c r="C394" s="304"/>
      <c r="D394" s="308"/>
      <c r="E394" s="1092"/>
      <c r="F394" s="309"/>
    </row>
    <row r="395" spans="2:6">
      <c r="B395" s="307"/>
      <c r="C395" s="304"/>
      <c r="D395" s="308"/>
      <c r="E395" s="1092"/>
      <c r="F395" s="309"/>
    </row>
    <row r="396" spans="2:6">
      <c r="B396" s="307"/>
      <c r="C396" s="304"/>
      <c r="D396" s="308"/>
      <c r="E396" s="1092"/>
      <c r="F396" s="309"/>
    </row>
    <row r="397" spans="2:6">
      <c r="B397" s="307"/>
      <c r="C397" s="304"/>
      <c r="D397" s="308"/>
      <c r="E397" s="1092"/>
      <c r="F397" s="309"/>
    </row>
    <row r="398" spans="2:6">
      <c r="B398" s="307"/>
      <c r="C398" s="304"/>
      <c r="D398" s="308"/>
      <c r="E398" s="1092"/>
      <c r="F398" s="309"/>
    </row>
    <row r="399" spans="2:6">
      <c r="B399" s="307"/>
      <c r="C399" s="304"/>
      <c r="D399" s="308"/>
      <c r="E399" s="1092"/>
      <c r="F399" s="309"/>
    </row>
  </sheetData>
  <mergeCells count="5">
    <mergeCell ref="B10:B12"/>
    <mergeCell ref="D10:D12"/>
    <mergeCell ref="E10:E12"/>
    <mergeCell ref="F10:F12"/>
    <mergeCell ref="G10:G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7"/>
  <sheetViews>
    <sheetView showGridLines="0" zoomScale="80" zoomScaleNormal="80" workbookViewId="0">
      <selection activeCell="C30" sqref="C30"/>
    </sheetView>
  </sheetViews>
  <sheetFormatPr defaultColWidth="8.5703125" defaultRowHeight="15"/>
  <cols>
    <col min="1" max="1" width="8.5703125" style="379"/>
    <col min="2" max="2" width="62.85546875" style="380" customWidth="1"/>
    <col min="3" max="3" width="31.42578125" style="380" customWidth="1"/>
    <col min="4" max="4" width="14.42578125" style="380" customWidth="1"/>
    <col min="5" max="5" width="16.42578125" style="380" bestFit="1" customWidth="1"/>
    <col min="6" max="6" width="16.42578125" style="380" customWidth="1"/>
    <col min="7" max="7" width="17.28515625" style="380" bestFit="1" customWidth="1"/>
    <col min="8" max="8" width="8.5703125" style="380"/>
    <col min="9" max="9" width="19.85546875" style="380" customWidth="1"/>
    <col min="10" max="16384" width="8.5703125" style="380"/>
  </cols>
  <sheetData>
    <row r="1" spans="1:9">
      <c r="A1" s="104"/>
      <c r="B1" s="104"/>
      <c r="C1" s="104"/>
      <c r="D1" s="104"/>
      <c r="E1" s="104"/>
      <c r="F1" s="104"/>
      <c r="G1" s="104"/>
      <c r="H1" s="104"/>
      <c r="I1" s="104"/>
    </row>
    <row r="2" spans="1:9">
      <c r="A2" s="104"/>
      <c r="B2" s="106"/>
      <c r="C2" s="106"/>
      <c r="D2" s="106"/>
      <c r="E2" s="293"/>
      <c r="F2" s="106"/>
      <c r="G2" s="106"/>
      <c r="H2" s="106"/>
      <c r="I2" s="106"/>
    </row>
    <row r="3" spans="1:9" ht="14.45" customHeight="1">
      <c r="A3" s="104"/>
      <c r="B3" s="106"/>
      <c r="C3" s="106"/>
      <c r="D3" s="106"/>
      <c r="E3" s="1362" t="s">
        <v>132</v>
      </c>
      <c r="F3" s="1365">
        <f>'00 - Cover'!F13</f>
        <v>46203</v>
      </c>
      <c r="G3" s="106"/>
      <c r="H3" s="144"/>
      <c r="I3" s="105"/>
    </row>
    <row r="4" spans="1:9" ht="14.45" customHeight="1">
      <c r="A4" s="104"/>
      <c r="B4" s="106"/>
      <c r="C4" s="106"/>
      <c r="D4" s="106"/>
      <c r="E4" s="1362" t="s">
        <v>651</v>
      </c>
      <c r="F4" s="1365">
        <f>'00 - Cover'!$F$14</f>
        <v>46219</v>
      </c>
      <c r="G4" s="106"/>
      <c r="H4" s="144"/>
      <c r="I4" s="105"/>
    </row>
    <row r="5" spans="1:9" ht="14.45" customHeight="1">
      <c r="A5" s="104"/>
      <c r="B5" s="106"/>
      <c r="C5" s="106"/>
      <c r="D5" s="106"/>
      <c r="E5" s="1362" t="s">
        <v>92</v>
      </c>
      <c r="F5" s="1365">
        <f>'00 - Cover'!$F$15</f>
        <v>46224</v>
      </c>
      <c r="G5" s="106"/>
      <c r="H5" s="144"/>
      <c r="I5" s="105"/>
    </row>
    <row r="6" spans="1:9" ht="14.45" customHeight="1">
      <c r="A6" s="104"/>
      <c r="B6" s="106"/>
      <c r="C6" s="106"/>
      <c r="D6" s="106"/>
      <c r="E6" s="1362" t="s">
        <v>85</v>
      </c>
      <c r="F6" s="1365">
        <f>'00 - Cover'!$F$16</f>
        <v>46230</v>
      </c>
      <c r="G6" s="106"/>
      <c r="H6" s="106"/>
      <c r="I6" s="106"/>
    </row>
    <row r="7" spans="1:9">
      <c r="A7" s="104"/>
      <c r="B7" s="106"/>
      <c r="C7" s="106"/>
      <c r="D7" s="106"/>
      <c r="E7" s="106"/>
      <c r="F7" s="106"/>
      <c r="G7" s="107"/>
      <c r="H7" s="108"/>
      <c r="I7" s="106"/>
    </row>
    <row r="9" spans="1:9" ht="15.75">
      <c r="A9" s="561" t="s">
        <v>547</v>
      </c>
      <c r="B9" s="562"/>
      <c r="C9" s="563"/>
      <c r="D9" s="563"/>
      <c r="E9" s="563"/>
      <c r="F9" s="563"/>
    </row>
    <row r="10" spans="1:9" ht="15.75" thickBot="1"/>
    <row r="11" spans="1:9" ht="15.75" thickTop="1">
      <c r="B11" s="444"/>
      <c r="C11" s="445"/>
      <c r="D11" s="445"/>
      <c r="E11" s="446"/>
    </row>
    <row r="12" spans="1:9">
      <c r="B12" s="452" t="s">
        <v>251</v>
      </c>
      <c r="D12" s="447"/>
      <c r="E12" s="448"/>
    </row>
    <row r="13" spans="1:9">
      <c r="B13" s="452" t="s">
        <v>283</v>
      </c>
      <c r="C13" s="774" t="s">
        <v>1232</v>
      </c>
      <c r="D13" s="447"/>
      <c r="E13" s="448"/>
    </row>
    <row r="14" spans="1:9">
      <c r="B14" s="452" t="s">
        <v>296</v>
      </c>
      <c r="C14" s="455" t="s">
        <v>1116</v>
      </c>
      <c r="D14" s="447"/>
      <c r="E14" s="448"/>
    </row>
    <row r="15" spans="1:9">
      <c r="B15" s="452" t="s">
        <v>306</v>
      </c>
      <c r="C15" s="455" t="s">
        <v>1233</v>
      </c>
      <c r="D15" s="447"/>
      <c r="E15" s="448"/>
    </row>
    <row r="16" spans="1:9">
      <c r="B16" s="452" t="s">
        <v>314</v>
      </c>
      <c r="C16" s="455" t="s">
        <v>1117</v>
      </c>
      <c r="D16" s="447"/>
      <c r="E16" s="448"/>
    </row>
    <row r="17" spans="1:5">
      <c r="B17" s="452" t="s">
        <v>1108</v>
      </c>
      <c r="C17" s="455" t="s">
        <v>1118</v>
      </c>
      <c r="D17" s="447"/>
      <c r="E17" s="448"/>
    </row>
    <row r="18" spans="1:5">
      <c r="B18" s="452" t="s">
        <v>1110</v>
      </c>
      <c r="C18" s="455" t="s">
        <v>1123</v>
      </c>
      <c r="D18" s="447"/>
      <c r="E18" s="448"/>
    </row>
    <row r="19" spans="1:5">
      <c r="B19" s="452" t="s">
        <v>1230</v>
      </c>
      <c r="C19" s="455" t="s">
        <v>1124</v>
      </c>
      <c r="D19" s="447"/>
      <c r="E19" s="448"/>
    </row>
    <row r="20" spans="1:5">
      <c r="B20" s="452" t="s">
        <v>1231</v>
      </c>
      <c r="C20" s="455" t="s">
        <v>1234</v>
      </c>
      <c r="D20" s="447"/>
      <c r="E20" s="448"/>
    </row>
    <row r="21" spans="1:5">
      <c r="B21" s="452" t="s">
        <v>1113</v>
      </c>
      <c r="C21" s="455" t="s">
        <v>1227</v>
      </c>
      <c r="D21" s="447"/>
      <c r="E21" s="448"/>
    </row>
    <row r="22" spans="1:5">
      <c r="B22" s="452" t="s">
        <v>1114</v>
      </c>
      <c r="C22" s="455" t="s">
        <v>1228</v>
      </c>
      <c r="D22" s="447"/>
      <c r="E22" s="448"/>
    </row>
    <row r="23" spans="1:5" ht="15.75" thickBot="1">
      <c r="B23" s="449"/>
      <c r="C23" s="450"/>
      <c r="D23" s="450"/>
      <c r="E23" s="451"/>
    </row>
    <row r="24" spans="1:5" ht="15.95" customHeight="1" thickTop="1"/>
    <row r="25" spans="1:5">
      <c r="B25" s="1190" t="s">
        <v>251</v>
      </c>
      <c r="C25" s="1191"/>
    </row>
    <row r="26" spans="1:5" ht="15.75" thickBot="1">
      <c r="A26" s="394" t="s">
        <v>252</v>
      </c>
      <c r="B26" s="381" t="s">
        <v>253</v>
      </c>
      <c r="C26" s="382">
        <f>PrincipalOutstandingBalance[[#Totals],[Principal Outstanding Balance]]</f>
        <v>769727297.02000022</v>
      </c>
    </row>
    <row r="27" spans="1:5" ht="15.75" thickBot="1">
      <c r="A27" s="394" t="s">
        <v>254</v>
      </c>
      <c r="B27" s="381" t="s">
        <v>255</v>
      </c>
      <c r="C27" s="382">
        <f>PrincipalOOriginalBalance6[[#Totals],[Principal Original Balance]]</f>
        <v>1160018044.3499999</v>
      </c>
    </row>
    <row r="28" spans="1:5" ht="15.75" thickBot="1">
      <c r="A28" s="394" t="s">
        <v>256</v>
      </c>
      <c r="B28" s="381" t="s">
        <v>257</v>
      </c>
      <c r="C28" s="383">
        <f>PrincipalOutstandingBalance[[#Totals],[Nb of Loans]]</f>
        <v>3546</v>
      </c>
    </row>
    <row r="29" spans="1:5" ht="15.75" thickBot="1">
      <c r="A29" s="394" t="s">
        <v>258</v>
      </c>
      <c r="B29" s="381" t="s">
        <v>259</v>
      </c>
      <c r="C29" s="383">
        <f>_xlfn.XLOOKUP(A29,INPUT_DATA!$CK$4:$CK$397,INPUT_DATA!$CM$4:$CM$397)</f>
        <v>3099</v>
      </c>
    </row>
    <row r="30" spans="1:5" ht="15.75" thickBot="1">
      <c r="A30" s="394" t="s">
        <v>260</v>
      </c>
      <c r="B30" s="381" t="s">
        <v>261</v>
      </c>
      <c r="C30" s="382">
        <f>_xlfn.XLOOKUP(A30,INPUT_DATA!$CK$4:$CK$397,INPUT_DATA!$CM$4:$CM$397)</f>
        <v>217069.17569655957</v>
      </c>
    </row>
    <row r="31" spans="1:5" ht="15.75" thickBot="1">
      <c r="A31" s="394" t="s">
        <v>262</v>
      </c>
      <c r="B31" s="381" t="s">
        <v>263</v>
      </c>
      <c r="C31" s="773">
        <f>_xlfn.XLOOKUP(A31,INPUT_DATA!$CK$4:$CK$397,INPUT_DATA!$CM$4:$CM$397)</f>
        <v>1.7585399846505485E-2</v>
      </c>
    </row>
    <row r="32" spans="1:5" ht="15.75" thickBot="1">
      <c r="A32" s="394" t="s">
        <v>264</v>
      </c>
      <c r="B32" s="381" t="s">
        <v>265</v>
      </c>
      <c r="C32" s="382">
        <f>_xlfn.XLOOKUP(A32,INPUT_DATA!$CK$4:$CK$397,INPUT_DATA!$CM$4:$CM$397)</f>
        <v>237.07941806748539</v>
      </c>
    </row>
    <row r="33" spans="1:8" ht="15.75" thickBot="1">
      <c r="A33" s="394" t="s">
        <v>266</v>
      </c>
      <c r="B33" s="381" t="s">
        <v>267</v>
      </c>
      <c r="C33" s="382">
        <f>_xlfn.XLOOKUP(A33,INPUT_DATA!$CK$4:$CK$397,INPUT_DATA!$CM$4:$CM$397)</f>
        <v>61.846346830860782</v>
      </c>
    </row>
    <row r="34" spans="1:8" ht="15.75" thickBot="1">
      <c r="A34" s="394" t="s">
        <v>268</v>
      </c>
      <c r="B34" s="381" t="s">
        <v>269</v>
      </c>
      <c r="C34" s="382">
        <f>_xlfn.XLOOKUP(A34,INPUT_DATA!$CK$4:$CK$397,INPUT_DATA!$CM$4:$CM$397)</f>
        <v>175.23307123662414</v>
      </c>
    </row>
    <row r="35" spans="1:8" ht="15.75" thickBot="1">
      <c r="A35" s="394" t="s">
        <v>270</v>
      </c>
      <c r="B35" s="381" t="s">
        <v>271</v>
      </c>
      <c r="C35" s="773">
        <f>_xlfn.XLOOKUP(A35,INPUT_DATA!$CK$4:$CK$397,INPUT_DATA!$CM$4:$CM$397)</f>
        <v>0.93300992612885947</v>
      </c>
    </row>
    <row r="36" spans="1:8" ht="15.75" thickBot="1">
      <c r="A36" s="394" t="s">
        <v>272</v>
      </c>
      <c r="B36" s="381" t="s">
        <v>273</v>
      </c>
      <c r="C36" s="773">
        <f>_xlfn.XLOOKUP(A36,INPUT_DATA!$CK$4:$CK$397,INPUT_DATA!$CM$4:$CM$397)</f>
        <v>0.67008571086416147</v>
      </c>
    </row>
    <row r="37" spans="1:8" ht="15.75" thickBot="1">
      <c r="A37" s="394" t="s">
        <v>274</v>
      </c>
      <c r="B37" s="381" t="s">
        <v>1103</v>
      </c>
      <c r="C37" s="773">
        <f>_xlfn.XLOOKUP(A37,INPUT_DATA!$CK$4:$CK$397,INPUT_DATA!$CM$4:$CM$397)</f>
        <v>0.48071084828216792</v>
      </c>
    </row>
    <row r="38" spans="1:8" ht="15.75" thickBot="1">
      <c r="A38" s="394" t="s">
        <v>275</v>
      </c>
      <c r="B38" s="381" t="s">
        <v>278</v>
      </c>
      <c r="C38" s="773">
        <f>D170</f>
        <v>0.10823824245619205</v>
      </c>
    </row>
    <row r="39" spans="1:8" ht="15.75" thickBot="1">
      <c r="A39" s="394" t="s">
        <v>276</v>
      </c>
      <c r="B39" s="381" t="s">
        <v>280</v>
      </c>
      <c r="C39" s="773">
        <f>D171</f>
        <v>2.214321679377463E-2</v>
      </c>
    </row>
    <row r="40" spans="1:8" ht="15.75" thickBot="1">
      <c r="A40" s="394" t="s">
        <v>277</v>
      </c>
      <c r="B40" s="381" t="s">
        <v>281</v>
      </c>
      <c r="C40" s="773">
        <f>D168</f>
        <v>6.1992610908743993E-2</v>
      </c>
    </row>
    <row r="41" spans="1:8" ht="15.75" thickBot="1">
      <c r="A41" s="394" t="s">
        <v>279</v>
      </c>
      <c r="B41" s="381" t="s">
        <v>282</v>
      </c>
      <c r="C41" s="773">
        <f>D169</f>
        <v>0.80762592984128934</v>
      </c>
      <c r="F41" s="453"/>
      <c r="H41" s="454" t="s">
        <v>650</v>
      </c>
    </row>
    <row r="42" spans="1:8">
      <c r="A42" s="394"/>
      <c r="B42" s="384"/>
      <c r="C42" s="385"/>
    </row>
    <row r="43" spans="1:8">
      <c r="A43" s="394"/>
      <c r="B43" s="386" t="s">
        <v>283</v>
      </c>
      <c r="C43" s="387"/>
    </row>
    <row r="44" spans="1:8">
      <c r="A44" s="394"/>
      <c r="B44" s="387"/>
      <c r="C44" s="387"/>
    </row>
    <row r="45" spans="1:8" ht="33" customHeight="1">
      <c r="A45" s="394"/>
      <c r="B45" s="377" t="s">
        <v>284</v>
      </c>
      <c r="C45" s="377" t="s">
        <v>253</v>
      </c>
      <c r="D45" s="377" t="s">
        <v>285</v>
      </c>
      <c r="E45" s="377" t="s">
        <v>286</v>
      </c>
      <c r="F45" s="377" t="s">
        <v>287</v>
      </c>
      <c r="G45" s="388"/>
    </row>
    <row r="46" spans="1:8">
      <c r="A46" s="395" t="s">
        <v>288</v>
      </c>
      <c r="B46" s="389" t="s">
        <v>1104</v>
      </c>
      <c r="C46" s="390">
        <f>_xlfn.XLOOKUP(A46,INPUT_DATA!$CK$4:$CK$397,INPUT_DATA!$CM$4:$CM$397)</f>
        <v>616166.5499999997</v>
      </c>
      <c r="D46" s="391">
        <f>PrincipalOutstandingBalance[[#This Row],[Principal Outstanding Balance]]/PrincipalOutstandingBalance[[#Totals],[Principal Outstanding Balance]]</f>
        <v>8.0049980348298542E-4</v>
      </c>
      <c r="E46" s="392">
        <f>_xlfn.XLOOKUP(A46,INPUT_DATA!$CK$4:$CK$397,INPUT_DATA!$CN$4:$CN$397)</f>
        <v>148</v>
      </c>
      <c r="F46" s="391">
        <f>PrincipalOutstandingBalance[[#This Row],[Nb of Loans]]/PrincipalOutstandingBalance[[#Totals],[Nb of Loans]]</f>
        <v>4.1737168640721939E-2</v>
      </c>
    </row>
    <row r="47" spans="1:8">
      <c r="A47" s="395" t="s">
        <v>289</v>
      </c>
      <c r="B47" s="389" t="s">
        <v>883</v>
      </c>
      <c r="C47" s="390">
        <f>_xlfn.XLOOKUP(A47,INPUT_DATA!$CK$4:$CK$397,INPUT_DATA!$CM$4:$CM$397)</f>
        <v>16475752.300000004</v>
      </c>
      <c r="D47" s="391">
        <f>PrincipalOutstandingBalance[[#This Row],[Principal Outstanding Balance]]/PrincipalOutstandingBalance[[#Totals],[Principal Outstanding Balance]]</f>
        <v>2.1404661577919728E-2</v>
      </c>
      <c r="E47" s="392">
        <f>_xlfn.XLOOKUP(A47,INPUT_DATA!$CK$4:$CK$397,INPUT_DATA!$CN$4:$CN$397)</f>
        <v>542</v>
      </c>
      <c r="F47" s="391">
        <f>PrincipalOutstandingBalance[[#This Row],[Nb of Loans]]/PrincipalOutstandingBalance[[#Totals],[Nb of Loans]]</f>
        <v>0.15284827975183304</v>
      </c>
    </row>
    <row r="48" spans="1:8">
      <c r="A48" s="395" t="s">
        <v>290</v>
      </c>
      <c r="B48" s="389" t="s">
        <v>884</v>
      </c>
      <c r="C48" s="390">
        <f>_xlfn.XLOOKUP(A48,INPUT_DATA!$CK$4:$CK$397,INPUT_DATA!$CM$4:$CM$397)</f>
        <v>52428244.180000067</v>
      </c>
      <c r="D48" s="391">
        <f>PrincipalOutstandingBalance[[#This Row],[Principal Outstanding Balance]]/PrincipalOutstandingBalance[[#Totals],[Principal Outstanding Balance]]</f>
        <v>6.8112751597839971E-2</v>
      </c>
      <c r="E48" s="392">
        <f>_xlfn.XLOOKUP(A48,INPUT_DATA!$CK$4:$CK$397,INPUT_DATA!$CN$4:$CN$397)</f>
        <v>713</v>
      </c>
      <c r="F48" s="391">
        <f>PrincipalOutstandingBalance[[#This Row],[Nb of Loans]]/PrincipalOutstandingBalance[[#Totals],[Nb of Loans]]</f>
        <v>0.20107163000564016</v>
      </c>
    </row>
    <row r="49" spans="1:8">
      <c r="A49" s="395" t="s">
        <v>291</v>
      </c>
      <c r="B49" s="389" t="s">
        <v>885</v>
      </c>
      <c r="C49" s="390">
        <f>_xlfn.XLOOKUP(A49,INPUT_DATA!$CK$4:$CK$397,INPUT_DATA!$CM$4:$CM$397)</f>
        <v>201906685.00000009</v>
      </c>
      <c r="D49" s="391">
        <f>PrincipalOutstandingBalance[[#This Row],[Principal Outstanding Balance]]/PrincipalOutstandingBalance[[#Totals],[Principal Outstanding Balance]]</f>
        <v>0.26230937343872557</v>
      </c>
      <c r="E49" s="392">
        <f>_xlfn.XLOOKUP(A49,INPUT_DATA!$CK$4:$CK$397,INPUT_DATA!$CN$4:$CN$397)</f>
        <v>1221</v>
      </c>
      <c r="F49" s="391">
        <f>PrincipalOutstandingBalance[[#This Row],[Nb of Loans]]/PrincipalOutstandingBalance[[#Totals],[Nb of Loans]]</f>
        <v>0.344331641285956</v>
      </c>
    </row>
    <row r="50" spans="1:8">
      <c r="A50" s="395" t="s">
        <v>292</v>
      </c>
      <c r="B50" s="389" t="s">
        <v>886</v>
      </c>
      <c r="C50" s="390">
        <f>_xlfn.XLOOKUP(A50,INPUT_DATA!$CK$4:$CK$397,INPUT_DATA!$CM$4:$CM$397)</f>
        <v>204445917.53000003</v>
      </c>
      <c r="D50" s="391">
        <f>PrincipalOutstandingBalance[[#This Row],[Principal Outstanding Balance]]/PrincipalOutstandingBalance[[#Totals],[Principal Outstanding Balance]]</f>
        <v>0.2656082463510292</v>
      </c>
      <c r="E50" s="392">
        <f>_xlfn.XLOOKUP(A50,INPUT_DATA!$CK$4:$CK$397,INPUT_DATA!$CN$4:$CN$397)</f>
        <v>595</v>
      </c>
      <c r="F50" s="391">
        <f>PrincipalOutstandingBalance[[#This Row],[Nb of Loans]]/PrincipalOutstandingBalance[[#Totals],[Nb of Loans]]</f>
        <v>0.16779469825155105</v>
      </c>
    </row>
    <row r="51" spans="1:8">
      <c r="A51" s="395" t="s">
        <v>293</v>
      </c>
      <c r="B51" s="389" t="s">
        <v>887</v>
      </c>
      <c r="C51" s="390">
        <f>_xlfn.XLOOKUP(A51,INPUT_DATA!$CK$4:$CK$397,INPUT_DATA!$CM$4:$CM$397)</f>
        <v>168473979.5</v>
      </c>
      <c r="D51" s="391">
        <f>PrincipalOutstandingBalance[[#This Row],[Principal Outstanding Balance]]/PrincipalOutstandingBalance[[#Totals],[Principal Outstanding Balance]]</f>
        <v>0.21887489264346885</v>
      </c>
      <c r="E51" s="392">
        <f>_xlfn.XLOOKUP(A51,INPUT_DATA!$CK$4:$CK$397,INPUT_DATA!$CN$4:$CN$397)</f>
        <v>245</v>
      </c>
      <c r="F51" s="391">
        <f>PrincipalOutstandingBalance[[#This Row],[Nb of Loans]]/PrincipalOutstandingBalance[[#Totals],[Nb of Loans]]</f>
        <v>6.9091934574168082E-2</v>
      </c>
    </row>
    <row r="52" spans="1:8">
      <c r="A52" s="395" t="s">
        <v>294</v>
      </c>
      <c r="B52" s="389" t="s">
        <v>888</v>
      </c>
      <c r="C52" s="390">
        <f>_xlfn.XLOOKUP(A52,INPUT_DATA!$CK$4:$CK$397,INPUT_DATA!$CM$4:$CM$397)</f>
        <v>92330621.709999979</v>
      </c>
      <c r="D52" s="391">
        <f>PrincipalOutstandingBalance[[#This Row],[Principal Outstanding Balance]]/PrincipalOutstandingBalance[[#Totals],[Principal Outstanding Balance]]</f>
        <v>0.11995238062552549</v>
      </c>
      <c r="E52" s="392">
        <f>_xlfn.XLOOKUP(A52,INPUT_DATA!$CK$4:$CK$397,INPUT_DATA!$CN$4:$CN$397)</f>
        <v>70</v>
      </c>
      <c r="F52" s="391">
        <f>PrincipalOutstandingBalance[[#This Row],[Nb of Loans]]/PrincipalOutstandingBalance[[#Totals],[Nb of Loans]]</f>
        <v>1.9740552735476594E-2</v>
      </c>
    </row>
    <row r="53" spans="1:8">
      <c r="A53" s="395" t="s">
        <v>295</v>
      </c>
      <c r="B53" s="389" t="s">
        <v>1105</v>
      </c>
      <c r="C53" s="390">
        <f>_xlfn.XLOOKUP(A53,INPUT_DATA!$CK$4:$CK$397,INPUT_DATA!$CM$4:$CM$397)</f>
        <v>33049930.25</v>
      </c>
      <c r="D53" s="391">
        <f>PrincipalOutstandingBalance[[#This Row],[Principal Outstanding Balance]]/PrincipalOutstandingBalance[[#Totals],[Principal Outstanding Balance]]</f>
        <v>4.2937193962008138E-2</v>
      </c>
      <c r="E53" s="392">
        <f>_xlfn.XLOOKUP(A53,INPUT_DATA!$CK$4:$CK$397,INPUT_DATA!$CN$4:$CN$397)</f>
        <v>12</v>
      </c>
      <c r="F53" s="391">
        <f>PrincipalOutstandingBalance[[#This Row],[Nb of Loans]]/PrincipalOutstandingBalance[[#Totals],[Nb of Loans]]</f>
        <v>3.3840947546531302E-3</v>
      </c>
    </row>
    <row r="54" spans="1:8">
      <c r="A54" s="394"/>
      <c r="B54" s="683" t="s">
        <v>2</v>
      </c>
      <c r="C54" s="768">
        <f>SUBTOTAL(109,PrincipalOutstandingBalance[Principal Outstanding Balance])</f>
        <v>769727297.02000022</v>
      </c>
      <c r="D54" s="769">
        <f>SUBTOTAL(109,PrincipalOutstandingBalance[% of Total (Amount)])</f>
        <v>0.99999999999999989</v>
      </c>
      <c r="E54" s="770">
        <f>SUBTOTAL(109,PrincipalOutstandingBalance[Nb of Loans])</f>
        <v>3546</v>
      </c>
      <c r="F54" s="769">
        <f>SUBTOTAL(109,PrincipalOutstandingBalance[% of Total (Number)])</f>
        <v>1</v>
      </c>
    </row>
    <row r="55" spans="1:8">
      <c r="A55" s="394"/>
      <c r="B55" s="387"/>
      <c r="C55" s="393"/>
      <c r="H55" s="454" t="s">
        <v>650</v>
      </c>
    </row>
    <row r="56" spans="1:8">
      <c r="A56" s="394"/>
      <c r="B56" s="387" t="s">
        <v>296</v>
      </c>
      <c r="C56" s="387"/>
    </row>
    <row r="57" spans="1:8">
      <c r="A57" s="394"/>
      <c r="B57" s="387"/>
      <c r="C57" s="387"/>
    </row>
    <row r="58" spans="1:8" ht="33" customHeight="1">
      <c r="A58" s="394"/>
      <c r="B58" s="377" t="s">
        <v>297</v>
      </c>
      <c r="C58" s="377" t="s">
        <v>253</v>
      </c>
      <c r="D58" s="377" t="s">
        <v>285</v>
      </c>
      <c r="E58" s="377" t="s">
        <v>286</v>
      </c>
      <c r="F58" s="377" t="s">
        <v>287</v>
      </c>
      <c r="G58" s="377" t="s">
        <v>1229</v>
      </c>
    </row>
    <row r="59" spans="1:8">
      <c r="A59" s="394" t="s">
        <v>298</v>
      </c>
      <c r="B59" s="389" t="s">
        <v>1104</v>
      </c>
      <c r="C59" s="390">
        <f>_xlfn.XLOOKUP(A59,INPUT_DATA!$CK$4:$CK$397,INPUT_DATA!$CM$4:$CM$397)</f>
        <v>4491.18</v>
      </c>
      <c r="D59" s="391">
        <f>PrincipalOOriginalBalance6[[#This Row],[Principal Outstanding Balance]]/PrincipalOOriginalBalance6[[#Totals],[Principal Outstanding Balance]]</f>
        <v>5.8347677383764453E-6</v>
      </c>
      <c r="E59" s="392">
        <f>_xlfn.XLOOKUP(A59,INPUT_DATA!$CK$4:$CK$397,INPUT_DATA!$CN$4:$CN$397)</f>
        <v>1</v>
      </c>
      <c r="F59" s="391">
        <f>PrincipalOOriginalBalance6[[#This Row],[Nb of Loans]]/PrincipalOOriginalBalance6[[#Totals],[Nb of Loans]]</f>
        <v>2.8200789622109422E-4</v>
      </c>
      <c r="G59" s="390">
        <f>_xlfn.XLOOKUP(A59,INPUT_DATA!$CK$4:$CK$397,INPUT_DATA!$CO$4:$CO$397)</f>
        <v>4519.2</v>
      </c>
    </row>
    <row r="60" spans="1:8">
      <c r="A60" s="394" t="s">
        <v>299</v>
      </c>
      <c r="B60" s="389" t="s">
        <v>883</v>
      </c>
      <c r="C60" s="390">
        <f>_xlfn.XLOOKUP(A60,INPUT_DATA!$CK$4:$CK$397,INPUT_DATA!$CM$4:$CM$397)</f>
        <v>1295471.2599999998</v>
      </c>
      <c r="D60" s="391">
        <f>PrincipalOOriginalBalance6[[#This Row],[Principal Outstanding Balance]]/PrincipalOOriginalBalance6[[#Totals],[Principal Outstanding Balance]]</f>
        <v>1.6830262678943801E-3</v>
      </c>
      <c r="E60" s="392">
        <f>_xlfn.XLOOKUP(A60,INPUT_DATA!$CK$4:$CK$397,INPUT_DATA!$CN$4:$CN$397)</f>
        <v>67</v>
      </c>
      <c r="F60" s="391">
        <f>PrincipalOOriginalBalance6[[#This Row],[Nb of Loans]]/PrincipalOOriginalBalance6[[#Totals],[Nb of Loans]]</f>
        <v>1.889452904681331E-2</v>
      </c>
      <c r="G60" s="390">
        <f>_xlfn.XLOOKUP(A60,INPUT_DATA!$CK$4:$CK$397,INPUT_DATA!$CO$4:$CO$397)</f>
        <v>2664689.0100000002</v>
      </c>
    </row>
    <row r="61" spans="1:8">
      <c r="A61" s="394" t="s">
        <v>300</v>
      </c>
      <c r="B61" s="389" t="s">
        <v>884</v>
      </c>
      <c r="C61" s="390">
        <f>_xlfn.XLOOKUP(A61,INPUT_DATA!$CK$4:$CK$397,INPUT_DATA!$CM$4:$CM$397)</f>
        <v>14504873.100000009</v>
      </c>
      <c r="D61" s="391">
        <f>PrincipalOOriginalBalance6[[#This Row],[Principal Outstanding Balance]]/PrincipalOOriginalBalance6[[#Totals],[Principal Outstanding Balance]]</f>
        <v>1.8844171378819014E-2</v>
      </c>
      <c r="E61" s="392">
        <f>_xlfn.XLOOKUP(A61,INPUT_DATA!$CK$4:$CK$397,INPUT_DATA!$CN$4:$CN$397)</f>
        <v>317</v>
      </c>
      <c r="F61" s="391">
        <f>PrincipalOOriginalBalance6[[#This Row],[Nb of Loans]]/PrincipalOOriginalBalance6[[#Totals],[Nb of Loans]]</f>
        <v>8.9396503102086855E-2</v>
      </c>
      <c r="G61" s="390">
        <f>_xlfn.XLOOKUP(A61,INPUT_DATA!$CK$4:$CK$397,INPUT_DATA!$CO$4:$CO$397)</f>
        <v>26513011.279999997</v>
      </c>
    </row>
    <row r="62" spans="1:8">
      <c r="A62" s="394" t="s">
        <v>301</v>
      </c>
      <c r="B62" s="389" t="s">
        <v>885</v>
      </c>
      <c r="C62" s="390">
        <f>_xlfn.XLOOKUP(A62,INPUT_DATA!$CK$4:$CK$397,INPUT_DATA!$CM$4:$CM$397)</f>
        <v>164543829.09000006</v>
      </c>
      <c r="D62" s="391">
        <f>PrincipalOOriginalBalance6[[#This Row],[Principal Outstanding Balance]]/PrincipalOOriginalBalance6[[#Totals],[Principal Outstanding Balance]]</f>
        <v>0.21376899289791546</v>
      </c>
      <c r="E62" s="392">
        <f>_xlfn.XLOOKUP(A62,INPUT_DATA!$CK$4:$CK$397,INPUT_DATA!$CN$4:$CN$397)</f>
        <v>1604</v>
      </c>
      <c r="F62" s="391">
        <f>PrincipalOOriginalBalance6[[#This Row],[Nb of Loans]]/PrincipalOOriginalBalance6[[#Totals],[Nb of Loans]]</f>
        <v>0.45234066553863506</v>
      </c>
      <c r="G62" s="390">
        <f>_xlfn.XLOOKUP(A62,INPUT_DATA!$CK$4:$CK$397,INPUT_DATA!$CO$4:$CO$397)</f>
        <v>285130236.05999988</v>
      </c>
    </row>
    <row r="63" spans="1:8">
      <c r="A63" s="394" t="s">
        <v>302</v>
      </c>
      <c r="B63" s="389" t="s">
        <v>886</v>
      </c>
      <c r="C63" s="390">
        <f>_xlfn.XLOOKUP(A63,INPUT_DATA!$CK$4:$CK$397,INPUT_DATA!$CM$4:$CM$397)</f>
        <v>229612926.56000018</v>
      </c>
      <c r="D63" s="391">
        <f>PrincipalOOriginalBalance6[[#This Row],[Principal Outstanding Balance]]/PrincipalOOriginalBalance6[[#Totals],[Principal Outstanding Balance]]</f>
        <v>0.29830425327118687</v>
      </c>
      <c r="E63" s="392">
        <f>_xlfn.XLOOKUP(A63,INPUT_DATA!$CK$4:$CK$397,INPUT_DATA!$CN$4:$CN$397)</f>
        <v>1043</v>
      </c>
      <c r="F63" s="391">
        <f>PrincipalOOriginalBalance6[[#This Row],[Nb of Loans]]/PrincipalOOriginalBalance6[[#Totals],[Nb of Loans]]</f>
        <v>0.29413423575860126</v>
      </c>
      <c r="G63" s="390">
        <f>_xlfn.XLOOKUP(A63,INPUT_DATA!$CK$4:$CK$397,INPUT_DATA!$CO$4:$CO$397)</f>
        <v>359516194.21999979</v>
      </c>
    </row>
    <row r="64" spans="1:8">
      <c r="A64" s="394" t="s">
        <v>303</v>
      </c>
      <c r="B64" s="389" t="s">
        <v>887</v>
      </c>
      <c r="C64" s="390">
        <f>_xlfn.XLOOKUP(A64,INPUT_DATA!$CK$4:$CK$397,INPUT_DATA!$CM$4:$CM$397)</f>
        <v>195106732.45999995</v>
      </c>
      <c r="D64" s="391">
        <f>PrincipalOOriginalBalance6[[#This Row],[Principal Outstanding Balance]]/PrincipalOOriginalBalance6[[#Totals],[Principal Outstanding Balance]]</f>
        <v>0.25347513751344902</v>
      </c>
      <c r="E64" s="392">
        <f>_xlfn.XLOOKUP(A64,INPUT_DATA!$CK$4:$CK$397,INPUT_DATA!$CN$4:$CN$397)</f>
        <v>377</v>
      </c>
      <c r="F64" s="391">
        <f>PrincipalOOriginalBalance6[[#This Row],[Nb of Loans]]/PrincipalOOriginalBalance6[[#Totals],[Nb of Loans]]</f>
        <v>0.10631697687535251</v>
      </c>
      <c r="G64" s="390">
        <f>_xlfn.XLOOKUP(A64,INPUT_DATA!$CK$4:$CK$397,INPUT_DATA!$CO$4:$CO$397)</f>
        <v>263381356.59999999</v>
      </c>
    </row>
    <row r="65" spans="1:8">
      <c r="A65" s="394" t="s">
        <v>304</v>
      </c>
      <c r="B65" s="389" t="s">
        <v>888</v>
      </c>
      <c r="C65" s="390">
        <f>_xlfn.XLOOKUP(A65,INPUT_DATA!$CK$4:$CK$397,INPUT_DATA!$CM$4:$CM$397)</f>
        <v>119322826.74999993</v>
      </c>
      <c r="D65" s="391">
        <f>PrincipalOOriginalBalance6[[#This Row],[Principal Outstanding Balance]]/PrincipalOOriginalBalance6[[#Totals],[Principal Outstanding Balance]]</f>
        <v>0.15501961176634679</v>
      </c>
      <c r="E65" s="392">
        <f>_xlfn.XLOOKUP(A65,INPUT_DATA!$CK$4:$CK$397,INPUT_DATA!$CN$4:$CN$397)</f>
        <v>117</v>
      </c>
      <c r="F65" s="391">
        <f>PrincipalOOriginalBalance6[[#This Row],[Nb of Loans]]/PrincipalOOriginalBalance6[[#Totals],[Nb of Loans]]</f>
        <v>3.2994923857868022E-2</v>
      </c>
      <c r="G65" s="390">
        <f>_xlfn.XLOOKUP(A65,INPUT_DATA!$CK$4:$CK$397,INPUT_DATA!$CO$4:$CO$397)</f>
        <v>160066037.98000002</v>
      </c>
    </row>
    <row r="66" spans="1:8">
      <c r="A66" s="394" t="s">
        <v>305</v>
      </c>
      <c r="B66" s="389" t="s">
        <v>1105</v>
      </c>
      <c r="C66" s="390">
        <f>_xlfn.XLOOKUP(A66,INPUT_DATA!$CK$4:$CK$397,INPUT_DATA!$CM$4:$CM$397)</f>
        <v>45336146.620000012</v>
      </c>
      <c r="D66" s="391">
        <f>PrincipalOOriginalBalance6[[#This Row],[Principal Outstanding Balance]]/PrincipalOOriginalBalance6[[#Totals],[Principal Outstanding Balance]]</f>
        <v>5.8898972136650143E-2</v>
      </c>
      <c r="E66" s="392">
        <f>_xlfn.XLOOKUP(A66,INPUT_DATA!$CK$4:$CK$397,INPUT_DATA!$CN$4:$CN$397)</f>
        <v>20</v>
      </c>
      <c r="F66" s="391">
        <f>PrincipalOOriginalBalance6[[#This Row],[Nb of Loans]]/PrincipalOOriginalBalance6[[#Totals],[Nb of Loans]]</f>
        <v>5.6401579244218835E-3</v>
      </c>
      <c r="G66" s="390">
        <f>_xlfn.XLOOKUP(A66,INPUT_DATA!$CK$4:$CK$397,INPUT_DATA!$CO$4:$CO$397)</f>
        <v>62742000</v>
      </c>
    </row>
    <row r="67" spans="1:8">
      <c r="A67" s="394"/>
      <c r="B67" s="683" t="s">
        <v>2</v>
      </c>
      <c r="C67" s="768">
        <f>SUBTOTAL(109,PrincipalOOriginalBalance6[Principal Outstanding Balance])</f>
        <v>769727297.0200001</v>
      </c>
      <c r="D67" s="769">
        <f>SUBTOTAL(109,PrincipalOOriginalBalance6[% of Total (Amount)])</f>
        <v>1</v>
      </c>
      <c r="E67" s="770">
        <f>SUBTOTAL(109,PrincipalOOriginalBalance6[Nb of Loans])</f>
        <v>3546</v>
      </c>
      <c r="F67" s="769">
        <f>SUBTOTAL(109,PrincipalOOriginalBalance6[% of Total (Number)])</f>
        <v>0.99999999999999989</v>
      </c>
      <c r="G67" s="768">
        <f>SUBTOTAL(109,PrincipalOOriginalBalance6[Principal Original Balance])</f>
        <v>1160018044.3499999</v>
      </c>
    </row>
    <row r="68" spans="1:8">
      <c r="A68" s="394"/>
      <c r="B68" s="389"/>
      <c r="C68" s="390"/>
      <c r="D68" s="391"/>
      <c r="E68" s="392"/>
      <c r="F68" s="391"/>
      <c r="H68" s="454" t="s">
        <v>650</v>
      </c>
    </row>
    <row r="69" spans="1:8">
      <c r="A69" s="394"/>
      <c r="B69" s="387" t="s">
        <v>306</v>
      </c>
      <c r="C69" s="387"/>
    </row>
    <row r="70" spans="1:8">
      <c r="A70" s="394"/>
      <c r="B70" s="387"/>
      <c r="C70" s="387"/>
    </row>
    <row r="71" spans="1:8" ht="33" customHeight="1">
      <c r="A71" s="394"/>
      <c r="B71" s="377" t="s">
        <v>307</v>
      </c>
      <c r="C71" s="377" t="s">
        <v>253</v>
      </c>
      <c r="D71" s="377" t="s">
        <v>285</v>
      </c>
      <c r="E71" s="377" t="s">
        <v>286</v>
      </c>
      <c r="F71" s="377" t="s">
        <v>287</v>
      </c>
      <c r="G71" s="388"/>
    </row>
    <row r="72" spans="1:8">
      <c r="A72" s="395" t="s">
        <v>308</v>
      </c>
      <c r="B72" s="683" t="s">
        <v>1106</v>
      </c>
      <c r="C72" s="390">
        <f>_xlfn.XLOOKUP(A72,INPUT_DATA!$CK$4:$CK$397,INPUT_DATA!$CM$4:$CM$397)</f>
        <v>85550904.73999998</v>
      </c>
      <c r="D72" s="391">
        <f>Seasonning[[#This Row],[Principal Outstanding Balance]]/Seasonning[[#Totals],[Principal Outstanding Balance]]</f>
        <v>0.11114443397188899</v>
      </c>
      <c r="E72" s="392">
        <f>_xlfn.XLOOKUP(A72,INPUT_DATA!$CK$4:$CK$397,INPUT_DATA!$CN$4:$CN$397)</f>
        <v>256</v>
      </c>
      <c r="F72" s="391">
        <f>Seasonning[[#This Row],[Nb of Loans]]/Seasonning[[#Totals],[Nb of Loans]]</f>
        <v>7.219402143260012E-2</v>
      </c>
    </row>
    <row r="73" spans="1:8">
      <c r="A73" s="395" t="s">
        <v>309</v>
      </c>
      <c r="B73" s="683" t="s">
        <v>889</v>
      </c>
      <c r="C73" s="390">
        <f>_xlfn.XLOOKUP(A73,INPUT_DATA!$CK$4:$CK$397,INPUT_DATA!$CM$4:$CM$397)</f>
        <v>367082546.04999971</v>
      </c>
      <c r="D73" s="391">
        <f>Seasonning[[#This Row],[Principal Outstanding Balance]]/Seasonning[[#Totals],[Principal Outstanding Balance]]</f>
        <v>0.47689947786853876</v>
      </c>
      <c r="E73" s="392">
        <f>_xlfn.XLOOKUP(A73,INPUT_DATA!$CK$4:$CK$397,INPUT_DATA!$CN$4:$CN$397)</f>
        <v>1108</v>
      </c>
      <c r="F73" s="391">
        <f>Seasonning[[#This Row],[Nb of Loans]]/Seasonning[[#Totals],[Nb of Loans]]</f>
        <v>0.31246474901297239</v>
      </c>
    </row>
    <row r="74" spans="1:8">
      <c r="A74" s="395" t="s">
        <v>310</v>
      </c>
      <c r="B74" s="683" t="s">
        <v>890</v>
      </c>
      <c r="C74" s="390">
        <f>_xlfn.XLOOKUP(A74,INPUT_DATA!$CK$4:$CK$397,INPUT_DATA!$CM$4:$CM$397)</f>
        <v>257075454.3100003</v>
      </c>
      <c r="D74" s="391">
        <f>Seasonning[[#This Row],[Principal Outstanding Balance]]/Seasonning[[#Totals],[Principal Outstanding Balance]]</f>
        <v>0.33398250952677416</v>
      </c>
      <c r="E74" s="392">
        <f>_xlfn.XLOOKUP(A74,INPUT_DATA!$CK$4:$CK$397,INPUT_DATA!$CN$4:$CN$397)</f>
        <v>1268</v>
      </c>
      <c r="F74" s="391">
        <f>Seasonning[[#This Row],[Nb of Loans]]/Seasonning[[#Totals],[Nb of Loans]]</f>
        <v>0.35758601240834742</v>
      </c>
    </row>
    <row r="75" spans="1:8">
      <c r="A75" s="395" t="s">
        <v>311</v>
      </c>
      <c r="B75" s="683" t="s">
        <v>891</v>
      </c>
      <c r="C75" s="390">
        <f>_xlfn.XLOOKUP(A75,INPUT_DATA!$CK$4:$CK$397,INPUT_DATA!$CM$4:$CM$397)</f>
        <v>19297965.019999992</v>
      </c>
      <c r="D75" s="391">
        <f>Seasonning[[#This Row],[Principal Outstanding Balance]]/Seasonning[[#Totals],[Principal Outstanding Balance]]</f>
        <v>2.5071171432677626E-2</v>
      </c>
      <c r="E75" s="392">
        <f>_xlfn.XLOOKUP(A75,INPUT_DATA!$CK$4:$CK$397,INPUT_DATA!$CN$4:$CN$397)</f>
        <v>229</v>
      </c>
      <c r="F75" s="391">
        <f>Seasonning[[#This Row],[Nb of Loans]]/Seasonning[[#Totals],[Nb of Loans]]</f>
        <v>6.4579808234630567E-2</v>
      </c>
    </row>
    <row r="76" spans="1:8">
      <c r="A76" s="395" t="s">
        <v>312</v>
      </c>
      <c r="B76" s="683" t="s">
        <v>892</v>
      </c>
      <c r="C76" s="390">
        <f>_xlfn.XLOOKUP(A76,INPUT_DATA!$CK$4:$CK$397,INPUT_DATA!$CM$4:$CM$397)</f>
        <v>38926351.450000018</v>
      </c>
      <c r="D76" s="391">
        <f>Seasonning[[#This Row],[Principal Outstanding Balance]]/Seasonning[[#Totals],[Principal Outstanding Balance]]</f>
        <v>5.05716136100453E-2</v>
      </c>
      <c r="E76" s="392">
        <f>_xlfn.XLOOKUP(A76,INPUT_DATA!$CK$4:$CK$397,INPUT_DATA!$CN$4:$CN$397)</f>
        <v>640</v>
      </c>
      <c r="F76" s="391">
        <f>Seasonning[[#This Row],[Nb of Loans]]/Seasonning[[#Totals],[Nb of Loans]]</f>
        <v>0.18048505358150027</v>
      </c>
    </row>
    <row r="77" spans="1:8">
      <c r="A77" s="395" t="s">
        <v>313</v>
      </c>
      <c r="B77" s="683" t="s">
        <v>1107</v>
      </c>
      <c r="C77" s="390">
        <f>_xlfn.XLOOKUP(A77,INPUT_DATA!$CK$4:$CK$397,INPUT_DATA!$CM$4:$CM$397)</f>
        <v>1794075.4499999995</v>
      </c>
      <c r="D77" s="391">
        <f>Seasonning[[#This Row],[Principal Outstanding Balance]]/Seasonning[[#Totals],[Principal Outstanding Balance]]</f>
        <v>2.330793590075036E-3</v>
      </c>
      <c r="E77" s="392">
        <f>_xlfn.XLOOKUP(A77,INPUT_DATA!$CK$4:$CK$397,INPUT_DATA!$CN$4:$CN$397)</f>
        <v>45</v>
      </c>
      <c r="F77" s="391">
        <f>Seasonning[[#This Row],[Nb of Loans]]/Seasonning[[#Totals],[Nb of Loans]]</f>
        <v>1.2690355329949238E-2</v>
      </c>
    </row>
    <row r="78" spans="1:8">
      <c r="A78" s="394"/>
      <c r="B78" s="683" t="s">
        <v>2</v>
      </c>
      <c r="C78" s="768">
        <f>SUBTOTAL(109,Seasonning[Principal Outstanding Balance])</f>
        <v>769727297.0200001</v>
      </c>
      <c r="D78" s="769">
        <f>SUBTOTAL(109,Seasonning[% of Total (Amount)])</f>
        <v>0.99999999999999978</v>
      </c>
      <c r="E78" s="770">
        <f>SUBTOTAL(109,Seasonning[Nb of Loans])</f>
        <v>3546</v>
      </c>
      <c r="F78" s="769">
        <f>SUBTOTAL(109,Seasonning[% of Total (Number)])</f>
        <v>1</v>
      </c>
    </row>
    <row r="79" spans="1:8">
      <c r="A79" s="394"/>
      <c r="B79" s="389"/>
      <c r="C79" s="390"/>
      <c r="D79" s="391"/>
      <c r="E79" s="392"/>
      <c r="F79" s="391"/>
      <c r="H79" s="454" t="s">
        <v>650</v>
      </c>
    </row>
    <row r="80" spans="1:8" ht="15" customHeight="1">
      <c r="A80" s="394"/>
      <c r="B80" s="387" t="s">
        <v>314</v>
      </c>
      <c r="C80" s="387"/>
    </row>
    <row r="81" spans="1:8" ht="15" customHeight="1">
      <c r="A81" s="394"/>
      <c r="B81" s="387"/>
      <c r="C81" s="387"/>
    </row>
    <row r="82" spans="1:8" ht="33" customHeight="1">
      <c r="A82" s="394"/>
      <c r="B82" s="377" t="s">
        <v>315</v>
      </c>
      <c r="C82" s="377" t="s">
        <v>253</v>
      </c>
      <c r="D82" s="377" t="s">
        <v>285</v>
      </c>
      <c r="E82" s="377" t="s">
        <v>286</v>
      </c>
      <c r="F82" s="377" t="s">
        <v>287</v>
      </c>
      <c r="G82" s="388"/>
    </row>
    <row r="83" spans="1:8">
      <c r="A83" s="394" t="s">
        <v>316</v>
      </c>
      <c r="B83" s="683" t="s">
        <v>1106</v>
      </c>
      <c r="C83" s="390">
        <f>_xlfn.XLOOKUP(A83,INPUT_DATA!$CK$4:$CK$397,INPUT_DATA!$CM$4:$CM$397)</f>
        <v>1939008.7199999995</v>
      </c>
      <c r="D83" s="391">
        <f>RemainingTermToMaturity[[#This Row],[Principal Outstanding Balance]]/RemainingTermToMaturity[[#Totals],[Principal Outstanding Balance]]</f>
        <v>2.5190853013877419E-3</v>
      </c>
      <c r="E83" s="392">
        <f>_xlfn.XLOOKUP(A83,INPUT_DATA!$CK$4:$CK$397,INPUT_DATA!$CN$4:$CN$397)</f>
        <v>154</v>
      </c>
      <c r="F83" s="391">
        <f>RemainingTermToMaturity[[#This Row],[Nb of Loans]]/RemainingTermToMaturity[[#Totals],[Nb of Loans]]</f>
        <v>4.3429216018048507E-2</v>
      </c>
    </row>
    <row r="84" spans="1:8">
      <c r="A84" s="394" t="s">
        <v>317</v>
      </c>
      <c r="B84" s="683" t="s">
        <v>889</v>
      </c>
      <c r="C84" s="390">
        <f>_xlfn.XLOOKUP(A84,INPUT_DATA!$CK$4:$CK$397,INPUT_DATA!$CM$4:$CM$397)</f>
        <v>40888391.13000004</v>
      </c>
      <c r="D84" s="391">
        <f>RemainingTermToMaturity[[#This Row],[Principal Outstanding Balance]]/RemainingTermToMaturity[[#Totals],[Principal Outstanding Balance]]</f>
        <v>5.3120619845884988E-2</v>
      </c>
      <c r="E84" s="392">
        <f>_xlfn.XLOOKUP(A84,INPUT_DATA!$CK$4:$CK$397,INPUT_DATA!$CN$4:$CN$397)</f>
        <v>665</v>
      </c>
      <c r="F84" s="391">
        <f>RemainingTermToMaturity[[#This Row],[Nb of Loans]]/RemainingTermToMaturity[[#Totals],[Nb of Loans]]</f>
        <v>0.18753525098702764</v>
      </c>
    </row>
    <row r="85" spans="1:8">
      <c r="A85" s="394" t="s">
        <v>318</v>
      </c>
      <c r="B85" s="683" t="s">
        <v>890</v>
      </c>
      <c r="C85" s="390">
        <f>_xlfn.XLOOKUP(A85,INPUT_DATA!$CK$4:$CK$397,INPUT_DATA!$CM$4:$CM$397)</f>
        <v>101663912.92000012</v>
      </c>
      <c r="D85" s="391">
        <f>RemainingTermToMaturity[[#This Row],[Principal Outstanding Balance]]/RemainingTermToMaturity[[#Totals],[Principal Outstanding Balance]]</f>
        <v>0.13207783238764173</v>
      </c>
      <c r="E85" s="392">
        <f>_xlfn.XLOOKUP(A85,INPUT_DATA!$CK$4:$CK$397,INPUT_DATA!$CN$4:$CN$397)</f>
        <v>745</v>
      </c>
      <c r="F85" s="391">
        <f>RemainingTermToMaturity[[#This Row],[Nb of Loans]]/RemainingTermToMaturity[[#Totals],[Nb of Loans]]</f>
        <v>0.21009588268471519</v>
      </c>
    </row>
    <row r="86" spans="1:8">
      <c r="A86" s="394" t="s">
        <v>319</v>
      </c>
      <c r="B86" s="683" t="s">
        <v>891</v>
      </c>
      <c r="C86" s="390">
        <f>_xlfn.XLOOKUP(A86,INPUT_DATA!$CK$4:$CK$397,INPUT_DATA!$CM$4:$CM$397)</f>
        <v>220267532.51000023</v>
      </c>
      <c r="D86" s="391">
        <f>RemainingTermToMaturity[[#This Row],[Principal Outstanding Balance]]/RemainingTermToMaturity[[#Totals],[Principal Outstanding Balance]]</f>
        <v>0.28616307796639939</v>
      </c>
      <c r="E86" s="392">
        <f>_xlfn.XLOOKUP(A86,INPUT_DATA!$CK$4:$CK$397,INPUT_DATA!$CN$4:$CN$397)</f>
        <v>924</v>
      </c>
      <c r="F86" s="391">
        <f>RemainingTermToMaturity[[#This Row],[Nb of Loans]]/RemainingTermToMaturity[[#Totals],[Nb of Loans]]</f>
        <v>0.26057529610829105</v>
      </c>
    </row>
    <row r="87" spans="1:8">
      <c r="A87" s="394" t="s">
        <v>320</v>
      </c>
      <c r="B87" s="683" t="s">
        <v>892</v>
      </c>
      <c r="C87" s="390">
        <f>_xlfn.XLOOKUP(A87,INPUT_DATA!$CK$4:$CK$397,INPUT_DATA!$CM$4:$CM$397)</f>
        <v>316693360.59000003</v>
      </c>
      <c r="D87" s="391">
        <f>RemainingTermToMaturity[[#This Row],[Principal Outstanding Balance]]/RemainingTermToMaturity[[#Totals],[Principal Outstanding Balance]]</f>
        <v>0.41143579267109087</v>
      </c>
      <c r="E87" s="392">
        <f>_xlfn.XLOOKUP(A87,INPUT_DATA!$CK$4:$CK$397,INPUT_DATA!$CN$4:$CN$397)</f>
        <v>893</v>
      </c>
      <c r="F87" s="391">
        <f>RemainingTermToMaturity[[#This Row],[Nb of Loans]]/RemainingTermToMaturity[[#Totals],[Nb of Loans]]</f>
        <v>0.2518330513254371</v>
      </c>
    </row>
    <row r="88" spans="1:8">
      <c r="A88" s="394" t="s">
        <v>321</v>
      </c>
      <c r="B88" s="683" t="s">
        <v>1107</v>
      </c>
      <c r="C88" s="390">
        <f>_xlfn.XLOOKUP(A88,INPUT_DATA!$CK$4:$CK$397,INPUT_DATA!$CM$4:$CM$397)</f>
        <v>88275091.150000006</v>
      </c>
      <c r="D88" s="391">
        <f>RemainingTermToMaturity[[#This Row],[Principal Outstanding Balance]]/RemainingTermToMaturity[[#Totals],[Principal Outstanding Balance]]</f>
        <v>0.1146835918275954</v>
      </c>
      <c r="E88" s="392">
        <f>_xlfn.XLOOKUP(A88,INPUT_DATA!$CK$4:$CK$397,INPUT_DATA!$CN$4:$CN$397)</f>
        <v>165</v>
      </c>
      <c r="F88" s="391">
        <f>RemainingTermToMaturity[[#This Row],[Nb of Loans]]/RemainingTermToMaturity[[#Totals],[Nb of Loans]]</f>
        <v>4.6531302876480544E-2</v>
      </c>
    </row>
    <row r="89" spans="1:8">
      <c r="A89" s="394"/>
      <c r="B89" s="683" t="s">
        <v>2</v>
      </c>
      <c r="C89" s="768">
        <f>SUBTOTAL(109,RemainingTermToMaturity[Principal Outstanding Balance])</f>
        <v>769727297.02000034</v>
      </c>
      <c r="D89" s="769">
        <f>SUBTOTAL(109,RemainingTermToMaturity[% of Total (Amount)])</f>
        <v>1.0000000000000002</v>
      </c>
      <c r="E89" s="770">
        <f>SUBTOTAL(109,RemainingTermToMaturity[Nb of Loans])</f>
        <v>3546</v>
      </c>
      <c r="F89" s="769">
        <f>SUBTOTAL(109,RemainingTermToMaturity[% of Total (Number)])</f>
        <v>1</v>
      </c>
    </row>
    <row r="90" spans="1:8" ht="14.45" customHeight="1">
      <c r="A90" s="394"/>
      <c r="B90" s="389"/>
      <c r="C90" s="390"/>
      <c r="D90" s="391"/>
      <c r="E90" s="392"/>
      <c r="F90" s="391"/>
      <c r="H90" s="454" t="s">
        <v>650</v>
      </c>
    </row>
    <row r="91" spans="1:8">
      <c r="A91" s="394"/>
      <c r="B91" s="387" t="s">
        <v>1108</v>
      </c>
      <c r="C91" s="387"/>
    </row>
    <row r="92" spans="1:8" ht="15" customHeight="1">
      <c r="A92" s="394"/>
      <c r="B92" s="387"/>
      <c r="C92" s="387"/>
    </row>
    <row r="93" spans="1:8" ht="33" customHeight="1">
      <c r="A93" s="394"/>
      <c r="B93" s="377" t="s">
        <v>546</v>
      </c>
      <c r="C93" s="377" t="s">
        <v>253</v>
      </c>
      <c r="D93" s="377" t="s">
        <v>285</v>
      </c>
      <c r="E93" s="377" t="s">
        <v>286</v>
      </c>
      <c r="F93" s="377" t="s">
        <v>287</v>
      </c>
      <c r="G93" s="388"/>
    </row>
    <row r="94" spans="1:8">
      <c r="A94" s="394" t="s">
        <v>323</v>
      </c>
      <c r="B94" s="683" t="s">
        <v>1106</v>
      </c>
      <c r="C94" s="390">
        <f>_xlfn.XLOOKUP(A94,INPUT_DATA!$CK$4:$CK$397,INPUT_DATA!$CM$4:$CM$397)</f>
        <v>0</v>
      </c>
      <c r="D94" s="391">
        <f>OriginalTermToMaturity29[[#This Row],[Principal Outstanding Balance]]/OriginalTermToMaturity29[[#Totals],[Principal Outstanding Balance]]</f>
        <v>0</v>
      </c>
      <c r="E94" s="392">
        <f>_xlfn.XLOOKUP(A94,INPUT_DATA!$CK$4:$CK$397,INPUT_DATA!$CN$4:$CN$397)</f>
        <v>0</v>
      </c>
      <c r="F94" s="391">
        <f>OriginalTermToMaturity29[[#This Row],[Nb of Loans]]/OriginalTermToMaturity29[[#Totals],[Nb of Loans]]</f>
        <v>0</v>
      </c>
    </row>
    <row r="95" spans="1:8">
      <c r="A95" s="394" t="s">
        <v>324</v>
      </c>
      <c r="B95" s="683" t="s">
        <v>889</v>
      </c>
      <c r="C95" s="390">
        <f>_xlfn.XLOOKUP(A95,INPUT_DATA!$CK$4:$CK$397,INPUT_DATA!$CM$4:$CM$397)</f>
        <v>892829</v>
      </c>
      <c r="D95" s="391">
        <f>OriginalTermToMaturity29[[#This Row],[Principal Outstanding Balance]]/OriginalTermToMaturity29[[#Totals],[Principal Outstanding Balance]]</f>
        <v>1.159928981935015E-3</v>
      </c>
      <c r="E95" s="392">
        <f>_xlfn.XLOOKUP(A95,INPUT_DATA!$CK$4:$CK$397,INPUT_DATA!$CN$4:$CN$397)</f>
        <v>2</v>
      </c>
      <c r="F95" s="391">
        <f>OriginalTermToMaturity29[[#This Row],[Nb of Loans]]/OriginalTermToMaturity29[[#Totals],[Nb of Loans]]</f>
        <v>5.6401579244218843E-4</v>
      </c>
    </row>
    <row r="96" spans="1:8">
      <c r="A96" s="394" t="s">
        <v>325</v>
      </c>
      <c r="B96" s="683" t="s">
        <v>890</v>
      </c>
      <c r="C96" s="390">
        <f>_xlfn.XLOOKUP(A96,INPUT_DATA!$CK$4:$CK$397,INPUT_DATA!$CM$4:$CM$397)</f>
        <v>24629948.27999999</v>
      </c>
      <c r="D96" s="391">
        <f>OriginalTermToMaturity29[[#This Row],[Principal Outstanding Balance]]/OriginalTermToMaturity29[[#Totals],[Principal Outstanding Balance]]</f>
        <v>3.1998278319288982E-2</v>
      </c>
      <c r="E96" s="392">
        <f>_xlfn.XLOOKUP(A96,INPUT_DATA!$CK$4:$CK$397,INPUT_DATA!$CN$4:$CN$397)</f>
        <v>235</v>
      </c>
      <c r="F96" s="391">
        <f>OriginalTermToMaturity29[[#This Row],[Nb of Loans]]/OriginalTermToMaturity29[[#Totals],[Nb of Loans]]</f>
        <v>6.6271855611957128E-2</v>
      </c>
    </row>
    <row r="97" spans="1:8">
      <c r="A97" s="394" t="s">
        <v>326</v>
      </c>
      <c r="B97" s="683" t="s">
        <v>891</v>
      </c>
      <c r="C97" s="390">
        <f>_xlfn.XLOOKUP(A97,INPUT_DATA!$CK$4:$CK$397,INPUT_DATA!$CM$4:$CM$397)</f>
        <v>123126954.8200001</v>
      </c>
      <c r="D97" s="391">
        <f>OriginalTermToMaturity29[[#This Row],[Principal Outstanding Balance]]/OriginalTermToMaturity29[[#Totals],[Principal Outstanding Balance]]</f>
        <v>0.15996178815105841</v>
      </c>
      <c r="E97" s="392">
        <f>_xlfn.XLOOKUP(A97,INPUT_DATA!$CK$4:$CK$397,INPUT_DATA!$CN$4:$CN$397)</f>
        <v>698</v>
      </c>
      <c r="F97" s="391">
        <f>OriginalTermToMaturity29[[#This Row],[Nb of Loans]]/OriginalTermToMaturity29[[#Totals],[Nb of Loans]]</f>
        <v>0.19684151156232374</v>
      </c>
    </row>
    <row r="98" spans="1:8">
      <c r="A98" s="394" t="s">
        <v>327</v>
      </c>
      <c r="B98" s="683" t="s">
        <v>892</v>
      </c>
      <c r="C98" s="390">
        <f>_xlfn.XLOOKUP(A98,INPUT_DATA!$CK$4:$CK$397,INPUT_DATA!$CM$4:$CM$397)</f>
        <v>358334267.43000001</v>
      </c>
      <c r="D98" s="391">
        <f>OriginalTermToMaturity29[[#This Row],[Principal Outstanding Balance]]/OriginalTermToMaturity29[[#Totals],[Principal Outstanding Balance]]</f>
        <v>0.46553405188732599</v>
      </c>
      <c r="E98" s="392">
        <f>_xlfn.XLOOKUP(A98,INPUT_DATA!$CK$4:$CK$397,INPUT_DATA!$CN$4:$CN$397)</f>
        <v>1592</v>
      </c>
      <c r="F98" s="391">
        <f>OriginalTermToMaturity29[[#This Row],[Nb of Loans]]/OriginalTermToMaturity29[[#Totals],[Nb of Loans]]</f>
        <v>0.44895657078398193</v>
      </c>
    </row>
    <row r="99" spans="1:8">
      <c r="A99" s="394" t="s">
        <v>328</v>
      </c>
      <c r="B99" s="683" t="s">
        <v>893</v>
      </c>
      <c r="C99" s="390">
        <f>_xlfn.XLOOKUP(A99,INPUT_DATA!$CK$4:$CK$397,INPUT_DATA!$CM$4:$CM$397)</f>
        <v>226885220.11000031</v>
      </c>
      <c r="D99" s="391">
        <f>OriginalTermToMaturity29[[#This Row],[Principal Outstanding Balance]]/OriginalTermToMaturity29[[#Totals],[Principal Outstanding Balance]]</f>
        <v>0.29476052231535321</v>
      </c>
      <c r="E99" s="392">
        <f>_xlfn.XLOOKUP(A99,INPUT_DATA!$CK$4:$CK$397,INPUT_DATA!$CN$4:$CN$397)</f>
        <v>888</v>
      </c>
      <c r="F99" s="391">
        <f>OriginalTermToMaturity29[[#This Row],[Nb of Loans]]/OriginalTermToMaturity29[[#Totals],[Nb of Loans]]</f>
        <v>0.25042301184433163</v>
      </c>
    </row>
    <row r="100" spans="1:8">
      <c r="A100" s="394" t="s">
        <v>329</v>
      </c>
      <c r="B100" s="683" t="s">
        <v>1109</v>
      </c>
      <c r="C100" s="390">
        <f>_xlfn.XLOOKUP(A100,INPUT_DATA!$CK$4:$CK$397,INPUT_DATA!$CM$4:$CM$397)</f>
        <v>35858077.379999988</v>
      </c>
      <c r="D100" s="391">
        <f>OriginalTermToMaturity29[[#This Row],[Principal Outstanding Balance]]/OriginalTermToMaturity29[[#Totals],[Principal Outstanding Balance]]</f>
        <v>4.6585430345038502E-2</v>
      </c>
      <c r="E100" s="392">
        <f>_xlfn.XLOOKUP(A100,INPUT_DATA!$CK$4:$CK$397,INPUT_DATA!$CN$4:$CN$397)</f>
        <v>131</v>
      </c>
      <c r="F100" s="391">
        <f>OriginalTermToMaturity29[[#This Row],[Nb of Loans]]/OriginalTermToMaturity29[[#Totals],[Nb of Loans]]</f>
        <v>3.694303440496334E-2</v>
      </c>
    </row>
    <row r="101" spans="1:8">
      <c r="A101" s="394"/>
      <c r="B101" s="683" t="s">
        <v>2</v>
      </c>
      <c r="C101" s="768">
        <f>SUBTOTAL(109,OriginalTermToMaturity29[Principal Outstanding Balance])</f>
        <v>769727297.02000034</v>
      </c>
      <c r="D101" s="769">
        <f>SUBTOTAL(109,OriginalTermToMaturity29[% of Total (Amount)])</f>
        <v>1.0000000000000002</v>
      </c>
      <c r="E101" s="770">
        <f>SUBTOTAL(109,OriginalTermToMaturity29[Nb of Loans])</f>
        <v>3546</v>
      </c>
      <c r="F101" s="769">
        <f>SUBTOTAL(109,OriginalTermToMaturity29[% of Total (Number)])</f>
        <v>0.99999999999999989</v>
      </c>
    </row>
    <row r="102" spans="1:8">
      <c r="B102" s="389"/>
      <c r="C102" s="390"/>
      <c r="D102" s="391"/>
      <c r="E102" s="392"/>
      <c r="F102" s="391"/>
      <c r="H102" s="454" t="s">
        <v>650</v>
      </c>
    </row>
    <row r="103" spans="1:8">
      <c r="A103" s="394"/>
      <c r="B103" s="387" t="s">
        <v>1110</v>
      </c>
      <c r="C103" s="387"/>
    </row>
    <row r="104" spans="1:8" ht="15" customHeight="1">
      <c r="A104" s="394"/>
      <c r="B104" s="387"/>
      <c r="C104" s="387"/>
    </row>
    <row r="105" spans="1:8" ht="33" customHeight="1">
      <c r="A105" s="394"/>
      <c r="B105" s="377" t="s">
        <v>322</v>
      </c>
      <c r="C105" s="377" t="s">
        <v>253</v>
      </c>
      <c r="D105" s="377" t="s">
        <v>285</v>
      </c>
      <c r="E105" s="377" t="s">
        <v>286</v>
      </c>
      <c r="F105" s="377" t="s">
        <v>287</v>
      </c>
      <c r="G105" s="388"/>
    </row>
    <row r="106" spans="1:8">
      <c r="A106" s="395" t="s">
        <v>331</v>
      </c>
      <c r="B106" s="389">
        <v>2003</v>
      </c>
      <c r="C106" s="390">
        <f>_xlfn.XLOOKUP(A106,INPUT_DATA!$CK$4:$CK$397,INPUT_DATA!$CM$4:$CM$397)</f>
        <v>0</v>
      </c>
      <c r="D106" s="391">
        <f>OriginationYear[[#This Row],[Principal Outstanding Balance]]/OriginationYear[[#Totals],[Principal Outstanding Balance]]</f>
        <v>0</v>
      </c>
      <c r="E106" s="392">
        <f>_xlfn.XLOOKUP(A106,INPUT_DATA!$CK$4:$CK$397,INPUT_DATA!$CN$4:$CN$397)</f>
        <v>0</v>
      </c>
      <c r="F106" s="391">
        <f>OriginationYear[[#This Row],[Nb of Loans]]/OriginationYear[[#Totals],[Nb of Loans]]</f>
        <v>0</v>
      </c>
    </row>
    <row r="107" spans="1:8">
      <c r="A107" s="395" t="s">
        <v>332</v>
      </c>
      <c r="B107" s="389">
        <v>2004</v>
      </c>
      <c r="C107" s="390">
        <f>_xlfn.XLOOKUP(A107,INPUT_DATA!$CK$4:$CK$397,INPUT_DATA!$CM$4:$CM$397)</f>
        <v>19056.98</v>
      </c>
      <c r="D107" s="391">
        <f>OriginationYear[[#This Row],[Principal Outstanding Balance]]/OriginationYear[[#Totals],[Principal Outstanding Balance]]</f>
        <v>2.4758092994465863E-5</v>
      </c>
      <c r="E107" s="392">
        <f>_xlfn.XLOOKUP(A107,INPUT_DATA!$CK$4:$CK$397,INPUT_DATA!$CN$4:$CN$397)</f>
        <v>1</v>
      </c>
      <c r="F107" s="391">
        <f>OriginationYear[[#This Row],[Nb of Loans]]/OriginationYear[[#Totals],[Nb of Loans]]</f>
        <v>2.8200789622109422E-4</v>
      </c>
    </row>
    <row r="108" spans="1:8">
      <c r="A108" s="395" t="s">
        <v>333</v>
      </c>
      <c r="B108" s="389">
        <v>2005</v>
      </c>
      <c r="C108" s="390">
        <f>_xlfn.XLOOKUP(A108,INPUT_DATA!$CK$4:$CK$397,INPUT_DATA!$CM$4:$CM$397)</f>
        <v>1064567.99</v>
      </c>
      <c r="D108" s="771">
        <f>OriginationYear[[#This Row],[Principal Outstanding Balance]]/OriginationYear[[#Totals],[Principal Outstanding Balance]]</f>
        <v>1.383045650221158E-3</v>
      </c>
      <c r="E108" s="772">
        <f>_xlfn.XLOOKUP(A108,INPUT_DATA!$CK$4:$CK$397,INPUT_DATA!$CN$4:$CN$397)</f>
        <v>24</v>
      </c>
      <c r="F108" s="771">
        <f>OriginationYear[[#This Row],[Nb of Loans]]/OriginationYear[[#Totals],[Nb of Loans]]</f>
        <v>6.7681895093062603E-3</v>
      </c>
    </row>
    <row r="109" spans="1:8">
      <c r="A109" s="395" t="s">
        <v>334</v>
      </c>
      <c r="B109" s="389">
        <v>2006</v>
      </c>
      <c r="C109" s="390">
        <f>_xlfn.XLOOKUP(A109,INPUT_DATA!$CK$4:$CK$397,INPUT_DATA!$CM$4:$CM$397)</f>
        <v>2390323.67</v>
      </c>
      <c r="D109" s="771">
        <f>OriginationYear[[#This Row],[Principal Outstanding Balance]]/OriginationYear[[#Totals],[Principal Outstanding Balance]]</f>
        <v>3.1054162678836273E-3</v>
      </c>
      <c r="E109" s="772">
        <f>_xlfn.XLOOKUP(A109,INPUT_DATA!$CK$4:$CK$397,INPUT_DATA!$CN$4:$CN$397)</f>
        <v>91</v>
      </c>
      <c r="F109" s="771">
        <f>OriginationYear[[#This Row],[Nb of Loans]]/OriginationYear[[#Totals],[Nb of Loans]]</f>
        <v>2.5662718556119572E-2</v>
      </c>
    </row>
    <row r="110" spans="1:8">
      <c r="A110" s="395" t="s">
        <v>335</v>
      </c>
      <c r="B110" s="389">
        <v>2007</v>
      </c>
      <c r="C110" s="390">
        <f>_xlfn.XLOOKUP(A110,INPUT_DATA!$CK$4:$CK$397,INPUT_DATA!$CM$4:$CM$397)</f>
        <v>4804605.9399999967</v>
      </c>
      <c r="D110" s="771">
        <f>OriginationYear[[#This Row],[Principal Outstanding Balance]]/OriginationYear[[#Totals],[Principal Outstanding Balance]]</f>
        <v>6.2419586243089402E-3</v>
      </c>
      <c r="E110" s="772">
        <f>_xlfn.XLOOKUP(A110,INPUT_DATA!$CK$4:$CK$397,INPUT_DATA!$CN$4:$CN$397)</f>
        <v>127</v>
      </c>
      <c r="F110" s="771">
        <f>OriginationYear[[#This Row],[Nb of Loans]]/OriginationYear[[#Totals],[Nb of Loans]]</f>
        <v>3.5815002820078962E-2</v>
      </c>
    </row>
    <row r="111" spans="1:8">
      <c r="A111" s="395" t="s">
        <v>336</v>
      </c>
      <c r="B111" s="389">
        <v>2008</v>
      </c>
      <c r="C111" s="390">
        <f>_xlfn.XLOOKUP(A111,INPUT_DATA!$CK$4:$CK$397,INPUT_DATA!$CM$4:$CM$397)</f>
        <v>5232243.0999999996</v>
      </c>
      <c r="D111" s="771">
        <f>OriginationYear[[#This Row],[Principal Outstanding Balance]]/OriginationYear[[#Totals],[Principal Outstanding Balance]]</f>
        <v>6.7975283197784925E-3</v>
      </c>
      <c r="E111" s="772">
        <f>_xlfn.XLOOKUP(A111,INPUT_DATA!$CK$4:$CK$397,INPUT_DATA!$CN$4:$CN$397)</f>
        <v>105</v>
      </c>
      <c r="F111" s="771">
        <f>OriginationYear[[#This Row],[Nb of Loans]]/OriginationYear[[#Totals],[Nb of Loans]]</f>
        <v>2.961082910321489E-2</v>
      </c>
    </row>
    <row r="112" spans="1:8">
      <c r="A112" s="395" t="s">
        <v>337</v>
      </c>
      <c r="B112" s="389">
        <v>2009</v>
      </c>
      <c r="C112" s="390">
        <f>_xlfn.XLOOKUP(A112,INPUT_DATA!$CK$4:$CK$397,INPUT_DATA!$CM$4:$CM$397)</f>
        <v>16798177.750000004</v>
      </c>
      <c r="D112" s="771">
        <f>OriginationYear[[#This Row],[Principal Outstanding Balance]]/OriginationYear[[#Totals],[Principal Outstanding Balance]]</f>
        <v>2.1823544279947159E-2</v>
      </c>
      <c r="E112" s="772">
        <f>_xlfn.XLOOKUP(A112,INPUT_DATA!$CK$4:$CK$397,INPUT_DATA!$CN$4:$CN$397)</f>
        <v>208</v>
      </c>
      <c r="F112" s="771">
        <f>OriginationYear[[#This Row],[Nb of Loans]]/OriginationYear[[#Totals],[Nb of Loans]]</f>
        <v>5.865764241398759E-2</v>
      </c>
    </row>
    <row r="113" spans="1:6">
      <c r="A113" s="395" t="s">
        <v>338</v>
      </c>
      <c r="B113" s="389">
        <v>2010</v>
      </c>
      <c r="C113" s="390">
        <f>_xlfn.XLOOKUP(A113,INPUT_DATA!$CK$4:$CK$397,INPUT_DATA!$CM$4:$CM$397)</f>
        <v>10013219.569999998</v>
      </c>
      <c r="D113" s="771">
        <f>OriginationYear[[#This Row],[Principal Outstanding Balance]]/OriginationYear[[#Totals],[Principal Outstanding Balance]]</f>
        <v>1.30087884485404E-2</v>
      </c>
      <c r="E113" s="772">
        <f>_xlfn.XLOOKUP(A113,INPUT_DATA!$CK$4:$CK$397,INPUT_DATA!$CN$4:$CN$397)</f>
        <v>122</v>
      </c>
      <c r="F113" s="771">
        <f>OriginationYear[[#This Row],[Nb of Loans]]/OriginationYear[[#Totals],[Nb of Loans]]</f>
        <v>3.4404963338973492E-2</v>
      </c>
    </row>
    <row r="114" spans="1:6">
      <c r="A114" s="395" t="s">
        <v>339</v>
      </c>
      <c r="B114" s="389">
        <v>2011</v>
      </c>
      <c r="C114" s="390">
        <f>_xlfn.XLOOKUP(A114,INPUT_DATA!$CK$4:$CK$397,INPUT_DATA!$CM$4:$CM$397)</f>
        <v>3291982.439999999</v>
      </c>
      <c r="D114" s="771">
        <f>OriginationYear[[#This Row],[Principal Outstanding Balance]]/OriginationYear[[#Totals],[Principal Outstanding Balance]]</f>
        <v>4.2768165462559451E-3</v>
      </c>
      <c r="E114" s="772">
        <f>_xlfn.XLOOKUP(A114,INPUT_DATA!$CK$4:$CK$397,INPUT_DATA!$CN$4:$CN$397)</f>
        <v>60</v>
      </c>
      <c r="F114" s="771">
        <f>OriginationYear[[#This Row],[Nb of Loans]]/OriginationYear[[#Totals],[Nb of Loans]]</f>
        <v>1.6920473773265651E-2</v>
      </c>
    </row>
    <row r="115" spans="1:6">
      <c r="A115" s="395" t="s">
        <v>340</v>
      </c>
      <c r="B115" s="389">
        <v>2012</v>
      </c>
      <c r="C115" s="390">
        <f>_xlfn.XLOOKUP(A115,INPUT_DATA!$CK$4:$CK$397,INPUT_DATA!$CM$4:$CM$397)</f>
        <v>510737.90999999992</v>
      </c>
      <c r="D115" s="771">
        <f>OriginationYear[[#This Row],[Principal Outstanding Balance]]/OriginationYear[[#Totals],[Principal Outstanding Balance]]</f>
        <v>6.6353098295633065E-4</v>
      </c>
      <c r="E115" s="772">
        <f>_xlfn.XLOOKUP(A115,INPUT_DATA!$CK$4:$CK$397,INPUT_DATA!$CN$4:$CN$397)</f>
        <v>14</v>
      </c>
      <c r="F115" s="771">
        <f>OriginationYear[[#This Row],[Nb of Loans]]/OriginationYear[[#Totals],[Nb of Loans]]</f>
        <v>3.948110547095319E-3</v>
      </c>
    </row>
    <row r="116" spans="1:6">
      <c r="A116" s="395" t="s">
        <v>341</v>
      </c>
      <c r="B116" s="389">
        <v>2013</v>
      </c>
      <c r="C116" s="390">
        <f>_xlfn.XLOOKUP(A116,INPUT_DATA!$CK$4:$CK$397,INPUT_DATA!$CM$4:$CM$397)</f>
        <v>1550468.2600000002</v>
      </c>
      <c r="D116" s="771">
        <f>OriginationYear[[#This Row],[Principal Outstanding Balance]]/OriginationYear[[#Totals],[Principal Outstanding Balance]]</f>
        <v>2.0143085297905376E-3</v>
      </c>
      <c r="E116" s="772">
        <f>_xlfn.XLOOKUP(A116,INPUT_DATA!$CK$4:$CK$397,INPUT_DATA!$CN$4:$CN$397)</f>
        <v>21</v>
      </c>
      <c r="F116" s="771">
        <f>OriginationYear[[#This Row],[Nb of Loans]]/OriginationYear[[#Totals],[Nb of Loans]]</f>
        <v>5.9221658206429781E-3</v>
      </c>
    </row>
    <row r="117" spans="1:6">
      <c r="A117" s="395" t="s">
        <v>342</v>
      </c>
      <c r="B117" s="389">
        <v>2014</v>
      </c>
      <c r="C117" s="390">
        <f>_xlfn.XLOOKUP(A117,INPUT_DATA!$CK$4:$CK$397,INPUT_DATA!$CM$4:$CM$397)</f>
        <v>3967596.4899999998</v>
      </c>
      <c r="D117" s="771">
        <f>OriginationYear[[#This Row],[Principal Outstanding Balance]]/OriginationYear[[#Totals],[Principal Outstanding Balance]]</f>
        <v>5.1545482476203644E-3</v>
      </c>
      <c r="E117" s="772">
        <f>_xlfn.XLOOKUP(A117,INPUT_DATA!$CK$4:$CK$397,INPUT_DATA!$CN$4:$CN$397)</f>
        <v>52</v>
      </c>
      <c r="F117" s="771">
        <f>OriginationYear[[#This Row],[Nb of Loans]]/OriginationYear[[#Totals],[Nb of Loans]]</f>
        <v>1.4664410603496898E-2</v>
      </c>
    </row>
    <row r="118" spans="1:6">
      <c r="A118" s="395" t="s">
        <v>343</v>
      </c>
      <c r="B118" s="389">
        <v>2015</v>
      </c>
      <c r="C118" s="390">
        <f>_xlfn.XLOOKUP(A118,INPUT_DATA!$CK$4:$CK$397,INPUT_DATA!$CM$4:$CM$397)</f>
        <v>8805056.7600000016</v>
      </c>
      <c r="D118" s="771">
        <f>OriginationYear[[#This Row],[Principal Outstanding Balance]]/OriginationYear[[#Totals],[Principal Outstanding Balance]]</f>
        <v>1.1439189949594863E-2</v>
      </c>
      <c r="E118" s="772">
        <f>_xlfn.XLOOKUP(A118,INPUT_DATA!$CK$4:$CK$397,INPUT_DATA!$CN$4:$CN$397)</f>
        <v>74</v>
      </c>
      <c r="F118" s="771">
        <f>OriginationYear[[#This Row],[Nb of Loans]]/OriginationYear[[#Totals],[Nb of Loans]]</f>
        <v>2.0868584320360969E-2</v>
      </c>
    </row>
    <row r="119" spans="1:6">
      <c r="A119" s="395" t="s">
        <v>344</v>
      </c>
      <c r="B119" s="389">
        <v>2016</v>
      </c>
      <c r="C119" s="390">
        <f>_xlfn.XLOOKUP(A119,INPUT_DATA!$CK$4:$CK$397,INPUT_DATA!$CM$4:$CM$397)</f>
        <v>5793384.1599999992</v>
      </c>
      <c r="D119" s="771">
        <f>OriginationYear[[#This Row],[Principal Outstanding Balance]]/OriginationYear[[#Totals],[Principal Outstanding Balance]]</f>
        <v>7.5265411301237385E-3</v>
      </c>
      <c r="E119" s="772">
        <f>_xlfn.XLOOKUP(A119,INPUT_DATA!$CK$4:$CK$397,INPUT_DATA!$CN$4:$CN$397)</f>
        <v>59</v>
      </c>
      <c r="F119" s="771">
        <f>OriginationYear[[#This Row],[Nb of Loans]]/OriginationYear[[#Totals],[Nb of Loans]]</f>
        <v>1.6638465877044557E-2</v>
      </c>
    </row>
    <row r="120" spans="1:6">
      <c r="A120" s="395" t="s">
        <v>345</v>
      </c>
      <c r="B120" s="389">
        <v>2017</v>
      </c>
      <c r="C120" s="390">
        <f>_xlfn.XLOOKUP(A120,INPUT_DATA!$CK$4:$CK$397,INPUT_DATA!$CM$4:$CM$397)</f>
        <v>32465463.470000003</v>
      </c>
      <c r="D120" s="1097">
        <f>OriginationYear[[#This Row],[Principal Outstanding Balance]]/OriginationYear[[#Totals],[Principal Outstanding Balance]]</f>
        <v>4.2177877276393973E-2</v>
      </c>
      <c r="E120" s="1098">
        <f>_xlfn.XLOOKUP(A120,INPUT_DATA!$CK$4:$CK$397,INPUT_DATA!$CN$4:$CN$397)</f>
        <v>198</v>
      </c>
      <c r="F120" s="1097">
        <f>OriginationYear[[#This Row],[Nb of Loans]]/OriginationYear[[#Totals],[Nb of Loans]]</f>
        <v>5.5837563451776651E-2</v>
      </c>
    </row>
    <row r="121" spans="1:6">
      <c r="A121" s="395" t="s">
        <v>346</v>
      </c>
      <c r="B121" s="389">
        <v>2018</v>
      </c>
      <c r="C121" s="390">
        <f>_xlfn.XLOOKUP(A121,INPUT_DATA!$CK$4:$CK$397,INPUT_DATA!$CM$4:$CM$397)</f>
        <v>34636673.139999986</v>
      </c>
      <c r="D121" s="1097">
        <f>OriginationYear[[#This Row],[Principal Outstanding Balance]]/OriginationYear[[#Totals],[Principal Outstanding Balance]]</f>
        <v>4.4998629091232589E-2</v>
      </c>
      <c r="E121" s="1098">
        <f>_xlfn.XLOOKUP(A121,INPUT_DATA!$CK$4:$CK$397,INPUT_DATA!$CN$4:$CN$397)</f>
        <v>213</v>
      </c>
      <c r="F121" s="1097">
        <f>OriginationYear[[#This Row],[Nb of Loans]]/OriginationYear[[#Totals],[Nb of Loans]]</f>
        <v>6.006768189509306E-2</v>
      </c>
    </row>
    <row r="122" spans="1:6">
      <c r="A122" s="395" t="s">
        <v>894</v>
      </c>
      <c r="B122" s="389">
        <v>2019</v>
      </c>
      <c r="C122" s="390">
        <f>_xlfn.XLOOKUP(A122,INPUT_DATA!$CK$4:$CK$397,INPUT_DATA!$CM$4:$CM$397)</f>
        <v>49463671.230000027</v>
      </c>
      <c r="D122" s="1097">
        <f>OriginationYear[[#This Row],[Principal Outstanding Balance]]/OriginationYear[[#Totals],[Principal Outstanding Balance]]</f>
        <v>6.4261292826042024E-2</v>
      </c>
      <c r="E122" s="1098">
        <f>_xlfn.XLOOKUP(A122,INPUT_DATA!$CK$4:$CK$397,INPUT_DATA!$CN$4:$CN$397)</f>
        <v>282</v>
      </c>
      <c r="F122" s="1097">
        <f>OriginationYear[[#This Row],[Nb of Loans]]/OriginationYear[[#Totals],[Nb of Loans]]</f>
        <v>7.952622673434856E-2</v>
      </c>
    </row>
    <row r="123" spans="1:6">
      <c r="A123" s="395" t="s">
        <v>895</v>
      </c>
      <c r="B123" s="389">
        <v>2020</v>
      </c>
      <c r="C123" s="390">
        <f>_xlfn.XLOOKUP(A123,INPUT_DATA!$CK$4:$CK$397,INPUT_DATA!$CM$4:$CM$397)</f>
        <v>107019400.43000002</v>
      </c>
      <c r="D123" s="1097">
        <f>OriginationYear[[#This Row],[Principal Outstanding Balance]]/OriginationYear[[#Totals],[Principal Outstanding Balance]]</f>
        <v>0.13903547508880842</v>
      </c>
      <c r="E123" s="1098">
        <f>_xlfn.XLOOKUP(A123,INPUT_DATA!$CK$4:$CK$397,INPUT_DATA!$CN$4:$CN$397)</f>
        <v>413</v>
      </c>
      <c r="F123" s="1097">
        <f>OriginationYear[[#This Row],[Nb of Loans]]/OriginationYear[[#Totals],[Nb of Loans]]</f>
        <v>0.1164692611393119</v>
      </c>
    </row>
    <row r="124" spans="1:6">
      <c r="A124" s="395" t="s">
        <v>896</v>
      </c>
      <c r="B124" s="389">
        <v>2021</v>
      </c>
      <c r="C124" s="390">
        <f>_xlfn.XLOOKUP(A124,INPUT_DATA!$CK$4:$CK$397,INPUT_DATA!$CM$4:$CM$397)</f>
        <v>92312079.250000015</v>
      </c>
      <c r="D124" s="1097">
        <f>OriginationYear[[#This Row],[Principal Outstanding Balance]]/OriginationYear[[#Totals],[Principal Outstanding Balance]]</f>
        <v>0.11992829097705948</v>
      </c>
      <c r="E124" s="1098">
        <f>_xlfn.XLOOKUP(A124,INPUT_DATA!$CK$4:$CK$397,INPUT_DATA!$CN$4:$CN$397)</f>
        <v>365</v>
      </c>
      <c r="F124" s="1097">
        <f>OriginationYear[[#This Row],[Nb of Loans]]/OriginationYear[[#Totals],[Nb of Loans]]</f>
        <v>0.10293288212069938</v>
      </c>
    </row>
    <row r="125" spans="1:6">
      <c r="A125" s="395" t="s">
        <v>897</v>
      </c>
      <c r="B125" s="389">
        <v>2022</v>
      </c>
      <c r="C125" s="390">
        <f>_xlfn.XLOOKUP(A125,INPUT_DATA!$CK$4:$CK$397,INPUT_DATA!$CM$4:$CM$397)</f>
        <v>151266370.34999987</v>
      </c>
      <c r="D125" s="1097">
        <f>OriginationYear[[#This Row],[Principal Outstanding Balance]]/OriginationYear[[#Totals],[Principal Outstanding Balance]]</f>
        <v>0.19651943088887172</v>
      </c>
      <c r="E125" s="1098">
        <f>_xlfn.XLOOKUP(A125,INPUT_DATA!$CK$4:$CK$397,INPUT_DATA!$CN$4:$CN$397)</f>
        <v>426</v>
      </c>
      <c r="F125" s="1097">
        <f>OriginationYear[[#This Row],[Nb of Loans]]/OriginationYear[[#Totals],[Nb of Loans]]</f>
        <v>0.12013536379018612</v>
      </c>
    </row>
    <row r="126" spans="1:6">
      <c r="A126" s="395" t="s">
        <v>898</v>
      </c>
      <c r="B126" s="389">
        <v>2023</v>
      </c>
      <c r="C126" s="390">
        <f>_xlfn.XLOOKUP(A126,INPUT_DATA!$CK$4:$CK$397,INPUT_DATA!$CM$4:$CM$397)</f>
        <v>87278606.01000005</v>
      </c>
      <c r="D126" s="1097">
        <f>OriginationYear[[#This Row],[Principal Outstanding Balance]]/OriginationYear[[#Totals],[Principal Outstanding Balance]]</f>
        <v>0.11338899678873192</v>
      </c>
      <c r="E126" s="1098">
        <f>_xlfn.XLOOKUP(A126,INPUT_DATA!$CK$4:$CK$397,INPUT_DATA!$CN$4:$CN$397)</f>
        <v>252</v>
      </c>
      <c r="F126" s="1097">
        <f>OriginationYear[[#This Row],[Nb of Loans]]/OriginationYear[[#Totals],[Nb of Loans]]</f>
        <v>7.1065989847715741E-2</v>
      </c>
    </row>
    <row r="127" spans="1:6">
      <c r="A127" s="395" t="s">
        <v>2455</v>
      </c>
      <c r="B127" s="389">
        <v>2024</v>
      </c>
      <c r="C127" s="390">
        <f>_xlfn.XLOOKUP(A127,INPUT_DATA!$CK$4:$CK$397,INPUT_DATA!$CM$4:$CM$397)</f>
        <v>46687295.559999995</v>
      </c>
      <c r="D127" s="771">
        <f>OriginationYear[[#This Row],[Principal Outstanding Balance]]/OriginationYear[[#Totals],[Principal Outstanding Balance]]</f>
        <v>6.0654332697761819E-2</v>
      </c>
      <c r="E127" s="772">
        <f>_xlfn.XLOOKUP(A127,INPUT_DATA!$CK$4:$CK$397,INPUT_DATA!$CN$4:$CN$397)</f>
        <v>129</v>
      </c>
      <c r="F127" s="771">
        <f>OriginationYear[[#This Row],[Nb of Loans]]/OriginationYear[[#Totals],[Nb of Loans]]</f>
        <v>3.6379018612521151E-2</v>
      </c>
    </row>
    <row r="128" spans="1:6">
      <c r="A128" s="395" t="s">
        <v>2456</v>
      </c>
      <c r="B128" s="389">
        <v>2025</v>
      </c>
      <c r="C128" s="390">
        <f>_xlfn.XLOOKUP(A128,INPUT_DATA!$CK$4:$CK$397,INPUT_DATA!$CM$4:$CM$397)</f>
        <v>63057347.110000029</v>
      </c>
      <c r="D128" s="771">
        <f>OriginationYear[[#This Row],[Principal Outstanding Balance]]/OriginationYear[[#Totals],[Principal Outstanding Balance]]</f>
        <v>8.1921671940343846E-2</v>
      </c>
      <c r="E128" s="772">
        <f>_xlfn.XLOOKUP(A128,INPUT_DATA!$CK$4:$CK$397,INPUT_DATA!$CN$4:$CN$397)</f>
        <v>193</v>
      </c>
      <c r="F128" s="771">
        <f>OriginationYear[[#This Row],[Nb of Loans]]/OriginationYear[[#Totals],[Nb of Loans]]</f>
        <v>5.4427523970671181E-2</v>
      </c>
    </row>
    <row r="129" spans="1:8">
      <c r="A129" s="395" t="s">
        <v>2457</v>
      </c>
      <c r="B129" s="389">
        <v>2026</v>
      </c>
      <c r="C129" s="390">
        <f>_xlfn.XLOOKUP(A129,INPUT_DATA!$CK$4:$CK$397,INPUT_DATA!$CM$4:$CM$397)</f>
        <v>41298969.449999988</v>
      </c>
      <c r="D129" s="391">
        <f>OriginationYear[[#This Row],[Principal Outstanding Balance]]/OriginationYear[[#Totals],[Principal Outstanding Balance]]</f>
        <v>5.3654027354738495E-2</v>
      </c>
      <c r="E129" s="392">
        <f>_xlfn.XLOOKUP(A129,INPUT_DATA!$CK$4:$CK$397,INPUT_DATA!$CN$4:$CN$397)</f>
        <v>117</v>
      </c>
      <c r="F129" s="391">
        <f>OriginationYear[[#This Row],[Nb of Loans]]/OriginationYear[[#Totals],[Nb of Loans]]</f>
        <v>3.2994923857868022E-2</v>
      </c>
    </row>
    <row r="130" spans="1:8">
      <c r="A130" s="395" t="s">
        <v>2458</v>
      </c>
      <c r="B130" s="389">
        <v>2027</v>
      </c>
      <c r="C130" s="390">
        <f>_xlfn.XLOOKUP(A130,INPUT_DATA!$CK$4:$CK$397,INPUT_DATA!$CM$4:$CM$397)</f>
        <v>0</v>
      </c>
      <c r="D130" s="391">
        <f>OriginationYear[[#This Row],[Principal Outstanding Balance]]/OriginationYear[[#Totals],[Principal Outstanding Balance]]</f>
        <v>0</v>
      </c>
      <c r="E130" s="392">
        <f>_xlfn.XLOOKUP(A130,INPUT_DATA!$CK$4:$CK$397,INPUT_DATA!$CN$4:$CN$397)</f>
        <v>0</v>
      </c>
      <c r="F130" s="391">
        <f>OriginationYear[[#This Row],[Nb of Loans]]/OriginationYear[[#Totals],[Nb of Loans]]</f>
        <v>0</v>
      </c>
    </row>
    <row r="131" spans="1:8">
      <c r="A131" s="395" t="s">
        <v>2459</v>
      </c>
      <c r="B131" s="389">
        <v>2028</v>
      </c>
      <c r="C131" s="390">
        <f>_xlfn.XLOOKUP(A131,INPUT_DATA!$CK$4:$CK$397,INPUT_DATA!$CM$4:$CM$397)</f>
        <v>0</v>
      </c>
      <c r="D131" s="391">
        <f>OriginationYear[[#This Row],[Principal Outstanding Balance]]/OriginationYear[[#Totals],[Principal Outstanding Balance]]</f>
        <v>0</v>
      </c>
      <c r="E131" s="392">
        <f>_xlfn.XLOOKUP(A131,INPUT_DATA!$CK$4:$CK$397,INPUT_DATA!$CN$4:$CN$397)</f>
        <v>0</v>
      </c>
      <c r="F131" s="391">
        <f>OriginationYear[[#This Row],[Nb of Loans]]/OriginationYear[[#Totals],[Nb of Loans]]</f>
        <v>0</v>
      </c>
    </row>
    <row r="132" spans="1:8">
      <c r="A132" s="395" t="s">
        <v>2460</v>
      </c>
      <c r="B132" s="389">
        <v>2029</v>
      </c>
      <c r="C132" s="390">
        <f>_xlfn.XLOOKUP(A132,INPUT_DATA!$CK$4:$CK$397,INPUT_DATA!$CM$4:$CM$397)</f>
        <v>0</v>
      </c>
      <c r="D132" s="391">
        <f>OriginationYear[[#This Row],[Principal Outstanding Balance]]/OriginationYear[[#Totals],[Principal Outstanding Balance]]</f>
        <v>0</v>
      </c>
      <c r="E132" s="392">
        <f>_xlfn.XLOOKUP(A132,INPUT_DATA!$CK$4:$CK$397,INPUT_DATA!$CN$4:$CN$397)</f>
        <v>0</v>
      </c>
      <c r="F132" s="391">
        <f>OriginationYear[[#This Row],[Nb of Loans]]/OriginationYear[[#Totals],[Nb of Loans]]</f>
        <v>0</v>
      </c>
    </row>
    <row r="133" spans="1:8">
      <c r="A133" s="395" t="s">
        <v>2461</v>
      </c>
      <c r="B133" s="389">
        <v>2030</v>
      </c>
      <c r="C133" s="390">
        <f>_xlfn.XLOOKUP(A133,INPUT_DATA!$CK$4:$CK$397,INPUT_DATA!$CM$4:$CM$397)</f>
        <v>0</v>
      </c>
      <c r="D133" s="391">
        <f>OriginationYear[[#This Row],[Principal Outstanding Balance]]/OriginationYear[[#Totals],[Principal Outstanding Balance]]</f>
        <v>0</v>
      </c>
      <c r="E133" s="392">
        <f>_xlfn.XLOOKUP(A133,INPUT_DATA!$CK$4:$CK$397,INPUT_DATA!$CN$4:$CN$397)</f>
        <v>0</v>
      </c>
      <c r="F133" s="391">
        <f>OriginationYear[[#This Row],[Nb of Loans]]/OriginationYear[[#Totals],[Nb of Loans]]</f>
        <v>0</v>
      </c>
    </row>
    <row r="134" spans="1:8">
      <c r="A134" s="394"/>
      <c r="B134" s="683" t="s">
        <v>2</v>
      </c>
      <c r="C134" s="768">
        <f>SUBTOTAL(109,OriginationYear[Principal Outstanding Balance])</f>
        <v>769727297.01999974</v>
      </c>
      <c r="D134" s="1099">
        <f>SUBTOTAL(109,OriginationYear[% of Total (Amount)])</f>
        <v>1.0000000000000002</v>
      </c>
      <c r="E134" s="1100">
        <f>SUBTOTAL(109,OriginationYear[Nb of Loans])</f>
        <v>3546</v>
      </c>
      <c r="F134" s="1099">
        <f>SUBTOTAL(109,OriginationYear[% of Total (Number)])</f>
        <v>1</v>
      </c>
    </row>
    <row r="135" spans="1:8">
      <c r="A135" s="394"/>
      <c r="B135" s="389"/>
      <c r="C135" s="390"/>
      <c r="D135" s="391"/>
      <c r="E135" s="392"/>
      <c r="F135" s="391"/>
      <c r="H135" s="454" t="s">
        <v>650</v>
      </c>
    </row>
    <row r="136" spans="1:8">
      <c r="A136" s="394"/>
      <c r="B136" s="387" t="s">
        <v>1230</v>
      </c>
      <c r="C136" s="387"/>
    </row>
    <row r="137" spans="1:8" ht="15" customHeight="1">
      <c r="A137" s="394"/>
      <c r="B137" s="387"/>
      <c r="C137" s="387"/>
    </row>
    <row r="138" spans="1:8" ht="33" customHeight="1">
      <c r="A138" s="394"/>
      <c r="B138" s="377" t="s">
        <v>330</v>
      </c>
      <c r="C138" s="377" t="s">
        <v>253</v>
      </c>
      <c r="D138" s="377" t="s">
        <v>285</v>
      </c>
      <c r="E138" s="377" t="s">
        <v>286</v>
      </c>
      <c r="F138" s="377" t="s">
        <v>287</v>
      </c>
    </row>
    <row r="139" spans="1:8">
      <c r="A139" s="394" t="s">
        <v>348</v>
      </c>
      <c r="B139" s="683" t="s">
        <v>1111</v>
      </c>
      <c r="C139" s="390">
        <f>_xlfn.XLOOKUP(A139,INPUT_DATA!$CK$4:$CK$397,INPUT_DATA!$CM$4:$CM$397)</f>
        <v>253194570.86000019</v>
      </c>
      <c r="D139" s="391">
        <f>InterestRate[[#This Row],[Principal Outstanding Balance]]/InterestRate[[#Totals],[Principal Outstanding Balance]]</f>
        <v>0.32894061551440773</v>
      </c>
      <c r="E139" s="392">
        <f>_xlfn.XLOOKUP(A139,INPUT_DATA!$CK$4:$CK$397,INPUT_DATA!$CN$4:$CN$397)</f>
        <v>1193</v>
      </c>
      <c r="F139" s="391">
        <f>InterestRate[[#This Row],[Nb of Loans]]/InterestRate[[#Totals],[Nb of Loans]]</f>
        <v>0.33643542019176537</v>
      </c>
    </row>
    <row r="140" spans="1:8">
      <c r="A140" s="394" t="s">
        <v>350</v>
      </c>
      <c r="B140" s="683" t="s">
        <v>899</v>
      </c>
      <c r="C140" s="390">
        <f>_xlfn.XLOOKUP(A140,INPUT_DATA!$CK$4:$CK$397,INPUT_DATA!$CM$4:$CM$397)</f>
        <v>262467085.72999996</v>
      </c>
      <c r="D140" s="391">
        <f>InterestRate[[#This Row],[Principal Outstanding Balance]]/InterestRate[[#Totals],[Principal Outstanding Balance]]</f>
        <v>0.34098710900099494</v>
      </c>
      <c r="E140" s="392">
        <f>_xlfn.XLOOKUP(A140,INPUT_DATA!$CK$4:$CK$397,INPUT_DATA!$CN$4:$CN$397)</f>
        <v>1276</v>
      </c>
      <c r="F140" s="391">
        <f>InterestRate[[#This Row],[Nb of Loans]]/InterestRate[[#Totals],[Nb of Loans]]</f>
        <v>0.35984207557811621</v>
      </c>
    </row>
    <row r="141" spans="1:8">
      <c r="A141" s="394" t="s">
        <v>352</v>
      </c>
      <c r="B141" s="683" t="s">
        <v>900</v>
      </c>
      <c r="C141" s="390">
        <f>_xlfn.XLOOKUP(A141,INPUT_DATA!$CK$4:$CK$397,INPUT_DATA!$CM$4:$CM$397)</f>
        <v>122509025.79000002</v>
      </c>
      <c r="D141" s="391">
        <f>InterestRate[[#This Row],[Principal Outstanding Balance]]/InterestRate[[#Totals],[Principal Outstanding Balance]]</f>
        <v>0.15915899860157465</v>
      </c>
      <c r="E141" s="392">
        <f>_xlfn.XLOOKUP(A141,INPUT_DATA!$CK$4:$CK$397,INPUT_DATA!$CN$4:$CN$397)</f>
        <v>450</v>
      </c>
      <c r="F141" s="391">
        <f>InterestRate[[#This Row],[Nb of Loans]]/InterestRate[[#Totals],[Nb of Loans]]</f>
        <v>0.12690355329949238</v>
      </c>
    </row>
    <row r="142" spans="1:8">
      <c r="A142" s="394" t="s">
        <v>354</v>
      </c>
      <c r="B142" s="683" t="s">
        <v>901</v>
      </c>
      <c r="C142" s="390">
        <f>_xlfn.XLOOKUP(A142,INPUT_DATA!$CK$4:$CK$397,INPUT_DATA!$CM$4:$CM$397)</f>
        <v>123675508.12999998</v>
      </c>
      <c r="D142" s="391">
        <f>InterestRate[[#This Row],[Principal Outstanding Balance]]/InterestRate[[#Totals],[Principal Outstanding Balance]]</f>
        <v>0.16067444744237319</v>
      </c>
      <c r="E142" s="392">
        <f>_xlfn.XLOOKUP(A142,INPUT_DATA!$CK$4:$CK$397,INPUT_DATA!$CN$4:$CN$397)</f>
        <v>510</v>
      </c>
      <c r="F142" s="391">
        <f>InterestRate[[#This Row],[Nb of Loans]]/InterestRate[[#Totals],[Nb of Loans]]</f>
        <v>0.14382402707275804</v>
      </c>
    </row>
    <row r="143" spans="1:8">
      <c r="A143" s="394" t="s">
        <v>356</v>
      </c>
      <c r="B143" s="683" t="s">
        <v>902</v>
      </c>
      <c r="C143" s="390">
        <f>_xlfn.XLOOKUP(A143,INPUT_DATA!$CK$4:$CK$397,INPUT_DATA!$CM$4:$CM$397)</f>
        <v>7149271.3799999999</v>
      </c>
      <c r="D143" s="391">
        <f>InterestRate[[#This Row],[Principal Outstanding Balance]]/InterestRate[[#Totals],[Principal Outstanding Balance]]</f>
        <v>9.2880574817580334E-3</v>
      </c>
      <c r="E143" s="392">
        <f>_xlfn.XLOOKUP(A143,INPUT_DATA!$CK$4:$CK$397,INPUT_DATA!$CN$4:$CN$397)</f>
        <v>102</v>
      </c>
      <c r="F143" s="391">
        <f>InterestRate[[#This Row],[Nb of Loans]]/InterestRate[[#Totals],[Nb of Loans]]</f>
        <v>2.8764805414551606E-2</v>
      </c>
    </row>
    <row r="144" spans="1:8">
      <c r="A144" s="394" t="s">
        <v>358</v>
      </c>
      <c r="B144" s="683" t="s">
        <v>1112</v>
      </c>
      <c r="C144" s="390">
        <f>_xlfn.XLOOKUP(A144,INPUT_DATA!$CK$4:$CK$397,INPUT_DATA!$CM$4:$CM$397)</f>
        <v>731835.13000000012</v>
      </c>
      <c r="D144" s="391">
        <f>InterestRate[[#This Row],[Principal Outstanding Balance]]/InterestRate[[#Totals],[Principal Outstanding Balance]]</f>
        <v>9.507719588915457E-4</v>
      </c>
      <c r="E144" s="392">
        <f>_xlfn.XLOOKUP(A144,INPUT_DATA!$CK$4:$CK$397,INPUT_DATA!$CN$4:$CN$397)</f>
        <v>15</v>
      </c>
      <c r="F144" s="391">
        <f>InterestRate[[#This Row],[Nb of Loans]]/InterestRate[[#Totals],[Nb of Loans]]</f>
        <v>4.2301184433164128E-3</v>
      </c>
    </row>
    <row r="145" spans="1:8">
      <c r="A145" s="394"/>
      <c r="B145" s="683" t="s">
        <v>2</v>
      </c>
      <c r="C145" s="768">
        <f>SUBTOTAL(109,InterestRate[Principal Outstanding Balance])</f>
        <v>769727297.0200001</v>
      </c>
      <c r="D145" s="769">
        <f>SUBTOTAL(109,InterestRate[% of Total (Amount)])</f>
        <v>1</v>
      </c>
      <c r="E145" s="770">
        <f>SUBTOTAL(109,InterestRate[Nb of Loans])</f>
        <v>3546</v>
      </c>
      <c r="F145" s="769">
        <f>SUBTOTAL(109,InterestRate[% of Total (Number)])</f>
        <v>1</v>
      </c>
    </row>
    <row r="146" spans="1:8">
      <c r="A146" s="394"/>
      <c r="B146" s="389"/>
      <c r="C146" s="390"/>
      <c r="D146" s="391"/>
      <c r="E146" s="392"/>
      <c r="F146" s="391"/>
      <c r="H146" s="454" t="s">
        <v>650</v>
      </c>
    </row>
    <row r="147" spans="1:8">
      <c r="A147" s="394"/>
      <c r="B147" s="387" t="s">
        <v>1231</v>
      </c>
      <c r="C147" s="387"/>
    </row>
    <row r="148" spans="1:8" ht="15" customHeight="1">
      <c r="A148" s="394"/>
      <c r="B148" s="387"/>
      <c r="C148" s="387"/>
    </row>
    <row r="149" spans="1:8" ht="33" customHeight="1">
      <c r="A149" s="394"/>
      <c r="B149" s="377" t="s">
        <v>347</v>
      </c>
      <c r="C149" s="377" t="s">
        <v>253</v>
      </c>
      <c r="D149" s="377" t="s">
        <v>285</v>
      </c>
      <c r="E149" s="377" t="s">
        <v>286</v>
      </c>
      <c r="F149" s="377" t="s">
        <v>287</v>
      </c>
      <c r="G149" s="388"/>
    </row>
    <row r="150" spans="1:8">
      <c r="A150" s="394" t="s">
        <v>368</v>
      </c>
      <c r="B150" s="389" t="s">
        <v>349</v>
      </c>
      <c r="C150" s="390">
        <f>_xlfn.XLOOKUP(A150,INPUT_DATA!$CK$4:$CK$397,INPUT_DATA!$CM$4:$CM$397)</f>
        <v>150095.50999999998</v>
      </c>
      <c r="D150" s="391">
        <f>InterestRateType[[#This Row],[Principal Outstanding Balance]]/InterestRateType[[#Totals],[Principal Outstanding Balance]]</f>
        <v>1.9499829430643154E-4</v>
      </c>
      <c r="E150" s="392">
        <f>_xlfn.XLOOKUP(A150,INPUT_DATA!$CK$4:$CK$397,INPUT_DATA!$CN$4:$CN$397)</f>
        <v>8</v>
      </c>
      <c r="F150" s="391">
        <f>InterestRateType[[#This Row],[Nb of Loans]]/InterestRateType[[#Totals],[Nb of Loans]]</f>
        <v>2.2560631697687537E-3</v>
      </c>
    </row>
    <row r="151" spans="1:8" ht="30">
      <c r="A151" s="394" t="s">
        <v>370</v>
      </c>
      <c r="B151" s="389" t="s">
        <v>351</v>
      </c>
      <c r="C151" s="390">
        <f>_xlfn.XLOOKUP(A151,INPUT_DATA!$CK$4:$CK$397,INPUT_DATA!$CM$4:$CM$397)</f>
        <v>0</v>
      </c>
      <c r="D151" s="391">
        <f>InterestRateType[[#This Row],[Principal Outstanding Balance]]/InterestRateType[[#Totals],[Principal Outstanding Balance]]</f>
        <v>0</v>
      </c>
      <c r="E151" s="392">
        <f>_xlfn.XLOOKUP(A151,INPUT_DATA!$CK$4:$CK$397,INPUT_DATA!$CN$4:$CN$397)</f>
        <v>0</v>
      </c>
      <c r="F151" s="391">
        <f>InterestRateType[[#This Row],[Nb of Loans]]/InterestRateType[[#Totals],[Nb of Loans]]</f>
        <v>0</v>
      </c>
    </row>
    <row r="152" spans="1:8">
      <c r="A152" s="394" t="s">
        <v>372</v>
      </c>
      <c r="B152" s="389" t="s">
        <v>353</v>
      </c>
      <c r="C152" s="390">
        <f>_xlfn.XLOOKUP(A152,INPUT_DATA!$CK$4:$CK$397,INPUT_DATA!$CM$4:$CM$397)</f>
        <v>760265215.23999989</v>
      </c>
      <c r="D152" s="391">
        <f>InterestRateType[[#This Row],[Principal Outstanding Balance]]/InterestRateType[[#Totals],[Principal Outstanding Balance]]</f>
        <v>0.98770722849945369</v>
      </c>
      <c r="E152" s="392">
        <f>_xlfn.XLOOKUP(A152,INPUT_DATA!$CK$4:$CK$397,INPUT_DATA!$CN$4:$CN$397)</f>
        <v>3418</v>
      </c>
      <c r="F152" s="391">
        <f>InterestRateType[[#This Row],[Nb of Loans]]/InterestRateType[[#Totals],[Nb of Loans]]</f>
        <v>0.9639029892837</v>
      </c>
    </row>
    <row r="153" spans="1:8">
      <c r="A153" s="394" t="s">
        <v>374</v>
      </c>
      <c r="B153" s="389" t="s">
        <v>355</v>
      </c>
      <c r="C153" s="390">
        <f>_xlfn.XLOOKUP(A153,INPUT_DATA!$CK$4:$CK$397,INPUT_DATA!$CM$4:$CM$397)</f>
        <v>0</v>
      </c>
      <c r="D153" s="391">
        <f>InterestRateType[[#This Row],[Principal Outstanding Balance]]/InterestRateType[[#Totals],[Principal Outstanding Balance]]</f>
        <v>0</v>
      </c>
      <c r="E153" s="392">
        <f>_xlfn.XLOOKUP(A153,INPUT_DATA!$CK$4:$CK$397,INPUT_DATA!$CN$4:$CN$397)</f>
        <v>0</v>
      </c>
      <c r="F153" s="391">
        <f>InterestRateType[[#This Row],[Nb of Loans]]/InterestRateType[[#Totals],[Nb of Loans]]</f>
        <v>0</v>
      </c>
    </row>
    <row r="154" spans="1:8" ht="15" customHeight="1">
      <c r="A154" s="394" t="s">
        <v>376</v>
      </c>
      <c r="B154" s="389" t="s">
        <v>357</v>
      </c>
      <c r="C154" s="390">
        <f>_xlfn.XLOOKUP(A154,INPUT_DATA!$CK$4:$CK$397,INPUT_DATA!$CM$4:$CM$397)</f>
        <v>0</v>
      </c>
      <c r="D154" s="391">
        <f>InterestRateType[[#This Row],[Principal Outstanding Balance]]/InterestRateType[[#Totals],[Principal Outstanding Balance]]</f>
        <v>0</v>
      </c>
      <c r="E154" s="392">
        <f>_xlfn.XLOOKUP(A154,INPUT_DATA!$CK$4:$CK$397,INPUT_DATA!$CN$4:$CN$397)</f>
        <v>0</v>
      </c>
      <c r="F154" s="391">
        <f>InterestRateType[[#This Row],[Nb of Loans]]/InterestRateType[[#Totals],[Nb of Loans]]</f>
        <v>0</v>
      </c>
    </row>
    <row r="155" spans="1:8">
      <c r="A155" s="394" t="s">
        <v>378</v>
      </c>
      <c r="B155" s="389" t="s">
        <v>359</v>
      </c>
      <c r="C155" s="390">
        <f>_xlfn.XLOOKUP(A155,INPUT_DATA!$CK$4:$CK$397,INPUT_DATA!$CM$4:$CM$397)</f>
        <v>0</v>
      </c>
      <c r="D155" s="391">
        <f>InterestRateType[[#This Row],[Principal Outstanding Balance]]/InterestRateType[[#Totals],[Principal Outstanding Balance]]</f>
        <v>0</v>
      </c>
      <c r="E155" s="392">
        <f>_xlfn.XLOOKUP(A155,INPUT_DATA!$CK$4:$CK$397,INPUT_DATA!$CN$4:$CN$397)</f>
        <v>0</v>
      </c>
      <c r="F155" s="391">
        <f>InterestRateType[[#This Row],[Nb of Loans]]/InterestRateType[[#Totals],[Nb of Loans]]</f>
        <v>0</v>
      </c>
    </row>
    <row r="156" spans="1:8">
      <c r="A156" s="394" t="s">
        <v>380</v>
      </c>
      <c r="B156" s="389" t="s">
        <v>360</v>
      </c>
      <c r="C156" s="390">
        <f>_xlfn.XLOOKUP(A156,INPUT_DATA!$CK$4:$CK$397,INPUT_DATA!$CM$4:$CM$397)</f>
        <v>9311986.2700000014</v>
      </c>
      <c r="D156" s="391">
        <f>InterestRateType[[#This Row],[Principal Outstanding Balance]]/InterestRateType[[#Totals],[Principal Outstanding Balance]]</f>
        <v>1.2097773206239882E-2</v>
      </c>
      <c r="E156" s="392">
        <f>_xlfn.XLOOKUP(A156,INPUT_DATA!$CK$4:$CK$397,INPUT_DATA!$CN$4:$CN$397)</f>
        <v>120</v>
      </c>
      <c r="F156" s="391">
        <f>InterestRateType[[#This Row],[Nb of Loans]]/InterestRateType[[#Totals],[Nb of Loans]]</f>
        <v>3.3840947546531303E-2</v>
      </c>
    </row>
    <row r="157" spans="1:8">
      <c r="A157" s="394" t="s">
        <v>382</v>
      </c>
      <c r="B157" s="389" t="s">
        <v>361</v>
      </c>
      <c r="C157" s="390">
        <f>_xlfn.XLOOKUP(A157,INPUT_DATA!$CK$4:$CK$397,INPUT_DATA!$CM$4:$CM$397)</f>
        <v>0</v>
      </c>
      <c r="D157" s="391">
        <f>InterestRateType[[#This Row],[Principal Outstanding Balance]]/InterestRateType[[#Totals],[Principal Outstanding Balance]]</f>
        <v>0</v>
      </c>
      <c r="E157" s="392">
        <f>_xlfn.XLOOKUP(A157,INPUT_DATA!$CK$4:$CK$397,INPUT_DATA!$CN$4:$CN$397)</f>
        <v>0</v>
      </c>
      <c r="F157" s="391">
        <f>InterestRateType[[#This Row],[Nb of Loans]]/InterestRateType[[#Totals],[Nb of Loans]]</f>
        <v>0</v>
      </c>
    </row>
    <row r="158" spans="1:8">
      <c r="A158" s="394" t="s">
        <v>384</v>
      </c>
      <c r="B158" s="389" t="s">
        <v>362</v>
      </c>
      <c r="C158" s="390">
        <f>_xlfn.XLOOKUP(A158,INPUT_DATA!$CK$4:$CK$397,INPUT_DATA!$CM$4:$CM$397)</f>
        <v>0</v>
      </c>
      <c r="D158" s="391">
        <f>InterestRateType[[#This Row],[Principal Outstanding Balance]]/InterestRateType[[#Totals],[Principal Outstanding Balance]]</f>
        <v>0</v>
      </c>
      <c r="E158" s="392">
        <f>_xlfn.XLOOKUP(A158,INPUT_DATA!$CK$4:$CK$397,INPUT_DATA!$CN$4:$CN$397)</f>
        <v>0</v>
      </c>
      <c r="F158" s="391">
        <f>InterestRateType[[#This Row],[Nb of Loans]]/InterestRateType[[#Totals],[Nb of Loans]]</f>
        <v>0</v>
      </c>
    </row>
    <row r="159" spans="1:8">
      <c r="A159" s="394" t="s">
        <v>386</v>
      </c>
      <c r="B159" s="389" t="s">
        <v>363</v>
      </c>
      <c r="C159" s="390">
        <f>_xlfn.XLOOKUP(A159,INPUT_DATA!$CK$4:$CK$397,INPUT_DATA!$CM$4:$CM$397)</f>
        <v>0</v>
      </c>
      <c r="D159" s="391">
        <f>InterestRateType[[#This Row],[Principal Outstanding Balance]]/InterestRateType[[#Totals],[Principal Outstanding Balance]]</f>
        <v>0</v>
      </c>
      <c r="E159" s="392">
        <f>_xlfn.XLOOKUP(A159,INPUT_DATA!$CK$4:$CK$397,INPUT_DATA!$CN$4:$CN$397)</f>
        <v>0</v>
      </c>
      <c r="F159" s="391">
        <f>InterestRateType[[#This Row],[Nb of Loans]]/InterestRateType[[#Totals],[Nb of Loans]]</f>
        <v>0</v>
      </c>
    </row>
    <row r="160" spans="1:8">
      <c r="A160" s="394" t="s">
        <v>388</v>
      </c>
      <c r="B160" s="389" t="s">
        <v>364</v>
      </c>
      <c r="C160" s="390">
        <f>_xlfn.XLOOKUP(A160,INPUT_DATA!$CK$4:$CK$397,INPUT_DATA!$CM$4:$CM$397)</f>
        <v>0</v>
      </c>
      <c r="D160" s="391">
        <f>InterestRateType[[#This Row],[Principal Outstanding Balance]]/InterestRateType[[#Totals],[Principal Outstanding Balance]]</f>
        <v>0</v>
      </c>
      <c r="E160" s="392">
        <f>_xlfn.XLOOKUP(A160,INPUT_DATA!$CK$4:$CK$397,INPUT_DATA!$CN$4:$CN$397)</f>
        <v>0</v>
      </c>
      <c r="F160" s="391">
        <f>InterestRateType[[#This Row],[Nb of Loans]]/InterestRateType[[#Totals],[Nb of Loans]]</f>
        <v>0</v>
      </c>
    </row>
    <row r="161" spans="1:8">
      <c r="A161" s="394" t="s">
        <v>389</v>
      </c>
      <c r="B161" s="389" t="s">
        <v>365</v>
      </c>
      <c r="C161" s="390">
        <f>_xlfn.XLOOKUP(A161,INPUT_DATA!$CK$4:$CK$397,INPUT_DATA!$CM$4:$CM$397)</f>
        <v>0</v>
      </c>
      <c r="D161" s="391">
        <f>InterestRateType[[#This Row],[Principal Outstanding Balance]]/InterestRateType[[#Totals],[Principal Outstanding Balance]]</f>
        <v>0</v>
      </c>
      <c r="E161" s="392">
        <f>_xlfn.XLOOKUP(A161,INPUT_DATA!$CK$4:$CK$397,INPUT_DATA!$CN$4:$CN$397)</f>
        <v>0</v>
      </c>
      <c r="F161" s="391">
        <f>InterestRateType[[#This Row],[Nb of Loans]]/InterestRateType[[#Totals],[Nb of Loans]]</f>
        <v>0</v>
      </c>
    </row>
    <row r="162" spans="1:8">
      <c r="A162" s="394" t="s">
        <v>390</v>
      </c>
      <c r="B162" s="389" t="s">
        <v>366</v>
      </c>
      <c r="C162" s="390">
        <f>_xlfn.XLOOKUP(A162,INPUT_DATA!$CK$4:$CK$397,INPUT_DATA!$CM$4:$CM$397)</f>
        <v>0</v>
      </c>
      <c r="D162" s="391">
        <f>InterestRateType[[#This Row],[Principal Outstanding Balance]]/InterestRateType[[#Totals],[Principal Outstanding Balance]]</f>
        <v>0</v>
      </c>
      <c r="E162" s="392">
        <f>_xlfn.XLOOKUP(A162,INPUT_DATA!$CK$4:$CK$397,INPUT_DATA!$CN$4:$CN$397)</f>
        <v>0</v>
      </c>
      <c r="F162" s="391">
        <f>InterestRateType[[#This Row],[Nb of Loans]]/InterestRateType[[#Totals],[Nb of Loans]]</f>
        <v>0</v>
      </c>
    </row>
    <row r="163" spans="1:8">
      <c r="A163" s="394"/>
      <c r="B163" s="683" t="s">
        <v>2</v>
      </c>
      <c r="C163" s="768">
        <f>SUBTOTAL(109,InterestRateType[Principal Outstanding Balance])</f>
        <v>769727297.01999986</v>
      </c>
      <c r="D163" s="769">
        <f>SUBTOTAL(109,InterestRateType[% of Total (Amount)])</f>
        <v>1</v>
      </c>
      <c r="E163" s="770">
        <f>SUBTOTAL(109,InterestRateType[Nb of Loans])</f>
        <v>3546</v>
      </c>
      <c r="F163" s="769">
        <f>SUBTOTAL(109,InterestRateType[% of Total (Number)])</f>
        <v>1</v>
      </c>
    </row>
    <row r="164" spans="1:8">
      <c r="A164" s="394"/>
      <c r="B164" s="389"/>
      <c r="C164" s="390"/>
      <c r="D164" s="391"/>
      <c r="E164" s="392"/>
      <c r="F164" s="391"/>
      <c r="H164" s="454" t="s">
        <v>650</v>
      </c>
    </row>
    <row r="165" spans="1:8">
      <c r="A165" s="394"/>
      <c r="B165" s="387" t="s">
        <v>1113</v>
      </c>
      <c r="C165" s="387"/>
    </row>
    <row r="166" spans="1:8" ht="15" customHeight="1">
      <c r="A166" s="394"/>
      <c r="B166" s="387"/>
      <c r="C166" s="387"/>
    </row>
    <row r="167" spans="1:8" ht="33" customHeight="1">
      <c r="A167" s="394"/>
      <c r="B167" s="377" t="s">
        <v>520</v>
      </c>
      <c r="C167" s="377" t="s">
        <v>253</v>
      </c>
      <c r="D167" s="377" t="s">
        <v>285</v>
      </c>
      <c r="E167" s="377" t="s">
        <v>286</v>
      </c>
      <c r="F167" s="377" t="s">
        <v>287</v>
      </c>
      <c r="G167" s="388"/>
    </row>
    <row r="168" spans="1:8">
      <c r="A168" s="394" t="s">
        <v>391</v>
      </c>
      <c r="B168" s="389" t="s">
        <v>522</v>
      </c>
      <c r="C168" s="390">
        <f>_xlfn.XLOOKUP(A168,INPUT_DATA!$CK$4:$CK$397,INPUT_DATA!$CM$4:$CM$397)</f>
        <v>47717404.830000006</v>
      </c>
      <c r="D168" s="391">
        <f>GuaranteeProvider30[[#This Row],[Principal Outstanding Balance]]/GuaranteeProvider30[[#Totals],[Principal Outstanding Balance]]</f>
        <v>6.1992610908743993E-2</v>
      </c>
      <c r="E168" s="392">
        <f>_xlfn.XLOOKUP(A168,INPUT_DATA!$CK$4:$CK$397,INPUT_DATA!$CN$4:$CN$397)</f>
        <v>522</v>
      </c>
      <c r="F168" s="391">
        <f>GuaranteeProvider30[[#This Row],[Nb of Loans]]/GuaranteeProvider30[[#Totals],[Nb of Loans]]</f>
        <v>0.14720812182741116</v>
      </c>
    </row>
    <row r="169" spans="1:8">
      <c r="A169" s="394" t="s">
        <v>392</v>
      </c>
      <c r="B169" s="389" t="s">
        <v>523</v>
      </c>
      <c r="C169" s="390">
        <f>_xlfn.XLOOKUP(A169,INPUT_DATA!$CK$4:$CK$397,INPUT_DATA!$CM$4:$CM$397)</f>
        <v>621651723.97999883</v>
      </c>
      <c r="D169" s="391">
        <f>GuaranteeProvider30[[#This Row],[Principal Outstanding Balance]]/GuaranteeProvider30[[#Totals],[Principal Outstanding Balance]]</f>
        <v>0.80762592984128934</v>
      </c>
      <c r="E169" s="392">
        <f>_xlfn.XLOOKUP(A169,INPUT_DATA!$CK$4:$CK$397,INPUT_DATA!$CN$4:$CN$397)</f>
        <v>2189</v>
      </c>
      <c r="F169" s="391">
        <f>GuaranteeProvider30[[#This Row],[Nb of Loans]]/GuaranteeProvider30[[#Totals],[Nb of Loans]]</f>
        <v>0.61731528482797515</v>
      </c>
    </row>
    <row r="170" spans="1:8">
      <c r="A170" s="394" t="s">
        <v>393</v>
      </c>
      <c r="B170" s="389" t="s">
        <v>1331</v>
      </c>
      <c r="C170" s="390">
        <f>_xlfn.XLOOKUP(A170,INPUT_DATA!$CK$4:$CK$397,INPUT_DATA!$CM$4:$CM$397)</f>
        <v>83313929.799999982</v>
      </c>
      <c r="D170" s="391">
        <f>GuaranteeProvider30[[#This Row],[Principal Outstanding Balance]]/GuaranteeProvider30[[#Totals],[Principal Outstanding Balance]]</f>
        <v>0.10823824245619205</v>
      </c>
      <c r="E170" s="392">
        <f>_xlfn.XLOOKUP(A170,INPUT_DATA!$CK$4:$CK$397,INPUT_DATA!$CN$4:$CN$397)</f>
        <v>578</v>
      </c>
      <c r="F170" s="391">
        <f>GuaranteeProvider30[[#This Row],[Nb of Loans]]/GuaranteeProvider30[[#Totals],[Nb of Loans]]</f>
        <v>0.16300056401579244</v>
      </c>
    </row>
    <row r="171" spans="1:8">
      <c r="A171" s="394" t="s">
        <v>394</v>
      </c>
      <c r="B171" s="389" t="s">
        <v>521</v>
      </c>
      <c r="C171" s="390">
        <f>_xlfn.XLOOKUP(A171,INPUT_DATA!$CK$4:$CK$397,INPUT_DATA!$CM$4:$CM$397)</f>
        <v>17044238.409999989</v>
      </c>
      <c r="D171" s="391">
        <f>GuaranteeProvider30[[#This Row],[Principal Outstanding Balance]]/GuaranteeProvider30[[#Totals],[Principal Outstanding Balance]]</f>
        <v>2.214321679377463E-2</v>
      </c>
      <c r="E171" s="392">
        <f>_xlfn.XLOOKUP(A171,INPUT_DATA!$CK$4:$CK$397,INPUT_DATA!$CN$4:$CN$397)</f>
        <v>257</v>
      </c>
      <c r="F171" s="391">
        <f>GuaranteeProvider30[[#This Row],[Nb of Loans]]/GuaranteeProvider30[[#Totals],[Nb of Loans]]</f>
        <v>7.2476029328821204E-2</v>
      </c>
    </row>
    <row r="172" spans="1:8">
      <c r="A172" s="394"/>
      <c r="B172" s="683" t="s">
        <v>2</v>
      </c>
      <c r="C172" s="768">
        <f>SUBTOTAL(109,GuaranteeProvider30[Principal Outstanding Balance])</f>
        <v>769727297.01999879</v>
      </c>
      <c r="D172" s="863">
        <f>SUBTOTAL(109,GuaranteeProvider30[% of Total (Amount)])</f>
        <v>1</v>
      </c>
      <c r="E172" s="864">
        <f>SUBTOTAL(109,GuaranteeProvider30[Nb of Loans])</f>
        <v>3546</v>
      </c>
      <c r="F172" s="863">
        <f>SUBTOTAL(109,GuaranteeProvider30[% of Total (Number)])</f>
        <v>1</v>
      </c>
    </row>
    <row r="173" spans="1:8">
      <c r="A173" s="394"/>
      <c r="B173" s="389"/>
      <c r="C173" s="390"/>
      <c r="D173" s="391"/>
      <c r="E173" s="392"/>
      <c r="F173" s="391"/>
      <c r="H173" s="454" t="s">
        <v>650</v>
      </c>
    </row>
    <row r="174" spans="1:8">
      <c r="A174" s="394"/>
      <c r="B174" s="387" t="s">
        <v>1114</v>
      </c>
      <c r="C174" s="387"/>
    </row>
    <row r="175" spans="1:8" ht="15" customHeight="1">
      <c r="A175" s="394"/>
      <c r="B175" s="387"/>
      <c r="C175" s="387"/>
    </row>
    <row r="176" spans="1:8" ht="33" customHeight="1">
      <c r="A176" s="394"/>
      <c r="B176" s="377" t="s">
        <v>406</v>
      </c>
      <c r="C176" s="377" t="s">
        <v>253</v>
      </c>
      <c r="D176" s="377" t="s">
        <v>285</v>
      </c>
      <c r="E176" s="377" t="s">
        <v>286</v>
      </c>
      <c r="F176" s="377" t="s">
        <v>287</v>
      </c>
      <c r="G176" s="388"/>
    </row>
    <row r="177" spans="1:8">
      <c r="A177" s="394" t="s">
        <v>395</v>
      </c>
      <c r="B177" s="683" t="s">
        <v>369</v>
      </c>
      <c r="C177" s="390">
        <f>_xlfn.XLOOKUP(A177,INPUT_DATA!$CK$4:$CK$397,INPUT_DATA!$CM$4:$CM$397)</f>
        <v>9558663.7100000009</v>
      </c>
      <c r="D177" s="391">
        <f>OriginalLoanToValue173132[[#This Row],[Principal Outstanding Balance]]/OriginalLoanToValue173132[[#Totals],[Principal Outstanding Balance]]</f>
        <v>1.2418247016841386E-2</v>
      </c>
      <c r="E177" s="392">
        <f>_xlfn.XLOOKUP(A177,INPUT_DATA!$CK$4:$CK$397,INPUT_DATA!$CN$4:$CN$397)</f>
        <v>389</v>
      </c>
      <c r="F177" s="391">
        <f>OriginalLoanToValue173132[[#This Row],[Nb of Loans]]/OriginalLoanToValue173132[[#Totals],[Nb of Loans]]</f>
        <v>0.10970107163000564</v>
      </c>
    </row>
    <row r="178" spans="1:8">
      <c r="A178" s="394" t="s">
        <v>396</v>
      </c>
      <c r="B178" s="683" t="s">
        <v>371</v>
      </c>
      <c r="C178" s="390">
        <f>_xlfn.XLOOKUP(A178,INPUT_DATA!$CK$4:$CK$397,INPUT_DATA!$CM$4:$CM$397)</f>
        <v>38043604.429999977</v>
      </c>
      <c r="D178" s="391">
        <f>OriginalLoanToValue173132[[#This Row],[Principal Outstanding Balance]]/OriginalLoanToValue173132[[#Totals],[Principal Outstanding Balance]]</f>
        <v>4.942478274745591E-2</v>
      </c>
      <c r="E178" s="392">
        <f>_xlfn.XLOOKUP(A178,INPUT_DATA!$CK$4:$CK$397,INPUT_DATA!$CN$4:$CN$397)</f>
        <v>463</v>
      </c>
      <c r="F178" s="391">
        <f>OriginalLoanToValue173132[[#This Row],[Nb of Loans]]/OriginalLoanToValue173132[[#Totals],[Nb of Loans]]</f>
        <v>0.1305696559503666</v>
      </c>
    </row>
    <row r="179" spans="1:8">
      <c r="A179" s="394" t="s">
        <v>397</v>
      </c>
      <c r="B179" s="683" t="s">
        <v>373</v>
      </c>
      <c r="C179" s="390">
        <f>_xlfn.XLOOKUP(A179,INPUT_DATA!$CK$4:$CK$397,INPUT_DATA!$CM$4:$CM$397)</f>
        <v>60952459.209999993</v>
      </c>
      <c r="D179" s="391">
        <f>OriginalLoanToValue173132[[#This Row],[Principal Outstanding Balance]]/OriginalLoanToValue173132[[#Totals],[Principal Outstanding Balance]]</f>
        <v>7.9187082809687906E-2</v>
      </c>
      <c r="E179" s="392">
        <f>_xlfn.XLOOKUP(A179,INPUT_DATA!$CK$4:$CK$397,INPUT_DATA!$CN$4:$CN$397)</f>
        <v>439</v>
      </c>
      <c r="F179" s="391">
        <f>OriginalLoanToValue173132[[#This Row],[Nb of Loans]]/OriginalLoanToValue173132[[#Totals],[Nb of Loans]]</f>
        <v>0.12380146644106035</v>
      </c>
    </row>
    <row r="180" spans="1:8">
      <c r="A180" s="394" t="s">
        <v>398</v>
      </c>
      <c r="B180" s="683" t="s">
        <v>375</v>
      </c>
      <c r="C180" s="390">
        <f>_xlfn.XLOOKUP(A180,INPUT_DATA!$CK$4:$CK$397,INPUT_DATA!$CM$4:$CM$397)</f>
        <v>69746266.460000008</v>
      </c>
      <c r="D180" s="391">
        <f>OriginalLoanToValue173132[[#This Row],[Principal Outstanding Balance]]/OriginalLoanToValue173132[[#Totals],[Principal Outstanding Balance]]</f>
        <v>9.0611657830016845E-2</v>
      </c>
      <c r="E180" s="392">
        <f>_xlfn.XLOOKUP(A180,INPUT_DATA!$CK$4:$CK$397,INPUT_DATA!$CN$4:$CN$397)</f>
        <v>372</v>
      </c>
      <c r="F180" s="391">
        <f>OriginalLoanToValue173132[[#This Row],[Nb of Loans]]/OriginalLoanToValue173132[[#Totals],[Nb of Loans]]</f>
        <v>0.10490693739424704</v>
      </c>
    </row>
    <row r="181" spans="1:8">
      <c r="A181" s="394" t="s">
        <v>399</v>
      </c>
      <c r="B181" s="683" t="s">
        <v>377</v>
      </c>
      <c r="C181" s="390">
        <f>_xlfn.XLOOKUP(A181,INPUT_DATA!$CK$4:$CK$397,INPUT_DATA!$CM$4:$CM$397)</f>
        <v>82381348.410000041</v>
      </c>
      <c r="D181" s="391">
        <f>OriginalLoanToValue173132[[#This Row],[Principal Outstanding Balance]]/OriginalLoanToValue173132[[#Totals],[Principal Outstanding Balance]]</f>
        <v>0.10702666870324008</v>
      </c>
      <c r="E181" s="392">
        <f>_xlfn.XLOOKUP(A181,INPUT_DATA!$CK$4:$CK$397,INPUT_DATA!$CN$4:$CN$397)</f>
        <v>319</v>
      </c>
      <c r="F181" s="391">
        <f>OriginalLoanToValue173132[[#This Row],[Nb of Loans]]/OriginalLoanToValue173132[[#Totals],[Nb of Loans]]</f>
        <v>8.9960518894529051E-2</v>
      </c>
    </row>
    <row r="182" spans="1:8">
      <c r="A182" s="394" t="s">
        <v>400</v>
      </c>
      <c r="B182" s="683" t="s">
        <v>379</v>
      </c>
      <c r="C182" s="390">
        <f>_xlfn.XLOOKUP(A182,INPUT_DATA!$CK$4:$CK$397,INPUT_DATA!$CM$4:$CM$397)</f>
        <v>82724441.640000015</v>
      </c>
      <c r="D182" s="391">
        <f>OriginalLoanToValue173132[[#This Row],[Principal Outstanding Balance]]/OriginalLoanToValue173132[[#Totals],[Principal Outstanding Balance]]</f>
        <v>0.1074724021874601</v>
      </c>
      <c r="E182" s="392">
        <f>_xlfn.XLOOKUP(A182,INPUT_DATA!$CK$4:$CK$397,INPUT_DATA!$CN$4:$CN$397)</f>
        <v>302</v>
      </c>
      <c r="F182" s="391">
        <f>OriginalLoanToValue173132[[#This Row],[Nb of Loans]]/OriginalLoanToValue173132[[#Totals],[Nb of Loans]]</f>
        <v>8.5166384658770439E-2</v>
      </c>
    </row>
    <row r="183" spans="1:8">
      <c r="A183" s="394" t="s">
        <v>401</v>
      </c>
      <c r="B183" s="683" t="s">
        <v>381</v>
      </c>
      <c r="C183" s="390">
        <f>_xlfn.XLOOKUP(A183,INPUT_DATA!$CK$4:$CK$397,INPUT_DATA!$CM$4:$CM$397)</f>
        <v>106507097.30000012</v>
      </c>
      <c r="D183" s="391">
        <f>OriginalLoanToValue173132[[#This Row],[Principal Outstanding Balance]]/OriginalLoanToValue173132[[#Totals],[Principal Outstanding Balance]]</f>
        <v>0.13836991063243101</v>
      </c>
      <c r="E183" s="392">
        <f>_xlfn.XLOOKUP(A183,INPUT_DATA!$CK$4:$CK$397,INPUT_DATA!$CN$4:$CN$397)</f>
        <v>342</v>
      </c>
      <c r="F183" s="391">
        <f>OriginalLoanToValue173132[[#This Row],[Nb of Loans]]/OriginalLoanToValue173132[[#Totals],[Nb of Loans]]</f>
        <v>9.6446700507614211E-2</v>
      </c>
    </row>
    <row r="184" spans="1:8">
      <c r="A184" s="394" t="s">
        <v>402</v>
      </c>
      <c r="B184" s="683" t="s">
        <v>383</v>
      </c>
      <c r="C184" s="390">
        <f>_xlfn.XLOOKUP(A184,INPUT_DATA!$CK$4:$CK$397,INPUT_DATA!$CM$4:$CM$397)</f>
        <v>101051422.59999995</v>
      </c>
      <c r="D184" s="391">
        <f>OriginalLoanToValue173132[[#This Row],[Principal Outstanding Balance]]/OriginalLoanToValue173132[[#Totals],[Principal Outstanding Balance]]</f>
        <v>0.13128210860030637</v>
      </c>
      <c r="E184" s="392">
        <f>_xlfn.XLOOKUP(A184,INPUT_DATA!$CK$4:$CK$397,INPUT_DATA!$CN$4:$CN$397)</f>
        <v>321</v>
      </c>
      <c r="F184" s="391">
        <f>OriginalLoanToValue173132[[#This Row],[Nb of Loans]]/OriginalLoanToValue173132[[#Totals],[Nb of Loans]]</f>
        <v>9.0524534686971234E-2</v>
      </c>
    </row>
    <row r="185" spans="1:8">
      <c r="A185" s="394" t="s">
        <v>403</v>
      </c>
      <c r="B185" s="683" t="s">
        <v>385</v>
      </c>
      <c r="C185" s="390">
        <f>_xlfn.XLOOKUP(A185,INPUT_DATA!$CK$4:$CK$397,INPUT_DATA!$CM$4:$CM$397)</f>
        <v>104234921.59</v>
      </c>
      <c r="D185" s="391">
        <f>OriginalLoanToValue173132[[#This Row],[Principal Outstanding Balance]]/OriginalLoanToValue173132[[#Totals],[Principal Outstanding Balance]]</f>
        <v>0.13541798763477089</v>
      </c>
      <c r="E185" s="392">
        <f>_xlfn.XLOOKUP(A185,INPUT_DATA!$CK$4:$CK$397,INPUT_DATA!$CN$4:$CN$397)</f>
        <v>269</v>
      </c>
      <c r="F185" s="391">
        <f>OriginalLoanToValue173132[[#This Row],[Nb of Loans]]/OriginalLoanToValue173132[[#Totals],[Nb of Loans]]</f>
        <v>7.586012408347434E-2</v>
      </c>
    </row>
    <row r="186" spans="1:8">
      <c r="A186" s="394" t="s">
        <v>404</v>
      </c>
      <c r="B186" s="683" t="s">
        <v>387</v>
      </c>
      <c r="C186" s="390">
        <f>_xlfn.XLOOKUP(A186,INPUT_DATA!$CK$4:$CK$397,INPUT_DATA!$CM$4:$CM$397)</f>
        <v>63066946.339999989</v>
      </c>
      <c r="D186" s="391">
        <f>OriginalLoanToValue173132[[#This Row],[Principal Outstanding Balance]]/OriginalLoanToValue173132[[#Totals],[Principal Outstanding Balance]]</f>
        <v>8.1934142889519071E-2</v>
      </c>
      <c r="E186" s="392">
        <f>_xlfn.XLOOKUP(A186,INPUT_DATA!$CK$4:$CK$397,INPUT_DATA!$CN$4:$CN$397)</f>
        <v>175</v>
      </c>
      <c r="F186" s="391">
        <f>OriginalLoanToValue173132[[#This Row],[Nb of Loans]]/OriginalLoanToValue173132[[#Totals],[Nb of Loans]]</f>
        <v>4.9351381838691484E-2</v>
      </c>
    </row>
    <row r="187" spans="1:8">
      <c r="A187" s="394" t="s">
        <v>405</v>
      </c>
      <c r="B187" s="683" t="s">
        <v>1115</v>
      </c>
      <c r="C187" s="390">
        <f>_xlfn.XLOOKUP(A187,INPUT_DATA!$CK$4:$CK$397,INPUT_DATA!$CM$4:$CM$397)</f>
        <v>51460125.329999998</v>
      </c>
      <c r="D187" s="391">
        <f>OriginalLoanToValue173132[[#This Row],[Principal Outstanding Balance]]/OriginalLoanToValue173132[[#Totals],[Principal Outstanding Balance]]</f>
        <v>6.6855008948270261E-2</v>
      </c>
      <c r="E187" s="392">
        <f>_xlfn.XLOOKUP(A187,INPUT_DATA!$CK$4:$CK$397,INPUT_DATA!$CN$4:$CN$397)</f>
        <v>155</v>
      </c>
      <c r="F187" s="391">
        <f>OriginalLoanToValue173132[[#This Row],[Nb of Loans]]/OriginalLoanToValue173132[[#Totals],[Nb of Loans]]</f>
        <v>4.3711223914269598E-2</v>
      </c>
    </row>
    <row r="188" spans="1:8">
      <c r="A188" s="394"/>
      <c r="B188" s="683" t="s">
        <v>2</v>
      </c>
      <c r="C188" s="768">
        <f>SUBTOTAL(109,OriginalLoanToValue173132[Principal Outstanding Balance])</f>
        <v>769727297.02000022</v>
      </c>
      <c r="D188" s="769">
        <f>SUBTOTAL(109,OriginalLoanToValue173132[% of Total (Amount)])</f>
        <v>0.99999999999999967</v>
      </c>
      <c r="E188" s="770">
        <f>SUBTOTAL(109,OriginalLoanToValue173132[Nb of Loans])</f>
        <v>3546</v>
      </c>
      <c r="F188" s="769">
        <f>SUBTOTAL(109,OriginalLoanToValue173132[% of Total (Number)])</f>
        <v>0.99999999999999989</v>
      </c>
    </row>
    <row r="189" spans="1:8">
      <c r="A189" s="394"/>
      <c r="B189" s="389"/>
      <c r="C189" s="390"/>
      <c r="D189" s="391"/>
      <c r="E189" s="392"/>
      <c r="F189" s="391"/>
      <c r="H189" s="454" t="s">
        <v>650</v>
      </c>
    </row>
    <row r="190" spans="1:8">
      <c r="A190" s="394"/>
      <c r="B190" s="387" t="s">
        <v>1232</v>
      </c>
      <c r="C190" s="387"/>
    </row>
    <row r="191" spans="1:8" ht="15" customHeight="1">
      <c r="A191" s="394"/>
      <c r="B191" s="387"/>
      <c r="C191" s="387"/>
    </row>
    <row r="192" spans="1:8" ht="33" customHeight="1">
      <c r="A192" s="394"/>
      <c r="B192" s="377" t="s">
        <v>367</v>
      </c>
      <c r="C192" s="377" t="s">
        <v>253</v>
      </c>
      <c r="D192" s="377" t="s">
        <v>285</v>
      </c>
      <c r="E192" s="377" t="s">
        <v>286</v>
      </c>
      <c r="F192" s="377" t="s">
        <v>287</v>
      </c>
      <c r="G192" s="388"/>
    </row>
    <row r="193" spans="1:8">
      <c r="A193" s="394" t="s">
        <v>407</v>
      </c>
      <c r="B193" s="683" t="s">
        <v>369</v>
      </c>
      <c r="C193" s="390">
        <f>_xlfn.XLOOKUP(A193,INPUT_DATA!$CK$4:$CK$397,INPUT_DATA!$CM$4:$CM$397)</f>
        <v>912174.39999999991</v>
      </c>
      <c r="D193" s="391">
        <f>CurrentLoanToValue[[#This Row],[Principal Outstanding Balance]]/CurrentLoanToValue[[#Totals],[Principal Outstanding Balance]]</f>
        <v>1.1850617790631617E-3</v>
      </c>
      <c r="E193" s="392">
        <f>_xlfn.XLOOKUP(A193,INPUT_DATA!$CK$4:$CK$397,INPUT_DATA!$CN$4:$CN$397)</f>
        <v>49</v>
      </c>
      <c r="F193" s="391">
        <f>CurrentLoanToValue[[#This Row],[Nb of Loans]]/CurrentLoanToValue[[#Totals],[Nb of Loans]]</f>
        <v>1.3818386914833615E-2</v>
      </c>
    </row>
    <row r="194" spans="1:8">
      <c r="A194" s="394" t="s">
        <v>408</v>
      </c>
      <c r="B194" s="683" t="s">
        <v>371</v>
      </c>
      <c r="C194" s="390">
        <f>_xlfn.XLOOKUP(A194,INPUT_DATA!$CK$4:$CK$397,INPUT_DATA!$CM$4:$CM$397)</f>
        <v>7385873.75</v>
      </c>
      <c r="D194" s="391">
        <f>CurrentLoanToValue[[#This Row],[Principal Outstanding Balance]]/CurrentLoanToValue[[#Totals],[Principal Outstanding Balance]]</f>
        <v>9.5954421502191974E-3</v>
      </c>
      <c r="E194" s="392">
        <f>_xlfn.XLOOKUP(A194,INPUT_DATA!$CK$4:$CK$397,INPUT_DATA!$CN$4:$CN$397)</f>
        <v>80</v>
      </c>
      <c r="F194" s="391">
        <f>CurrentLoanToValue[[#This Row],[Nb of Loans]]/CurrentLoanToValue[[#Totals],[Nb of Loans]]</f>
        <v>2.2560631697687534E-2</v>
      </c>
    </row>
    <row r="195" spans="1:8">
      <c r="A195" s="394" t="s">
        <v>409</v>
      </c>
      <c r="B195" s="683" t="s">
        <v>373</v>
      </c>
      <c r="C195" s="390">
        <f>_xlfn.XLOOKUP(A195,INPUT_DATA!$CK$4:$CK$397,INPUT_DATA!$CM$4:$CM$397)</f>
        <v>23404710.619999994</v>
      </c>
      <c r="D195" s="391">
        <f>CurrentLoanToValue[[#This Row],[Principal Outstanding Balance]]/CurrentLoanToValue[[#Totals],[Principal Outstanding Balance]]</f>
        <v>3.0406496834153283E-2</v>
      </c>
      <c r="E195" s="392">
        <f>_xlfn.XLOOKUP(A195,INPUT_DATA!$CK$4:$CK$397,INPUT_DATA!$CN$4:$CN$397)</f>
        <v>172</v>
      </c>
      <c r="F195" s="391">
        <f>CurrentLoanToValue[[#This Row],[Nb of Loans]]/CurrentLoanToValue[[#Totals],[Nb of Loans]]</f>
        <v>4.8505358150028204E-2</v>
      </c>
    </row>
    <row r="196" spans="1:8">
      <c r="A196" s="394" t="s">
        <v>410</v>
      </c>
      <c r="B196" s="683" t="s">
        <v>375</v>
      </c>
      <c r="C196" s="390">
        <f>_xlfn.XLOOKUP(A196,INPUT_DATA!$CK$4:$CK$397,INPUT_DATA!$CM$4:$CM$397)</f>
        <v>30760371.570000008</v>
      </c>
      <c r="D196" s="391">
        <f>CurrentLoanToValue[[#This Row],[Principal Outstanding Balance]]/CurrentLoanToValue[[#Totals],[Principal Outstanding Balance]]</f>
        <v>3.9962687680544548E-2</v>
      </c>
      <c r="E196" s="392">
        <f>_xlfn.XLOOKUP(A196,INPUT_DATA!$CK$4:$CK$397,INPUT_DATA!$CN$4:$CN$397)</f>
        <v>216</v>
      </c>
      <c r="F196" s="391">
        <f>CurrentLoanToValue[[#This Row],[Nb of Loans]]/CurrentLoanToValue[[#Totals],[Nb of Loans]]</f>
        <v>6.0913705583756347E-2</v>
      </c>
    </row>
    <row r="197" spans="1:8">
      <c r="A197" s="394" t="s">
        <v>411</v>
      </c>
      <c r="B197" s="683" t="s">
        <v>377</v>
      </c>
      <c r="C197" s="390">
        <f>_xlfn.XLOOKUP(A197,INPUT_DATA!$CK$4:$CK$397,INPUT_DATA!$CM$4:$CM$397)</f>
        <v>58603296.850000024</v>
      </c>
      <c r="D197" s="391">
        <f>CurrentLoanToValue[[#This Row],[Principal Outstanding Balance]]/CurrentLoanToValue[[#Totals],[Principal Outstanding Balance]]</f>
        <v>7.6135141727314004E-2</v>
      </c>
      <c r="E197" s="392">
        <f>_xlfn.XLOOKUP(A197,INPUT_DATA!$CK$4:$CK$397,INPUT_DATA!$CN$4:$CN$397)</f>
        <v>315</v>
      </c>
      <c r="F197" s="391">
        <f>CurrentLoanToValue[[#This Row],[Nb of Loans]]/CurrentLoanToValue[[#Totals],[Nb of Loans]]</f>
        <v>8.8832487309644673E-2</v>
      </c>
    </row>
    <row r="198" spans="1:8">
      <c r="A198" s="394" t="s">
        <v>412</v>
      </c>
      <c r="B198" s="683" t="s">
        <v>379</v>
      </c>
      <c r="C198" s="390">
        <f>_xlfn.XLOOKUP(A198,INPUT_DATA!$CK$4:$CK$397,INPUT_DATA!$CM$4:$CM$397)</f>
        <v>68151347.740000039</v>
      </c>
      <c r="D198" s="391">
        <f>CurrentLoanToValue[[#This Row],[Principal Outstanding Balance]]/CurrentLoanToValue[[#Totals],[Principal Outstanding Balance]]</f>
        <v>8.8539600977967203E-2</v>
      </c>
      <c r="E198" s="392">
        <f>_xlfn.XLOOKUP(A198,INPUT_DATA!$CK$4:$CK$397,INPUT_DATA!$CN$4:$CN$397)</f>
        <v>362</v>
      </c>
      <c r="F198" s="391">
        <f>CurrentLoanToValue[[#This Row],[Nb of Loans]]/CurrentLoanToValue[[#Totals],[Nb of Loans]]</f>
        <v>0.1020868584320361</v>
      </c>
    </row>
    <row r="199" spans="1:8">
      <c r="A199" s="394" t="s">
        <v>413</v>
      </c>
      <c r="B199" s="683" t="s">
        <v>381</v>
      </c>
      <c r="C199" s="390">
        <f>_xlfn.XLOOKUP(A199,INPUT_DATA!$CK$4:$CK$397,INPUT_DATA!$CM$4:$CM$397)</f>
        <v>76692787.070000023</v>
      </c>
      <c r="D199" s="391">
        <f>CurrentLoanToValue[[#This Row],[Principal Outstanding Balance]]/CurrentLoanToValue[[#Totals],[Principal Outstanding Balance]]</f>
        <v>9.9636309335678006E-2</v>
      </c>
      <c r="E199" s="392">
        <f>_xlfn.XLOOKUP(A199,INPUT_DATA!$CK$4:$CK$397,INPUT_DATA!$CN$4:$CN$397)</f>
        <v>364</v>
      </c>
      <c r="F199" s="391">
        <f>CurrentLoanToValue[[#This Row],[Nb of Loans]]/CurrentLoanToValue[[#Totals],[Nb of Loans]]</f>
        <v>0.10265087422447829</v>
      </c>
    </row>
    <row r="200" spans="1:8">
      <c r="A200" s="394" t="s">
        <v>414</v>
      </c>
      <c r="B200" s="683" t="s">
        <v>383</v>
      </c>
      <c r="C200" s="390">
        <f>_xlfn.XLOOKUP(A200,INPUT_DATA!$CK$4:$CK$397,INPUT_DATA!$CM$4:$CM$397)</f>
        <v>72449533.929999992</v>
      </c>
      <c r="D200" s="391">
        <f>CurrentLoanToValue[[#This Row],[Principal Outstanding Balance]]/CurrentLoanToValue[[#Totals],[Principal Outstanding Balance]]</f>
        <v>9.4123638606151083E-2</v>
      </c>
      <c r="E200" s="392">
        <f>_xlfn.XLOOKUP(A200,INPUT_DATA!$CK$4:$CK$397,INPUT_DATA!$CN$4:$CN$397)</f>
        <v>308</v>
      </c>
      <c r="F200" s="391">
        <f>CurrentLoanToValue[[#This Row],[Nb of Loans]]/CurrentLoanToValue[[#Totals],[Nb of Loans]]</f>
        <v>8.6858432036097014E-2</v>
      </c>
    </row>
    <row r="201" spans="1:8">
      <c r="A201" s="394" t="s">
        <v>415</v>
      </c>
      <c r="B201" s="683" t="s">
        <v>385</v>
      </c>
      <c r="C201" s="390">
        <f>_xlfn.XLOOKUP(A201,INPUT_DATA!$CK$4:$CK$397,INPUT_DATA!$CM$4:$CM$397)</f>
        <v>93254125.390000045</v>
      </c>
      <c r="D201" s="391">
        <f>CurrentLoanToValue[[#This Row],[Principal Outstanding Balance]]/CurrentLoanToValue[[#Totals],[Principal Outstanding Balance]]</f>
        <v>0.12115216096796032</v>
      </c>
      <c r="E201" s="392">
        <f>_xlfn.XLOOKUP(A201,INPUT_DATA!$CK$4:$CK$397,INPUT_DATA!$CN$4:$CN$397)</f>
        <v>366</v>
      </c>
      <c r="F201" s="391">
        <f>CurrentLoanToValue[[#This Row],[Nb of Loans]]/CurrentLoanToValue[[#Totals],[Nb of Loans]]</f>
        <v>0.10321489001692047</v>
      </c>
    </row>
    <row r="202" spans="1:8">
      <c r="A202" s="394" t="s">
        <v>416</v>
      </c>
      <c r="B202" s="683" t="s">
        <v>387</v>
      </c>
      <c r="C202" s="390">
        <f>_xlfn.XLOOKUP(A202,INPUT_DATA!$CK$4:$CK$397,INPUT_DATA!$CM$4:$CM$397)</f>
        <v>227523048.50999987</v>
      </c>
      <c r="D202" s="391">
        <f>CurrentLoanToValue[[#This Row],[Principal Outstanding Balance]]/CurrentLoanToValue[[#Totals],[Principal Outstanding Balance]]</f>
        <v>0.29558916435841054</v>
      </c>
      <c r="E202" s="392">
        <f>_xlfn.XLOOKUP(A202,INPUT_DATA!$CK$4:$CK$397,INPUT_DATA!$CN$4:$CN$397)</f>
        <v>916</v>
      </c>
      <c r="F202" s="391">
        <f>CurrentLoanToValue[[#This Row],[Nb of Loans]]/CurrentLoanToValue[[#Totals],[Nb of Loans]]</f>
        <v>0.25831923293852227</v>
      </c>
    </row>
    <row r="203" spans="1:8">
      <c r="A203" s="394" t="s">
        <v>417</v>
      </c>
      <c r="B203" s="683" t="s">
        <v>1115</v>
      </c>
      <c r="C203" s="390">
        <f>_xlfn.XLOOKUP(A203,INPUT_DATA!$CK$4:$CK$397,INPUT_DATA!$CM$4:$CM$397)</f>
        <v>110590027.19000003</v>
      </c>
      <c r="D203" s="391">
        <f>CurrentLoanToValue[[#This Row],[Principal Outstanding Balance]]/CurrentLoanToValue[[#Totals],[Principal Outstanding Balance]]</f>
        <v>0.14367429558253869</v>
      </c>
      <c r="E203" s="392">
        <f>_xlfn.XLOOKUP(A203,INPUT_DATA!$CK$4:$CK$397,INPUT_DATA!$CN$4:$CN$397)</f>
        <v>398</v>
      </c>
      <c r="F203" s="391">
        <f>CurrentLoanToValue[[#This Row],[Nb of Loans]]/CurrentLoanToValue[[#Totals],[Nb of Loans]]</f>
        <v>0.11223914269599548</v>
      </c>
    </row>
    <row r="204" spans="1:8">
      <c r="A204" s="394"/>
      <c r="B204" s="683" t="s">
        <v>2</v>
      </c>
      <c r="C204" s="768">
        <f>SUBTOTAL(109,CurrentLoanToValue[Principal Outstanding Balance])</f>
        <v>769727297.01999998</v>
      </c>
      <c r="D204" s="769">
        <f>SUBTOTAL(109,CurrentLoanToValue[% of Total (Amount)])</f>
        <v>1</v>
      </c>
      <c r="E204" s="770">
        <f>SUBTOTAL(109,CurrentLoanToValue[Nb of Loans])</f>
        <v>3546</v>
      </c>
      <c r="F204" s="769">
        <f>SUBTOTAL(109,CurrentLoanToValue[% of Total (Number)])</f>
        <v>0.99999999999999978</v>
      </c>
    </row>
    <row r="205" spans="1:8">
      <c r="A205" s="394"/>
      <c r="B205" s="389"/>
      <c r="C205" s="390"/>
      <c r="D205" s="391"/>
      <c r="E205" s="392"/>
      <c r="F205" s="391"/>
      <c r="H205" s="454" t="s">
        <v>650</v>
      </c>
    </row>
    <row r="206" spans="1:8">
      <c r="A206" s="394"/>
      <c r="B206" s="387" t="s">
        <v>1116</v>
      </c>
      <c r="C206" s="387"/>
    </row>
    <row r="207" spans="1:8" ht="15" customHeight="1">
      <c r="A207" s="394"/>
      <c r="B207" s="387"/>
      <c r="C207" s="387"/>
    </row>
    <row r="208" spans="1:8" ht="33" customHeight="1">
      <c r="A208" s="394"/>
      <c r="B208" s="377" t="s">
        <v>367</v>
      </c>
      <c r="C208" s="377" t="s">
        <v>253</v>
      </c>
      <c r="D208" s="377" t="s">
        <v>285</v>
      </c>
      <c r="E208" s="377" t="s">
        <v>286</v>
      </c>
      <c r="F208" s="377" t="s">
        <v>287</v>
      </c>
      <c r="G208" s="388"/>
    </row>
    <row r="209" spans="1:8">
      <c r="A209" s="394" t="s">
        <v>418</v>
      </c>
      <c r="B209" s="683" t="s">
        <v>369</v>
      </c>
      <c r="C209" s="390">
        <f>_xlfn.XLOOKUP(A209,INPUT_DATA!$CK$4:$CK$397,INPUT_DATA!$CM$4:$CM$397)</f>
        <v>3300965.02</v>
      </c>
      <c r="D209" s="391">
        <f>CurrentLoanToValueMortgage[[#This Row],[Principal Outstanding Balance]]/CurrentLoanToValueMortgage[[#Totals],[Principal Outstanding Balance]]</f>
        <v>3.9620805643475955E-2</v>
      </c>
      <c r="E209" s="392">
        <f>_xlfn.XLOOKUP(A209,INPUT_DATA!$CK$4:$CK$397,INPUT_DATA!$CN$4:$CN$397)</f>
        <v>161</v>
      </c>
      <c r="F209" s="391">
        <f>CurrentLoanToValueMortgage[[#This Row],[Nb of Loans]]/CurrentLoanToValueMortgage[[#Totals],[Nb of Loans]]</f>
        <v>0.27854671280276816</v>
      </c>
    </row>
    <row r="210" spans="1:8">
      <c r="A210" s="394" t="s">
        <v>419</v>
      </c>
      <c r="B210" s="683" t="s">
        <v>371</v>
      </c>
      <c r="C210" s="390">
        <f>_xlfn.XLOOKUP(A210,INPUT_DATA!$CK$4:$CK$397,INPUT_DATA!$CM$4:$CM$397)</f>
        <v>9761647.9600000046</v>
      </c>
      <c r="D210" s="391">
        <f>CurrentLoanToValueMortgage[[#This Row],[Principal Outstanding Balance]]/CurrentLoanToValueMortgage[[#Totals],[Principal Outstanding Balance]]</f>
        <v>0.11716705697874791</v>
      </c>
      <c r="E210" s="392">
        <f>_xlfn.XLOOKUP(A210,INPUT_DATA!$CK$4:$CK$397,INPUT_DATA!$CN$4:$CN$397)</f>
        <v>131</v>
      </c>
      <c r="F210" s="391">
        <f>CurrentLoanToValueMortgage[[#This Row],[Nb of Loans]]/CurrentLoanToValueMortgage[[#Totals],[Nb of Loans]]</f>
        <v>0.22664359861591696</v>
      </c>
    </row>
    <row r="211" spans="1:8">
      <c r="A211" s="394" t="s">
        <v>420</v>
      </c>
      <c r="B211" s="683" t="s">
        <v>373</v>
      </c>
      <c r="C211" s="390">
        <f>_xlfn.XLOOKUP(A211,INPUT_DATA!$CK$4:$CK$397,INPUT_DATA!$CM$4:$CM$397)</f>
        <v>13133869.34</v>
      </c>
      <c r="D211" s="391">
        <f>CurrentLoanToValueMortgage[[#This Row],[Principal Outstanding Balance]]/CurrentLoanToValueMortgage[[#Totals],[Principal Outstanding Balance]]</f>
        <v>0.15764313808661559</v>
      </c>
      <c r="E211" s="392">
        <f>_xlfn.XLOOKUP(A211,INPUT_DATA!$CK$4:$CK$397,INPUT_DATA!$CN$4:$CN$397)</f>
        <v>93</v>
      </c>
      <c r="F211" s="391">
        <f>CurrentLoanToValueMortgage[[#This Row],[Nb of Loans]]/CurrentLoanToValueMortgage[[#Totals],[Nb of Loans]]</f>
        <v>0.16089965397923875</v>
      </c>
    </row>
    <row r="212" spans="1:8">
      <c r="A212" s="394" t="s">
        <v>421</v>
      </c>
      <c r="B212" s="683" t="s">
        <v>375</v>
      </c>
      <c r="C212" s="390">
        <f>_xlfn.XLOOKUP(A212,INPUT_DATA!$CK$4:$CK$397,INPUT_DATA!$CM$4:$CM$397)</f>
        <v>12068340.469999995</v>
      </c>
      <c r="D212" s="391">
        <f>CurrentLoanToValueMortgage[[#This Row],[Principal Outstanding Balance]]/CurrentLoanToValueMortgage[[#Totals],[Principal Outstanding Balance]]</f>
        <v>0.14485381374964254</v>
      </c>
      <c r="E212" s="392">
        <f>_xlfn.XLOOKUP(A212,INPUT_DATA!$CK$4:$CK$397,INPUT_DATA!$CN$4:$CN$397)</f>
        <v>70</v>
      </c>
      <c r="F212" s="391">
        <f>CurrentLoanToValueMortgage[[#This Row],[Nb of Loans]]/CurrentLoanToValueMortgage[[#Totals],[Nb of Loans]]</f>
        <v>0.12110726643598616</v>
      </c>
    </row>
    <row r="213" spans="1:8">
      <c r="A213" s="394" t="s">
        <v>422</v>
      </c>
      <c r="B213" s="683" t="s">
        <v>377</v>
      </c>
      <c r="C213" s="390">
        <f>_xlfn.XLOOKUP(A213,INPUT_DATA!$CK$4:$CK$397,INPUT_DATA!$CM$4:$CM$397)</f>
        <v>11061845.910000002</v>
      </c>
      <c r="D213" s="391">
        <f>CurrentLoanToValueMortgage[[#This Row],[Principal Outstanding Balance]]/CurrentLoanToValueMortgage[[#Totals],[Principal Outstanding Balance]]</f>
        <v>0.13277306611937059</v>
      </c>
      <c r="E213" s="392">
        <f>_xlfn.XLOOKUP(A213,INPUT_DATA!$CK$4:$CK$397,INPUT_DATA!$CN$4:$CN$397)</f>
        <v>38</v>
      </c>
      <c r="F213" s="391">
        <f>CurrentLoanToValueMortgage[[#This Row],[Nb of Loans]]/CurrentLoanToValueMortgage[[#Totals],[Nb of Loans]]</f>
        <v>6.5743944636678195E-2</v>
      </c>
    </row>
    <row r="214" spans="1:8">
      <c r="A214" s="394" t="s">
        <v>423</v>
      </c>
      <c r="B214" s="683" t="s">
        <v>379</v>
      </c>
      <c r="C214" s="390">
        <f>_xlfn.XLOOKUP(A214,INPUT_DATA!$CK$4:$CK$397,INPUT_DATA!$CM$4:$CM$397)</f>
        <v>7804061.5299999984</v>
      </c>
      <c r="D214" s="391">
        <f>CurrentLoanToValueMortgage[[#This Row],[Principal Outstanding Balance]]/CurrentLoanToValueMortgage[[#Totals],[Principal Outstanding Balance]]</f>
        <v>9.3670548835400116E-2</v>
      </c>
      <c r="E214" s="392">
        <f>_xlfn.XLOOKUP(A214,INPUT_DATA!$CK$4:$CK$397,INPUT_DATA!$CN$4:$CN$397)</f>
        <v>22</v>
      </c>
      <c r="F214" s="391">
        <f>CurrentLoanToValueMortgage[[#This Row],[Nb of Loans]]/CurrentLoanToValueMortgage[[#Totals],[Nb of Loans]]</f>
        <v>3.8062283737024222E-2</v>
      </c>
    </row>
    <row r="215" spans="1:8">
      <c r="A215" s="394" t="s">
        <v>424</v>
      </c>
      <c r="B215" s="683" t="s">
        <v>381</v>
      </c>
      <c r="C215" s="390">
        <f>_xlfn.XLOOKUP(A215,INPUT_DATA!$CK$4:$CK$397,INPUT_DATA!$CM$4:$CM$397)</f>
        <v>7969875.5200000005</v>
      </c>
      <c r="D215" s="391">
        <f>CurrentLoanToValueMortgage[[#This Row],[Principal Outstanding Balance]]/CurrentLoanToValueMortgage[[#Totals],[Principal Outstanding Balance]]</f>
        <v>9.5660780125630313E-2</v>
      </c>
      <c r="E215" s="392">
        <f>_xlfn.XLOOKUP(A215,INPUT_DATA!$CK$4:$CK$397,INPUT_DATA!$CN$4:$CN$397)</f>
        <v>25</v>
      </c>
      <c r="F215" s="391">
        <f>CurrentLoanToValueMortgage[[#This Row],[Nb of Loans]]/CurrentLoanToValueMortgage[[#Totals],[Nb of Loans]]</f>
        <v>4.3252595155709339E-2</v>
      </c>
    </row>
    <row r="216" spans="1:8">
      <c r="A216" s="394" t="s">
        <v>425</v>
      </c>
      <c r="B216" s="683" t="s">
        <v>383</v>
      </c>
      <c r="C216" s="390">
        <f>_xlfn.XLOOKUP(A216,INPUT_DATA!$CK$4:$CK$397,INPUT_DATA!$CM$4:$CM$397)</f>
        <v>5712008.1500000004</v>
      </c>
      <c r="D216" s="391">
        <f>CurrentLoanToValueMortgage[[#This Row],[Principal Outstanding Balance]]/CurrentLoanToValueMortgage[[#Totals],[Principal Outstanding Balance]]</f>
        <v>6.8560061489261304E-2</v>
      </c>
      <c r="E216" s="392">
        <f>_xlfn.XLOOKUP(A216,INPUT_DATA!$CK$4:$CK$397,INPUT_DATA!$CN$4:$CN$397)</f>
        <v>14</v>
      </c>
      <c r="F216" s="391">
        <f>CurrentLoanToValueMortgage[[#This Row],[Nb of Loans]]/CurrentLoanToValueMortgage[[#Totals],[Nb of Loans]]</f>
        <v>2.4221453287197232E-2</v>
      </c>
    </row>
    <row r="217" spans="1:8">
      <c r="A217" s="394" t="s">
        <v>426</v>
      </c>
      <c r="B217" s="683" t="s">
        <v>385</v>
      </c>
      <c r="C217" s="390">
        <f>_xlfn.XLOOKUP(A217,INPUT_DATA!$CK$4:$CK$397,INPUT_DATA!$CM$4:$CM$397)</f>
        <v>6572425.6999999993</v>
      </c>
      <c r="D217" s="391">
        <f>CurrentLoanToValueMortgage[[#This Row],[Principal Outstanding Balance]]/CurrentLoanToValueMortgage[[#Totals],[Principal Outstanding Balance]]</f>
        <v>7.8887476749416263E-2</v>
      </c>
      <c r="E217" s="392">
        <f>_xlfn.XLOOKUP(A217,INPUT_DATA!$CK$4:$CK$397,INPUT_DATA!$CN$4:$CN$397)</f>
        <v>11</v>
      </c>
      <c r="F217" s="391">
        <f>CurrentLoanToValueMortgage[[#This Row],[Nb of Loans]]/CurrentLoanToValueMortgage[[#Totals],[Nb of Loans]]</f>
        <v>1.9031141868512111E-2</v>
      </c>
    </row>
    <row r="218" spans="1:8">
      <c r="A218" s="394" t="s">
        <v>427</v>
      </c>
      <c r="B218" s="683" t="s">
        <v>387</v>
      </c>
      <c r="C218" s="390">
        <f>_xlfn.XLOOKUP(A218,INPUT_DATA!$CK$4:$CK$397,INPUT_DATA!$CM$4:$CM$397)</f>
        <v>3846980.92</v>
      </c>
      <c r="D218" s="391">
        <f>CurrentLoanToValueMortgage[[#This Row],[Principal Outstanding Balance]]/CurrentLoanToValueMortgage[[#Totals],[Principal Outstanding Balance]]</f>
        <v>4.6174522426620658E-2</v>
      </c>
      <c r="E218" s="392">
        <f>_xlfn.XLOOKUP(A218,INPUT_DATA!$CK$4:$CK$397,INPUT_DATA!$CN$4:$CN$397)</f>
        <v>10</v>
      </c>
      <c r="F218" s="771">
        <f>CurrentLoanToValueMortgage[[#This Row],[Nb of Loans]]/CurrentLoanToValueMortgage[[#Totals],[Nb of Loans]]</f>
        <v>1.7301038062283738E-2</v>
      </c>
    </row>
    <row r="219" spans="1:8">
      <c r="A219" s="394" t="s">
        <v>428</v>
      </c>
      <c r="B219" s="683" t="s">
        <v>1115</v>
      </c>
      <c r="C219" s="390">
        <f>_xlfn.XLOOKUP(A219,INPUT_DATA!$CK$4:$CK$397,INPUT_DATA!$CM$4:$CM$397)</f>
        <v>2081909.2800000003</v>
      </c>
      <c r="D219" s="391">
        <f>CurrentLoanToValueMortgage[[#This Row],[Principal Outstanding Balance]]/CurrentLoanToValueMortgage[[#Totals],[Principal Outstanding Balance]]</f>
        <v>2.498872979581861E-2</v>
      </c>
      <c r="E219" s="392">
        <f>_xlfn.XLOOKUP(A219,INPUT_DATA!$CK$4:$CK$397,INPUT_DATA!$CN$4:$CN$397)</f>
        <v>3</v>
      </c>
      <c r="F219" s="391">
        <f>CurrentLoanToValueMortgage[[#This Row],[Nb of Loans]]/CurrentLoanToValueMortgage[[#Totals],[Nb of Loans]]</f>
        <v>5.1903114186851208E-3</v>
      </c>
    </row>
    <row r="220" spans="1:8">
      <c r="A220" s="394"/>
      <c r="B220" s="683" t="s">
        <v>2</v>
      </c>
      <c r="C220" s="768">
        <f>SUBTOTAL(109,CurrentLoanToValueMortgage[Principal Outstanding Balance])</f>
        <v>83313929.800000012</v>
      </c>
      <c r="D220" s="769">
        <f>SUBTOTAL(109,CurrentLoanToValueMortgage[% of Total (Amount)])</f>
        <v>0.99999999999999978</v>
      </c>
      <c r="E220" s="770">
        <f>SUBTOTAL(109,CurrentLoanToValueMortgage[Nb of Loans])</f>
        <v>578</v>
      </c>
      <c r="F220" s="769">
        <f>SUBTOTAL(109,CurrentLoanToValueMortgage[% of Total (Number)])</f>
        <v>1</v>
      </c>
    </row>
    <row r="221" spans="1:8">
      <c r="A221" s="394"/>
      <c r="B221" s="389"/>
      <c r="C221" s="390"/>
      <c r="D221" s="391"/>
      <c r="E221" s="392"/>
      <c r="F221" s="391"/>
      <c r="H221" s="454" t="s">
        <v>650</v>
      </c>
    </row>
    <row r="222" spans="1:8">
      <c r="A222" s="394"/>
      <c r="B222" s="387" t="s">
        <v>1233</v>
      </c>
      <c r="C222" s="387"/>
    </row>
    <row r="223" spans="1:8" ht="15" customHeight="1">
      <c r="A223" s="394"/>
      <c r="B223" s="387"/>
      <c r="C223" s="387"/>
    </row>
    <row r="224" spans="1:8" ht="33" customHeight="1">
      <c r="A224" s="394"/>
      <c r="B224" s="377" t="s">
        <v>367</v>
      </c>
      <c r="C224" s="377" t="s">
        <v>253</v>
      </c>
      <c r="D224" s="377" t="s">
        <v>285</v>
      </c>
      <c r="E224" s="377" t="s">
        <v>286</v>
      </c>
      <c r="F224" s="377" t="s">
        <v>287</v>
      </c>
      <c r="G224" s="388"/>
    </row>
    <row r="225" spans="1:8">
      <c r="A225" s="394" t="s">
        <v>429</v>
      </c>
      <c r="B225" s="683" t="s">
        <v>369</v>
      </c>
      <c r="C225" s="390">
        <f>_xlfn.XLOOKUP(A225,INPUT_DATA!$CK$4:$CK$397,INPUT_DATA!$CM$4:$CM$397)</f>
        <v>117575.69</v>
      </c>
      <c r="D225" s="391">
        <f>CurrentLoanToValueMortgage33[[#This Row],[Principal Outstanding Balance]]/CurrentLoanToValueMortgage33[[#Totals],[Principal Outstanding Balance]]</f>
        <v>1.4112368757811253E-3</v>
      </c>
      <c r="E225" s="392">
        <f>_xlfn.XLOOKUP(A225,INPUT_DATA!$CK$4:$CK$397,INPUT_DATA!$CN$4:$CN$397)</f>
        <v>17</v>
      </c>
      <c r="F225" s="391">
        <f>CurrentLoanToValueMortgage33[[#This Row],[Nb of Loans]]/CurrentLoanToValueMortgage33[[#Totals],[Nb of Loans]]</f>
        <v>2.9411764705882353E-2</v>
      </c>
    </row>
    <row r="226" spans="1:8">
      <c r="A226" s="394" t="s">
        <v>430</v>
      </c>
      <c r="B226" s="683" t="s">
        <v>371</v>
      </c>
      <c r="C226" s="390">
        <f>_xlfn.XLOOKUP(A226,INPUT_DATA!$CK$4:$CK$397,INPUT_DATA!$CM$4:$CM$397)</f>
        <v>1311984.9099999997</v>
      </c>
      <c r="D226" s="391">
        <f>CurrentLoanToValueMortgage33[[#This Row],[Principal Outstanding Balance]]/CurrentLoanToValueMortgage33[[#Totals],[Principal Outstanding Balance]]</f>
        <v>1.5747485602341609E-2</v>
      </c>
      <c r="E226" s="392">
        <f>_xlfn.XLOOKUP(A226,INPUT_DATA!$CK$4:$CK$397,INPUT_DATA!$CN$4:$CN$397)</f>
        <v>19</v>
      </c>
      <c r="F226" s="391">
        <f>CurrentLoanToValueMortgage33[[#This Row],[Nb of Loans]]/CurrentLoanToValueMortgage33[[#Totals],[Nb of Loans]]</f>
        <v>3.2871972318339097E-2</v>
      </c>
    </row>
    <row r="227" spans="1:8">
      <c r="A227" s="394" t="s">
        <v>431</v>
      </c>
      <c r="B227" s="683" t="s">
        <v>373</v>
      </c>
      <c r="C227" s="390">
        <f>_xlfn.XLOOKUP(A227,INPUT_DATA!$CK$4:$CK$397,INPUT_DATA!$CM$4:$CM$397)</f>
        <v>3486149.600000001</v>
      </c>
      <c r="D227" s="391">
        <f>CurrentLoanToValueMortgage33[[#This Row],[Principal Outstanding Balance]]/CurrentLoanToValueMortgage33[[#Totals],[Principal Outstanding Balance]]</f>
        <v>4.1843538149847308E-2</v>
      </c>
      <c r="E227" s="392">
        <f>_xlfn.XLOOKUP(A227,INPUT_DATA!$CK$4:$CK$397,INPUT_DATA!$CN$4:$CN$397)</f>
        <v>40</v>
      </c>
      <c r="F227" s="391">
        <f>CurrentLoanToValueMortgage33[[#This Row],[Nb of Loans]]/CurrentLoanToValueMortgage33[[#Totals],[Nb of Loans]]</f>
        <v>6.9204152249134954E-2</v>
      </c>
    </row>
    <row r="228" spans="1:8">
      <c r="A228" s="394" t="s">
        <v>432</v>
      </c>
      <c r="B228" s="683" t="s">
        <v>375</v>
      </c>
      <c r="C228" s="390">
        <f>_xlfn.XLOOKUP(A228,INPUT_DATA!$CK$4:$CK$397,INPUT_DATA!$CM$4:$CM$397)</f>
        <v>3892941.870000001</v>
      </c>
      <c r="D228" s="391">
        <f>CurrentLoanToValueMortgage33[[#This Row],[Principal Outstanding Balance]]/CurrentLoanToValueMortgage33[[#Totals],[Principal Outstanding Balance]]</f>
        <v>4.6726182276424083E-2</v>
      </c>
      <c r="E228" s="392">
        <f>_xlfn.XLOOKUP(A228,INPUT_DATA!$CK$4:$CK$397,INPUT_DATA!$CN$4:$CN$397)</f>
        <v>57</v>
      </c>
      <c r="F228" s="391">
        <f>CurrentLoanToValueMortgage33[[#This Row],[Nb of Loans]]/CurrentLoanToValueMortgage33[[#Totals],[Nb of Loans]]</f>
        <v>9.8615916955017299E-2</v>
      </c>
    </row>
    <row r="229" spans="1:8">
      <c r="A229" s="394" t="s">
        <v>433</v>
      </c>
      <c r="B229" s="683" t="s">
        <v>377</v>
      </c>
      <c r="C229" s="390">
        <f>_xlfn.XLOOKUP(A229,INPUT_DATA!$CK$4:$CK$397,INPUT_DATA!$CM$4:$CM$397)</f>
        <v>10976859.9</v>
      </c>
      <c r="D229" s="391">
        <f>CurrentLoanToValueMortgage33[[#This Row],[Principal Outstanding Balance]]/CurrentLoanToValueMortgage33[[#Totals],[Principal Outstanding Balance]]</f>
        <v>0.13175299648390848</v>
      </c>
      <c r="E229" s="392">
        <f>_xlfn.XLOOKUP(A229,INPUT_DATA!$CK$4:$CK$397,INPUT_DATA!$CN$4:$CN$397)</f>
        <v>81</v>
      </c>
      <c r="F229" s="391">
        <f>CurrentLoanToValueMortgage33[[#This Row],[Nb of Loans]]/CurrentLoanToValueMortgage33[[#Totals],[Nb of Loans]]</f>
        <v>0.14013840830449828</v>
      </c>
    </row>
    <row r="230" spans="1:8">
      <c r="A230" s="394" t="s">
        <v>434</v>
      </c>
      <c r="B230" s="683" t="s">
        <v>379</v>
      </c>
      <c r="C230" s="390">
        <f>_xlfn.XLOOKUP(A230,INPUT_DATA!$CK$4:$CK$397,INPUT_DATA!$CM$4:$CM$397)</f>
        <v>6209569.0699999994</v>
      </c>
      <c r="D230" s="391">
        <f>CurrentLoanToValueMortgage33[[#This Row],[Principal Outstanding Balance]]/CurrentLoanToValueMortgage33[[#Totals],[Principal Outstanding Balance]]</f>
        <v>7.4532183092388446E-2</v>
      </c>
      <c r="E230" s="392">
        <f>_xlfn.XLOOKUP(A230,INPUT_DATA!$CK$4:$CK$397,INPUT_DATA!$CN$4:$CN$397)</f>
        <v>89</v>
      </c>
      <c r="F230" s="391">
        <f>CurrentLoanToValueMortgage33[[#This Row],[Nb of Loans]]/CurrentLoanToValueMortgage33[[#Totals],[Nb of Loans]]</f>
        <v>0.15397923875432526</v>
      </c>
    </row>
    <row r="231" spans="1:8">
      <c r="A231" s="394" t="s">
        <v>435</v>
      </c>
      <c r="B231" s="683" t="s">
        <v>381</v>
      </c>
      <c r="C231" s="390">
        <f>_xlfn.XLOOKUP(A231,INPUT_DATA!$CK$4:$CK$397,INPUT_DATA!$CM$4:$CM$397)</f>
        <v>7946729.2200000044</v>
      </c>
      <c r="D231" s="391">
        <f>CurrentLoanToValueMortgage33[[#This Row],[Principal Outstanding Balance]]/CurrentLoanToValueMortgage33[[#Totals],[Principal Outstanding Balance]]</f>
        <v>9.5382959837287659E-2</v>
      </c>
      <c r="E231" s="392">
        <f>_xlfn.XLOOKUP(A231,INPUT_DATA!$CK$4:$CK$397,INPUT_DATA!$CN$4:$CN$397)</f>
        <v>80</v>
      </c>
      <c r="F231" s="391">
        <f>CurrentLoanToValueMortgage33[[#This Row],[Nb of Loans]]/CurrentLoanToValueMortgage33[[#Totals],[Nb of Loans]]</f>
        <v>0.13840830449826991</v>
      </c>
    </row>
    <row r="232" spans="1:8">
      <c r="A232" s="394" t="s">
        <v>436</v>
      </c>
      <c r="B232" s="683" t="s">
        <v>383</v>
      </c>
      <c r="C232" s="390">
        <f>_xlfn.XLOOKUP(A232,INPUT_DATA!$CK$4:$CK$397,INPUT_DATA!$CM$4:$CM$397)</f>
        <v>13016616.83</v>
      </c>
      <c r="D232" s="391">
        <f>CurrentLoanToValueMortgage33[[#This Row],[Principal Outstanding Balance]]/CurrentLoanToValueMortgage33[[#Totals],[Principal Outstanding Balance]]</f>
        <v>0.15623578027404486</v>
      </c>
      <c r="E232" s="392">
        <f>_xlfn.XLOOKUP(A232,INPUT_DATA!$CK$4:$CK$397,INPUT_DATA!$CN$4:$CN$397)</f>
        <v>80</v>
      </c>
      <c r="F232" s="391">
        <f>CurrentLoanToValueMortgage33[[#This Row],[Nb of Loans]]/CurrentLoanToValueMortgage33[[#Totals],[Nb of Loans]]</f>
        <v>0.13840830449826991</v>
      </c>
    </row>
    <row r="233" spans="1:8">
      <c r="A233" s="394" t="s">
        <v>437</v>
      </c>
      <c r="B233" s="683" t="s">
        <v>385</v>
      </c>
      <c r="C233" s="390">
        <f>_xlfn.XLOOKUP(A233,INPUT_DATA!$CK$4:$CK$397,INPUT_DATA!$CM$4:$CM$397)</f>
        <v>7497395.6900000023</v>
      </c>
      <c r="D233" s="391">
        <f>CurrentLoanToValueMortgage33[[#This Row],[Principal Outstanding Balance]]/CurrentLoanToValueMortgage33[[#Totals],[Principal Outstanding Balance]]</f>
        <v>8.9989701698118693E-2</v>
      </c>
      <c r="E233" s="392">
        <f>_xlfn.XLOOKUP(A233,INPUT_DATA!$CK$4:$CK$397,INPUT_DATA!$CN$4:$CN$397)</f>
        <v>37</v>
      </c>
      <c r="F233" s="391">
        <f>CurrentLoanToValueMortgage33[[#This Row],[Nb of Loans]]/CurrentLoanToValueMortgage33[[#Totals],[Nb of Loans]]</f>
        <v>6.4013840830449822E-2</v>
      </c>
    </row>
    <row r="234" spans="1:8">
      <c r="A234" s="394" t="s">
        <v>438</v>
      </c>
      <c r="B234" s="683" t="s">
        <v>387</v>
      </c>
      <c r="C234" s="390">
        <f>_xlfn.XLOOKUP(A234,INPUT_DATA!$CK$4:$CK$397,INPUT_DATA!$CM$4:$CM$397)</f>
        <v>21317609.329999998</v>
      </c>
      <c r="D234" s="391">
        <f>CurrentLoanToValueMortgage33[[#This Row],[Principal Outstanding Balance]]/CurrentLoanToValueMortgage33[[#Totals],[Principal Outstanding Balance]]</f>
        <v>0.25587088955201337</v>
      </c>
      <c r="E234" s="392">
        <f>_xlfn.XLOOKUP(A234,INPUT_DATA!$CK$4:$CK$397,INPUT_DATA!$CN$4:$CN$397)</f>
        <v>66</v>
      </c>
      <c r="F234" s="391">
        <f>CurrentLoanToValueMortgage33[[#This Row],[Nb of Loans]]/CurrentLoanToValueMortgage33[[#Totals],[Nb of Loans]]</f>
        <v>0.11418685121107267</v>
      </c>
    </row>
    <row r="235" spans="1:8">
      <c r="A235" s="394" t="s">
        <v>439</v>
      </c>
      <c r="B235" s="683" t="s">
        <v>1115</v>
      </c>
      <c r="C235" s="390">
        <f>_xlfn.XLOOKUP(A235,INPUT_DATA!$CK$4:$CK$397,INPUT_DATA!$CM$4:$CM$397)</f>
        <v>7540497.6899999995</v>
      </c>
      <c r="D235" s="391">
        <f>CurrentLoanToValueMortgage33[[#This Row],[Principal Outstanding Balance]]/CurrentLoanToValueMortgage33[[#Totals],[Principal Outstanding Balance]]</f>
        <v>9.0507046157844287E-2</v>
      </c>
      <c r="E235" s="392">
        <f>_xlfn.XLOOKUP(A235,INPUT_DATA!$CK$4:$CK$397,INPUT_DATA!$CN$4:$CN$397)</f>
        <v>12</v>
      </c>
      <c r="F235" s="391">
        <f>CurrentLoanToValueMortgage33[[#This Row],[Nb of Loans]]/CurrentLoanToValueMortgage33[[#Totals],[Nb of Loans]]</f>
        <v>2.0761245674740483E-2</v>
      </c>
    </row>
    <row r="236" spans="1:8">
      <c r="A236" s="394"/>
      <c r="B236" s="683" t="s">
        <v>2</v>
      </c>
      <c r="C236" s="768">
        <f>SUBTOTAL(109,CurrentLoanToValueMortgage33[Principal Outstanding Balance])</f>
        <v>83313929.800000012</v>
      </c>
      <c r="D236" s="775">
        <f>SUBTOTAL(109,CurrentLoanToValueMortgage33[% of Total (Amount)])</f>
        <v>1</v>
      </c>
      <c r="E236" s="776">
        <f>SUBTOTAL(109,CurrentLoanToValueMortgage33[Nb of Loans])</f>
        <v>578</v>
      </c>
      <c r="F236" s="775">
        <f>SUBTOTAL(109,CurrentLoanToValueMortgage33[% of Total (Number)])</f>
        <v>1</v>
      </c>
    </row>
    <row r="237" spans="1:8">
      <c r="A237" s="394"/>
      <c r="B237" s="389"/>
      <c r="C237" s="390"/>
      <c r="D237" s="391"/>
      <c r="E237" s="392"/>
      <c r="F237" s="391"/>
      <c r="H237" s="454" t="s">
        <v>650</v>
      </c>
    </row>
    <row r="238" spans="1:8">
      <c r="A238" s="394"/>
      <c r="B238" s="387" t="s">
        <v>1117</v>
      </c>
      <c r="C238" s="387"/>
    </row>
    <row r="239" spans="1:8" ht="15" customHeight="1">
      <c r="A239" s="394"/>
      <c r="B239" s="387"/>
      <c r="C239" s="387"/>
    </row>
    <row r="240" spans="1:8" ht="33" customHeight="1">
      <c r="A240" s="394"/>
      <c r="B240" s="377" t="s">
        <v>524</v>
      </c>
      <c r="C240" s="377" t="s">
        <v>253</v>
      </c>
      <c r="D240" s="377" t="s">
        <v>285</v>
      </c>
      <c r="E240" s="377" t="s">
        <v>286</v>
      </c>
      <c r="F240" s="377" t="s">
        <v>287</v>
      </c>
      <c r="G240" s="388"/>
    </row>
    <row r="241" spans="1:8">
      <c r="A241" s="394" t="s">
        <v>440</v>
      </c>
      <c r="B241" s="389" t="s">
        <v>903</v>
      </c>
      <c r="C241" s="390">
        <f>_xlfn.XLOOKUP(A241,INPUT_DATA!$CK$4:$CK$397,INPUT_DATA!$CM$4:$CM$397)</f>
        <v>386222357.0599997</v>
      </c>
      <c r="D241" s="391">
        <f>Purpose34[[#This Row],[Principal Outstanding Balance]]/Purpose34[[#Totals],[Principal Outstanding Balance]]</f>
        <v>0.5017651817146932</v>
      </c>
      <c r="E241" s="392">
        <f>_xlfn.XLOOKUP(A241,INPUT_DATA!$CK$4:$CK$397,INPUT_DATA!$CN$4:$CN$397)</f>
        <v>1547</v>
      </c>
      <c r="F241" s="391">
        <f>Purpose34[[#This Row],[Nb of Loans]]/Purpose34[[#Totals],[Nb of Loans]]</f>
        <v>0.43626621545403271</v>
      </c>
    </row>
    <row r="242" spans="1:8">
      <c r="A242" s="394" t="s">
        <v>441</v>
      </c>
      <c r="B242" s="389" t="s">
        <v>904</v>
      </c>
      <c r="C242" s="390">
        <f>_xlfn.XLOOKUP(A242,INPUT_DATA!$CK$4:$CK$397,INPUT_DATA!$CM$4:$CM$397)</f>
        <v>134785435.85000002</v>
      </c>
      <c r="D242" s="391">
        <f>Purpose34[[#This Row],[Principal Outstanding Balance]]/Purpose34[[#Totals],[Principal Outstanding Balance]]</f>
        <v>0.17510803679669676</v>
      </c>
      <c r="E242" s="392">
        <f>_xlfn.XLOOKUP(A242,INPUT_DATA!$CK$4:$CK$397,INPUT_DATA!$CN$4:$CN$397)</f>
        <v>778</v>
      </c>
      <c r="F242" s="391">
        <f>Purpose34[[#This Row],[Nb of Loans]]/Purpose34[[#Totals],[Nb of Loans]]</f>
        <v>0.21940214326001128</v>
      </c>
    </row>
    <row r="243" spans="1:8">
      <c r="A243" s="394" t="s">
        <v>442</v>
      </c>
      <c r="B243" s="389" t="s">
        <v>905</v>
      </c>
      <c r="C243" s="390">
        <f>_xlfn.XLOOKUP(A243,INPUT_DATA!$CK$4:$CK$397,INPUT_DATA!$CM$4:$CM$397)</f>
        <v>72280623.660000011</v>
      </c>
      <c r="D243" s="391">
        <f>Purpose34[[#This Row],[Principal Outstanding Balance]]/Purpose34[[#Totals],[Principal Outstanding Balance]]</f>
        <v>9.3904196901726827E-2</v>
      </c>
      <c r="E243" s="392">
        <f>_xlfn.XLOOKUP(A243,INPUT_DATA!$CK$4:$CK$397,INPUT_DATA!$CN$4:$CN$397)</f>
        <v>255</v>
      </c>
      <c r="F243" s="391">
        <f>Purpose34[[#This Row],[Nb of Loans]]/Purpose34[[#Totals],[Nb of Loans]]</f>
        <v>7.1912013536379021E-2</v>
      </c>
    </row>
    <row r="244" spans="1:8">
      <c r="A244" s="394" t="s">
        <v>443</v>
      </c>
      <c r="B244" s="389" t="s">
        <v>906</v>
      </c>
      <c r="C244" s="390">
        <f>_xlfn.XLOOKUP(A244,INPUT_DATA!$CK$4:$CK$397,INPUT_DATA!$CM$4:$CM$397)</f>
        <v>63038401.430000015</v>
      </c>
      <c r="D244" s="391">
        <f>Purpose34[[#This Row],[Principal Outstanding Balance]]/Purpose34[[#Totals],[Principal Outstanding Balance]]</f>
        <v>8.1897058444014237E-2</v>
      </c>
      <c r="E244" s="392">
        <f>_xlfn.XLOOKUP(A244,INPUT_DATA!$CK$4:$CK$397,INPUT_DATA!$CN$4:$CN$397)</f>
        <v>485</v>
      </c>
      <c r="F244" s="391">
        <f>Purpose34[[#This Row],[Nb of Loans]]/Purpose34[[#Totals],[Nb of Loans]]</f>
        <v>0.13677382966723067</v>
      </c>
    </row>
    <row r="245" spans="1:8">
      <c r="A245" s="394" t="s">
        <v>444</v>
      </c>
      <c r="B245" s="389" t="s">
        <v>907</v>
      </c>
      <c r="C245" s="390">
        <f>_xlfn.XLOOKUP(A245,INPUT_DATA!$CK$4:$CK$397,INPUT_DATA!$CM$4:$CM$397)</f>
        <v>42097854.840000004</v>
      </c>
      <c r="D245" s="391">
        <f>Purpose34[[#This Row],[Principal Outstanding Balance]]/Purpose34[[#Totals],[Principal Outstanding Balance]]</f>
        <v>5.4691908423907934E-2</v>
      </c>
      <c r="E245" s="392">
        <f>_xlfn.XLOOKUP(A245,INPUT_DATA!$CK$4:$CK$397,INPUT_DATA!$CN$4:$CN$397)</f>
        <v>142</v>
      </c>
      <c r="F245" s="391">
        <f>Purpose34[[#This Row],[Nb of Loans]]/Purpose34[[#Totals],[Nb of Loans]]</f>
        <v>4.0045121263395378E-2</v>
      </c>
    </row>
    <row r="246" spans="1:8">
      <c r="A246" s="394" t="s">
        <v>445</v>
      </c>
      <c r="B246" s="389" t="s">
        <v>908</v>
      </c>
      <c r="C246" s="390">
        <f>_xlfn.XLOOKUP(A246,INPUT_DATA!$CK$4:$CK$397,INPUT_DATA!$CM$4:$CM$397)</f>
        <v>38370653.669999987</v>
      </c>
      <c r="D246" s="391">
        <f>Purpose34[[#This Row],[Principal Outstanding Balance]]/Purpose34[[#Totals],[Principal Outstanding Balance]]</f>
        <v>4.984967249901625E-2</v>
      </c>
      <c r="E246" s="392">
        <f>_xlfn.XLOOKUP(A246,INPUT_DATA!$CK$4:$CK$397,INPUT_DATA!$CN$4:$CN$397)</f>
        <v>177</v>
      </c>
      <c r="F246" s="391">
        <f>Purpose34[[#This Row],[Nb of Loans]]/Purpose34[[#Totals],[Nb of Loans]]</f>
        <v>4.9915397631133673E-2</v>
      </c>
    </row>
    <row r="247" spans="1:8">
      <c r="A247" s="394" t="s">
        <v>446</v>
      </c>
      <c r="B247" s="389" t="s">
        <v>909</v>
      </c>
      <c r="C247" s="390">
        <f>_xlfn.XLOOKUP(A247,INPUT_DATA!$CK$4:$CK$397,INPUT_DATA!$CM$4:$CM$397)</f>
        <v>24315271.309999999</v>
      </c>
      <c r="D247" s="391">
        <f>Purpose34[[#This Row],[Principal Outstanding Balance]]/Purpose34[[#Totals],[Principal Outstanding Balance]]</f>
        <v>3.1589462143458612E-2</v>
      </c>
      <c r="E247" s="392">
        <f>_xlfn.XLOOKUP(A247,INPUT_DATA!$CK$4:$CK$397,INPUT_DATA!$CN$4:$CN$397)</f>
        <v>118</v>
      </c>
      <c r="F247" s="391">
        <f>Purpose34[[#This Row],[Nb of Loans]]/Purpose34[[#Totals],[Nb of Loans]]</f>
        <v>3.3276931754089113E-2</v>
      </c>
    </row>
    <row r="248" spans="1:8">
      <c r="A248" s="394" t="s">
        <v>447</v>
      </c>
      <c r="B248" s="389" t="s">
        <v>910</v>
      </c>
      <c r="C248" s="390">
        <f>_xlfn.XLOOKUP(A248,INPUT_DATA!$CK$4:$CK$397,INPUT_DATA!$CM$4:$CM$397)</f>
        <v>5091186.16</v>
      </c>
      <c r="D248" s="391">
        <f>Purpose34[[#This Row],[Principal Outstanding Balance]]/Purpose34[[#Totals],[Principal Outstanding Balance]]</f>
        <v>6.614272586811634E-3</v>
      </c>
      <c r="E248" s="392">
        <f>_xlfn.XLOOKUP(A248,INPUT_DATA!$CK$4:$CK$397,INPUT_DATA!$CN$4:$CN$397)</f>
        <v>30</v>
      </c>
      <c r="F248" s="391">
        <f>Purpose34[[#This Row],[Nb of Loans]]/Purpose34[[#Totals],[Nb of Loans]]</f>
        <v>8.4602368866328256E-3</v>
      </c>
    </row>
    <row r="249" spans="1:8">
      <c r="A249" s="394" t="s">
        <v>448</v>
      </c>
      <c r="B249" s="389" t="s">
        <v>911</v>
      </c>
      <c r="C249" s="390">
        <f>_xlfn.XLOOKUP(A249,INPUT_DATA!$CK$4:$CK$397,INPUT_DATA!$CM$4:$CM$397)</f>
        <v>3148075.93</v>
      </c>
      <c r="D249" s="391">
        <f>Purpose34[[#This Row],[Principal Outstanding Balance]]/Purpose34[[#Totals],[Principal Outstanding Balance]]</f>
        <v>4.0898587619118887E-3</v>
      </c>
      <c r="E249" s="392">
        <f>_xlfn.XLOOKUP(A249,INPUT_DATA!$CK$4:$CK$397,INPUT_DATA!$CN$4:$CN$397)</f>
        <v>11</v>
      </c>
      <c r="F249" s="391">
        <f>Purpose34[[#This Row],[Nb of Loans]]/Purpose34[[#Totals],[Nb of Loans]]</f>
        <v>3.102086858432036E-3</v>
      </c>
    </row>
    <row r="250" spans="1:8">
      <c r="A250" s="394" t="s">
        <v>449</v>
      </c>
      <c r="B250" s="389" t="s">
        <v>366</v>
      </c>
      <c r="C250" s="390">
        <f>_xlfn.XLOOKUP(A250,INPUT_DATA!$CK$4:$CK$397,INPUT_DATA!$CM$4:$CM$397)</f>
        <v>339303.7</v>
      </c>
      <c r="D250" s="391">
        <f>Purpose34[[#This Row],[Principal Outstanding Balance]]/Purpose34[[#Totals],[Principal Outstanding Balance]]</f>
        <v>4.4081027308452589E-4</v>
      </c>
      <c r="E250" s="392">
        <f>_xlfn.XLOOKUP(A250,INPUT_DATA!$CK$4:$CK$397,INPUT_DATA!$CN$4:$CN$397)</f>
        <v>1</v>
      </c>
      <c r="F250" s="391">
        <f>Purpose34[[#This Row],[Nb of Loans]]/Purpose34[[#Totals],[Nb of Loans]]</f>
        <v>2.8200789622109422E-4</v>
      </c>
    </row>
    <row r="251" spans="1:8">
      <c r="A251" s="394" t="s">
        <v>450</v>
      </c>
      <c r="B251" s="389" t="s">
        <v>912</v>
      </c>
      <c r="C251" s="390">
        <f>_xlfn.XLOOKUP(A251,INPUT_DATA!$CK$4:$CK$397,INPUT_DATA!$CM$4:$CM$397)</f>
        <v>38133.410000000003</v>
      </c>
      <c r="D251" s="836">
        <f>Purpose34[[#This Row],[Principal Outstanding Balance]]/Purpose34[[#Totals],[Principal Outstanding Balance]]</f>
        <v>4.9541454678343301E-5</v>
      </c>
      <c r="E251" s="837">
        <f>_xlfn.XLOOKUP(A251,INPUT_DATA!$CK$4:$CK$397,INPUT_DATA!$CN$4:$CN$397)</f>
        <v>2</v>
      </c>
      <c r="F251" s="836">
        <f>Purpose34[[#This Row],[Nb of Loans]]/Purpose34[[#Totals],[Nb of Loans]]</f>
        <v>5.6401579244218843E-4</v>
      </c>
    </row>
    <row r="252" spans="1:8">
      <c r="A252" s="394"/>
      <c r="B252" s="683" t="s">
        <v>2</v>
      </c>
      <c r="C252" s="768">
        <f>SUBTOTAL(109,Purpose34[Principal Outstanding Balance])</f>
        <v>769727297.01999962</v>
      </c>
      <c r="D252" s="838">
        <f>SUBTOTAL(109,Purpose34[% of Total (Amount)])</f>
        <v>1.0000000000000002</v>
      </c>
      <c r="E252" s="839">
        <f>SUBTOTAL(109,Purpose34[Nb of Loans])</f>
        <v>3546</v>
      </c>
      <c r="F252" s="838">
        <f>SUBTOTAL(109,Purpose34[% of Total (Number)])</f>
        <v>0.99999999999999989</v>
      </c>
    </row>
    <row r="253" spans="1:8">
      <c r="A253" s="394"/>
      <c r="B253" s="389"/>
      <c r="C253" s="390"/>
      <c r="D253" s="391"/>
      <c r="E253" s="392"/>
      <c r="F253" s="391"/>
      <c r="H253" s="454" t="s">
        <v>650</v>
      </c>
    </row>
    <row r="254" spans="1:8">
      <c r="A254" s="394"/>
      <c r="B254" s="387" t="s">
        <v>1118</v>
      </c>
      <c r="C254" s="387"/>
    </row>
    <row r="255" spans="1:8" ht="15" customHeight="1">
      <c r="A255" s="394"/>
      <c r="B255" s="387"/>
      <c r="C255" s="387"/>
    </row>
    <row r="256" spans="1:8" ht="33" customHeight="1">
      <c r="A256" s="394"/>
      <c r="B256" s="377" t="s">
        <v>461</v>
      </c>
      <c r="C256" s="377" t="s">
        <v>253</v>
      </c>
      <c r="D256" s="377" t="s">
        <v>285</v>
      </c>
      <c r="E256" s="377" t="s">
        <v>286</v>
      </c>
      <c r="F256" s="377" t="s">
        <v>287</v>
      </c>
      <c r="G256" s="388"/>
    </row>
    <row r="257" spans="1:8" ht="30">
      <c r="A257" s="394" t="s">
        <v>451</v>
      </c>
      <c r="B257" s="389" t="s">
        <v>1119</v>
      </c>
      <c r="C257" s="390">
        <f>_xlfn.XLOOKUP(A257,INPUT_DATA!$CK$4:$CK$397,INPUT_DATA!$CM$4:$CM$397)</f>
        <v>742058687.32999992</v>
      </c>
      <c r="D257" s="391">
        <f>PropertyType[[#This Row],[Principal Outstanding Balance]]/PropertyType[[#Totals],[Principal Outstanding Balance]]</f>
        <v>0.96405401004080393</v>
      </c>
      <c r="E257" s="392">
        <f>_xlfn.XLOOKUP(A257,INPUT_DATA!$CK$4:$CK$397,INPUT_DATA!$CN$4:$CN$397)</f>
        <v>3478</v>
      </c>
      <c r="F257" s="391">
        <f>PropertyType[[#This Row],[Nb of Loans]]/PropertyType[[#Totals],[Nb of Loans]]</f>
        <v>0.98082346305696555</v>
      </c>
    </row>
    <row r="258" spans="1:8" ht="45">
      <c r="A258" s="394" t="s">
        <v>452</v>
      </c>
      <c r="B258" s="389" t="s">
        <v>1120</v>
      </c>
      <c r="C258" s="390">
        <f>_xlfn.XLOOKUP(A258,INPUT_DATA!$CK$4:$CK$397,INPUT_DATA!$CM$4:$CM$397)</f>
        <v>0</v>
      </c>
      <c r="D258" s="391">
        <f>PropertyType[[#This Row],[Principal Outstanding Balance]]/PropertyType[[#Totals],[Principal Outstanding Balance]]</f>
        <v>0</v>
      </c>
      <c r="E258" s="392">
        <f>_xlfn.XLOOKUP(A258,INPUT_DATA!$CK$4:$CK$397,INPUT_DATA!$CN$4:$CN$397)</f>
        <v>0</v>
      </c>
      <c r="F258" s="391">
        <f>PropertyType[[#This Row],[Nb of Loans]]/PropertyType[[#Totals],[Nb of Loans]]</f>
        <v>0</v>
      </c>
    </row>
    <row r="259" spans="1:8" ht="30">
      <c r="A259" s="394" t="s">
        <v>453</v>
      </c>
      <c r="B259" s="389" t="s">
        <v>1121</v>
      </c>
      <c r="C259" s="390">
        <f>_xlfn.XLOOKUP(A259,INPUT_DATA!$CK$4:$CK$397,INPUT_DATA!$CM$4:$CM$397)</f>
        <v>0</v>
      </c>
      <c r="D259" s="391">
        <f>PropertyType[[#This Row],[Principal Outstanding Balance]]/PropertyType[[#Totals],[Principal Outstanding Balance]]</f>
        <v>0</v>
      </c>
      <c r="E259" s="392">
        <f>_xlfn.XLOOKUP(A259,INPUT_DATA!$CK$4:$CK$397,INPUT_DATA!$CN$4:$CN$397)</f>
        <v>0</v>
      </c>
      <c r="F259" s="391">
        <f>PropertyType[[#This Row],[Nb of Loans]]/PropertyType[[#Totals],[Nb of Loans]]</f>
        <v>0</v>
      </c>
    </row>
    <row r="260" spans="1:8" ht="30">
      <c r="A260" s="394" t="s">
        <v>454</v>
      </c>
      <c r="B260" s="389" t="s">
        <v>1122</v>
      </c>
      <c r="C260" s="390">
        <f>_xlfn.XLOOKUP(A260,INPUT_DATA!$CK$4:$CK$397,INPUT_DATA!$CM$4:$CM$397)</f>
        <v>27668609.690000001</v>
      </c>
      <c r="D260" s="391">
        <f>PropertyType[[#This Row],[Principal Outstanding Balance]]/PropertyType[[#Totals],[Principal Outstanding Balance]]</f>
        <v>3.5945989959196005E-2</v>
      </c>
      <c r="E260" s="392">
        <f>_xlfn.XLOOKUP(A260,INPUT_DATA!$CK$4:$CK$397,INPUT_DATA!$CN$4:$CN$397)</f>
        <v>68</v>
      </c>
      <c r="F260" s="391">
        <f>PropertyType[[#This Row],[Nb of Loans]]/PropertyType[[#Totals],[Nb of Loans]]</f>
        <v>1.9176536943034405E-2</v>
      </c>
    </row>
    <row r="261" spans="1:8">
      <c r="A261" s="394" t="s">
        <v>455</v>
      </c>
      <c r="B261" s="389" t="s">
        <v>366</v>
      </c>
      <c r="C261" s="390">
        <f>_xlfn.XLOOKUP(A261,INPUT_DATA!$CK$4:$CK$397,INPUT_DATA!$CM$4:$CM$397)</f>
        <v>0</v>
      </c>
      <c r="D261" s="391">
        <f>PropertyType[[#This Row],[Principal Outstanding Balance]]/PropertyType[[#Totals],[Principal Outstanding Balance]]</f>
        <v>0</v>
      </c>
      <c r="E261" s="392">
        <f>_xlfn.XLOOKUP(A261,INPUT_DATA!$CK$4:$CK$397,INPUT_DATA!$CN$4:$CN$397)</f>
        <v>0</v>
      </c>
      <c r="F261" s="391">
        <f>PropertyType[[#This Row],[Nb of Loans]]/PropertyType[[#Totals],[Nb of Loans]]</f>
        <v>0</v>
      </c>
    </row>
    <row r="262" spans="1:8">
      <c r="A262" s="394"/>
      <c r="B262" s="683" t="s">
        <v>2</v>
      </c>
      <c r="C262" s="768">
        <f>SUBTOTAL(109,PropertyType[Principal Outstanding Balance])</f>
        <v>769727297.01999998</v>
      </c>
      <c r="D262" s="769">
        <f>SUBTOTAL(109,PropertyType[% of Total (Amount)])</f>
        <v>0.99999999999999989</v>
      </c>
      <c r="E262" s="770">
        <f>SUBTOTAL(109,PropertyType[Nb of Loans])</f>
        <v>3546</v>
      </c>
      <c r="F262" s="769">
        <f>SUBTOTAL(109,PropertyType[% of Total (Number)])</f>
        <v>1</v>
      </c>
    </row>
    <row r="263" spans="1:8">
      <c r="A263" s="394"/>
      <c r="B263" s="389"/>
      <c r="C263" s="390"/>
      <c r="D263" s="391"/>
      <c r="E263" s="392"/>
      <c r="F263" s="391"/>
      <c r="H263" s="454" t="s">
        <v>650</v>
      </c>
    </row>
    <row r="264" spans="1:8">
      <c r="A264" s="394"/>
      <c r="B264" s="387" t="s">
        <v>1123</v>
      </c>
      <c r="C264" s="387"/>
    </row>
    <row r="265" spans="1:8" ht="15" customHeight="1">
      <c r="A265" s="394"/>
      <c r="B265" s="387"/>
      <c r="C265" s="387"/>
    </row>
    <row r="266" spans="1:8" ht="33" customHeight="1">
      <c r="A266" s="394"/>
      <c r="B266" s="377" t="s">
        <v>486</v>
      </c>
      <c r="C266" s="377" t="s">
        <v>253</v>
      </c>
      <c r="D266" s="377" t="s">
        <v>285</v>
      </c>
      <c r="E266" s="377" t="s">
        <v>286</v>
      </c>
      <c r="F266" s="377" t="s">
        <v>287</v>
      </c>
      <c r="G266" s="388"/>
    </row>
    <row r="267" spans="1:8">
      <c r="A267" s="394" t="s">
        <v>456</v>
      </c>
      <c r="B267" s="389" t="s">
        <v>488</v>
      </c>
      <c r="C267" s="390">
        <f>_xlfn.XLOOKUP(A267,INPUT_DATA!$CK$4:$CK$397,INPUT_DATA!$CM$4:$CM$397)</f>
        <v>766166879.64000034</v>
      </c>
      <c r="D267" s="391">
        <f>PaymentFrequency35[[#This Row],[Principal Outstanding Balance]]/PaymentFrequency35[[#Totals],[Principal Outstanding Balance]]</f>
        <v>0.99537444313877899</v>
      </c>
      <c r="E267" s="392">
        <f>_xlfn.XLOOKUP(A267,INPUT_DATA!$CK$4:$CK$397,INPUT_DATA!$CN$4:$CN$397)</f>
        <v>3543</v>
      </c>
      <c r="F267" s="391">
        <f>PaymentFrequency35[[#This Row],[Nb of Loans]]/PaymentFrequency35[[#Totals],[Nb of Loans]]</f>
        <v>0.99915397631133673</v>
      </c>
    </row>
    <row r="268" spans="1:8">
      <c r="A268" s="394" t="s">
        <v>457</v>
      </c>
      <c r="B268" s="389" t="s">
        <v>490</v>
      </c>
      <c r="C268" s="390">
        <f>_xlfn.XLOOKUP(A268,INPUT_DATA!$CK$4:$CK$397,INPUT_DATA!$CM$4:$CM$397)</f>
        <v>3560417.38</v>
      </c>
      <c r="D268" s="391">
        <f>PaymentFrequency35[[#This Row],[Principal Outstanding Balance]]/PaymentFrequency35[[#Totals],[Principal Outstanding Balance]]</f>
        <v>4.6255568612210557E-3</v>
      </c>
      <c r="E268" s="392">
        <f>_xlfn.XLOOKUP(A268,INPUT_DATA!$CK$4:$CK$397,INPUT_DATA!$CN$4:$CN$397)</f>
        <v>3</v>
      </c>
      <c r="F268" s="391">
        <f>PaymentFrequency35[[#This Row],[Nb of Loans]]/PaymentFrequency35[[#Totals],[Nb of Loans]]</f>
        <v>8.4602368866328254E-4</v>
      </c>
    </row>
    <row r="269" spans="1:8">
      <c r="A269" s="394" t="s">
        <v>458</v>
      </c>
      <c r="B269" s="389" t="s">
        <v>492</v>
      </c>
      <c r="C269" s="390">
        <f>_xlfn.XLOOKUP(A269,INPUT_DATA!$CK$4:$CK$397,INPUT_DATA!$CM$4:$CM$397)</f>
        <v>0</v>
      </c>
      <c r="D269" s="391">
        <f>PaymentFrequency35[[#This Row],[Principal Outstanding Balance]]/PaymentFrequency35[[#Totals],[Principal Outstanding Balance]]</f>
        <v>0</v>
      </c>
      <c r="E269" s="392">
        <f>_xlfn.XLOOKUP(A269,INPUT_DATA!$CK$4:$CK$397,INPUT_DATA!$CN$4:$CN$397)</f>
        <v>0</v>
      </c>
      <c r="F269" s="391">
        <f>PaymentFrequency35[[#This Row],[Nb of Loans]]/PaymentFrequency35[[#Totals],[Nb of Loans]]</f>
        <v>0</v>
      </c>
    </row>
    <row r="270" spans="1:8">
      <c r="A270" s="394" t="s">
        <v>459</v>
      </c>
      <c r="B270" s="389" t="s">
        <v>494</v>
      </c>
      <c r="C270" s="390">
        <f>_xlfn.XLOOKUP(A270,INPUT_DATA!$CK$4:$CK$397,INPUT_DATA!$CM$4:$CM$397)</f>
        <v>0</v>
      </c>
      <c r="D270" s="391">
        <f>PaymentFrequency35[[#This Row],[Principal Outstanding Balance]]/PaymentFrequency35[[#Totals],[Principal Outstanding Balance]]</f>
        <v>0</v>
      </c>
      <c r="E270" s="392">
        <f>_xlfn.XLOOKUP(A270,INPUT_DATA!$CK$4:$CK$397,INPUT_DATA!$CN$4:$CN$397)</f>
        <v>0</v>
      </c>
      <c r="F270" s="391">
        <f>PaymentFrequency35[[#This Row],[Nb of Loans]]/PaymentFrequency35[[#Totals],[Nb of Loans]]</f>
        <v>0</v>
      </c>
    </row>
    <row r="271" spans="1:8">
      <c r="A271" s="394" t="s">
        <v>460</v>
      </c>
      <c r="B271" s="389" t="s">
        <v>366</v>
      </c>
      <c r="C271" s="390">
        <f>_xlfn.XLOOKUP(A271,INPUT_DATA!$CK$4:$CK$397,INPUT_DATA!$CM$4:$CM$397)</f>
        <v>0</v>
      </c>
      <c r="D271" s="391">
        <f>PaymentFrequency35[[#This Row],[Principal Outstanding Balance]]/PaymentFrequency35[[#Totals],[Principal Outstanding Balance]]</f>
        <v>0</v>
      </c>
      <c r="E271" s="392">
        <f>_xlfn.XLOOKUP(A271,INPUT_DATA!$CK$4:$CK$397,INPUT_DATA!$CN$4:$CN$397)</f>
        <v>0</v>
      </c>
      <c r="F271" s="391">
        <f>PaymentFrequency35[[#This Row],[Nb of Loans]]/PaymentFrequency35[[#Totals],[Nb of Loans]]</f>
        <v>0</v>
      </c>
    </row>
    <row r="272" spans="1:8">
      <c r="A272" s="394"/>
      <c r="B272" s="683" t="s">
        <v>2</v>
      </c>
      <c r="C272" s="768">
        <f>SUBTOTAL(109,PaymentFrequency35[Principal Outstanding Balance])</f>
        <v>769727297.02000034</v>
      </c>
      <c r="D272" s="769">
        <f>SUBTOTAL(109,PaymentFrequency35[% of Total (Amount)])</f>
        <v>1</v>
      </c>
      <c r="E272" s="770">
        <f>SUBTOTAL(109,PaymentFrequency35[Nb of Loans])</f>
        <v>3546</v>
      </c>
      <c r="F272" s="769">
        <f>SUBTOTAL(109,PaymentFrequency35[% of Total (Number)])</f>
        <v>1</v>
      </c>
    </row>
    <row r="273" spans="1:8">
      <c r="A273" s="394"/>
      <c r="B273" s="389"/>
      <c r="C273" s="390"/>
      <c r="D273" s="391"/>
      <c r="E273" s="392"/>
      <c r="F273" s="391"/>
      <c r="H273" s="454" t="s">
        <v>650</v>
      </c>
    </row>
    <row r="274" spans="1:8">
      <c r="A274" s="394"/>
      <c r="B274" s="387" t="s">
        <v>1124</v>
      </c>
      <c r="C274" s="387"/>
    </row>
    <row r="275" spans="1:8" ht="15" customHeight="1">
      <c r="A275" s="394"/>
      <c r="B275" s="387"/>
      <c r="C275" s="387"/>
    </row>
    <row r="276" spans="1:8" ht="33" customHeight="1">
      <c r="A276" s="394"/>
      <c r="B276" s="377" t="s">
        <v>499</v>
      </c>
      <c r="C276" s="377" t="s">
        <v>253</v>
      </c>
      <c r="D276" s="377" t="s">
        <v>285</v>
      </c>
      <c r="E276" s="377" t="s">
        <v>1357</v>
      </c>
      <c r="F276" s="377" t="s">
        <v>287</v>
      </c>
      <c r="G276" s="388"/>
    </row>
    <row r="277" spans="1:8">
      <c r="A277" s="394" t="s">
        <v>462</v>
      </c>
      <c r="B277" s="389" t="s">
        <v>501</v>
      </c>
      <c r="C277" s="390">
        <f>_xlfn.XLOOKUP(A277,INPUT_DATA!$CK$4:$CK$397,INPUT_DATA!$CM$4:$CM$397)</f>
        <v>505070548.5199998</v>
      </c>
      <c r="D277" s="391">
        <f>EmploymentType36[[#This Row],[Principal Outstanding Balance]]/EmploymentType36[[#Totals],[Principal Outstanding Balance]]</f>
        <v>0.65616816562876368</v>
      </c>
      <c r="E277" s="392">
        <f>_xlfn.XLOOKUP(A277,INPUT_DATA!$CK$4:$CK$397,INPUT_DATA!$CN$4:$CN$397)</f>
        <v>2027</v>
      </c>
      <c r="F277" s="391">
        <f>EmploymentType36[[#This Row],[Nb of Borrowers]]/EmploymentType36[[#Totals],[Nb of Borrowers]]</f>
        <v>0.65429309231762423</v>
      </c>
    </row>
    <row r="278" spans="1:8">
      <c r="A278" s="394" t="s">
        <v>463</v>
      </c>
      <c r="B278" s="389" t="s">
        <v>503</v>
      </c>
      <c r="C278" s="390">
        <f>_xlfn.XLOOKUP(A278,INPUT_DATA!$CK$4:$CK$397,INPUT_DATA!$CM$4:$CM$397)</f>
        <v>30368888.27999999</v>
      </c>
      <c r="D278" s="391">
        <f>EmploymentType36[[#This Row],[Principal Outstanding Balance]]/EmploymentType36[[#Totals],[Principal Outstanding Balance]]</f>
        <v>3.9454087697777099E-2</v>
      </c>
      <c r="E278" s="392">
        <f>_xlfn.XLOOKUP(A278,INPUT_DATA!$CK$4:$CK$397,INPUT_DATA!$CN$4:$CN$397)</f>
        <v>169</v>
      </c>
      <c r="F278" s="391">
        <f>EmploymentType36[[#This Row],[Nb of Borrowers]]/EmploymentType36[[#Totals],[Nb of Borrowers]]</f>
        <v>5.4551323434473852E-2</v>
      </c>
    </row>
    <row r="279" spans="1:8">
      <c r="A279" s="394" t="s">
        <v>464</v>
      </c>
      <c r="B279" s="389" t="s">
        <v>505</v>
      </c>
      <c r="C279" s="390">
        <f>_xlfn.XLOOKUP(A279,INPUT_DATA!$CK$4:$CK$397,INPUT_DATA!$CM$4:$CM$397)</f>
        <v>33870017.449999996</v>
      </c>
      <c r="D279" s="391">
        <f>EmploymentType36[[#This Row],[Principal Outstanding Balance]]/EmploymentType36[[#Totals],[Principal Outstanding Balance]]</f>
        <v>4.4002619604537621E-2</v>
      </c>
      <c r="E279" s="392">
        <f>_xlfn.XLOOKUP(A279,INPUT_DATA!$CK$4:$CK$397,INPUT_DATA!$CN$4:$CN$397)</f>
        <v>93</v>
      </c>
      <c r="F279" s="391">
        <f>EmploymentType36[[#This Row],[Nb of Borrowers]]/EmploymentType36[[#Totals],[Nb of Borrowers]]</f>
        <v>3.001936733376372E-2</v>
      </c>
    </row>
    <row r="280" spans="1:8">
      <c r="A280" s="394" t="s">
        <v>465</v>
      </c>
      <c r="B280" s="389" t="s">
        <v>507</v>
      </c>
      <c r="C280" s="390">
        <f>_xlfn.XLOOKUP(A280,INPUT_DATA!$CK$4:$CK$397,INPUT_DATA!$CM$4:$CM$397)</f>
        <v>16310728.380000001</v>
      </c>
      <c r="D280" s="391">
        <f>EmploymentType36[[#This Row],[Principal Outstanding Balance]]/EmploymentType36[[#Totals],[Principal Outstanding Balance]]</f>
        <v>2.1190268869438575E-2</v>
      </c>
      <c r="E280" s="392">
        <f>_xlfn.XLOOKUP(A280,INPUT_DATA!$CK$4:$CK$397,INPUT_DATA!$CN$4:$CN$397)</f>
        <v>91</v>
      </c>
      <c r="F280" s="391">
        <f>EmploymentType36[[#This Row],[Nb of Borrowers]]/EmploymentType36[[#Totals],[Nb of Borrowers]]</f>
        <v>2.9373789541639769E-2</v>
      </c>
    </row>
    <row r="281" spans="1:8">
      <c r="A281" s="394" t="s">
        <v>466</v>
      </c>
      <c r="B281" s="389" t="s">
        <v>509</v>
      </c>
      <c r="C281" s="390">
        <f>_xlfn.XLOOKUP(A281,INPUT_DATA!$CK$4:$CK$397,INPUT_DATA!$CM$4:$CM$397)</f>
        <v>60057785.49999997</v>
      </c>
      <c r="D281" s="391">
        <f>EmploymentType36[[#This Row],[Principal Outstanding Balance]]/EmploymentType36[[#Totals],[Principal Outstanding Balance]]</f>
        <v>7.8024757251709487E-2</v>
      </c>
      <c r="E281" s="392">
        <f>_xlfn.XLOOKUP(A281,INPUT_DATA!$CK$4:$CK$397,INPUT_DATA!$CN$4:$CN$397)</f>
        <v>262</v>
      </c>
      <c r="F281" s="391">
        <f>EmploymentType36[[#This Row],[Nb of Borrowers]]/EmploymentType36[[#Totals],[Nb of Borrowers]]</f>
        <v>8.4570690768237575E-2</v>
      </c>
    </row>
    <row r="282" spans="1:8">
      <c r="A282" s="394" t="s">
        <v>467</v>
      </c>
      <c r="B282" s="389" t="s">
        <v>511</v>
      </c>
      <c r="C282" s="390">
        <f>_xlfn.XLOOKUP(A282,INPUT_DATA!$CK$4:$CK$397,INPUT_DATA!$CM$4:$CM$397)</f>
        <v>0</v>
      </c>
      <c r="D282" s="391">
        <f>EmploymentType36[[#This Row],[Principal Outstanding Balance]]/EmploymentType36[[#Totals],[Principal Outstanding Balance]]</f>
        <v>0</v>
      </c>
      <c r="E282" s="392">
        <f>_xlfn.XLOOKUP(A282,INPUT_DATA!$CK$4:$CK$397,INPUT_DATA!$CN$4:$CN$397)</f>
        <v>0</v>
      </c>
      <c r="F282" s="391">
        <f>EmploymentType36[[#This Row],[Nb of Borrowers]]/EmploymentType36[[#Totals],[Nb of Borrowers]]</f>
        <v>0</v>
      </c>
    </row>
    <row r="283" spans="1:8">
      <c r="A283" s="394" t="s">
        <v>468</v>
      </c>
      <c r="B283" s="389" t="s">
        <v>513</v>
      </c>
      <c r="C283" s="390">
        <f>_xlfn.XLOOKUP(A283,INPUT_DATA!$CK$4:$CK$397,INPUT_DATA!$CM$4:$CM$397)</f>
        <v>494796.61</v>
      </c>
      <c r="D283" s="391">
        <f>EmploymentType36[[#This Row],[Principal Outstanding Balance]]/EmploymentType36[[#Totals],[Principal Outstanding Balance]]</f>
        <v>6.428206611817013E-4</v>
      </c>
      <c r="E283" s="392">
        <f>_xlfn.XLOOKUP(A283,INPUT_DATA!$CK$4:$CK$397,INPUT_DATA!$CN$4:$CN$397)</f>
        <v>3</v>
      </c>
      <c r="F283" s="391">
        <f>EmploymentType36[[#This Row],[Nb of Borrowers]]/EmploymentType36[[#Totals],[Nb of Borrowers]]</f>
        <v>9.6836668818592645E-4</v>
      </c>
    </row>
    <row r="284" spans="1:8">
      <c r="A284" s="394" t="s">
        <v>469</v>
      </c>
      <c r="B284" s="389" t="s">
        <v>515</v>
      </c>
      <c r="C284" s="390">
        <f>_xlfn.XLOOKUP(A284,INPUT_DATA!$CK$4:$CK$397,INPUT_DATA!$CM$4:$CM$397)</f>
        <v>17199532.649999991</v>
      </c>
      <c r="D284" s="391">
        <f>EmploymentType36[[#This Row],[Principal Outstanding Balance]]/EmploymentType36[[#Totals],[Principal Outstanding Balance]]</f>
        <v>2.2344969077474588E-2</v>
      </c>
      <c r="E284" s="392">
        <f>_xlfn.XLOOKUP(A284,INPUT_DATA!$CK$4:$CK$397,INPUT_DATA!$CN$4:$CN$397)</f>
        <v>146</v>
      </c>
      <c r="F284" s="391">
        <f>EmploymentType36[[#This Row],[Nb of Borrowers]]/EmploymentType36[[#Totals],[Nb of Borrowers]]</f>
        <v>4.7127178825048417E-2</v>
      </c>
    </row>
    <row r="285" spans="1:8">
      <c r="A285" s="394" t="s">
        <v>470</v>
      </c>
      <c r="B285" s="389" t="s">
        <v>366</v>
      </c>
      <c r="C285" s="390">
        <f>_xlfn.XLOOKUP(A285,INPUT_DATA!$CK$4:$CK$397,INPUT_DATA!$CM$4:$CM$397)</f>
        <v>2437029.6599999997</v>
      </c>
      <c r="D285" s="771">
        <f>EmploymentType36[[#This Row],[Principal Outstanding Balance]]/EmploymentType36[[#Totals],[Principal Outstanding Balance]]</f>
        <v>3.1660948876764058E-3</v>
      </c>
      <c r="E285" s="772">
        <f>_xlfn.XLOOKUP(A285,INPUT_DATA!$CK$4:$CK$397,INPUT_DATA!$CN$4:$CN$397)</f>
        <v>8</v>
      </c>
      <c r="F285" s="771">
        <f>EmploymentType36[[#This Row],[Nb of Borrowers]]/EmploymentType36[[#Totals],[Nb of Borrowers]]</f>
        <v>2.5823111684958036E-3</v>
      </c>
    </row>
    <row r="286" spans="1:8">
      <c r="A286" s="394" t="s">
        <v>913</v>
      </c>
      <c r="B286" s="389" t="s">
        <v>1125</v>
      </c>
      <c r="C286" s="390">
        <f>_xlfn.XLOOKUP(A286,INPUT_DATA!$CK$4:$CK$397,INPUT_DATA!$CM$4:$CM$397)</f>
        <v>103917969.96999997</v>
      </c>
      <c r="D286" s="391">
        <f>EmploymentType36[[#This Row],[Principal Outstanding Balance]]/EmploymentType36[[#Totals],[Principal Outstanding Balance]]</f>
        <v>0.13500621632144075</v>
      </c>
      <c r="E286" s="392">
        <f>_xlfn.XLOOKUP(A286,INPUT_DATA!$CK$4:$CK$397,INPUT_DATA!$CN$4:$CN$397)</f>
        <v>299</v>
      </c>
      <c r="F286" s="391">
        <f>EmploymentType36[[#This Row],[Nb of Borrowers]]/EmploymentType36[[#Totals],[Nb of Borrowers]]</f>
        <v>9.651387992253066E-2</v>
      </c>
    </row>
    <row r="287" spans="1:8">
      <c r="A287" s="394"/>
      <c r="B287" s="683" t="s">
        <v>2</v>
      </c>
      <c r="C287" s="768">
        <f>SUBTOTAL(109,EmploymentType36[Principal Outstanding Balance])</f>
        <v>769727297.01999974</v>
      </c>
      <c r="D287" s="769">
        <f>SUBTOTAL(109,EmploymentType36[% of Total (Amount)])</f>
        <v>1</v>
      </c>
      <c r="E287" s="770">
        <f>SUBTOTAL(109,EmploymentType36[Nb of Borrowers])</f>
        <v>3098</v>
      </c>
      <c r="F287" s="769">
        <f>SUBTOTAL(109,EmploymentType36[% of Total (Number)])</f>
        <v>1</v>
      </c>
    </row>
    <row r="288" spans="1:8">
      <c r="A288" s="394"/>
      <c r="B288" s="389"/>
      <c r="C288" s="390"/>
      <c r="D288" s="391"/>
      <c r="E288" s="392"/>
      <c r="F288" s="391"/>
      <c r="H288" s="454" t="s">
        <v>650</v>
      </c>
    </row>
    <row r="289" spans="1:7">
      <c r="A289" s="394"/>
      <c r="B289" s="387" t="s">
        <v>1234</v>
      </c>
      <c r="C289" s="387"/>
    </row>
    <row r="290" spans="1:7" ht="15" customHeight="1">
      <c r="A290" s="394"/>
      <c r="B290" s="387"/>
      <c r="C290" s="387"/>
    </row>
    <row r="291" spans="1:7" ht="33" customHeight="1">
      <c r="A291" s="394"/>
      <c r="B291" s="377" t="s">
        <v>525</v>
      </c>
      <c r="C291" s="377" t="s">
        <v>253</v>
      </c>
      <c r="D291" s="377" t="s">
        <v>285</v>
      </c>
      <c r="E291" s="377" t="s">
        <v>286</v>
      </c>
      <c r="F291" s="377" t="s">
        <v>287</v>
      </c>
      <c r="G291" s="388"/>
    </row>
    <row r="292" spans="1:7">
      <c r="A292" s="394" t="s">
        <v>471</v>
      </c>
      <c r="B292" s="389" t="s">
        <v>526</v>
      </c>
      <c r="C292" s="390">
        <f>_xlfn.XLOOKUP(A292,INPUT_DATA!$CK$4:$CK$397,INPUT_DATA!$CM$4:$CM$397)</f>
        <v>4003540.28</v>
      </c>
      <c r="D292" s="391">
        <f>Top20Deb[[#This Row],[Principal Outstanding Balance]]/$C$26</f>
        <v>5.2012450324935974E-3</v>
      </c>
      <c r="E292" s="392">
        <f>_xlfn.XLOOKUP(A292,INPUT_DATA!$CK$4:$CK$397,INPUT_DATA!$CN$4:$CN$397)</f>
        <v>1</v>
      </c>
      <c r="F292" s="391">
        <f>Top20Deb[[#This Row],[Nb of Loans]]/$C$28</f>
        <v>2.8200789622109422E-4</v>
      </c>
    </row>
    <row r="293" spans="1:7">
      <c r="A293" s="394" t="s">
        <v>472</v>
      </c>
      <c r="B293" s="389" t="s">
        <v>527</v>
      </c>
      <c r="C293" s="390">
        <f>_xlfn.XLOOKUP(A293,INPUT_DATA!$CK$4:$CK$397,INPUT_DATA!$CM$4:$CM$397)</f>
        <v>3728001.13</v>
      </c>
      <c r="D293" s="391">
        <f>Top20Deb[[#This Row],[Principal Outstanding Balance]]/$C$26</f>
        <v>4.8432752020526734E-3</v>
      </c>
      <c r="E293" s="392">
        <f>_xlfn.XLOOKUP(A293,INPUT_DATA!$CK$4:$CK$397,INPUT_DATA!$CN$4:$CN$397)</f>
        <v>2</v>
      </c>
      <c r="F293" s="391">
        <f>Top20Deb[[#This Row],[Nb of Loans]]/$C$28</f>
        <v>5.6401579244218843E-4</v>
      </c>
    </row>
    <row r="294" spans="1:7">
      <c r="A294" s="394" t="s">
        <v>473</v>
      </c>
      <c r="B294" s="389" t="s">
        <v>528</v>
      </c>
      <c r="C294" s="390">
        <f>_xlfn.XLOOKUP(A294,INPUT_DATA!$CK$4:$CK$397,INPUT_DATA!$CM$4:$CM$397)</f>
        <v>3574595.64</v>
      </c>
      <c r="D294" s="391">
        <f>Top20Deb[[#This Row],[Principal Outstanding Balance]]/$C$26</f>
        <v>4.6439767094645723E-3</v>
      </c>
      <c r="E294" s="392">
        <f>_xlfn.XLOOKUP(A294,INPUT_DATA!$CK$4:$CK$397,INPUT_DATA!$CN$4:$CN$397)</f>
        <v>1</v>
      </c>
      <c r="F294" s="391">
        <f>Top20Deb[[#This Row],[Nb of Loans]]/$C$28</f>
        <v>2.8200789622109422E-4</v>
      </c>
    </row>
    <row r="295" spans="1:7">
      <c r="A295" s="394" t="s">
        <v>474</v>
      </c>
      <c r="B295" s="389" t="s">
        <v>529</v>
      </c>
      <c r="C295" s="390">
        <f>_xlfn.XLOOKUP(A295,INPUT_DATA!$CK$4:$CK$397,INPUT_DATA!$CM$4:$CM$397)</f>
        <v>3473518.6799999997</v>
      </c>
      <c r="D295" s="391">
        <f>Top20Deb[[#This Row],[Principal Outstanding Balance]]/$C$26</f>
        <v>4.5126614236596909E-3</v>
      </c>
      <c r="E295" s="392">
        <f>_xlfn.XLOOKUP(A295,INPUT_DATA!$CK$4:$CK$397,INPUT_DATA!$CN$4:$CN$397)</f>
        <v>2</v>
      </c>
      <c r="F295" s="391">
        <f>Top20Deb[[#This Row],[Nb of Loans]]/$C$28</f>
        <v>5.6401579244218843E-4</v>
      </c>
    </row>
    <row r="296" spans="1:7">
      <c r="A296" s="394" t="s">
        <v>475</v>
      </c>
      <c r="B296" s="389" t="s">
        <v>530</v>
      </c>
      <c r="C296" s="390">
        <f>_xlfn.XLOOKUP(A296,INPUT_DATA!$CK$4:$CK$397,INPUT_DATA!$CM$4:$CM$397)</f>
        <v>3142849.84</v>
      </c>
      <c r="D296" s="391">
        <f>Top20Deb[[#This Row],[Principal Outstanding Balance]]/$C$26</f>
        <v>4.083069227462174E-3</v>
      </c>
      <c r="E296" s="392">
        <f>_xlfn.XLOOKUP(A296,INPUT_DATA!$CK$4:$CK$397,INPUT_DATA!$CN$4:$CN$397)</f>
        <v>2</v>
      </c>
      <c r="F296" s="391">
        <f>Top20Deb[[#This Row],[Nb of Loans]]/$C$28</f>
        <v>5.6401579244218843E-4</v>
      </c>
    </row>
    <row r="297" spans="1:7">
      <c r="A297" s="394" t="s">
        <v>476</v>
      </c>
      <c r="B297" s="389" t="s">
        <v>531</v>
      </c>
      <c r="C297" s="390">
        <f>_xlfn.XLOOKUP(A297,INPUT_DATA!$CK$4:$CK$397,INPUT_DATA!$CM$4:$CM$397)</f>
        <v>3118064.75</v>
      </c>
      <c r="D297" s="391">
        <f>Top20Deb[[#This Row],[Principal Outstanding Balance]]/$C$26</f>
        <v>4.0508693950072833E-3</v>
      </c>
      <c r="E297" s="392">
        <f>_xlfn.XLOOKUP(A297,INPUT_DATA!$CK$4:$CK$397,INPUT_DATA!$CN$4:$CN$397)</f>
        <v>2</v>
      </c>
      <c r="F297" s="391">
        <f>Top20Deb[[#This Row],[Nb of Loans]]/$C$28</f>
        <v>5.6401579244218843E-4</v>
      </c>
    </row>
    <row r="298" spans="1:7">
      <c r="A298" s="394" t="s">
        <v>477</v>
      </c>
      <c r="B298" s="389" t="s">
        <v>532</v>
      </c>
      <c r="C298" s="390">
        <f>_xlfn.XLOOKUP(A298,INPUT_DATA!$CK$4:$CK$397,INPUT_DATA!$CM$4:$CM$397)</f>
        <v>3046765.52</v>
      </c>
      <c r="D298" s="391">
        <f>Top20Deb[[#This Row],[Principal Outstanding Balance]]/$C$26</f>
        <v>3.9582401868759947E-3</v>
      </c>
      <c r="E298" s="392">
        <f>_xlfn.XLOOKUP(A298,INPUT_DATA!$CK$4:$CK$397,INPUT_DATA!$CN$4:$CN$397)</f>
        <v>3</v>
      </c>
      <c r="F298" s="391">
        <f>Top20Deb[[#This Row],[Nb of Loans]]/$C$28</f>
        <v>8.4602368866328254E-4</v>
      </c>
    </row>
    <row r="299" spans="1:7">
      <c r="A299" s="394" t="s">
        <v>478</v>
      </c>
      <c r="B299" s="389" t="s">
        <v>533</v>
      </c>
      <c r="C299" s="390">
        <f>_xlfn.XLOOKUP(A299,INPUT_DATA!$CK$4:$CK$397,INPUT_DATA!$CM$4:$CM$397)</f>
        <v>3016351.82</v>
      </c>
      <c r="D299" s="391">
        <f>Top20Deb[[#This Row],[Principal Outstanding Balance]]/$C$26</f>
        <v>3.9187278815209078E-3</v>
      </c>
      <c r="E299" s="392">
        <f>_xlfn.XLOOKUP(A299,INPUT_DATA!$CK$4:$CK$397,INPUT_DATA!$CN$4:$CN$397)</f>
        <v>1</v>
      </c>
      <c r="F299" s="391">
        <f>Top20Deb[[#This Row],[Nb of Loans]]/$C$28</f>
        <v>2.8200789622109422E-4</v>
      </c>
    </row>
    <row r="300" spans="1:7">
      <c r="A300" s="394" t="s">
        <v>479</v>
      </c>
      <c r="B300" s="389" t="s">
        <v>534</v>
      </c>
      <c r="C300" s="390">
        <f>_xlfn.XLOOKUP(A300,INPUT_DATA!$CK$4:$CK$397,INPUT_DATA!$CM$4:$CM$397)</f>
        <v>2783851</v>
      </c>
      <c r="D300" s="391">
        <f>Top20Deb[[#This Row],[Principal Outstanding Balance]]/$C$26</f>
        <v>3.6166717885382019E-3</v>
      </c>
      <c r="E300" s="392">
        <f>_xlfn.XLOOKUP(A300,INPUT_DATA!$CK$4:$CK$397,INPUT_DATA!$CN$4:$CN$397)</f>
        <v>10</v>
      </c>
      <c r="F300" s="391">
        <f>Top20Deb[[#This Row],[Nb of Loans]]/$C$28</f>
        <v>2.8200789622109417E-3</v>
      </c>
    </row>
    <row r="301" spans="1:7">
      <c r="A301" s="394" t="s">
        <v>480</v>
      </c>
      <c r="B301" s="389" t="s">
        <v>535</v>
      </c>
      <c r="C301" s="390">
        <f>_xlfn.XLOOKUP(A301,INPUT_DATA!$CK$4:$CK$397,INPUT_DATA!$CM$4:$CM$397)</f>
        <v>2678386.9700000002</v>
      </c>
      <c r="D301" s="391">
        <f>Top20Deb[[#This Row],[Principal Outstanding Balance]]/$C$26</f>
        <v>3.4796569906892704E-3</v>
      </c>
      <c r="E301" s="392">
        <f>_xlfn.XLOOKUP(A301,INPUT_DATA!$CK$4:$CK$397,INPUT_DATA!$CN$4:$CN$397)</f>
        <v>1</v>
      </c>
      <c r="F301" s="391">
        <f>Top20Deb[[#This Row],[Nb of Loans]]/$C$28</f>
        <v>2.8200789622109422E-4</v>
      </c>
    </row>
    <row r="302" spans="1:7">
      <c r="A302" s="394" t="s">
        <v>481</v>
      </c>
      <c r="B302" s="389" t="s">
        <v>536</v>
      </c>
      <c r="C302" s="390">
        <f>_xlfn.XLOOKUP(A302,INPUT_DATA!$CK$4:$CK$397,INPUT_DATA!$CM$4:$CM$397)</f>
        <v>2485588.33</v>
      </c>
      <c r="D302" s="391">
        <f>Top20Deb[[#This Row],[Principal Outstanding Balance]]/$C$26</f>
        <v>3.2291804378290299E-3</v>
      </c>
      <c r="E302" s="392">
        <f>_xlfn.XLOOKUP(A302,INPUT_DATA!$CK$4:$CK$397,INPUT_DATA!$CN$4:$CN$397)</f>
        <v>2</v>
      </c>
      <c r="F302" s="391">
        <f>Top20Deb[[#This Row],[Nb of Loans]]/$C$28</f>
        <v>5.6401579244218843E-4</v>
      </c>
    </row>
    <row r="303" spans="1:7">
      <c r="A303" s="394" t="s">
        <v>482</v>
      </c>
      <c r="B303" s="389" t="s">
        <v>537</v>
      </c>
      <c r="C303" s="390">
        <f>_xlfn.XLOOKUP(A303,INPUT_DATA!$CK$4:$CK$397,INPUT_DATA!$CM$4:$CM$397)</f>
        <v>2455478.7599999998</v>
      </c>
      <c r="D303" s="391">
        <f>Top20Deb[[#This Row],[Principal Outstanding Balance]]/$C$26</f>
        <v>3.1900632464333637E-3</v>
      </c>
      <c r="E303" s="392">
        <f>_xlfn.XLOOKUP(A303,INPUT_DATA!$CK$4:$CK$397,INPUT_DATA!$CN$4:$CN$397)</f>
        <v>2</v>
      </c>
      <c r="F303" s="391">
        <f>Top20Deb[[#This Row],[Nb of Loans]]/$C$28</f>
        <v>5.6401579244218843E-4</v>
      </c>
    </row>
    <row r="304" spans="1:7">
      <c r="A304" s="394" t="s">
        <v>483</v>
      </c>
      <c r="B304" s="389" t="s">
        <v>538</v>
      </c>
      <c r="C304" s="390">
        <f>_xlfn.XLOOKUP(A304,INPUT_DATA!$CK$4:$CK$397,INPUT_DATA!$CM$4:$CM$397)</f>
        <v>2186609.0999999996</v>
      </c>
      <c r="D304" s="391">
        <f>Top20Deb[[#This Row],[Principal Outstanding Balance]]/$C$26</f>
        <v>2.8407581600203842E-3</v>
      </c>
      <c r="E304" s="392">
        <f>_xlfn.XLOOKUP(A304,INPUT_DATA!$CK$4:$CK$397,INPUT_DATA!$CN$4:$CN$397)</f>
        <v>2</v>
      </c>
      <c r="F304" s="391">
        <f>Top20Deb[[#This Row],[Nb of Loans]]/$C$28</f>
        <v>5.6401579244218843E-4</v>
      </c>
    </row>
    <row r="305" spans="1:8">
      <c r="A305" s="394" t="s">
        <v>484</v>
      </c>
      <c r="B305" s="389" t="s">
        <v>539</v>
      </c>
      <c r="C305" s="390">
        <f>_xlfn.XLOOKUP(A305,INPUT_DATA!$CK$4:$CK$397,INPUT_DATA!$CM$4:$CM$397)</f>
        <v>2141383.38</v>
      </c>
      <c r="D305" s="391">
        <f>Top20Deb[[#This Row],[Principal Outstanding Balance]]/$C$26</f>
        <v>2.7820026498870019E-3</v>
      </c>
      <c r="E305" s="392">
        <f>_xlfn.XLOOKUP(A305,INPUT_DATA!$CK$4:$CK$397,INPUT_DATA!$CN$4:$CN$397)</f>
        <v>1</v>
      </c>
      <c r="F305" s="391">
        <f>Top20Deb[[#This Row],[Nb of Loans]]/$C$28</f>
        <v>2.8200789622109422E-4</v>
      </c>
    </row>
    <row r="306" spans="1:8">
      <c r="A306" s="394" t="s">
        <v>485</v>
      </c>
      <c r="B306" s="389" t="s">
        <v>540</v>
      </c>
      <c r="C306" s="390">
        <f>_xlfn.XLOOKUP(A306,INPUT_DATA!$CK$4:$CK$397,INPUT_DATA!$CM$4:$CM$397)</f>
        <v>2126983.25</v>
      </c>
      <c r="D306" s="391">
        <f>Top20Deb[[#This Row],[Principal Outstanding Balance]]/$C$26</f>
        <v>2.7632945567015971E-3</v>
      </c>
      <c r="E306" s="392">
        <f>_xlfn.XLOOKUP(A306,INPUT_DATA!$CK$4:$CK$397,INPUT_DATA!$CN$4:$CN$397)</f>
        <v>1</v>
      </c>
      <c r="F306" s="391">
        <f>Top20Deb[[#This Row],[Nb of Loans]]/$C$28</f>
        <v>2.8200789622109422E-4</v>
      </c>
    </row>
    <row r="307" spans="1:8">
      <c r="A307" s="394" t="s">
        <v>914</v>
      </c>
      <c r="B307" s="389" t="s">
        <v>541</v>
      </c>
      <c r="C307" s="390">
        <f>_xlfn.XLOOKUP(A307,INPUT_DATA!$CK$4:$CK$397,INPUT_DATA!$CM$4:$CM$397)</f>
        <v>1958599.28</v>
      </c>
      <c r="D307" s="391">
        <f>Top20Deb[[#This Row],[Principal Outstanding Balance]]/$C$26</f>
        <v>2.5445366009270018E-3</v>
      </c>
      <c r="E307" s="392">
        <f>_xlfn.XLOOKUP(A307,INPUT_DATA!$CK$4:$CK$397,INPUT_DATA!$CN$4:$CN$397)</f>
        <v>2</v>
      </c>
      <c r="F307" s="391">
        <f>Top20Deb[[#This Row],[Nb of Loans]]/$C$28</f>
        <v>5.6401579244218843E-4</v>
      </c>
    </row>
    <row r="308" spans="1:8">
      <c r="A308" s="394" t="s">
        <v>915</v>
      </c>
      <c r="B308" s="389" t="s">
        <v>542</v>
      </c>
      <c r="C308" s="390">
        <f>_xlfn.XLOOKUP(A308,INPUT_DATA!$CK$4:$CK$397,INPUT_DATA!$CM$4:$CM$397)</f>
        <v>1944990.45</v>
      </c>
      <c r="D308" s="391">
        <f>Top20Deb[[#This Row],[Principal Outstanding Balance]]/$C$26</f>
        <v>2.5268565341648036E-3</v>
      </c>
      <c r="E308" s="392">
        <f>_xlfn.XLOOKUP(A308,INPUT_DATA!$CK$4:$CK$397,INPUT_DATA!$CN$4:$CN$397)</f>
        <v>2</v>
      </c>
      <c r="F308" s="391">
        <f>Top20Deb[[#This Row],[Nb of Loans]]/$C$28</f>
        <v>5.6401579244218843E-4</v>
      </c>
    </row>
    <row r="309" spans="1:8">
      <c r="A309" s="394" t="s">
        <v>916</v>
      </c>
      <c r="B309" s="389" t="s">
        <v>543</v>
      </c>
      <c r="C309" s="390">
        <f>_xlfn.XLOOKUP(A309,INPUT_DATA!$CK$4:$CK$397,INPUT_DATA!$CM$4:$CM$397)</f>
        <v>1887489.68</v>
      </c>
      <c r="D309" s="391">
        <f>Top20Deb[[#This Row],[Principal Outstanding Balance]]/$C$26</f>
        <v>2.4521537527737651E-3</v>
      </c>
      <c r="E309" s="392">
        <f>_xlfn.XLOOKUP(A309,INPUT_DATA!$CK$4:$CK$397,INPUT_DATA!$CN$4:$CN$397)</f>
        <v>1</v>
      </c>
      <c r="F309" s="391">
        <f>Top20Deb[[#This Row],[Nb of Loans]]/$C$28</f>
        <v>2.8200789622109422E-4</v>
      </c>
    </row>
    <row r="310" spans="1:8">
      <c r="A310" s="394" t="s">
        <v>917</v>
      </c>
      <c r="B310" s="389" t="s">
        <v>544</v>
      </c>
      <c r="C310" s="390">
        <f>_xlfn.XLOOKUP(A310,INPUT_DATA!$CK$4:$CK$397,INPUT_DATA!$CM$4:$CM$397)</f>
        <v>1823035.19</v>
      </c>
      <c r="D310" s="391">
        <f>Top20Deb[[#This Row],[Principal Outstanding Balance]]/$C$26</f>
        <v>2.3684169667074068E-3</v>
      </c>
      <c r="E310" s="392">
        <f>_xlfn.XLOOKUP(A310,INPUT_DATA!$CK$4:$CK$397,INPUT_DATA!$CN$4:$CN$397)</f>
        <v>2</v>
      </c>
      <c r="F310" s="391">
        <f>Top20Deb[[#This Row],[Nb of Loans]]/$C$28</f>
        <v>5.6401579244218843E-4</v>
      </c>
    </row>
    <row r="311" spans="1:8">
      <c r="A311" s="394" t="s">
        <v>918</v>
      </c>
      <c r="B311" s="389" t="s">
        <v>545</v>
      </c>
      <c r="C311" s="390">
        <f>_xlfn.XLOOKUP(A311,INPUT_DATA!$CK$4:$CK$397,INPUT_DATA!$CM$4:$CM$397)</f>
        <v>1759957.87</v>
      </c>
      <c r="D311" s="391">
        <f>Top20Deb[[#This Row],[Principal Outstanding Balance]]/$C$26</f>
        <v>2.286469346759142E-3</v>
      </c>
      <c r="E311" s="392">
        <f>_xlfn.XLOOKUP(A311,INPUT_DATA!$CK$4:$CK$397,INPUT_DATA!$CN$4:$CN$397)</f>
        <v>1</v>
      </c>
      <c r="F311" s="391">
        <f>Top20Deb[[#This Row],[Nb of Loans]]/$C$28</f>
        <v>2.8200789622109422E-4</v>
      </c>
    </row>
    <row r="312" spans="1:8">
      <c r="A312" s="394"/>
      <c r="B312" s="683" t="s">
        <v>2</v>
      </c>
      <c r="C312" s="768">
        <f>SUBTOTAL(109,Top20Deb[Principal Outstanding Balance])</f>
        <v>53336040.920000002</v>
      </c>
      <c r="D312" s="769">
        <f>SUBTOTAL(109,Top20Deb[% of Total (Amount)])</f>
        <v>6.9292126089967876E-2</v>
      </c>
      <c r="E312" s="770">
        <f>SUBTOTAL(109,Top20Deb[Nb of Loans])</f>
        <v>41</v>
      </c>
      <c r="F312" s="769">
        <f>SUBTOTAL(109,Top20Deb[% of Total (Number)])</f>
        <v>1.1562323745064867E-2</v>
      </c>
    </row>
    <row r="313" spans="1:8">
      <c r="A313" s="394"/>
      <c r="B313" s="389"/>
      <c r="C313" s="390"/>
      <c r="D313" s="391"/>
      <c r="E313" s="392"/>
      <c r="F313" s="391"/>
      <c r="H313" s="454" t="s">
        <v>650</v>
      </c>
    </row>
    <row r="314" spans="1:8">
      <c r="A314" s="394"/>
      <c r="B314" s="387" t="s">
        <v>1227</v>
      </c>
      <c r="C314" s="387"/>
    </row>
    <row r="315" spans="1:8" ht="15" customHeight="1">
      <c r="A315" s="394"/>
      <c r="B315" s="387"/>
      <c r="C315" s="387"/>
    </row>
    <row r="316" spans="1:8" ht="33" customHeight="1">
      <c r="A316" s="394"/>
      <c r="B316" s="377" t="s">
        <v>525</v>
      </c>
      <c r="C316" s="377" t="s">
        <v>253</v>
      </c>
      <c r="D316" s="377" t="s">
        <v>285</v>
      </c>
      <c r="E316" s="377" t="s">
        <v>286</v>
      </c>
      <c r="F316" s="377" t="s">
        <v>287</v>
      </c>
      <c r="G316" s="388"/>
    </row>
    <row r="317" spans="1:8">
      <c r="A317" s="394" t="s">
        <v>487</v>
      </c>
      <c r="B317" s="389" t="s">
        <v>1126</v>
      </c>
      <c r="C317" s="390">
        <f>_xlfn.XLOOKUP(A317,INPUT_DATA!$CK$4:$CK$397,INPUT_DATA!$CM$4:$CM$397)</f>
        <v>517490370</v>
      </c>
      <c r="D317" s="391">
        <f>Top20Deb37[[#This Row],[Principal Outstanding Balance]]/Top20Deb37[[#Totals],[Principal Outstanding Balance]]</f>
        <v>0.2922934517445997</v>
      </c>
      <c r="E317" s="392">
        <f>_xlfn.XLOOKUP(A317,INPUT_DATA!$CK$4:$CK$397,INPUT_DATA!$CN$4:$CN$397)</f>
        <v>600</v>
      </c>
      <c r="F317" s="391">
        <f>Top20Deb37[[#This Row],[Nb of Loans]]/Top20Deb37[[#Totals],[Nb of Loans]]</f>
        <v>0.17045454545454544</v>
      </c>
    </row>
    <row r="318" spans="1:8">
      <c r="A318" s="394" t="s">
        <v>489</v>
      </c>
      <c r="B318" s="389" t="s">
        <v>1127</v>
      </c>
      <c r="C318" s="390">
        <f>_xlfn.XLOOKUP(A318,INPUT_DATA!$CK$4:$CK$397,INPUT_DATA!$CM$4:$CM$397)</f>
        <v>16290325</v>
      </c>
      <c r="D318" s="771">
        <f>Top20Deb37[[#This Row],[Principal Outstanding Balance]]/Top20Deb37[[#Totals],[Principal Outstanding Balance]]</f>
        <v>9.2012443135731127E-3</v>
      </c>
      <c r="E318" s="772">
        <f>_xlfn.XLOOKUP(A318,INPUT_DATA!$CK$4:$CK$397,INPUT_DATA!$CN$4:$CN$397)</f>
        <v>44</v>
      </c>
      <c r="F318" s="771">
        <f>Top20Deb37[[#This Row],[Nb of Loans]]/Top20Deb37[[#Totals],[Nb of Loans]]</f>
        <v>1.2500000000000001E-2</v>
      </c>
    </row>
    <row r="319" spans="1:8">
      <c r="A319" s="394" t="s">
        <v>491</v>
      </c>
      <c r="B319" s="389" t="s">
        <v>1128</v>
      </c>
      <c r="C319" s="390">
        <f>_xlfn.XLOOKUP(A319,INPUT_DATA!$CK$4:$CK$397,INPUT_DATA!$CM$4:$CM$397)</f>
        <v>85074083.5</v>
      </c>
      <c r="D319" s="771">
        <f>Top20Deb37[[#This Row],[Principal Outstanding Balance]]/Top20Deb37[[#Totals],[Principal Outstanding Balance]]</f>
        <v>4.805229036479132E-2</v>
      </c>
      <c r="E319" s="772">
        <f>_xlfn.XLOOKUP(A319,INPUT_DATA!$CK$4:$CK$397,INPUT_DATA!$CN$4:$CN$397)</f>
        <v>131</v>
      </c>
      <c r="F319" s="771">
        <f>Top20Deb37[[#This Row],[Nb of Loans]]/Top20Deb37[[#Totals],[Nb of Loans]]</f>
        <v>3.7215909090909091E-2</v>
      </c>
    </row>
    <row r="320" spans="1:8">
      <c r="A320" s="394" t="s">
        <v>493</v>
      </c>
      <c r="B320" s="389" t="s">
        <v>1129</v>
      </c>
      <c r="C320" s="390">
        <f>_xlfn.XLOOKUP(A320,INPUT_DATA!$CK$4:$CK$397,INPUT_DATA!$CM$4:$CM$397)</f>
        <v>20399086</v>
      </c>
      <c r="D320" s="771">
        <f>Top20Deb37[[#This Row],[Principal Outstanding Balance]]/Top20Deb37[[#Totals],[Principal Outstanding Balance]]</f>
        <v>1.1521990755837522E-2</v>
      </c>
      <c r="E320" s="772">
        <f>_xlfn.XLOOKUP(A320,INPUT_DATA!$CK$4:$CK$397,INPUT_DATA!$CN$4:$CN$397)</f>
        <v>52</v>
      </c>
      <c r="F320" s="771">
        <f>Top20Deb37[[#This Row],[Nb of Loans]]/Top20Deb37[[#Totals],[Nb of Loans]]</f>
        <v>1.4772727272727272E-2</v>
      </c>
    </row>
    <row r="321" spans="1:6">
      <c r="A321" s="394" t="s">
        <v>495</v>
      </c>
      <c r="B321" s="389" t="s">
        <v>1130</v>
      </c>
      <c r="C321" s="390">
        <f>_xlfn.XLOOKUP(A321,INPUT_DATA!$CK$4:$CK$397,INPUT_DATA!$CM$4:$CM$397)</f>
        <v>197025513.06</v>
      </c>
      <c r="D321" s="771">
        <f>Top20Deb37[[#This Row],[Principal Outstanding Balance]]/Top20Deb37[[#Totals],[Principal Outstanding Balance]]</f>
        <v>0.11128567917903111</v>
      </c>
      <c r="E321" s="772">
        <f>_xlfn.XLOOKUP(A321,INPUT_DATA!$CK$4:$CK$397,INPUT_DATA!$CN$4:$CN$397)</f>
        <v>298</v>
      </c>
      <c r="F321" s="771">
        <f>Top20Deb37[[#This Row],[Nb of Loans]]/Top20Deb37[[#Totals],[Nb of Loans]]</f>
        <v>8.4659090909090906E-2</v>
      </c>
    </row>
    <row r="322" spans="1:6">
      <c r="A322" s="394" t="s">
        <v>919</v>
      </c>
      <c r="B322" s="389" t="s">
        <v>1131</v>
      </c>
      <c r="C322" s="390">
        <f>_xlfn.XLOOKUP(A322,INPUT_DATA!$CK$4:$CK$397,INPUT_DATA!$CM$4:$CM$397)</f>
        <v>32055185.800000001</v>
      </c>
      <c r="D322" s="771">
        <f>Top20Deb37[[#This Row],[Principal Outstanding Balance]]/Top20Deb37[[#Totals],[Principal Outstanding Balance]]</f>
        <v>1.8105691326770926E-2</v>
      </c>
      <c r="E322" s="772">
        <f>_xlfn.XLOOKUP(A322,INPUT_DATA!$CK$4:$CK$397,INPUT_DATA!$CN$4:$CN$397)</f>
        <v>90</v>
      </c>
      <c r="F322" s="771">
        <f>Top20Deb37[[#This Row],[Nb of Loans]]/Top20Deb37[[#Totals],[Nb of Loans]]</f>
        <v>2.556818181818182E-2</v>
      </c>
    </row>
    <row r="323" spans="1:6">
      <c r="A323" s="394" t="s">
        <v>920</v>
      </c>
      <c r="B323" s="389" t="s">
        <v>1132</v>
      </c>
      <c r="C323" s="390">
        <f>_xlfn.XLOOKUP(A323,INPUT_DATA!$CK$4:$CK$397,INPUT_DATA!$CM$4:$CM$397)</f>
        <v>68697605</v>
      </c>
      <c r="D323" s="771">
        <f>Top20Deb37[[#This Row],[Principal Outstanding Balance]]/Top20Deb37[[#Totals],[Principal Outstanding Balance]]</f>
        <v>3.8802384075354038E-2</v>
      </c>
      <c r="E323" s="772">
        <f>_xlfn.XLOOKUP(A323,INPUT_DATA!$CK$4:$CK$397,INPUT_DATA!$CN$4:$CN$397)</f>
        <v>135</v>
      </c>
      <c r="F323" s="771">
        <f>Top20Deb37[[#This Row],[Nb of Loans]]/Top20Deb37[[#Totals],[Nb of Loans]]</f>
        <v>3.8352272727272728E-2</v>
      </c>
    </row>
    <row r="324" spans="1:6">
      <c r="A324" s="394" t="s">
        <v>921</v>
      </c>
      <c r="B324" s="389" t="s">
        <v>1133</v>
      </c>
      <c r="C324" s="390">
        <f>_xlfn.XLOOKUP(A324,INPUT_DATA!$CK$4:$CK$397,INPUT_DATA!$CM$4:$CM$397)</f>
        <v>21366205</v>
      </c>
      <c r="D324" s="771">
        <f>Top20Deb37[[#This Row],[Principal Outstanding Balance]]/Top20Deb37[[#Totals],[Principal Outstanding Balance]]</f>
        <v>1.2068247395855356E-2</v>
      </c>
      <c r="E324" s="772">
        <f>_xlfn.XLOOKUP(A324,INPUT_DATA!$CK$4:$CK$397,INPUT_DATA!$CN$4:$CN$397)</f>
        <v>74</v>
      </c>
      <c r="F324" s="771">
        <f>Top20Deb37[[#This Row],[Nb of Loans]]/Top20Deb37[[#Totals],[Nb of Loans]]</f>
        <v>2.1022727272727273E-2</v>
      </c>
    </row>
    <row r="325" spans="1:6">
      <c r="A325" s="394" t="s">
        <v>922</v>
      </c>
      <c r="B325" s="389" t="s">
        <v>1134</v>
      </c>
      <c r="C325" s="390">
        <f>_xlfn.XLOOKUP(A325,INPUT_DATA!$CK$4:$CK$397,INPUT_DATA!$CM$4:$CM$397)</f>
        <v>0</v>
      </c>
      <c r="D325" s="771">
        <f>Top20Deb37[[#This Row],[Principal Outstanding Balance]]/Top20Deb37[[#Totals],[Principal Outstanding Balance]]</f>
        <v>0</v>
      </c>
      <c r="E325" s="772">
        <f>_xlfn.XLOOKUP(A325,INPUT_DATA!$CK$4:$CK$397,INPUT_DATA!$CN$4:$CN$397)</f>
        <v>0</v>
      </c>
      <c r="F325" s="771">
        <f>Top20Deb37[[#This Row],[Nb of Loans]]/Top20Deb37[[#Totals],[Nb of Loans]]</f>
        <v>0</v>
      </c>
    </row>
    <row r="326" spans="1:6">
      <c r="A326" s="394" t="s">
        <v>923</v>
      </c>
      <c r="B326" s="389" t="s">
        <v>1135</v>
      </c>
      <c r="C326" s="390">
        <f>_xlfn.XLOOKUP(A326,INPUT_DATA!$CK$4:$CK$397,INPUT_DATA!$CM$4:$CM$397)</f>
        <v>4951963</v>
      </c>
      <c r="D326" s="771">
        <f>Top20Deb37[[#This Row],[Principal Outstanding Balance]]/Top20Deb37[[#Totals],[Principal Outstanding Balance]]</f>
        <v>2.7970111949745906E-3</v>
      </c>
      <c r="E326" s="772">
        <f>_xlfn.XLOOKUP(A326,INPUT_DATA!$CK$4:$CK$397,INPUT_DATA!$CN$4:$CN$397)</f>
        <v>17</v>
      </c>
      <c r="F326" s="771">
        <f>Top20Deb37[[#This Row],[Nb of Loans]]/Top20Deb37[[#Totals],[Nb of Loans]]</f>
        <v>4.8295454545454544E-3</v>
      </c>
    </row>
    <row r="327" spans="1:6">
      <c r="A327" s="394" t="s">
        <v>924</v>
      </c>
      <c r="B327" s="389" t="s">
        <v>1136</v>
      </c>
      <c r="C327" s="390">
        <f>_xlfn.XLOOKUP(A327,INPUT_DATA!$CK$4:$CK$397,INPUT_DATA!$CM$4:$CM$397)</f>
        <v>0</v>
      </c>
      <c r="D327" s="771">
        <f>Top20Deb37[[#This Row],[Principal Outstanding Balance]]/Top20Deb37[[#Totals],[Principal Outstanding Balance]]</f>
        <v>0</v>
      </c>
      <c r="E327" s="772">
        <f>_xlfn.XLOOKUP(A327,INPUT_DATA!$CK$4:$CK$397,INPUT_DATA!$CN$4:$CN$397)</f>
        <v>0</v>
      </c>
      <c r="F327" s="771">
        <f>Top20Deb37[[#This Row],[Nb of Loans]]/Top20Deb37[[#Totals],[Nb of Loans]]</f>
        <v>0</v>
      </c>
    </row>
    <row r="328" spans="1:6">
      <c r="A328" s="394" t="s">
        <v>925</v>
      </c>
      <c r="B328" s="389" t="s">
        <v>1137</v>
      </c>
      <c r="C328" s="390">
        <f>_xlfn.XLOOKUP(A328,INPUT_DATA!$CK$4:$CK$397,INPUT_DATA!$CM$4:$CM$397)</f>
        <v>8402446</v>
      </c>
      <c r="D328" s="771">
        <f>Top20Deb37[[#This Row],[Principal Outstanding Balance]]/Top20Deb37[[#Totals],[Principal Outstanding Balance]]</f>
        <v>4.7459432809109177E-3</v>
      </c>
      <c r="E328" s="772">
        <f>_xlfn.XLOOKUP(A328,INPUT_DATA!$CK$4:$CK$397,INPUT_DATA!$CN$4:$CN$397)</f>
        <v>30</v>
      </c>
      <c r="F328" s="771">
        <f>Top20Deb37[[#This Row],[Nb of Loans]]/Top20Deb37[[#Totals],[Nb of Loans]]</f>
        <v>8.5227272727272721E-3</v>
      </c>
    </row>
    <row r="329" spans="1:6">
      <c r="A329" s="394" t="s">
        <v>926</v>
      </c>
      <c r="B329" s="389" t="s">
        <v>1138</v>
      </c>
      <c r="C329" s="390">
        <f>_xlfn.XLOOKUP(A329,INPUT_DATA!$CK$4:$CK$397,INPUT_DATA!$CM$4:$CM$397)</f>
        <v>651000</v>
      </c>
      <c r="D329" s="771">
        <f>Top20Deb37[[#This Row],[Principal Outstanding Balance]]/Top20Deb37[[#Totals],[Principal Outstanding Balance]]</f>
        <v>3.6770353250386938E-4</v>
      </c>
      <c r="E329" s="772">
        <f>_xlfn.XLOOKUP(A329,INPUT_DATA!$CK$4:$CK$397,INPUT_DATA!$CN$4:$CN$397)</f>
        <v>3</v>
      </c>
      <c r="F329" s="771">
        <f>Top20Deb37[[#This Row],[Nb of Loans]]/Top20Deb37[[#Totals],[Nb of Loans]]</f>
        <v>8.5227272727272723E-4</v>
      </c>
    </row>
    <row r="330" spans="1:6">
      <c r="A330" s="394" t="s">
        <v>927</v>
      </c>
      <c r="B330" s="389" t="s">
        <v>1139</v>
      </c>
      <c r="C330" s="390">
        <f>_xlfn.XLOOKUP(A330,INPUT_DATA!$CK$4:$CK$397,INPUT_DATA!$CM$4:$CM$397)</f>
        <v>2068000</v>
      </c>
      <c r="D330" s="771">
        <f>Top20Deb37[[#This Row],[Principal Outstanding Balance]]/Top20Deb37[[#Totals],[Principal Outstanding Balance]]</f>
        <v>1.1680659066328754E-3</v>
      </c>
      <c r="E330" s="772">
        <f>_xlfn.XLOOKUP(A330,INPUT_DATA!$CK$4:$CK$397,INPUT_DATA!$CN$4:$CN$397)</f>
        <v>8</v>
      </c>
      <c r="F330" s="771">
        <f>Top20Deb37[[#This Row],[Nb of Loans]]/Top20Deb37[[#Totals],[Nb of Loans]]</f>
        <v>2.2727272727272726E-3</v>
      </c>
    </row>
    <row r="331" spans="1:6">
      <c r="A331" s="394" t="s">
        <v>928</v>
      </c>
      <c r="B331" s="389" t="s">
        <v>1140</v>
      </c>
      <c r="C331" s="390">
        <f>_xlfn.XLOOKUP(A331,INPUT_DATA!$CK$4:$CK$397,INPUT_DATA!$CM$4:$CM$397)</f>
        <v>4321881</v>
      </c>
      <c r="D331" s="771">
        <f>Top20Deb37[[#This Row],[Principal Outstanding Balance]]/Top20Deb37[[#Totals],[Principal Outstanding Balance]]</f>
        <v>2.4411227507854924E-3</v>
      </c>
      <c r="E331" s="772">
        <f>_xlfn.XLOOKUP(A331,INPUT_DATA!$CK$4:$CK$397,INPUT_DATA!$CN$4:$CN$397)</f>
        <v>19</v>
      </c>
      <c r="F331" s="771">
        <f>Top20Deb37[[#This Row],[Nb of Loans]]/Top20Deb37[[#Totals],[Nb of Loans]]</f>
        <v>5.3977272727272728E-3</v>
      </c>
    </row>
    <row r="332" spans="1:6">
      <c r="A332" s="394" t="s">
        <v>929</v>
      </c>
      <c r="B332" s="389" t="s">
        <v>1141</v>
      </c>
      <c r="C332" s="390">
        <f>_xlfn.XLOOKUP(A332,INPUT_DATA!$CK$4:$CK$397,INPUT_DATA!$CM$4:$CM$397)</f>
        <v>244200</v>
      </c>
      <c r="D332" s="771">
        <f>Top20Deb37[[#This Row],[Principal Outstanding Balance]]/Top20Deb37[[#Totals],[Principal Outstanding Balance]]</f>
        <v>1.3793118684707358E-4</v>
      </c>
      <c r="E332" s="772">
        <f>_xlfn.XLOOKUP(A332,INPUT_DATA!$CK$4:$CK$397,INPUT_DATA!$CN$4:$CN$397)</f>
        <v>2</v>
      </c>
      <c r="F332" s="771">
        <f>Top20Deb37[[#This Row],[Nb of Loans]]/Top20Deb37[[#Totals],[Nb of Loans]]</f>
        <v>5.6818181818181815E-4</v>
      </c>
    </row>
    <row r="333" spans="1:6">
      <c r="A333" s="394" t="s">
        <v>930</v>
      </c>
      <c r="B333" s="389" t="s">
        <v>1142</v>
      </c>
      <c r="C333" s="390">
        <f>_xlfn.XLOOKUP(A333,INPUT_DATA!$CK$4:$CK$397,INPUT_DATA!$CM$4:$CM$397)</f>
        <v>1276000</v>
      </c>
      <c r="D333" s="771">
        <f>Top20Deb37[[#This Row],[Principal Outstanding Balance]]/Top20Deb37[[#Totals],[Principal Outstanding Balance]]</f>
        <v>7.2072151685858275E-4</v>
      </c>
      <c r="E333" s="772">
        <f>_xlfn.XLOOKUP(A333,INPUT_DATA!$CK$4:$CK$397,INPUT_DATA!$CN$4:$CN$397)</f>
        <v>5</v>
      </c>
      <c r="F333" s="771">
        <f>Top20Deb37[[#This Row],[Nb of Loans]]/Top20Deb37[[#Totals],[Nb of Loans]]</f>
        <v>1.4204545454545455E-3</v>
      </c>
    </row>
    <row r="334" spans="1:6">
      <c r="A334" s="394" t="s">
        <v>931</v>
      </c>
      <c r="B334" s="389" t="s">
        <v>1143</v>
      </c>
      <c r="C334" s="390">
        <f>_xlfn.XLOOKUP(A334,INPUT_DATA!$CK$4:$CK$397,INPUT_DATA!$CM$4:$CM$397)</f>
        <v>421527</v>
      </c>
      <c r="D334" s="771">
        <f>Top20Deb37[[#This Row],[Principal Outstanding Balance]]/Top20Deb37[[#Totals],[Principal Outstanding Balance]]</f>
        <v>2.3809057902574279E-4</v>
      </c>
      <c r="E334" s="772">
        <f>_xlfn.XLOOKUP(A334,INPUT_DATA!$CK$4:$CK$397,INPUT_DATA!$CN$4:$CN$397)</f>
        <v>2</v>
      </c>
      <c r="F334" s="771">
        <f>Top20Deb37[[#This Row],[Nb of Loans]]/Top20Deb37[[#Totals],[Nb of Loans]]</f>
        <v>5.6818181818181815E-4</v>
      </c>
    </row>
    <row r="335" spans="1:6">
      <c r="A335" s="394" t="s">
        <v>932</v>
      </c>
      <c r="B335" s="389" t="s">
        <v>1144</v>
      </c>
      <c r="C335" s="390">
        <f>_xlfn.XLOOKUP(A335,INPUT_DATA!$CK$4:$CK$397,INPUT_DATA!$CM$4:$CM$397)</f>
        <v>1110069</v>
      </c>
      <c r="D335" s="771">
        <f>Top20Deb37[[#This Row],[Principal Outstanding Balance]]/Top20Deb37[[#Totals],[Principal Outstanding Balance]]</f>
        <v>6.2699891339944357E-4</v>
      </c>
      <c r="E335" s="772">
        <f>_xlfn.XLOOKUP(A335,INPUT_DATA!$CK$4:$CK$397,INPUT_DATA!$CN$4:$CN$397)</f>
        <v>3</v>
      </c>
      <c r="F335" s="771">
        <f>Top20Deb37[[#This Row],[Nb of Loans]]/Top20Deb37[[#Totals],[Nb of Loans]]</f>
        <v>8.5227272727272723E-4</v>
      </c>
    </row>
    <row r="336" spans="1:6">
      <c r="A336" s="394" t="s">
        <v>933</v>
      </c>
      <c r="B336" s="389" t="s">
        <v>1145</v>
      </c>
      <c r="C336" s="390">
        <f>_xlfn.XLOOKUP(A336,INPUT_DATA!$CK$4:$CK$397,INPUT_DATA!$CM$4:$CM$397)</f>
        <v>506335</v>
      </c>
      <c r="D336" s="771">
        <f>Top20Deb37[[#This Row],[Principal Outstanding Balance]]/Top20Deb37[[#Totals],[Principal Outstanding Balance]]</f>
        <v>2.8599257777319002E-4</v>
      </c>
      <c r="E336" s="772">
        <f>_xlfn.XLOOKUP(A336,INPUT_DATA!$CK$4:$CK$397,INPUT_DATA!$CN$4:$CN$397)</f>
        <v>4</v>
      </c>
      <c r="F336" s="771">
        <f>Top20Deb37[[#This Row],[Nb of Loans]]/Top20Deb37[[#Totals],[Nb of Loans]]</f>
        <v>1.1363636363636363E-3</v>
      </c>
    </row>
    <row r="337" spans="1:6">
      <c r="A337" s="394" t="s">
        <v>934</v>
      </c>
      <c r="B337" s="389" t="s">
        <v>1146</v>
      </c>
      <c r="C337" s="390">
        <f>_xlfn.XLOOKUP(A337,INPUT_DATA!$CK$4:$CK$397,INPUT_DATA!$CM$4:$CM$397)</f>
        <v>0</v>
      </c>
      <c r="D337" s="771">
        <f>Top20Deb37[[#This Row],[Principal Outstanding Balance]]/Top20Deb37[[#Totals],[Principal Outstanding Balance]]</f>
        <v>0</v>
      </c>
      <c r="E337" s="772">
        <f>_xlfn.XLOOKUP(A337,INPUT_DATA!$CK$4:$CK$397,INPUT_DATA!$CN$4:$CN$397)</f>
        <v>0</v>
      </c>
      <c r="F337" s="771">
        <f>Top20Deb37[[#This Row],[Nb of Loans]]/Top20Deb37[[#Totals],[Nb of Loans]]</f>
        <v>0</v>
      </c>
    </row>
    <row r="338" spans="1:6">
      <c r="A338" s="394" t="s">
        <v>935</v>
      </c>
      <c r="B338" s="389" t="s">
        <v>1147</v>
      </c>
      <c r="C338" s="390">
        <f>_xlfn.XLOOKUP(A338,INPUT_DATA!$CK$4:$CK$397,INPUT_DATA!$CM$4:$CM$397)</f>
        <v>0</v>
      </c>
      <c r="D338" s="771">
        <f>Top20Deb37[[#This Row],[Principal Outstanding Balance]]/Top20Deb37[[#Totals],[Principal Outstanding Balance]]</f>
        <v>0</v>
      </c>
      <c r="E338" s="772">
        <f>_xlfn.XLOOKUP(A338,INPUT_DATA!$CK$4:$CK$397,INPUT_DATA!$CN$4:$CN$397)</f>
        <v>0</v>
      </c>
      <c r="F338" s="771">
        <f>Top20Deb37[[#This Row],[Nb of Loans]]/Top20Deb37[[#Totals],[Nb of Loans]]</f>
        <v>0</v>
      </c>
    </row>
    <row r="339" spans="1:6">
      <c r="A339" s="394" t="s">
        <v>936</v>
      </c>
      <c r="B339" s="389" t="s">
        <v>1148</v>
      </c>
      <c r="C339" s="390">
        <f>_xlfn.XLOOKUP(A339,INPUT_DATA!$CK$4:$CK$397,INPUT_DATA!$CM$4:$CM$397)</f>
        <v>17333381</v>
      </c>
      <c r="D339" s="771">
        <f>Top20Deb37[[#This Row],[Principal Outstanding Balance]]/Top20Deb37[[#Totals],[Principal Outstanding Balance]]</f>
        <v>9.7903923562756567E-3</v>
      </c>
      <c r="E339" s="772">
        <f>_xlfn.XLOOKUP(A339,INPUT_DATA!$CK$4:$CK$397,INPUT_DATA!$CN$4:$CN$397)</f>
        <v>35</v>
      </c>
      <c r="F339" s="771">
        <f>Top20Deb37[[#This Row],[Nb of Loans]]/Top20Deb37[[#Totals],[Nb of Loans]]</f>
        <v>9.943181818181818E-3</v>
      </c>
    </row>
    <row r="340" spans="1:6">
      <c r="A340" s="394" t="s">
        <v>937</v>
      </c>
      <c r="B340" s="389" t="s">
        <v>1149</v>
      </c>
      <c r="C340" s="390">
        <f>_xlfn.XLOOKUP(A340,INPUT_DATA!$CK$4:$CK$397,INPUT_DATA!$CM$4:$CM$397)</f>
        <v>3282655</v>
      </c>
      <c r="D340" s="771">
        <f>Top20Deb37[[#This Row],[Principal Outstanding Balance]]/Top20Deb37[[#Totals],[Principal Outstanding Balance]]</f>
        <v>1.8541380022910744E-3</v>
      </c>
      <c r="E340" s="772">
        <f>_xlfn.XLOOKUP(A340,INPUT_DATA!$CK$4:$CK$397,INPUT_DATA!$CN$4:$CN$397)</f>
        <v>8</v>
      </c>
      <c r="F340" s="771">
        <f>Top20Deb37[[#This Row],[Nb of Loans]]/Top20Deb37[[#Totals],[Nb of Loans]]</f>
        <v>2.2727272727272726E-3</v>
      </c>
    </row>
    <row r="341" spans="1:6">
      <c r="A341" s="394" t="s">
        <v>938</v>
      </c>
      <c r="B341" s="389" t="s">
        <v>1150</v>
      </c>
      <c r="C341" s="390">
        <f>_xlfn.XLOOKUP(A341,INPUT_DATA!$CK$4:$CK$397,INPUT_DATA!$CM$4:$CM$397)</f>
        <v>1438000</v>
      </c>
      <c r="D341" s="771">
        <f>Top20Deb37[[#This Row],[Principal Outstanding Balance]]/Top20Deb37[[#Totals],[Principal Outstanding Balance]]</f>
        <v>8.1222377840332437E-4</v>
      </c>
      <c r="E341" s="772">
        <f>_xlfn.XLOOKUP(A341,INPUT_DATA!$CK$4:$CK$397,INPUT_DATA!$CN$4:$CN$397)</f>
        <v>4</v>
      </c>
      <c r="F341" s="771">
        <f>Top20Deb37[[#This Row],[Nb of Loans]]/Top20Deb37[[#Totals],[Nb of Loans]]</f>
        <v>1.1363636363636363E-3</v>
      </c>
    </row>
    <row r="342" spans="1:6">
      <c r="A342" s="394" t="s">
        <v>939</v>
      </c>
      <c r="B342" s="389" t="s">
        <v>1151</v>
      </c>
      <c r="C342" s="390">
        <f>_xlfn.XLOOKUP(A342,INPUT_DATA!$CK$4:$CK$397,INPUT_DATA!$CM$4:$CM$397)</f>
        <v>5401550</v>
      </c>
      <c r="D342" s="771">
        <f>Top20Deb37[[#This Row],[Principal Outstanding Balance]]/Top20Deb37[[#Totals],[Principal Outstanding Balance]]</f>
        <v>3.0509508694259229E-3</v>
      </c>
      <c r="E342" s="772">
        <f>_xlfn.XLOOKUP(A342,INPUT_DATA!$CK$4:$CK$397,INPUT_DATA!$CN$4:$CN$397)</f>
        <v>16</v>
      </c>
      <c r="F342" s="771">
        <f>Top20Deb37[[#This Row],[Nb of Loans]]/Top20Deb37[[#Totals],[Nb of Loans]]</f>
        <v>4.5454545454545452E-3</v>
      </c>
    </row>
    <row r="343" spans="1:6">
      <c r="A343" s="394" t="s">
        <v>940</v>
      </c>
      <c r="B343" s="389" t="s">
        <v>1152</v>
      </c>
      <c r="C343" s="390">
        <f>_xlfn.XLOOKUP(A343,INPUT_DATA!$CK$4:$CK$397,INPUT_DATA!$CM$4:$CM$397)</f>
        <v>9946123</v>
      </c>
      <c r="D343" s="771">
        <f>Top20Deb37[[#This Row],[Principal Outstanding Balance]]/Top20Deb37[[#Totals],[Principal Outstanding Balance]]</f>
        <v>5.6178564697664871E-3</v>
      </c>
      <c r="E343" s="772">
        <f>_xlfn.XLOOKUP(A343,INPUT_DATA!$CK$4:$CK$397,INPUT_DATA!$CN$4:$CN$397)</f>
        <v>44</v>
      </c>
      <c r="F343" s="771">
        <f>Top20Deb37[[#This Row],[Nb of Loans]]/Top20Deb37[[#Totals],[Nb of Loans]]</f>
        <v>1.2500000000000001E-2</v>
      </c>
    </row>
    <row r="344" spans="1:6">
      <c r="A344" s="394" t="s">
        <v>941</v>
      </c>
      <c r="B344" s="389" t="s">
        <v>1153</v>
      </c>
      <c r="C344" s="390">
        <f>_xlfn.XLOOKUP(A344,INPUT_DATA!$CK$4:$CK$397,INPUT_DATA!$CM$4:$CM$397)</f>
        <v>32977552.390000001</v>
      </c>
      <c r="D344" s="771">
        <f>Top20Deb37[[#This Row],[Principal Outstanding Balance]]/Top20Deb37[[#Totals],[Principal Outstanding Balance]]</f>
        <v>1.8626670517871615E-2</v>
      </c>
      <c r="E344" s="772">
        <f>_xlfn.XLOOKUP(A344,INPUT_DATA!$CK$4:$CK$397,INPUT_DATA!$CN$4:$CN$397)</f>
        <v>106</v>
      </c>
      <c r="F344" s="771">
        <f>Top20Deb37[[#This Row],[Nb of Loans]]/Top20Deb37[[#Totals],[Nb of Loans]]</f>
        <v>3.0113636363636363E-2</v>
      </c>
    </row>
    <row r="345" spans="1:6">
      <c r="A345" s="394" t="s">
        <v>942</v>
      </c>
      <c r="B345" s="389" t="s">
        <v>1154</v>
      </c>
      <c r="C345" s="390">
        <f>_xlfn.XLOOKUP(A345,INPUT_DATA!$CK$4:$CK$397,INPUT_DATA!$CM$4:$CM$397)</f>
        <v>5602825</v>
      </c>
      <c r="D345" s="771">
        <f>Top20Deb37[[#This Row],[Principal Outstanding Balance]]/Top20Deb37[[#Totals],[Principal Outstanding Balance]]</f>
        <v>3.1646367811075148E-3</v>
      </c>
      <c r="E345" s="772">
        <f>_xlfn.XLOOKUP(A345,INPUT_DATA!$CK$4:$CK$397,INPUT_DATA!$CN$4:$CN$397)</f>
        <v>16</v>
      </c>
      <c r="F345" s="771">
        <f>Top20Deb37[[#This Row],[Nb of Loans]]/Top20Deb37[[#Totals],[Nb of Loans]]</f>
        <v>4.5454545454545452E-3</v>
      </c>
    </row>
    <row r="346" spans="1:6">
      <c r="A346" s="394" t="s">
        <v>943</v>
      </c>
      <c r="B346" s="389" t="s">
        <v>1155</v>
      </c>
      <c r="C346" s="390">
        <f>_xlfn.XLOOKUP(A346,INPUT_DATA!$CK$4:$CK$397,INPUT_DATA!$CM$4:$CM$397)</f>
        <v>1290860</v>
      </c>
      <c r="D346" s="771">
        <f>Top20Deb37[[#This Row],[Principal Outstanding Balance]]/Top20Deb37[[#Totals],[Principal Outstanding Balance]]</f>
        <v>7.2911487245460043E-4</v>
      </c>
      <c r="E346" s="772">
        <f>_xlfn.XLOOKUP(A346,INPUT_DATA!$CK$4:$CK$397,INPUT_DATA!$CN$4:$CN$397)</f>
        <v>5</v>
      </c>
      <c r="F346" s="771">
        <f>Top20Deb37[[#This Row],[Nb of Loans]]/Top20Deb37[[#Totals],[Nb of Loans]]</f>
        <v>1.4204545454545455E-3</v>
      </c>
    </row>
    <row r="347" spans="1:6">
      <c r="A347" s="394" t="s">
        <v>944</v>
      </c>
      <c r="B347" s="389" t="s">
        <v>1156</v>
      </c>
      <c r="C347" s="390">
        <f>_xlfn.XLOOKUP(A347,INPUT_DATA!$CK$4:$CK$397,INPUT_DATA!$CM$4:$CM$397)</f>
        <v>6821310</v>
      </c>
      <c r="D347" s="771">
        <f>Top20Deb37[[#This Row],[Principal Outstanding Balance]]/Top20Deb37[[#Totals],[Principal Outstanding Balance]]</f>
        <v>3.8528721709738391E-3</v>
      </c>
      <c r="E347" s="772">
        <f>_xlfn.XLOOKUP(A347,INPUT_DATA!$CK$4:$CK$397,INPUT_DATA!$CN$4:$CN$397)</f>
        <v>18</v>
      </c>
      <c r="F347" s="771">
        <f>Top20Deb37[[#This Row],[Nb of Loans]]/Top20Deb37[[#Totals],[Nb of Loans]]</f>
        <v>5.1136363636363636E-3</v>
      </c>
    </row>
    <row r="348" spans="1:6">
      <c r="A348" s="394" t="s">
        <v>945</v>
      </c>
      <c r="B348" s="389" t="s">
        <v>1157</v>
      </c>
      <c r="C348" s="390">
        <f>_xlfn.XLOOKUP(A348,INPUT_DATA!$CK$4:$CK$397,INPUT_DATA!$CM$4:$CM$397)</f>
        <v>1119000</v>
      </c>
      <c r="D348" s="771">
        <f>Top20Deb37[[#This Row],[Principal Outstanding Balance]]/Top20Deb37[[#Totals],[Principal Outstanding Balance]]</f>
        <v>6.3204339918867874E-4</v>
      </c>
      <c r="E348" s="772">
        <f>_xlfn.XLOOKUP(A348,INPUT_DATA!$CK$4:$CK$397,INPUT_DATA!$CN$4:$CN$397)</f>
        <v>6</v>
      </c>
      <c r="F348" s="771">
        <f>Top20Deb37[[#This Row],[Nb of Loans]]/Top20Deb37[[#Totals],[Nb of Loans]]</f>
        <v>1.7045454545454545E-3</v>
      </c>
    </row>
    <row r="349" spans="1:6">
      <c r="A349" s="394" t="s">
        <v>946</v>
      </c>
      <c r="B349" s="389" t="s">
        <v>1158</v>
      </c>
      <c r="C349" s="390">
        <f>_xlfn.XLOOKUP(A349,INPUT_DATA!$CK$4:$CK$397,INPUT_DATA!$CM$4:$CM$397)</f>
        <v>13283745</v>
      </c>
      <c r="D349" s="771">
        <f>Top20Deb37[[#This Row],[Principal Outstanding Balance]]/Top20Deb37[[#Totals],[Principal Outstanding Balance]]</f>
        <v>7.5030414153312019E-3</v>
      </c>
      <c r="E349" s="772">
        <f>_xlfn.XLOOKUP(A349,INPUT_DATA!$CK$4:$CK$397,INPUT_DATA!$CN$4:$CN$397)</f>
        <v>40</v>
      </c>
      <c r="F349" s="771">
        <f>Top20Deb37[[#This Row],[Nb of Loans]]/Top20Deb37[[#Totals],[Nb of Loans]]</f>
        <v>1.1363636363636364E-2</v>
      </c>
    </row>
    <row r="350" spans="1:6">
      <c r="A350" s="394" t="s">
        <v>947</v>
      </c>
      <c r="B350" s="389" t="s">
        <v>1159</v>
      </c>
      <c r="C350" s="390">
        <f>_xlfn.XLOOKUP(A350,INPUT_DATA!$CK$4:$CK$397,INPUT_DATA!$CM$4:$CM$397)</f>
        <v>0</v>
      </c>
      <c r="D350" s="771">
        <f>Top20Deb37[[#This Row],[Principal Outstanding Balance]]/Top20Deb37[[#Totals],[Principal Outstanding Balance]]</f>
        <v>0</v>
      </c>
      <c r="E350" s="772">
        <f>_xlfn.XLOOKUP(A350,INPUT_DATA!$CK$4:$CK$397,INPUT_DATA!$CN$4:$CN$397)</f>
        <v>0</v>
      </c>
      <c r="F350" s="771">
        <f>Top20Deb37[[#This Row],[Nb of Loans]]/Top20Deb37[[#Totals],[Nb of Loans]]</f>
        <v>0</v>
      </c>
    </row>
    <row r="351" spans="1:6">
      <c r="A351" s="394" t="s">
        <v>948</v>
      </c>
      <c r="B351" s="389" t="s">
        <v>1160</v>
      </c>
      <c r="C351" s="390">
        <f>_xlfn.XLOOKUP(A351,INPUT_DATA!$CK$4:$CK$397,INPUT_DATA!$CM$4:$CM$397)</f>
        <v>762840</v>
      </c>
      <c r="D351" s="771">
        <f>Top20Deb37[[#This Row],[Principal Outstanding Balance]]/Top20Deb37[[#Totals],[Principal Outstanding Balance]]</f>
        <v>4.3087398269623924E-4</v>
      </c>
      <c r="E351" s="772">
        <f>_xlfn.XLOOKUP(A351,INPUT_DATA!$CK$4:$CK$397,INPUT_DATA!$CN$4:$CN$397)</f>
        <v>3</v>
      </c>
      <c r="F351" s="771">
        <f>Top20Deb37[[#This Row],[Nb of Loans]]/Top20Deb37[[#Totals],[Nb of Loans]]</f>
        <v>8.5227272727272723E-4</v>
      </c>
    </row>
    <row r="352" spans="1:6">
      <c r="A352" s="394" t="s">
        <v>949</v>
      </c>
      <c r="B352" s="389" t="s">
        <v>1161</v>
      </c>
      <c r="C352" s="390">
        <f>_xlfn.XLOOKUP(A352,INPUT_DATA!$CK$4:$CK$397,INPUT_DATA!$CM$4:$CM$397)</f>
        <v>253240</v>
      </c>
      <c r="D352" s="771">
        <f>Top20Deb37[[#This Row],[Principal Outstanding Balance]]/Top20Deb37[[#Totals],[Principal Outstanding Balance]]</f>
        <v>1.4303723897278017E-4</v>
      </c>
      <c r="E352" s="772">
        <f>_xlfn.XLOOKUP(A352,INPUT_DATA!$CK$4:$CK$397,INPUT_DATA!$CN$4:$CN$397)</f>
        <v>3</v>
      </c>
      <c r="F352" s="771">
        <f>Top20Deb37[[#This Row],[Nb of Loans]]/Top20Deb37[[#Totals],[Nb of Loans]]</f>
        <v>8.5227272727272723E-4</v>
      </c>
    </row>
    <row r="353" spans="1:6">
      <c r="A353" s="394" t="s">
        <v>950</v>
      </c>
      <c r="B353" s="389" t="s">
        <v>1162</v>
      </c>
      <c r="C353" s="390">
        <f>_xlfn.XLOOKUP(A353,INPUT_DATA!$CK$4:$CK$397,INPUT_DATA!$CM$4:$CM$397)</f>
        <v>266732</v>
      </c>
      <c r="D353" s="771">
        <f>Top20Deb37[[#This Row],[Principal Outstanding Balance]]/Top20Deb37[[#Totals],[Principal Outstanding Balance]]</f>
        <v>1.5065790880464222E-4</v>
      </c>
      <c r="E353" s="772">
        <f>_xlfn.XLOOKUP(A353,INPUT_DATA!$CK$4:$CK$397,INPUT_DATA!$CN$4:$CN$397)</f>
        <v>2</v>
      </c>
      <c r="F353" s="771">
        <f>Top20Deb37[[#This Row],[Nb of Loans]]/Top20Deb37[[#Totals],[Nb of Loans]]</f>
        <v>5.6818181818181815E-4</v>
      </c>
    </row>
    <row r="354" spans="1:6">
      <c r="A354" s="394" t="s">
        <v>951</v>
      </c>
      <c r="B354" s="389" t="s">
        <v>1163</v>
      </c>
      <c r="C354" s="390">
        <f>_xlfn.XLOOKUP(A354,INPUT_DATA!$CK$4:$CK$397,INPUT_DATA!$CM$4:$CM$397)</f>
        <v>0</v>
      </c>
      <c r="D354" s="771">
        <f>Top20Deb37[[#This Row],[Principal Outstanding Balance]]/Top20Deb37[[#Totals],[Principal Outstanding Balance]]</f>
        <v>0</v>
      </c>
      <c r="E354" s="772">
        <f>_xlfn.XLOOKUP(A354,INPUT_DATA!$CK$4:$CK$397,INPUT_DATA!$CN$4:$CN$397)</f>
        <v>0</v>
      </c>
      <c r="F354" s="771">
        <f>Top20Deb37[[#This Row],[Nb of Loans]]/Top20Deb37[[#Totals],[Nb of Loans]]</f>
        <v>0</v>
      </c>
    </row>
    <row r="355" spans="1:6">
      <c r="A355" s="394" t="s">
        <v>952</v>
      </c>
      <c r="B355" s="389" t="s">
        <v>1164</v>
      </c>
      <c r="C355" s="390">
        <f>_xlfn.XLOOKUP(A355,INPUT_DATA!$CK$4:$CK$397,INPUT_DATA!$CM$4:$CM$397)</f>
        <v>5601202</v>
      </c>
      <c r="D355" s="771">
        <f>Top20Deb37[[#This Row],[Principal Outstanding Balance]]/Top20Deb37[[#Totals],[Principal Outstanding Balance]]</f>
        <v>3.1637200640057422E-3</v>
      </c>
      <c r="E355" s="772">
        <f>_xlfn.XLOOKUP(A355,INPUT_DATA!$CK$4:$CK$397,INPUT_DATA!$CN$4:$CN$397)</f>
        <v>22</v>
      </c>
      <c r="F355" s="771">
        <f>Top20Deb37[[#This Row],[Nb of Loans]]/Top20Deb37[[#Totals],[Nb of Loans]]</f>
        <v>6.2500000000000003E-3</v>
      </c>
    </row>
    <row r="356" spans="1:6">
      <c r="A356" s="394" t="s">
        <v>953</v>
      </c>
      <c r="B356" s="389" t="s">
        <v>1165</v>
      </c>
      <c r="C356" s="390">
        <f>_xlfn.XLOOKUP(A356,INPUT_DATA!$CK$4:$CK$397,INPUT_DATA!$CM$4:$CM$397)</f>
        <v>0</v>
      </c>
      <c r="D356" s="771">
        <f>Top20Deb37[[#This Row],[Principal Outstanding Balance]]/Top20Deb37[[#Totals],[Principal Outstanding Balance]]</f>
        <v>0</v>
      </c>
      <c r="E356" s="772">
        <f>_xlfn.XLOOKUP(A356,INPUT_DATA!$CK$4:$CK$397,INPUT_DATA!$CN$4:$CN$397)</f>
        <v>0</v>
      </c>
      <c r="F356" s="771">
        <f>Top20Deb37[[#This Row],[Nb of Loans]]/Top20Deb37[[#Totals],[Nb of Loans]]</f>
        <v>0</v>
      </c>
    </row>
    <row r="357" spans="1:6">
      <c r="A357" s="394" t="s">
        <v>954</v>
      </c>
      <c r="B357" s="389" t="s">
        <v>1166</v>
      </c>
      <c r="C357" s="390">
        <f>_xlfn.XLOOKUP(A357,INPUT_DATA!$CK$4:$CK$397,INPUT_DATA!$CM$4:$CM$397)</f>
        <v>6039762</v>
      </c>
      <c r="D357" s="771">
        <f>Top20Deb37[[#This Row],[Principal Outstanding Balance]]/Top20Deb37[[#Totals],[Principal Outstanding Balance]]</f>
        <v>3.4114313715555072E-3</v>
      </c>
      <c r="E357" s="772">
        <f>_xlfn.XLOOKUP(A357,INPUT_DATA!$CK$4:$CK$397,INPUT_DATA!$CN$4:$CN$397)</f>
        <v>18</v>
      </c>
      <c r="F357" s="771">
        <f>Top20Deb37[[#This Row],[Nb of Loans]]/Top20Deb37[[#Totals],[Nb of Loans]]</f>
        <v>5.1136363636363636E-3</v>
      </c>
    </row>
    <row r="358" spans="1:6">
      <c r="A358" s="394" t="s">
        <v>955</v>
      </c>
      <c r="B358" s="389" t="s">
        <v>1167</v>
      </c>
      <c r="C358" s="390">
        <f>_xlfn.XLOOKUP(A358,INPUT_DATA!$CK$4:$CK$397,INPUT_DATA!$CM$4:$CM$397)</f>
        <v>265000</v>
      </c>
      <c r="D358" s="771">
        <f>Top20Deb37[[#This Row],[Principal Outstanding Balance]]/Top20Deb37[[#Totals],[Principal Outstanding Balance]]</f>
        <v>1.4967962536639845E-4</v>
      </c>
      <c r="E358" s="772">
        <f>_xlfn.XLOOKUP(A358,INPUT_DATA!$CK$4:$CK$397,INPUT_DATA!$CN$4:$CN$397)</f>
        <v>1</v>
      </c>
      <c r="F358" s="771">
        <f>Top20Deb37[[#This Row],[Nb of Loans]]/Top20Deb37[[#Totals],[Nb of Loans]]</f>
        <v>2.8409090909090908E-4</v>
      </c>
    </row>
    <row r="359" spans="1:6">
      <c r="A359" s="394" t="s">
        <v>956</v>
      </c>
      <c r="B359" s="389" t="s">
        <v>1168</v>
      </c>
      <c r="C359" s="390">
        <f>_xlfn.XLOOKUP(A359,INPUT_DATA!$CK$4:$CK$397,INPUT_DATA!$CM$4:$CM$397)</f>
        <v>23584599</v>
      </c>
      <c r="D359" s="771">
        <f>Top20Deb37[[#This Row],[Principal Outstanding Balance]]/Top20Deb37[[#Totals],[Principal Outstanding Balance]]</f>
        <v>1.33212601612707E-2</v>
      </c>
      <c r="E359" s="772">
        <f>_xlfn.XLOOKUP(A359,INPUT_DATA!$CK$4:$CK$397,INPUT_DATA!$CN$4:$CN$397)</f>
        <v>62</v>
      </c>
      <c r="F359" s="771">
        <f>Top20Deb37[[#This Row],[Nb of Loans]]/Top20Deb37[[#Totals],[Nb of Loans]]</f>
        <v>1.7613636363636363E-2</v>
      </c>
    </row>
    <row r="360" spans="1:6">
      <c r="A360" s="394" t="s">
        <v>957</v>
      </c>
      <c r="B360" s="389" t="s">
        <v>1169</v>
      </c>
      <c r="C360" s="390">
        <f>_xlfn.XLOOKUP(A360,INPUT_DATA!$CK$4:$CK$397,INPUT_DATA!$CM$4:$CM$397)</f>
        <v>2055429</v>
      </c>
      <c r="D360" s="771">
        <f>Top20Deb37[[#This Row],[Principal Outstanding Balance]]/Top20Deb37[[#Totals],[Principal Outstanding Balance]]</f>
        <v>1.1609654441027584E-3</v>
      </c>
      <c r="E360" s="772">
        <f>_xlfn.XLOOKUP(A360,INPUT_DATA!$CK$4:$CK$397,INPUT_DATA!$CN$4:$CN$397)</f>
        <v>13</v>
      </c>
      <c r="F360" s="771">
        <f>Top20Deb37[[#This Row],[Nb of Loans]]/Top20Deb37[[#Totals],[Nb of Loans]]</f>
        <v>3.6931818181818181E-3</v>
      </c>
    </row>
    <row r="361" spans="1:6">
      <c r="A361" s="394" t="s">
        <v>958</v>
      </c>
      <c r="B361" s="389" t="s">
        <v>1170</v>
      </c>
      <c r="C361" s="390">
        <f>_xlfn.XLOOKUP(A361,INPUT_DATA!$CK$4:$CK$397,INPUT_DATA!$CM$4:$CM$397)</f>
        <v>483296</v>
      </c>
      <c r="D361" s="771">
        <f>Top20Deb37[[#This Row],[Principal Outstanding Balance]]/Top20Deb37[[#Totals],[Principal Outstanding Balance]]</f>
        <v>2.7297948762671284E-4</v>
      </c>
      <c r="E361" s="772">
        <f>_xlfn.XLOOKUP(A361,INPUT_DATA!$CK$4:$CK$397,INPUT_DATA!$CN$4:$CN$397)</f>
        <v>3</v>
      </c>
      <c r="F361" s="771">
        <f>Top20Deb37[[#This Row],[Nb of Loans]]/Top20Deb37[[#Totals],[Nb of Loans]]</f>
        <v>8.5227272727272723E-4</v>
      </c>
    </row>
    <row r="362" spans="1:6">
      <c r="A362" s="394" t="s">
        <v>959</v>
      </c>
      <c r="B362" s="389" t="s">
        <v>1171</v>
      </c>
      <c r="C362" s="390">
        <f>_xlfn.XLOOKUP(A362,INPUT_DATA!$CK$4:$CK$397,INPUT_DATA!$CM$4:$CM$397)</f>
        <v>1797096</v>
      </c>
      <c r="D362" s="771">
        <f>Top20Deb37[[#This Row],[Principal Outstanding Balance]]/Top20Deb37[[#Totals],[Principal Outstanding Balance]]</f>
        <v>1.0150515321790687E-3</v>
      </c>
      <c r="E362" s="772">
        <f>_xlfn.XLOOKUP(A362,INPUT_DATA!$CK$4:$CK$397,INPUT_DATA!$CN$4:$CN$397)</f>
        <v>10</v>
      </c>
      <c r="F362" s="771">
        <f>Top20Deb37[[#This Row],[Nb of Loans]]/Top20Deb37[[#Totals],[Nb of Loans]]</f>
        <v>2.840909090909091E-3</v>
      </c>
    </row>
    <row r="363" spans="1:6">
      <c r="A363" s="394" t="s">
        <v>960</v>
      </c>
      <c r="B363" s="389" t="s">
        <v>1172</v>
      </c>
      <c r="C363" s="390">
        <f>_xlfn.XLOOKUP(A363,INPUT_DATA!$CK$4:$CK$397,INPUT_DATA!$CM$4:$CM$397)</f>
        <v>7041813</v>
      </c>
      <c r="D363" s="771">
        <f>Top20Deb37[[#This Row],[Principal Outstanding Balance]]/Top20Deb37[[#Totals],[Principal Outstanding Balance]]</f>
        <v>3.9774186103405072E-3</v>
      </c>
      <c r="E363" s="772">
        <f>_xlfn.XLOOKUP(A363,INPUT_DATA!$CK$4:$CK$397,INPUT_DATA!$CN$4:$CN$397)</f>
        <v>13</v>
      </c>
      <c r="F363" s="771">
        <f>Top20Deb37[[#This Row],[Nb of Loans]]/Top20Deb37[[#Totals],[Nb of Loans]]</f>
        <v>3.6931818181818181E-3</v>
      </c>
    </row>
    <row r="364" spans="1:6">
      <c r="A364" s="394" t="s">
        <v>961</v>
      </c>
      <c r="B364" s="389" t="s">
        <v>1173</v>
      </c>
      <c r="C364" s="390">
        <f>_xlfn.XLOOKUP(A364,INPUT_DATA!$CK$4:$CK$397,INPUT_DATA!$CM$4:$CM$397)</f>
        <v>4387148</v>
      </c>
      <c r="D364" s="771">
        <f>Top20Deb37[[#This Row],[Principal Outstanding Balance]]/Top20Deb37[[#Totals],[Principal Outstanding Balance]]</f>
        <v>2.477987430441299E-3</v>
      </c>
      <c r="E364" s="772">
        <f>_xlfn.XLOOKUP(A364,INPUT_DATA!$CK$4:$CK$397,INPUT_DATA!$CN$4:$CN$397)</f>
        <v>10</v>
      </c>
      <c r="F364" s="771">
        <f>Top20Deb37[[#This Row],[Nb of Loans]]/Top20Deb37[[#Totals],[Nb of Loans]]</f>
        <v>2.840909090909091E-3</v>
      </c>
    </row>
    <row r="365" spans="1:6">
      <c r="A365" s="394" t="s">
        <v>962</v>
      </c>
      <c r="B365" s="389" t="s">
        <v>1174</v>
      </c>
      <c r="C365" s="390">
        <f>_xlfn.XLOOKUP(A365,INPUT_DATA!$CK$4:$CK$397,INPUT_DATA!$CM$4:$CM$397)</f>
        <v>3146000</v>
      </c>
      <c r="D365" s="771">
        <f>Top20Deb37[[#This Row],[Principal Outstanding Balance]]/Top20Deb37[[#Totals],[Principal Outstanding Balance]]</f>
        <v>1.776951326047885E-3</v>
      </c>
      <c r="E365" s="772">
        <f>_xlfn.XLOOKUP(A365,INPUT_DATA!$CK$4:$CK$397,INPUT_DATA!$CN$4:$CN$397)</f>
        <v>13</v>
      </c>
      <c r="F365" s="771">
        <f>Top20Deb37[[#This Row],[Nb of Loans]]/Top20Deb37[[#Totals],[Nb of Loans]]</f>
        <v>3.6931818181818181E-3</v>
      </c>
    </row>
    <row r="366" spans="1:6">
      <c r="A366" s="394" t="s">
        <v>963</v>
      </c>
      <c r="B366" s="389" t="s">
        <v>1175</v>
      </c>
      <c r="C366" s="390">
        <f>_xlfn.XLOOKUP(A366,INPUT_DATA!$CK$4:$CK$397,INPUT_DATA!$CM$4:$CM$397)</f>
        <v>7335062</v>
      </c>
      <c r="D366" s="771">
        <f>Top20Deb37[[#This Row],[Principal Outstanding Balance]]/Top20Deb37[[#Totals],[Principal Outstanding Balance]]</f>
        <v>4.1430540837709634E-3</v>
      </c>
      <c r="E366" s="772">
        <f>_xlfn.XLOOKUP(A366,INPUT_DATA!$CK$4:$CK$397,INPUT_DATA!$CN$4:$CN$397)</f>
        <v>24</v>
      </c>
      <c r="F366" s="771">
        <f>Top20Deb37[[#This Row],[Nb of Loans]]/Top20Deb37[[#Totals],[Nb of Loans]]</f>
        <v>6.8181818181818179E-3</v>
      </c>
    </row>
    <row r="367" spans="1:6">
      <c r="A367" s="394" t="s">
        <v>964</v>
      </c>
      <c r="B367" s="389" t="s">
        <v>1176</v>
      </c>
      <c r="C367" s="390">
        <f>_xlfn.XLOOKUP(A367,INPUT_DATA!$CK$4:$CK$397,INPUT_DATA!$CM$4:$CM$397)</f>
        <v>13529497</v>
      </c>
      <c r="D367" s="771">
        <f>Top20Deb37[[#This Row],[Principal Outstanding Balance]]/Top20Deb37[[#Totals],[Principal Outstanding Balance]]</f>
        <v>7.6418492164370255E-3</v>
      </c>
      <c r="E367" s="772">
        <f>_xlfn.XLOOKUP(A367,INPUT_DATA!$CK$4:$CK$397,INPUT_DATA!$CN$4:$CN$397)</f>
        <v>31</v>
      </c>
      <c r="F367" s="771">
        <f>Top20Deb37[[#This Row],[Nb of Loans]]/Top20Deb37[[#Totals],[Nb of Loans]]</f>
        <v>8.8068181818181813E-3</v>
      </c>
    </row>
    <row r="368" spans="1:6">
      <c r="A368" s="394" t="s">
        <v>965</v>
      </c>
      <c r="B368" s="389" t="s">
        <v>1177</v>
      </c>
      <c r="C368" s="390">
        <f>_xlfn.XLOOKUP(A368,INPUT_DATA!$CK$4:$CK$397,INPUT_DATA!$CM$4:$CM$397)</f>
        <v>3678774</v>
      </c>
      <c r="D368" s="771">
        <f>Top20Deb37[[#This Row],[Principal Outstanding Balance]]/Top20Deb37[[#Totals],[Principal Outstanding Balance]]</f>
        <v>2.0778774118024416E-3</v>
      </c>
      <c r="E368" s="772">
        <f>_xlfn.XLOOKUP(A368,INPUT_DATA!$CK$4:$CK$397,INPUT_DATA!$CN$4:$CN$397)</f>
        <v>10</v>
      </c>
      <c r="F368" s="771">
        <f>Top20Deb37[[#This Row],[Nb of Loans]]/Top20Deb37[[#Totals],[Nb of Loans]]</f>
        <v>2.840909090909091E-3</v>
      </c>
    </row>
    <row r="369" spans="1:6">
      <c r="A369" s="394" t="s">
        <v>966</v>
      </c>
      <c r="B369" s="389" t="s">
        <v>1178</v>
      </c>
      <c r="C369" s="390">
        <f>_xlfn.XLOOKUP(A369,INPUT_DATA!$CK$4:$CK$397,INPUT_DATA!$CM$4:$CM$397)</f>
        <v>69403867.340000004</v>
      </c>
      <c r="D369" s="771">
        <f>Top20Deb37[[#This Row],[Principal Outstanding Balance]]/Top20Deb37[[#Totals],[Principal Outstanding Balance]]</f>
        <v>3.920130136766195E-2</v>
      </c>
      <c r="E369" s="772">
        <f>_xlfn.XLOOKUP(A369,INPUT_DATA!$CK$4:$CK$397,INPUT_DATA!$CN$4:$CN$397)</f>
        <v>166</v>
      </c>
      <c r="F369" s="771">
        <f>Top20Deb37[[#This Row],[Nb of Loans]]/Top20Deb37[[#Totals],[Nb of Loans]]</f>
        <v>4.7159090909090907E-2</v>
      </c>
    </row>
    <row r="370" spans="1:6">
      <c r="A370" s="394" t="s">
        <v>967</v>
      </c>
      <c r="B370" s="389" t="s">
        <v>1179</v>
      </c>
      <c r="C370" s="390">
        <f>_xlfn.XLOOKUP(A370,INPUT_DATA!$CK$4:$CK$397,INPUT_DATA!$CM$4:$CM$397)</f>
        <v>16421064</v>
      </c>
      <c r="D370" s="771">
        <f>Top20Deb37[[#This Row],[Principal Outstanding Balance]]/Top20Deb37[[#Totals],[Principal Outstanding Balance]]</f>
        <v>9.2750894627835929E-3</v>
      </c>
      <c r="E370" s="772">
        <f>_xlfn.XLOOKUP(A370,INPUT_DATA!$CK$4:$CK$397,INPUT_DATA!$CN$4:$CN$397)</f>
        <v>25</v>
      </c>
      <c r="F370" s="771">
        <f>Top20Deb37[[#This Row],[Nb of Loans]]/Top20Deb37[[#Totals],[Nb of Loans]]</f>
        <v>7.102272727272727E-3</v>
      </c>
    </row>
    <row r="371" spans="1:6">
      <c r="A371" s="394" t="s">
        <v>968</v>
      </c>
      <c r="B371" s="389" t="s">
        <v>1180</v>
      </c>
      <c r="C371" s="390">
        <f>_xlfn.XLOOKUP(A371,INPUT_DATA!$CK$4:$CK$397,INPUT_DATA!$CM$4:$CM$397)</f>
        <v>932169</v>
      </c>
      <c r="D371" s="771">
        <f>Top20Deb37[[#This Row],[Principal Outstanding Balance]]/Top20Deb37[[#Totals],[Principal Outstanding Balance]]</f>
        <v>5.2651587433271807E-4</v>
      </c>
      <c r="E371" s="772">
        <f>_xlfn.XLOOKUP(A371,INPUT_DATA!$CK$4:$CK$397,INPUT_DATA!$CN$4:$CN$397)</f>
        <v>4</v>
      </c>
      <c r="F371" s="771">
        <f>Top20Deb37[[#This Row],[Nb of Loans]]/Top20Deb37[[#Totals],[Nb of Loans]]</f>
        <v>1.1363636363636363E-3</v>
      </c>
    </row>
    <row r="372" spans="1:6">
      <c r="A372" s="394" t="s">
        <v>969</v>
      </c>
      <c r="B372" s="389" t="s">
        <v>1181</v>
      </c>
      <c r="C372" s="390">
        <f>_xlfn.XLOOKUP(A372,INPUT_DATA!$CK$4:$CK$397,INPUT_DATA!$CM$4:$CM$397)</f>
        <v>29037680</v>
      </c>
      <c r="D372" s="771">
        <f>Top20Deb37[[#This Row],[Principal Outstanding Balance]]/Top20Deb37[[#Totals],[Principal Outstanding Balance]]</f>
        <v>1.6401317222299476E-2</v>
      </c>
      <c r="E372" s="772">
        <f>_xlfn.XLOOKUP(A372,INPUT_DATA!$CK$4:$CK$397,INPUT_DATA!$CN$4:$CN$397)</f>
        <v>63</v>
      </c>
      <c r="F372" s="771">
        <f>Top20Deb37[[#This Row],[Nb of Loans]]/Top20Deb37[[#Totals],[Nb of Loans]]</f>
        <v>1.7897727272727273E-2</v>
      </c>
    </row>
    <row r="373" spans="1:6">
      <c r="A373" s="394" t="s">
        <v>970</v>
      </c>
      <c r="B373" s="389" t="s">
        <v>1182</v>
      </c>
      <c r="C373" s="390">
        <f>_xlfn.XLOOKUP(A373,INPUT_DATA!$CK$4:$CK$397,INPUT_DATA!$CM$4:$CM$397)</f>
        <v>0</v>
      </c>
      <c r="D373" s="771">
        <f>Top20Deb37[[#This Row],[Principal Outstanding Balance]]/Top20Deb37[[#Totals],[Principal Outstanding Balance]]</f>
        <v>0</v>
      </c>
      <c r="E373" s="772">
        <f>_xlfn.XLOOKUP(A373,INPUT_DATA!$CK$4:$CK$397,INPUT_DATA!$CN$4:$CN$397)</f>
        <v>0</v>
      </c>
      <c r="F373" s="771">
        <f>Top20Deb37[[#This Row],[Nb of Loans]]/Top20Deb37[[#Totals],[Nb of Loans]]</f>
        <v>0</v>
      </c>
    </row>
    <row r="374" spans="1:6">
      <c r="A374" s="394" t="s">
        <v>971</v>
      </c>
      <c r="B374" s="389" t="s">
        <v>1183</v>
      </c>
      <c r="C374" s="390">
        <f>_xlfn.XLOOKUP(A374,INPUT_DATA!$CK$4:$CK$397,INPUT_DATA!$CM$4:$CM$397)</f>
        <v>0</v>
      </c>
      <c r="D374" s="771">
        <f>Top20Deb37[[#This Row],[Principal Outstanding Balance]]/Top20Deb37[[#Totals],[Principal Outstanding Balance]]</f>
        <v>0</v>
      </c>
      <c r="E374" s="772">
        <f>_xlfn.XLOOKUP(A374,INPUT_DATA!$CK$4:$CK$397,INPUT_DATA!$CN$4:$CN$397)</f>
        <v>0</v>
      </c>
      <c r="F374" s="771">
        <f>Top20Deb37[[#This Row],[Nb of Loans]]/Top20Deb37[[#Totals],[Nb of Loans]]</f>
        <v>0</v>
      </c>
    </row>
    <row r="375" spans="1:6">
      <c r="A375" s="394" t="s">
        <v>972</v>
      </c>
      <c r="B375" s="389" t="s">
        <v>1184</v>
      </c>
      <c r="C375" s="390">
        <f>_xlfn.XLOOKUP(A375,INPUT_DATA!$CK$4:$CK$397,INPUT_DATA!$CM$4:$CM$397)</f>
        <v>608300</v>
      </c>
      <c r="D375" s="771">
        <f>Top20Deb37[[#This Row],[Principal Outstanding Balance]]/Top20Deb37[[#Totals],[Principal Outstanding Balance]]</f>
        <v>3.4358534381275538E-4</v>
      </c>
      <c r="E375" s="772">
        <f>_xlfn.XLOOKUP(A375,INPUT_DATA!$CK$4:$CK$397,INPUT_DATA!$CN$4:$CN$397)</f>
        <v>4</v>
      </c>
      <c r="F375" s="771">
        <f>Top20Deb37[[#This Row],[Nb of Loans]]/Top20Deb37[[#Totals],[Nb of Loans]]</f>
        <v>1.1363636363636363E-3</v>
      </c>
    </row>
    <row r="376" spans="1:6">
      <c r="A376" s="394" t="s">
        <v>973</v>
      </c>
      <c r="B376" s="389" t="s">
        <v>1185</v>
      </c>
      <c r="C376" s="390">
        <f>_xlfn.XLOOKUP(A376,INPUT_DATA!$CK$4:$CK$397,INPUT_DATA!$CM$4:$CM$397)</f>
        <v>843000</v>
      </c>
      <c r="D376" s="771">
        <f>Top20Deb37[[#This Row],[Principal Outstanding Balance]]/Top20Deb37[[#Totals],[Principal Outstanding Balance]]</f>
        <v>4.7615065729763733E-4</v>
      </c>
      <c r="E376" s="772">
        <f>_xlfn.XLOOKUP(A376,INPUT_DATA!$CK$4:$CK$397,INPUT_DATA!$CN$4:$CN$397)</f>
        <v>2</v>
      </c>
      <c r="F376" s="771">
        <f>Top20Deb37[[#This Row],[Nb of Loans]]/Top20Deb37[[#Totals],[Nb of Loans]]</f>
        <v>5.6818181818181815E-4</v>
      </c>
    </row>
    <row r="377" spans="1:6">
      <c r="A377" s="394" t="s">
        <v>974</v>
      </c>
      <c r="B377" s="389" t="s">
        <v>1186</v>
      </c>
      <c r="C377" s="390">
        <f>_xlfn.XLOOKUP(A377,INPUT_DATA!$CK$4:$CK$397,INPUT_DATA!$CM$4:$CM$397)</f>
        <v>9023547</v>
      </c>
      <c r="D377" s="771">
        <f>Top20Deb37[[#This Row],[Principal Outstanding Balance]]/Top20Deb37[[#Totals],[Principal Outstanding Balance]]</f>
        <v>5.0967589978720322E-3</v>
      </c>
      <c r="E377" s="772">
        <f>_xlfn.XLOOKUP(A377,INPUT_DATA!$CK$4:$CK$397,INPUT_DATA!$CN$4:$CN$397)</f>
        <v>27</v>
      </c>
      <c r="F377" s="771">
        <f>Top20Deb37[[#This Row],[Nb of Loans]]/Top20Deb37[[#Totals],[Nb of Loans]]</f>
        <v>7.6704545454545454E-3</v>
      </c>
    </row>
    <row r="378" spans="1:6">
      <c r="A378" s="394" t="s">
        <v>975</v>
      </c>
      <c r="B378" s="389" t="s">
        <v>1187</v>
      </c>
      <c r="C378" s="390">
        <f>_xlfn.XLOOKUP(A378,INPUT_DATA!$CK$4:$CK$397,INPUT_DATA!$CM$4:$CM$397)</f>
        <v>738658</v>
      </c>
      <c r="D378" s="771">
        <f>Top20Deb37[[#This Row],[Principal Outstanding Balance]]/Top20Deb37[[#Totals],[Principal Outstanding Balance]]</f>
        <v>4.1721529325997411E-4</v>
      </c>
      <c r="E378" s="772">
        <f>_xlfn.XLOOKUP(A378,INPUT_DATA!$CK$4:$CK$397,INPUT_DATA!$CN$4:$CN$397)</f>
        <v>3</v>
      </c>
      <c r="F378" s="771">
        <f>Top20Deb37[[#This Row],[Nb of Loans]]/Top20Deb37[[#Totals],[Nb of Loans]]</f>
        <v>8.5227272727272723E-4</v>
      </c>
    </row>
    <row r="379" spans="1:6">
      <c r="A379" s="394" t="s">
        <v>976</v>
      </c>
      <c r="B379" s="389" t="s">
        <v>1188</v>
      </c>
      <c r="C379" s="390">
        <f>_xlfn.XLOOKUP(A379,INPUT_DATA!$CK$4:$CK$397,INPUT_DATA!$CM$4:$CM$397)</f>
        <v>994474</v>
      </c>
      <c r="D379" s="771">
        <f>Top20Deb37[[#This Row],[Principal Outstanding Balance]]/Top20Deb37[[#Totals],[Principal Outstanding Balance]]</f>
        <v>5.6170753115707063E-4</v>
      </c>
      <c r="E379" s="772">
        <f>_xlfn.XLOOKUP(A379,INPUT_DATA!$CK$4:$CK$397,INPUT_DATA!$CN$4:$CN$397)</f>
        <v>6</v>
      </c>
      <c r="F379" s="771">
        <f>Top20Deb37[[#This Row],[Nb of Loans]]/Top20Deb37[[#Totals],[Nb of Loans]]</f>
        <v>1.7045454545454545E-3</v>
      </c>
    </row>
    <row r="380" spans="1:6">
      <c r="A380" s="394" t="s">
        <v>977</v>
      </c>
      <c r="B380" s="389" t="s">
        <v>1189</v>
      </c>
      <c r="C380" s="390">
        <f>_xlfn.XLOOKUP(A380,INPUT_DATA!$CK$4:$CK$397,INPUT_DATA!$CM$4:$CM$397)</f>
        <v>1060648</v>
      </c>
      <c r="D380" s="771">
        <f>Top20Deb37[[#This Row],[Principal Outstanding Balance]]/Top20Deb37[[#Totals],[Principal Outstanding Balance]]</f>
        <v>5.9908451051177277E-4</v>
      </c>
      <c r="E380" s="772">
        <f>_xlfn.XLOOKUP(A380,INPUT_DATA!$CK$4:$CK$397,INPUT_DATA!$CN$4:$CN$397)</f>
        <v>5</v>
      </c>
      <c r="F380" s="771">
        <f>Top20Deb37[[#This Row],[Nb of Loans]]/Top20Deb37[[#Totals],[Nb of Loans]]</f>
        <v>1.4204545454545455E-3</v>
      </c>
    </row>
    <row r="381" spans="1:6">
      <c r="A381" s="394" t="s">
        <v>978</v>
      </c>
      <c r="B381" s="389" t="s">
        <v>1190</v>
      </c>
      <c r="C381" s="390">
        <f>_xlfn.XLOOKUP(A381,INPUT_DATA!$CK$4:$CK$397,INPUT_DATA!$CM$4:$CM$397)</f>
        <v>14978488</v>
      </c>
      <c r="D381" s="771">
        <f>Top20Deb37[[#This Row],[Principal Outstanding Balance]]/Top20Deb37[[#Totals],[Principal Outstanding Balance]]</f>
        <v>8.4602810279060178E-3</v>
      </c>
      <c r="E381" s="772">
        <f>_xlfn.XLOOKUP(A381,INPUT_DATA!$CK$4:$CK$397,INPUT_DATA!$CN$4:$CN$397)</f>
        <v>30</v>
      </c>
      <c r="F381" s="771">
        <f>Top20Deb37[[#This Row],[Nb of Loans]]/Top20Deb37[[#Totals],[Nb of Loans]]</f>
        <v>8.5227272727272721E-3</v>
      </c>
    </row>
    <row r="382" spans="1:6">
      <c r="A382" s="394" t="s">
        <v>979</v>
      </c>
      <c r="B382" s="389" t="s">
        <v>1191</v>
      </c>
      <c r="C382" s="390">
        <f>_xlfn.XLOOKUP(A382,INPUT_DATA!$CK$4:$CK$397,INPUT_DATA!$CM$4:$CM$397)</f>
        <v>19858668</v>
      </c>
      <c r="D382" s="771">
        <f>Top20Deb37[[#This Row],[Principal Outstanding Balance]]/Top20Deb37[[#Totals],[Principal Outstanding Balance]]</f>
        <v>1.1216747118927114E-2</v>
      </c>
      <c r="E382" s="772">
        <f>_xlfn.XLOOKUP(A382,INPUT_DATA!$CK$4:$CK$397,INPUT_DATA!$CN$4:$CN$397)</f>
        <v>73</v>
      </c>
      <c r="F382" s="771">
        <f>Top20Deb37[[#This Row],[Nb of Loans]]/Top20Deb37[[#Totals],[Nb of Loans]]</f>
        <v>2.0738636363636365E-2</v>
      </c>
    </row>
    <row r="383" spans="1:6">
      <c r="A383" s="394" t="s">
        <v>980</v>
      </c>
      <c r="B383" s="389" t="s">
        <v>1192</v>
      </c>
      <c r="C383" s="390">
        <f>_xlfn.XLOOKUP(A383,INPUT_DATA!$CK$4:$CK$397,INPUT_DATA!$CM$4:$CM$397)</f>
        <v>0</v>
      </c>
      <c r="D383" s="771">
        <f>Top20Deb37[[#This Row],[Principal Outstanding Balance]]/Top20Deb37[[#Totals],[Principal Outstanding Balance]]</f>
        <v>0</v>
      </c>
      <c r="E383" s="772">
        <f>_xlfn.XLOOKUP(A383,INPUT_DATA!$CK$4:$CK$397,INPUT_DATA!$CN$4:$CN$397)</f>
        <v>0</v>
      </c>
      <c r="F383" s="771">
        <f>Top20Deb37[[#This Row],[Nb of Loans]]/Top20Deb37[[#Totals],[Nb of Loans]]</f>
        <v>0</v>
      </c>
    </row>
    <row r="384" spans="1:6">
      <c r="A384" s="394" t="s">
        <v>981</v>
      </c>
      <c r="B384" s="389" t="s">
        <v>1193</v>
      </c>
      <c r="C384" s="390">
        <f>_xlfn.XLOOKUP(A384,INPUT_DATA!$CK$4:$CK$397,INPUT_DATA!$CM$4:$CM$397)</f>
        <v>1924623</v>
      </c>
      <c r="D384" s="771">
        <f>Top20Deb37[[#This Row],[Principal Outstanding Balance]]/Top20Deb37[[#Totals],[Principal Outstanding Balance]]</f>
        <v>1.0870824513643542E-3</v>
      </c>
      <c r="E384" s="772">
        <f>_xlfn.XLOOKUP(A384,INPUT_DATA!$CK$4:$CK$397,INPUT_DATA!$CN$4:$CN$397)</f>
        <v>8</v>
      </c>
      <c r="F384" s="771">
        <f>Top20Deb37[[#This Row],[Nb of Loans]]/Top20Deb37[[#Totals],[Nb of Loans]]</f>
        <v>2.2727272727272726E-3</v>
      </c>
    </row>
    <row r="385" spans="1:6">
      <c r="A385" s="394" t="s">
        <v>982</v>
      </c>
      <c r="B385" s="389" t="s">
        <v>1194</v>
      </c>
      <c r="C385" s="390">
        <f>_xlfn.XLOOKUP(A385,INPUT_DATA!$CK$4:$CK$397,INPUT_DATA!$CM$4:$CM$397)</f>
        <v>134670</v>
      </c>
      <c r="D385" s="771">
        <f>Top20Deb37[[#This Row],[Principal Outstanding Balance]]/Top20Deb37[[#Totals],[Principal Outstanding Balance]]</f>
        <v>7.6065491124878787E-5</v>
      </c>
      <c r="E385" s="772">
        <f>_xlfn.XLOOKUP(A385,INPUT_DATA!$CK$4:$CK$397,INPUT_DATA!$CN$4:$CN$397)</f>
        <v>1</v>
      </c>
      <c r="F385" s="771">
        <f>Top20Deb37[[#This Row],[Nb of Loans]]/Top20Deb37[[#Totals],[Nb of Loans]]</f>
        <v>2.8409090909090908E-4</v>
      </c>
    </row>
    <row r="386" spans="1:6">
      <c r="A386" s="394" t="s">
        <v>983</v>
      </c>
      <c r="B386" s="389" t="s">
        <v>1195</v>
      </c>
      <c r="C386" s="390">
        <f>_xlfn.XLOOKUP(A386,INPUT_DATA!$CK$4:$CK$397,INPUT_DATA!$CM$4:$CM$397)</f>
        <v>0</v>
      </c>
      <c r="D386" s="771">
        <f>Top20Deb37[[#This Row],[Principal Outstanding Balance]]/Top20Deb37[[#Totals],[Principal Outstanding Balance]]</f>
        <v>0</v>
      </c>
      <c r="E386" s="772">
        <f>_xlfn.XLOOKUP(A386,INPUT_DATA!$CK$4:$CK$397,INPUT_DATA!$CN$4:$CN$397)</f>
        <v>0</v>
      </c>
      <c r="F386" s="771">
        <f>Top20Deb37[[#This Row],[Nb of Loans]]/Top20Deb37[[#Totals],[Nb of Loans]]</f>
        <v>0</v>
      </c>
    </row>
    <row r="387" spans="1:6">
      <c r="A387" s="394" t="s">
        <v>984</v>
      </c>
      <c r="B387" s="389" t="s">
        <v>1196</v>
      </c>
      <c r="C387" s="390">
        <f>_xlfn.XLOOKUP(A387,INPUT_DATA!$CK$4:$CK$397,INPUT_DATA!$CM$4:$CM$397)</f>
        <v>35564064</v>
      </c>
      <c r="D387" s="771">
        <f>Top20Deb37[[#This Row],[Principal Outstanding Balance]]/Top20Deb37[[#Totals],[Principal Outstanding Balance]]</f>
        <v>2.0087606701987237E-2</v>
      </c>
      <c r="E387" s="772">
        <f>_xlfn.XLOOKUP(A387,INPUT_DATA!$CK$4:$CK$397,INPUT_DATA!$CN$4:$CN$397)</f>
        <v>115</v>
      </c>
      <c r="F387" s="771">
        <f>Top20Deb37[[#This Row],[Nb of Loans]]/Top20Deb37[[#Totals],[Nb of Loans]]</f>
        <v>3.2670454545454544E-2</v>
      </c>
    </row>
    <row r="388" spans="1:6">
      <c r="A388" s="394" t="s">
        <v>985</v>
      </c>
      <c r="B388" s="389" t="s">
        <v>1197</v>
      </c>
      <c r="C388" s="390">
        <f>_xlfn.XLOOKUP(A388,INPUT_DATA!$CK$4:$CK$397,INPUT_DATA!$CM$4:$CM$397)</f>
        <v>1141000</v>
      </c>
      <c r="D388" s="771">
        <f>Top20Deb37[[#This Row],[Principal Outstanding Balance]]/Top20Deb37[[#Totals],[Principal Outstanding Balance]]</f>
        <v>6.4446963223796462E-4</v>
      </c>
      <c r="E388" s="772">
        <f>_xlfn.XLOOKUP(A388,INPUT_DATA!$CK$4:$CK$397,INPUT_DATA!$CN$4:$CN$397)</f>
        <v>3</v>
      </c>
      <c r="F388" s="771">
        <f>Top20Deb37[[#This Row],[Nb of Loans]]/Top20Deb37[[#Totals],[Nb of Loans]]</f>
        <v>8.5227272727272723E-4</v>
      </c>
    </row>
    <row r="389" spans="1:6">
      <c r="A389" s="394" t="s">
        <v>986</v>
      </c>
      <c r="B389" s="389" t="s">
        <v>1198</v>
      </c>
      <c r="C389" s="390">
        <f>_xlfn.XLOOKUP(A389,INPUT_DATA!$CK$4:$CK$397,INPUT_DATA!$CM$4:$CM$397)</f>
        <v>435000</v>
      </c>
      <c r="D389" s="771">
        <f>Top20Deb37[[#This Row],[Principal Outstanding Balance]]/Top20Deb37[[#Totals],[Principal Outstanding Balance]]</f>
        <v>2.4570051711088049E-4</v>
      </c>
      <c r="E389" s="772">
        <f>_xlfn.XLOOKUP(A389,INPUT_DATA!$CK$4:$CK$397,INPUT_DATA!$CN$4:$CN$397)</f>
        <v>2</v>
      </c>
      <c r="F389" s="771">
        <f>Top20Deb37[[#This Row],[Nb of Loans]]/Top20Deb37[[#Totals],[Nb of Loans]]</f>
        <v>5.6818181818181815E-4</v>
      </c>
    </row>
    <row r="390" spans="1:6">
      <c r="A390" s="394" t="s">
        <v>987</v>
      </c>
      <c r="B390" s="389" t="s">
        <v>1199</v>
      </c>
      <c r="C390" s="390">
        <f>_xlfn.XLOOKUP(A390,INPUT_DATA!$CK$4:$CK$397,INPUT_DATA!$CM$4:$CM$397)</f>
        <v>725500</v>
      </c>
      <c r="D390" s="771">
        <f>Top20Deb37[[#This Row],[Principal Outstanding Balance]]/Top20Deb37[[#Totals],[Principal Outstanding Balance]]</f>
        <v>4.0978327623895125E-4</v>
      </c>
      <c r="E390" s="772">
        <f>_xlfn.XLOOKUP(A390,INPUT_DATA!$CK$4:$CK$397,INPUT_DATA!$CN$4:$CN$397)</f>
        <v>4</v>
      </c>
      <c r="F390" s="771">
        <f>Top20Deb37[[#This Row],[Nb of Loans]]/Top20Deb37[[#Totals],[Nb of Loans]]</f>
        <v>1.1363636363636363E-3</v>
      </c>
    </row>
    <row r="391" spans="1:6">
      <c r="A391" s="394" t="s">
        <v>988</v>
      </c>
      <c r="B391" s="389" t="s">
        <v>1200</v>
      </c>
      <c r="C391" s="390">
        <f>_xlfn.XLOOKUP(A391,INPUT_DATA!$CK$4:$CK$397,INPUT_DATA!$CM$4:$CM$397)</f>
        <v>1754131</v>
      </c>
      <c r="D391" s="771">
        <f>Top20Deb37[[#This Row],[Principal Outstanding Balance]]/Top20Deb37[[#Totals],[Principal Outstanding Balance]]</f>
        <v>9.9078366386258824E-4</v>
      </c>
      <c r="E391" s="772">
        <f>_xlfn.XLOOKUP(A391,INPUT_DATA!$CK$4:$CK$397,INPUT_DATA!$CN$4:$CN$397)</f>
        <v>6</v>
      </c>
      <c r="F391" s="771">
        <f>Top20Deb37[[#This Row],[Nb of Loans]]/Top20Deb37[[#Totals],[Nb of Loans]]</f>
        <v>1.7045454545454545E-3</v>
      </c>
    </row>
    <row r="392" spans="1:6">
      <c r="A392" s="394" t="s">
        <v>989</v>
      </c>
      <c r="B392" s="389" t="s">
        <v>1201</v>
      </c>
      <c r="C392" s="390">
        <f>_xlfn.XLOOKUP(A392,INPUT_DATA!$CK$4:$CK$397,INPUT_DATA!$CM$4:$CM$397)</f>
        <v>2675080</v>
      </c>
      <c r="D392" s="771">
        <f>Top20Deb37[[#This Row],[Principal Outstanding Balance]]/Top20Deb37[[#Totals],[Principal Outstanding Balance]]</f>
        <v>1.5109621593401704E-3</v>
      </c>
      <c r="E392" s="772">
        <f>_xlfn.XLOOKUP(A392,INPUT_DATA!$CK$4:$CK$397,INPUT_DATA!$CN$4:$CN$397)</f>
        <v>10</v>
      </c>
      <c r="F392" s="771">
        <f>Top20Deb37[[#This Row],[Nb of Loans]]/Top20Deb37[[#Totals],[Nb of Loans]]</f>
        <v>2.840909090909091E-3</v>
      </c>
    </row>
    <row r="393" spans="1:6">
      <c r="A393" s="394" t="s">
        <v>990</v>
      </c>
      <c r="B393" s="389" t="s">
        <v>1202</v>
      </c>
      <c r="C393" s="390">
        <f>_xlfn.XLOOKUP(A393,INPUT_DATA!$CK$4:$CK$397,INPUT_DATA!$CM$4:$CM$397)</f>
        <v>570000</v>
      </c>
      <c r="D393" s="771">
        <f>Top20Deb37[[#This Row],[Principal Outstanding Balance]]/Top20Deb37[[#Totals],[Principal Outstanding Balance]]</f>
        <v>3.2195240173149857E-4</v>
      </c>
      <c r="E393" s="772">
        <f>_xlfn.XLOOKUP(A393,INPUT_DATA!$CK$4:$CK$397,INPUT_DATA!$CN$4:$CN$397)</f>
        <v>1</v>
      </c>
      <c r="F393" s="771">
        <f>Top20Deb37[[#This Row],[Nb of Loans]]/Top20Deb37[[#Totals],[Nb of Loans]]</f>
        <v>2.8409090909090908E-4</v>
      </c>
    </row>
    <row r="394" spans="1:6">
      <c r="A394" s="394" t="s">
        <v>991</v>
      </c>
      <c r="B394" s="389" t="s">
        <v>1203</v>
      </c>
      <c r="C394" s="390">
        <f>_xlfn.XLOOKUP(A394,INPUT_DATA!$CK$4:$CK$397,INPUT_DATA!$CM$4:$CM$397)</f>
        <v>243200</v>
      </c>
      <c r="D394" s="771">
        <f>Top20Deb37[[#This Row],[Principal Outstanding Balance]]/Top20Deb37[[#Totals],[Principal Outstanding Balance]]</f>
        <v>1.3736635807210605E-4</v>
      </c>
      <c r="E394" s="772">
        <f>_xlfn.XLOOKUP(A394,INPUT_DATA!$CK$4:$CK$397,INPUT_DATA!$CN$4:$CN$397)</f>
        <v>1</v>
      </c>
      <c r="F394" s="771">
        <f>Top20Deb37[[#This Row],[Nb of Loans]]/Top20Deb37[[#Totals],[Nb of Loans]]</f>
        <v>2.8409090909090908E-4</v>
      </c>
    </row>
    <row r="395" spans="1:6">
      <c r="A395" s="394" t="s">
        <v>992</v>
      </c>
      <c r="B395" s="389" t="s">
        <v>1204</v>
      </c>
      <c r="C395" s="390">
        <f>_xlfn.XLOOKUP(A395,INPUT_DATA!$CK$4:$CK$397,INPUT_DATA!$CM$4:$CM$397)</f>
        <v>0</v>
      </c>
      <c r="D395" s="771">
        <f>Top20Deb37[[#This Row],[Principal Outstanding Balance]]/Top20Deb37[[#Totals],[Principal Outstanding Balance]]</f>
        <v>0</v>
      </c>
      <c r="E395" s="772">
        <f>_xlfn.XLOOKUP(A395,INPUT_DATA!$CK$4:$CK$397,INPUT_DATA!$CN$4:$CN$397)</f>
        <v>0</v>
      </c>
      <c r="F395" s="771">
        <f>Top20Deb37[[#This Row],[Nb of Loans]]/Top20Deb37[[#Totals],[Nb of Loans]]</f>
        <v>0</v>
      </c>
    </row>
    <row r="396" spans="1:6">
      <c r="A396" s="394" t="s">
        <v>993</v>
      </c>
      <c r="B396" s="389" t="s">
        <v>1205</v>
      </c>
      <c r="C396" s="390">
        <f>_xlfn.XLOOKUP(A396,INPUT_DATA!$CK$4:$CK$397,INPUT_DATA!$CM$4:$CM$397)</f>
        <v>3240046</v>
      </c>
      <c r="D396" s="771">
        <f>Top20Deb37[[#This Row],[Principal Outstanding Balance]]/Top20Deb37[[#Totals],[Principal Outstanding Balance]]</f>
        <v>1.8300712130184824E-3</v>
      </c>
      <c r="E396" s="772">
        <f>_xlfn.XLOOKUP(A396,INPUT_DATA!$CK$4:$CK$397,INPUT_DATA!$CN$4:$CN$397)</f>
        <v>15</v>
      </c>
      <c r="F396" s="771">
        <f>Top20Deb37[[#This Row],[Nb of Loans]]/Top20Deb37[[#Totals],[Nb of Loans]]</f>
        <v>4.261363636363636E-3</v>
      </c>
    </row>
    <row r="397" spans="1:6">
      <c r="A397" s="394" t="s">
        <v>994</v>
      </c>
      <c r="B397" s="389" t="s">
        <v>1206</v>
      </c>
      <c r="C397" s="390">
        <f>_xlfn.XLOOKUP(A397,INPUT_DATA!$CK$4:$CK$397,INPUT_DATA!$CM$4:$CM$397)</f>
        <v>9079359</v>
      </c>
      <c r="D397" s="771">
        <f>Top20Deb37[[#This Row],[Principal Outstanding Balance]]/Top20Deb37[[#Totals],[Principal Outstanding Balance]]</f>
        <v>5.1282832214605209E-3</v>
      </c>
      <c r="E397" s="772">
        <f>_xlfn.XLOOKUP(A397,INPUT_DATA!$CK$4:$CK$397,INPUT_DATA!$CN$4:$CN$397)</f>
        <v>18</v>
      </c>
      <c r="F397" s="771">
        <f>Top20Deb37[[#This Row],[Nb of Loans]]/Top20Deb37[[#Totals],[Nb of Loans]]</f>
        <v>5.1136363636363636E-3</v>
      </c>
    </row>
    <row r="398" spans="1:6">
      <c r="A398" s="394" t="s">
        <v>995</v>
      </c>
      <c r="B398" s="389" t="s">
        <v>1207</v>
      </c>
      <c r="C398" s="390">
        <f>_xlfn.XLOOKUP(A398,INPUT_DATA!$CK$4:$CK$397,INPUT_DATA!$CM$4:$CM$397)</f>
        <v>1271000</v>
      </c>
      <c r="D398" s="771">
        <f>Top20Deb37[[#This Row],[Principal Outstanding Balance]]/Top20Deb37[[#Totals],[Principal Outstanding Balance]]</f>
        <v>7.1789737298374502E-4</v>
      </c>
      <c r="E398" s="772">
        <f>_xlfn.XLOOKUP(A398,INPUT_DATA!$CK$4:$CK$397,INPUT_DATA!$CN$4:$CN$397)</f>
        <v>4</v>
      </c>
      <c r="F398" s="771">
        <f>Top20Deb37[[#This Row],[Nb of Loans]]/Top20Deb37[[#Totals],[Nb of Loans]]</f>
        <v>1.1363636363636363E-3</v>
      </c>
    </row>
    <row r="399" spans="1:6">
      <c r="A399" s="394" t="s">
        <v>996</v>
      </c>
      <c r="B399" s="389" t="s">
        <v>1208</v>
      </c>
      <c r="C399" s="390">
        <f>_xlfn.XLOOKUP(A399,INPUT_DATA!$CK$4:$CK$397,INPUT_DATA!$CM$4:$CM$397)</f>
        <v>1586500</v>
      </c>
      <c r="D399" s="771">
        <f>Top20Deb37[[#This Row],[Principal Outstanding Balance]]/Top20Deb37[[#Totals],[Principal Outstanding Balance]]</f>
        <v>8.9610085148600425E-4</v>
      </c>
      <c r="E399" s="772">
        <f>_xlfn.XLOOKUP(A399,INPUT_DATA!$CK$4:$CK$397,INPUT_DATA!$CN$4:$CN$397)</f>
        <v>6</v>
      </c>
      <c r="F399" s="771">
        <f>Top20Deb37[[#This Row],[Nb of Loans]]/Top20Deb37[[#Totals],[Nb of Loans]]</f>
        <v>1.7045454545454545E-3</v>
      </c>
    </row>
    <row r="400" spans="1:6">
      <c r="A400" s="394" t="s">
        <v>997</v>
      </c>
      <c r="B400" s="389" t="s">
        <v>1209</v>
      </c>
      <c r="C400" s="390">
        <f>_xlfn.XLOOKUP(A400,INPUT_DATA!$CK$4:$CK$397,INPUT_DATA!$CM$4:$CM$397)</f>
        <v>20040882</v>
      </c>
      <c r="D400" s="771">
        <f>Top20Deb37[[#This Row],[Principal Outstanding Balance]]/Top20Deb37[[#Totals],[Principal Outstanding Balance]]</f>
        <v>1.1319666829329049E-2</v>
      </c>
      <c r="E400" s="772">
        <f>_xlfn.XLOOKUP(A400,INPUT_DATA!$CK$4:$CK$397,INPUT_DATA!$CN$4:$CN$397)</f>
        <v>63</v>
      </c>
      <c r="F400" s="771">
        <f>Top20Deb37[[#This Row],[Nb of Loans]]/Top20Deb37[[#Totals],[Nb of Loans]]</f>
        <v>1.7897727272727273E-2</v>
      </c>
    </row>
    <row r="401" spans="1:6">
      <c r="A401" s="394" t="s">
        <v>998</v>
      </c>
      <c r="B401" s="389" t="s">
        <v>1210</v>
      </c>
      <c r="C401" s="390">
        <f>_xlfn.XLOOKUP(A401,INPUT_DATA!$CK$4:$CK$397,INPUT_DATA!$CM$4:$CM$397)</f>
        <v>2494387</v>
      </c>
      <c r="D401" s="391">
        <f>Top20Deb37[[#This Row],[Principal Outstanding Balance]]/Top20Deb37[[#Totals],[Principal Outstanding Balance]]</f>
        <v>1.4089015535049606E-3</v>
      </c>
      <c r="E401" s="392">
        <f>_xlfn.XLOOKUP(A401,INPUT_DATA!$CK$4:$CK$397,INPUT_DATA!$CN$4:$CN$397)</f>
        <v>11</v>
      </c>
      <c r="F401" s="391">
        <f>Top20Deb37[[#This Row],[Nb of Loans]]/Top20Deb37[[#Totals],[Nb of Loans]]</f>
        <v>3.1250000000000002E-3</v>
      </c>
    </row>
    <row r="402" spans="1:6">
      <c r="A402" s="394" t="s">
        <v>999</v>
      </c>
      <c r="B402" s="389" t="s">
        <v>1211</v>
      </c>
      <c r="C402" s="390">
        <f>_xlfn.XLOOKUP(A402,INPUT_DATA!$CK$4:$CK$397,INPUT_DATA!$CM$4:$CM$397)</f>
        <v>60501210</v>
      </c>
      <c r="D402" s="391">
        <f>Top20Deb37[[#This Row],[Principal Outstanding Balance]]/Top20Deb37[[#Totals],[Principal Outstanding Balance]]</f>
        <v>3.417282432835396E-2</v>
      </c>
      <c r="E402" s="392">
        <f>_xlfn.XLOOKUP(A402,INPUT_DATA!$CK$4:$CK$397,INPUT_DATA!$CN$4:$CN$397)</f>
        <v>147</v>
      </c>
      <c r="F402" s="391">
        <f>Top20Deb37[[#This Row],[Nb of Loans]]/Top20Deb37[[#Totals],[Nb of Loans]]</f>
        <v>4.1761363636363638E-2</v>
      </c>
    </row>
    <row r="403" spans="1:6">
      <c r="A403" s="394" t="s">
        <v>1000</v>
      </c>
      <c r="B403" s="389" t="s">
        <v>1212</v>
      </c>
      <c r="C403" s="390">
        <f>_xlfn.XLOOKUP(A403,INPUT_DATA!$CK$4:$CK$397,INPUT_DATA!$CM$4:$CM$397)</f>
        <v>22932234</v>
      </c>
      <c r="D403" s="391">
        <f>Top20Deb37[[#This Row],[Principal Outstanding Balance]]/Top20Deb37[[#Totals],[Principal Outstanding Balance]]</f>
        <v>1.2952785637489E-2</v>
      </c>
      <c r="E403" s="392">
        <f>_xlfn.XLOOKUP(A403,INPUT_DATA!$CK$4:$CK$397,INPUT_DATA!$CN$4:$CN$397)</f>
        <v>49</v>
      </c>
      <c r="F403" s="391">
        <f>Top20Deb37[[#This Row],[Nb of Loans]]/Top20Deb37[[#Totals],[Nb of Loans]]</f>
        <v>1.3920454545454545E-2</v>
      </c>
    </row>
    <row r="404" spans="1:6">
      <c r="A404" s="394" t="s">
        <v>1001</v>
      </c>
      <c r="B404" s="389" t="s">
        <v>1213</v>
      </c>
      <c r="C404" s="390">
        <f>_xlfn.XLOOKUP(A404,INPUT_DATA!$CK$4:$CK$397,INPUT_DATA!$CM$4:$CM$397)</f>
        <v>27279408.199999999</v>
      </c>
      <c r="D404" s="391">
        <f>Top20Deb37[[#This Row],[Principal Outstanding Balance]]/Top20Deb37[[#Totals],[Principal Outstanding Balance]]</f>
        <v>1.5408194715445502E-2</v>
      </c>
      <c r="E404" s="392">
        <f>_xlfn.XLOOKUP(A404,INPUT_DATA!$CK$4:$CK$397,INPUT_DATA!$CN$4:$CN$397)</f>
        <v>49</v>
      </c>
      <c r="F404" s="391">
        <f>Top20Deb37[[#This Row],[Nb of Loans]]/Top20Deb37[[#Totals],[Nb of Loans]]</f>
        <v>1.3920454545454545E-2</v>
      </c>
    </row>
    <row r="405" spans="1:6">
      <c r="A405" s="394" t="s">
        <v>1002</v>
      </c>
      <c r="B405" s="389" t="s">
        <v>1214</v>
      </c>
      <c r="C405" s="390">
        <f>_xlfn.XLOOKUP(A405,INPUT_DATA!$CK$4:$CK$397,INPUT_DATA!$CM$4:$CM$397)</f>
        <v>1979500</v>
      </c>
      <c r="D405" s="391">
        <f>Top20Deb37[[#This Row],[Principal Outstanding Balance]]/Top20Deb37[[#Totals],[Principal Outstanding Balance]]</f>
        <v>1.118078560048248E-3</v>
      </c>
      <c r="E405" s="392">
        <f>_xlfn.XLOOKUP(A405,INPUT_DATA!$CK$4:$CK$397,INPUT_DATA!$CN$4:$CN$397)</f>
        <v>10</v>
      </c>
      <c r="F405" s="391">
        <f>Top20Deb37[[#This Row],[Nb of Loans]]/Top20Deb37[[#Totals],[Nb of Loans]]</f>
        <v>2.840909090909091E-3</v>
      </c>
    </row>
    <row r="406" spans="1:6">
      <c r="A406" s="394" t="s">
        <v>1003</v>
      </c>
      <c r="B406" s="389" t="s">
        <v>1215</v>
      </c>
      <c r="C406" s="390">
        <f>_xlfn.XLOOKUP(A406,INPUT_DATA!$CK$4:$CK$397,INPUT_DATA!$CM$4:$CM$397)</f>
        <v>0</v>
      </c>
      <c r="D406" s="391">
        <f>Top20Deb37[[#This Row],[Principal Outstanding Balance]]/Top20Deb37[[#Totals],[Principal Outstanding Balance]]</f>
        <v>0</v>
      </c>
      <c r="E406" s="392">
        <f>_xlfn.XLOOKUP(A406,INPUT_DATA!$CK$4:$CK$397,INPUT_DATA!$CN$4:$CN$397)</f>
        <v>0</v>
      </c>
      <c r="F406" s="391">
        <f>Top20Deb37[[#This Row],[Nb of Loans]]/Top20Deb37[[#Totals],[Nb of Loans]]</f>
        <v>0</v>
      </c>
    </row>
    <row r="407" spans="1:6">
      <c r="A407" s="394" t="s">
        <v>1004</v>
      </c>
      <c r="B407" s="389" t="s">
        <v>1216</v>
      </c>
      <c r="C407" s="390">
        <f>_xlfn.XLOOKUP(A407,INPUT_DATA!$CK$4:$CK$397,INPUT_DATA!$CM$4:$CM$397)</f>
        <v>130664621</v>
      </c>
      <c r="D407" s="391">
        <f>Top20Deb37[[#This Row],[Principal Outstanding Balance]]/Top20Deb37[[#Totals],[Principal Outstanding Balance]]</f>
        <v>7.3803137811028069E-2</v>
      </c>
      <c r="E407" s="392">
        <f>_xlfn.XLOOKUP(A407,INPUT_DATA!$CK$4:$CK$397,INPUT_DATA!$CN$4:$CN$397)</f>
        <v>276</v>
      </c>
      <c r="F407" s="391">
        <f>Top20Deb37[[#This Row],[Nb of Loans]]/Top20Deb37[[#Totals],[Nb of Loans]]</f>
        <v>7.8409090909090914E-2</v>
      </c>
    </row>
    <row r="408" spans="1:6">
      <c r="A408" s="394" t="s">
        <v>1005</v>
      </c>
      <c r="B408" s="389" t="s">
        <v>1217</v>
      </c>
      <c r="C408" s="390">
        <f>_xlfn.XLOOKUP(A408,INPUT_DATA!$CK$4:$CK$397,INPUT_DATA!$CM$4:$CM$397)</f>
        <v>50384135</v>
      </c>
      <c r="D408" s="391">
        <f>Top20Deb37[[#This Row],[Principal Outstanding Balance]]/Top20Deb37[[#Totals],[Principal Outstanding Balance]]</f>
        <v>2.8458409249849222E-2</v>
      </c>
      <c r="E408" s="392">
        <f>_xlfn.XLOOKUP(A408,INPUT_DATA!$CK$4:$CK$397,INPUT_DATA!$CN$4:$CN$397)</f>
        <v>121</v>
      </c>
      <c r="F408" s="391">
        <f>Top20Deb37[[#This Row],[Nb of Loans]]/Top20Deb37[[#Totals],[Nb of Loans]]</f>
        <v>3.4375000000000003E-2</v>
      </c>
    </row>
    <row r="409" spans="1:6">
      <c r="A409" s="394" t="s">
        <v>1006</v>
      </c>
      <c r="B409" s="389" t="s">
        <v>1218</v>
      </c>
      <c r="C409" s="390">
        <f>_xlfn.XLOOKUP(A409,INPUT_DATA!$CK$4:$CK$397,INPUT_DATA!$CM$4:$CM$397)</f>
        <v>44198977</v>
      </c>
      <c r="D409" s="391">
        <f>Top20Deb37[[#This Row],[Principal Outstanding Balance]]/Top20Deb37[[#Totals],[Principal Outstanding Balance]]</f>
        <v>2.4964854033728535E-2</v>
      </c>
      <c r="E409" s="392">
        <f>_xlfn.XLOOKUP(A409,INPUT_DATA!$CK$4:$CK$397,INPUT_DATA!$CN$4:$CN$397)</f>
        <v>93</v>
      </c>
      <c r="F409" s="391">
        <f>Top20Deb37[[#This Row],[Nb of Loans]]/Top20Deb37[[#Totals],[Nb of Loans]]</f>
        <v>2.6420454545454546E-2</v>
      </c>
    </row>
    <row r="410" spans="1:6">
      <c r="A410" s="394" t="s">
        <v>1007</v>
      </c>
      <c r="B410" s="389" t="s">
        <v>1219</v>
      </c>
      <c r="C410" s="390">
        <f>_xlfn.XLOOKUP(A410,INPUT_DATA!$CK$4:$CK$397,INPUT_DATA!$CM$4:$CM$397)</f>
        <v>12342772</v>
      </c>
      <c r="D410" s="391">
        <f>Top20Deb37[[#This Row],[Principal Outstanding Balance]]/Top20Deb37[[#Totals],[Principal Outstanding Balance]]</f>
        <v>6.97155278846367E-3</v>
      </c>
      <c r="E410" s="392">
        <f>_xlfn.XLOOKUP(A410,INPUT_DATA!$CK$4:$CK$397,INPUT_DATA!$CN$4:$CN$397)</f>
        <v>25</v>
      </c>
      <c r="F410" s="391">
        <f>Top20Deb37[[#This Row],[Nb of Loans]]/Top20Deb37[[#Totals],[Nb of Loans]]</f>
        <v>7.102272727272727E-3</v>
      </c>
    </row>
    <row r="411" spans="1:6">
      <c r="A411" s="394" t="s">
        <v>1008</v>
      </c>
      <c r="B411" s="389" t="s">
        <v>1220</v>
      </c>
      <c r="C411" s="390">
        <f>_xlfn.XLOOKUP(A411,INPUT_DATA!$CK$4:$CK$397,INPUT_DATA!$CM$4:$CM$397)</f>
        <v>5809000</v>
      </c>
      <c r="D411" s="391">
        <f>Top20Deb37[[#This Row],[Principal Outstanding Balance]]/Top20Deb37[[#Totals],[Principal Outstanding Balance]]</f>
        <v>3.2810903537864476E-3</v>
      </c>
      <c r="E411" s="392">
        <f>_xlfn.XLOOKUP(A411,INPUT_DATA!$CK$4:$CK$397,INPUT_DATA!$CN$4:$CN$397)</f>
        <v>8</v>
      </c>
      <c r="F411" s="391">
        <f>Top20Deb37[[#This Row],[Nb of Loans]]/Top20Deb37[[#Totals],[Nb of Loans]]</f>
        <v>2.2727272727272726E-3</v>
      </c>
    </row>
    <row r="412" spans="1:6">
      <c r="A412" s="394" t="s">
        <v>1009</v>
      </c>
      <c r="B412" s="389" t="s">
        <v>1221</v>
      </c>
      <c r="C412" s="390">
        <f>_xlfn.XLOOKUP(A412,INPUT_DATA!$CK$4:$CK$397,INPUT_DATA!$CM$4:$CM$397)</f>
        <v>4969370</v>
      </c>
      <c r="D412" s="391">
        <f>Top20Deb37[[#This Row],[Principal Outstanding Balance]]/Top20Deb37[[#Totals],[Principal Outstanding Balance]]</f>
        <v>2.8068431694604507E-3</v>
      </c>
      <c r="E412" s="392">
        <f>_xlfn.XLOOKUP(A412,INPUT_DATA!$CK$4:$CK$397,INPUT_DATA!$CN$4:$CN$397)</f>
        <v>10</v>
      </c>
      <c r="F412" s="391">
        <f>Top20Deb37[[#This Row],[Nb of Loans]]/Top20Deb37[[#Totals],[Nb of Loans]]</f>
        <v>2.840909090909091E-3</v>
      </c>
    </row>
    <row r="413" spans="1:6">
      <c r="A413" s="394" t="s">
        <v>496</v>
      </c>
      <c r="B413" s="389" t="s">
        <v>1222</v>
      </c>
      <c r="C413" s="390">
        <f>_xlfn.XLOOKUP(A413,INPUT_DATA!$CK$4:$CK$397,INPUT_DATA!$CM$4:$CM$397)</f>
        <v>0</v>
      </c>
      <c r="D413" s="391">
        <f>Top20Deb37[[#This Row],[Principal Outstanding Balance]]/Top20Deb37[[#Totals],[Principal Outstanding Balance]]</f>
        <v>0</v>
      </c>
      <c r="E413" s="392">
        <f>_xlfn.XLOOKUP(A413,INPUT_DATA!$CK$4:$CK$397,INPUT_DATA!$CN$4:$CN$397)</f>
        <v>0</v>
      </c>
      <c r="F413" s="391">
        <f>Top20Deb37[[#This Row],[Nb of Loans]]/Top20Deb37[[#Totals],[Nb of Loans]]</f>
        <v>0</v>
      </c>
    </row>
    <row r="414" spans="1:6">
      <c r="A414" s="394" t="s">
        <v>497</v>
      </c>
      <c r="B414" s="389" t="s">
        <v>1223</v>
      </c>
      <c r="C414" s="390">
        <f>_xlfn.XLOOKUP(A414,INPUT_DATA!$CK$4:$CK$397,INPUT_DATA!$CM$4:$CM$397)</f>
        <v>345000</v>
      </c>
      <c r="D414" s="391">
        <f>Top20Deb37[[#This Row],[Principal Outstanding Balance]]/Top20Deb37[[#Totals],[Principal Outstanding Balance]]</f>
        <v>1.9486592736380176E-4</v>
      </c>
      <c r="E414" s="392">
        <f>_xlfn.XLOOKUP(A414,INPUT_DATA!$CK$4:$CK$397,INPUT_DATA!$CN$4:$CN$397)</f>
        <v>1</v>
      </c>
      <c r="F414" s="391">
        <f>Top20Deb37[[#This Row],[Nb of Loans]]/Top20Deb37[[#Totals],[Nb of Loans]]</f>
        <v>2.8409090909090908E-4</v>
      </c>
    </row>
    <row r="415" spans="1:6">
      <c r="A415" s="394" t="s">
        <v>498</v>
      </c>
      <c r="B415" s="389" t="s">
        <v>1224</v>
      </c>
      <c r="C415" s="390">
        <f>_xlfn.XLOOKUP(A415,INPUT_DATA!$CK$4:$CK$397,INPUT_DATA!$CM$4:$CM$397)</f>
        <v>0</v>
      </c>
      <c r="D415" s="391">
        <f>Top20Deb37[[#This Row],[Principal Outstanding Balance]]/Top20Deb37[[#Totals],[Principal Outstanding Balance]]</f>
        <v>0</v>
      </c>
      <c r="E415" s="392">
        <f>_xlfn.XLOOKUP(A415,INPUT_DATA!$CK$4:$CK$397,INPUT_DATA!$CN$4:$CN$397)</f>
        <v>0</v>
      </c>
      <c r="F415" s="391">
        <f>Top20Deb37[[#This Row],[Nb of Loans]]/Top20Deb37[[#Totals],[Nb of Loans]]</f>
        <v>0</v>
      </c>
    </row>
    <row r="416" spans="1:6">
      <c r="A416" s="394" t="s">
        <v>1010</v>
      </c>
      <c r="B416" s="389" t="s">
        <v>1225</v>
      </c>
      <c r="C416" s="390">
        <f>_xlfn.XLOOKUP(A416,INPUT_DATA!$CK$4:$CK$397,INPUT_DATA!$CM$4:$CM$397)</f>
        <v>247050</v>
      </c>
      <c r="D416" s="391">
        <f>Top20Deb37[[#This Row],[Principal Outstanding Balance]]/Top20Deb37[[#Totals],[Principal Outstanding Balance]]</f>
        <v>1.3954094885573108E-4</v>
      </c>
      <c r="E416" s="392">
        <f>_xlfn.XLOOKUP(A416,INPUT_DATA!$CK$4:$CK$397,INPUT_DATA!$CN$4:$CN$397)</f>
        <v>1</v>
      </c>
      <c r="F416" s="391">
        <f>Top20Deb37[[#This Row],[Nb of Loans]]/Top20Deb37[[#Totals],[Nb of Loans]]</f>
        <v>2.8409090909090908E-4</v>
      </c>
    </row>
    <row r="417" spans="1:8">
      <c r="A417" s="394" t="s">
        <v>1011</v>
      </c>
      <c r="B417" s="389" t="s">
        <v>1226</v>
      </c>
      <c r="C417" s="390">
        <f>_xlfn.XLOOKUP(A417,INPUT_DATA!$CK$4:$CK$397,INPUT_DATA!$CM$4:$CM$397)</f>
        <v>0</v>
      </c>
      <c r="D417" s="391">
        <f>Top20Deb37[[#This Row],[Principal Outstanding Balance]]/Top20Deb37[[#Totals],[Principal Outstanding Balance]]</f>
        <v>0</v>
      </c>
      <c r="E417" s="392">
        <f>_xlfn.XLOOKUP(A417,INPUT_DATA!$CK$4:$CK$397,INPUT_DATA!$CN$4:$CN$397)</f>
        <v>0</v>
      </c>
      <c r="F417" s="391">
        <f>Top20Deb37[[#This Row],[Nb of Loans]]/Top20Deb37[[#Totals],[Nb of Loans]]</f>
        <v>0</v>
      </c>
    </row>
    <row r="418" spans="1:8">
      <c r="A418" s="394" t="s">
        <v>1012</v>
      </c>
      <c r="B418" s="389" t="s">
        <v>1125</v>
      </c>
      <c r="C418" s="390">
        <f>_xlfn.XLOOKUP(A418,INPUT_DATA!$CK$4:$CK$397,INPUT_DATA!$CM$4:$CM$397)</f>
        <v>938476</v>
      </c>
      <c r="D418" s="391">
        <f>Top20Deb37[[#This Row],[Principal Outstanding Balance]]/Top20Deb37[[#Totals],[Principal Outstanding Balance]]</f>
        <v>5.3007824941643826E-4</v>
      </c>
      <c r="E418" s="392">
        <f>_xlfn.XLOOKUP(A418,INPUT_DATA!$CK$4:$CK$397,INPUT_DATA!$CN$4:$CN$397)</f>
        <v>1</v>
      </c>
      <c r="F418" s="391">
        <f>Top20Deb37[[#This Row],[Nb of Loans]]/Top20Deb37[[#Totals],[Nb of Loans]]</f>
        <v>2.8409090909090908E-4</v>
      </c>
    </row>
    <row r="419" spans="1:8">
      <c r="A419" s="394"/>
      <c r="B419" s="683" t="s">
        <v>2</v>
      </c>
      <c r="C419" s="768">
        <f>SUBTOTAL(109,Top20Deb37[Principal Outstanding Balance])</f>
        <v>1770448044.29</v>
      </c>
      <c r="D419" s="769">
        <f>SUBTOTAL(109,Top20Deb37[% of Total (Amount)])</f>
        <v>1.0000000000000002</v>
      </c>
      <c r="E419" s="770">
        <f>SUBTOTAL(109,Top20Deb37[Nb of Loans])</f>
        <v>3520</v>
      </c>
      <c r="F419" s="769">
        <f>SUBTOTAL(109,Top20Deb37[% of Total (Number)])</f>
        <v>0.99999999999999944</v>
      </c>
    </row>
    <row r="420" spans="1:8">
      <c r="A420" s="394"/>
      <c r="B420" s="389"/>
      <c r="C420" s="390"/>
      <c r="D420" s="391"/>
      <c r="E420" s="392"/>
      <c r="F420" s="391"/>
      <c r="H420" s="454" t="s">
        <v>650</v>
      </c>
    </row>
    <row r="421" spans="1:8">
      <c r="A421" s="394"/>
      <c r="B421" s="387" t="s">
        <v>1228</v>
      </c>
      <c r="C421" s="387"/>
    </row>
    <row r="422" spans="1:8" ht="15" customHeight="1">
      <c r="A422" s="394"/>
      <c r="B422" s="387"/>
      <c r="C422" s="387"/>
    </row>
    <row r="423" spans="1:8" ht="33" customHeight="1">
      <c r="A423" s="394"/>
      <c r="B423" s="377" t="s">
        <v>525</v>
      </c>
      <c r="C423" s="377" t="s">
        <v>253</v>
      </c>
      <c r="D423" s="377" t="s">
        <v>285</v>
      </c>
      <c r="E423" s="377" t="s">
        <v>286</v>
      </c>
      <c r="F423" s="377" t="s">
        <v>287</v>
      </c>
      <c r="G423" s="388"/>
    </row>
    <row r="424" spans="1:8">
      <c r="A424" s="394" t="s">
        <v>500</v>
      </c>
      <c r="B424" s="389" t="s">
        <v>1126</v>
      </c>
      <c r="C424" s="390">
        <f>_xlfn.IFNA(_xlfn.XLOOKUP(A424,INPUT_DATA!$CK$4:$CK$397,INPUT_DATA!$CM$4:$CM$397),0)</f>
        <v>114513351</v>
      </c>
      <c r="D424" s="391">
        <f>Top20Deb3738[[#This Row],[Principal Outstanding Balance]]/Top20Deb3738[[#Totals],[Principal Outstanding Balance]]</f>
        <v>0.37636205776340736</v>
      </c>
      <c r="E424" s="392">
        <f>_xlfn.IFNA(_xlfn.XLOOKUP(A424,INPUT_DATA!$CK$4:$CK$397,INPUT_DATA!$CN$4:$CN$397),0)</f>
        <v>113</v>
      </c>
      <c r="F424" s="391">
        <f>Top20Deb3738[[#This Row],[Nb of Loans]]/Top20Deb3738[[#Totals],[Nb of Loans]]</f>
        <v>0.20035460992907803</v>
      </c>
    </row>
    <row r="425" spans="1:8">
      <c r="A425" s="394" t="s">
        <v>502</v>
      </c>
      <c r="B425" s="389" t="s">
        <v>1127</v>
      </c>
      <c r="C425" s="390">
        <f>_xlfn.IFNA(_xlfn.XLOOKUP(A425,INPUT_DATA!$CK$4:$CK$397,INPUT_DATA!$CM$4:$CM$397),0)</f>
        <v>2812075</v>
      </c>
      <c r="D425" s="771">
        <f>Top20Deb3738[[#This Row],[Principal Outstanding Balance]]/Top20Deb3738[[#Totals],[Principal Outstanding Balance]]</f>
        <v>9.2422265556182503E-3</v>
      </c>
      <c r="E425" s="772">
        <f>_xlfn.IFNA(_xlfn.XLOOKUP(A425,INPUT_DATA!$CK$4:$CK$397,INPUT_DATA!$CN$4:$CN$397),0)</f>
        <v>10</v>
      </c>
      <c r="F425" s="771">
        <f>Top20Deb3738[[#This Row],[Nb of Loans]]/Top20Deb3738[[#Totals],[Nb of Loans]]</f>
        <v>1.7730496453900711E-2</v>
      </c>
    </row>
    <row r="426" spans="1:8">
      <c r="A426" s="394" t="s">
        <v>504</v>
      </c>
      <c r="B426" s="389" t="s">
        <v>1128</v>
      </c>
      <c r="C426" s="390">
        <f>_xlfn.IFNA(_xlfn.XLOOKUP(A426,INPUT_DATA!$CK$4:$CK$397,INPUT_DATA!$CM$4:$CM$397),0)</f>
        <v>14382323</v>
      </c>
      <c r="D426" s="771">
        <f>Top20Deb3738[[#This Row],[Principal Outstanding Balance]]/Top20Deb3738[[#Totals],[Principal Outstanding Balance]]</f>
        <v>4.7269254042683478E-2</v>
      </c>
      <c r="E426" s="772">
        <f>_xlfn.IFNA(_xlfn.XLOOKUP(A426,INPUT_DATA!$CK$4:$CK$397,INPUT_DATA!$CN$4:$CN$397),0)</f>
        <v>21</v>
      </c>
      <c r="F426" s="771">
        <f>Top20Deb3738[[#This Row],[Nb of Loans]]/Top20Deb3738[[#Totals],[Nb of Loans]]</f>
        <v>3.7234042553191488E-2</v>
      </c>
    </row>
    <row r="427" spans="1:8">
      <c r="A427" s="394" t="s">
        <v>506</v>
      </c>
      <c r="B427" s="389" t="s">
        <v>1129</v>
      </c>
      <c r="C427" s="390">
        <f>_xlfn.IFNA(_xlfn.XLOOKUP(A427,INPUT_DATA!$CK$4:$CK$397,INPUT_DATA!$CM$4:$CM$397),0)</f>
        <v>2464600</v>
      </c>
      <c r="D427" s="771">
        <f>Top20Deb3738[[#This Row],[Principal Outstanding Balance]]/Top20Deb3738[[#Totals],[Principal Outstanding Balance]]</f>
        <v>8.1002077003553396E-3</v>
      </c>
      <c r="E427" s="772">
        <f>_xlfn.IFNA(_xlfn.XLOOKUP(A427,INPUT_DATA!$CK$4:$CK$397,INPUT_DATA!$CN$4:$CN$397),0)</f>
        <v>8</v>
      </c>
      <c r="F427" s="771">
        <f>Top20Deb3738[[#This Row],[Nb of Loans]]/Top20Deb3738[[#Totals],[Nb of Loans]]</f>
        <v>1.4184397163120567E-2</v>
      </c>
    </row>
    <row r="428" spans="1:8">
      <c r="A428" s="394" t="s">
        <v>508</v>
      </c>
      <c r="B428" s="389" t="s">
        <v>1130</v>
      </c>
      <c r="C428" s="390">
        <f>_xlfn.IFNA(_xlfn.XLOOKUP(A428,INPUT_DATA!$CK$4:$CK$397,INPUT_DATA!$CM$4:$CM$397),0)</f>
        <v>25227813</v>
      </c>
      <c r="D428" s="771">
        <f>Top20Deb3738[[#This Row],[Principal Outstanding Balance]]/Top20Deb3738[[#Totals],[Principal Outstanding Balance]]</f>
        <v>8.2914276201300222E-2</v>
      </c>
      <c r="E428" s="772">
        <f>_xlfn.IFNA(_xlfn.XLOOKUP(A428,INPUT_DATA!$CK$4:$CK$397,INPUT_DATA!$CN$4:$CN$397),0)</f>
        <v>40</v>
      </c>
      <c r="F428" s="771">
        <f>Top20Deb3738[[#This Row],[Nb of Loans]]/Top20Deb3738[[#Totals],[Nb of Loans]]</f>
        <v>7.0921985815602842E-2</v>
      </c>
    </row>
    <row r="429" spans="1:8">
      <c r="A429" s="394" t="s">
        <v>510</v>
      </c>
      <c r="B429" s="389" t="s">
        <v>1131</v>
      </c>
      <c r="C429" s="390">
        <f>_xlfn.IFNA(_xlfn.XLOOKUP(A429,INPUT_DATA!$CK$4:$CK$397,INPUT_DATA!$CM$4:$CM$397),0)</f>
        <v>12483136</v>
      </c>
      <c r="D429" s="771">
        <f>Top20Deb3738[[#This Row],[Principal Outstanding Balance]]/Top20Deb3738[[#Totals],[Principal Outstanding Balance]]</f>
        <v>4.102734494513631E-2</v>
      </c>
      <c r="E429" s="772">
        <f>_xlfn.IFNA(_xlfn.XLOOKUP(A429,INPUT_DATA!$CK$4:$CK$397,INPUT_DATA!$CN$4:$CN$397),0)</f>
        <v>46</v>
      </c>
      <c r="F429" s="771">
        <f>Top20Deb3738[[#This Row],[Nb of Loans]]/Top20Deb3738[[#Totals],[Nb of Loans]]</f>
        <v>8.1560283687943269E-2</v>
      </c>
    </row>
    <row r="430" spans="1:8">
      <c r="A430" s="394" t="s">
        <v>512</v>
      </c>
      <c r="B430" s="389" t="s">
        <v>1132</v>
      </c>
      <c r="C430" s="390">
        <f>_xlfn.IFNA(_xlfn.XLOOKUP(A430,INPUT_DATA!$CK$4:$CK$397,INPUT_DATA!$CM$4:$CM$397),0)</f>
        <v>14110988</v>
      </c>
      <c r="D430" s="771">
        <f>Top20Deb3738[[#This Row],[Principal Outstanding Balance]]/Top20Deb3738[[#Totals],[Principal Outstanding Balance]]</f>
        <v>4.637747855928824E-2</v>
      </c>
      <c r="E430" s="772">
        <f>_xlfn.IFNA(_xlfn.XLOOKUP(A430,INPUT_DATA!$CK$4:$CK$397,INPUT_DATA!$CN$4:$CN$397),0)</f>
        <v>30</v>
      </c>
      <c r="F430" s="771">
        <f>Top20Deb3738[[#This Row],[Nb of Loans]]/Top20Deb3738[[#Totals],[Nb of Loans]]</f>
        <v>5.3191489361702128E-2</v>
      </c>
    </row>
    <row r="431" spans="1:8">
      <c r="A431" s="394" t="s">
        <v>514</v>
      </c>
      <c r="B431" s="389" t="s">
        <v>1133</v>
      </c>
      <c r="C431" s="390">
        <f>_xlfn.IFNA(_xlfn.XLOOKUP(A431,INPUT_DATA!$CK$4:$CK$397,INPUT_DATA!$CM$4:$CM$397),0)</f>
        <v>5033556</v>
      </c>
      <c r="D431" s="771">
        <f>Top20Deb3738[[#This Row],[Principal Outstanding Balance]]/Top20Deb3738[[#Totals],[Principal Outstanding Balance]]</f>
        <v>1.6543394088845989E-2</v>
      </c>
      <c r="E431" s="772">
        <f>_xlfn.IFNA(_xlfn.XLOOKUP(A431,INPUT_DATA!$CK$4:$CK$397,INPUT_DATA!$CN$4:$CN$397),0)</f>
        <v>23</v>
      </c>
      <c r="F431" s="771">
        <f>Top20Deb3738[[#This Row],[Nb of Loans]]/Top20Deb3738[[#Totals],[Nb of Loans]]</f>
        <v>4.0780141843971635E-2</v>
      </c>
    </row>
    <row r="432" spans="1:8">
      <c r="A432" s="394" t="s">
        <v>516</v>
      </c>
      <c r="B432" s="389" t="s">
        <v>1134</v>
      </c>
      <c r="C432" s="390">
        <f>_xlfn.IFNA(_xlfn.XLOOKUP(A432,INPUT_DATA!$CK$4:$CK$397,INPUT_DATA!$CM$4:$CM$397),0)</f>
        <v>0</v>
      </c>
      <c r="D432" s="771">
        <f>Top20Deb3738[[#This Row],[Principal Outstanding Balance]]/Top20Deb3738[[#Totals],[Principal Outstanding Balance]]</f>
        <v>0</v>
      </c>
      <c r="E432" s="772">
        <f>_xlfn.IFNA(_xlfn.XLOOKUP(A432,INPUT_DATA!$CK$4:$CK$397,INPUT_DATA!$CN$4:$CN$397),0)</f>
        <v>0</v>
      </c>
      <c r="F432" s="771">
        <f>Top20Deb3738[[#This Row],[Nb of Loans]]/Top20Deb3738[[#Totals],[Nb of Loans]]</f>
        <v>0</v>
      </c>
    </row>
    <row r="433" spans="1:6">
      <c r="A433" s="394" t="s">
        <v>1013</v>
      </c>
      <c r="B433" s="389" t="s">
        <v>1135</v>
      </c>
      <c r="C433" s="390">
        <f>_xlfn.IFNA(_xlfn.XLOOKUP(A433,INPUT_DATA!$CK$4:$CK$397,INPUT_DATA!$CM$4:$CM$397),0)</f>
        <v>565000</v>
      </c>
      <c r="D433" s="771">
        <f>Top20Deb3738[[#This Row],[Principal Outstanding Balance]]/Top20Deb3738[[#Totals],[Principal Outstanding Balance]]</f>
        <v>1.8569412280697746E-3</v>
      </c>
      <c r="E433" s="772">
        <f>_xlfn.IFNA(_xlfn.XLOOKUP(A433,INPUT_DATA!$CK$4:$CK$397,INPUT_DATA!$CN$4:$CN$397),0)</f>
        <v>2</v>
      </c>
      <c r="F433" s="771">
        <f>Top20Deb3738[[#This Row],[Nb of Loans]]/Top20Deb3738[[#Totals],[Nb of Loans]]</f>
        <v>3.5460992907801418E-3</v>
      </c>
    </row>
    <row r="434" spans="1:6">
      <c r="A434" s="394" t="s">
        <v>1014</v>
      </c>
      <c r="B434" s="389" t="s">
        <v>1136</v>
      </c>
      <c r="C434" s="390">
        <f>_xlfn.IFNA(_xlfn.XLOOKUP(A434,INPUT_DATA!$CK$4:$CK$397,INPUT_DATA!$CM$4:$CM$397),0)</f>
        <v>0</v>
      </c>
      <c r="D434" s="771">
        <f>Top20Deb3738[[#This Row],[Principal Outstanding Balance]]/Top20Deb3738[[#Totals],[Principal Outstanding Balance]]</f>
        <v>0</v>
      </c>
      <c r="E434" s="772">
        <f>_xlfn.IFNA(_xlfn.XLOOKUP(A434,INPUT_DATA!$CK$4:$CK$397,INPUT_DATA!$CN$4:$CN$397),0)</f>
        <v>0</v>
      </c>
      <c r="F434" s="771">
        <f>Top20Deb3738[[#This Row],[Nb of Loans]]/Top20Deb3738[[#Totals],[Nb of Loans]]</f>
        <v>0</v>
      </c>
    </row>
    <row r="435" spans="1:6">
      <c r="A435" s="394" t="s">
        <v>1015</v>
      </c>
      <c r="B435" s="389" t="s">
        <v>1137</v>
      </c>
      <c r="C435" s="390">
        <f>_xlfn.IFNA(_xlfn.XLOOKUP(A435,INPUT_DATA!$CK$4:$CK$397,INPUT_DATA!$CM$4:$CM$397),0)</f>
        <v>674960</v>
      </c>
      <c r="D435" s="771">
        <f>Top20Deb3738[[#This Row],[Principal Outstanding Balance]]/Top20Deb3738[[#Totals],[Principal Outstanding Balance]]</f>
        <v>2.2183381438902216E-3</v>
      </c>
      <c r="E435" s="772">
        <f>_xlfn.IFNA(_xlfn.XLOOKUP(A435,INPUT_DATA!$CK$4:$CK$397,INPUT_DATA!$CN$4:$CN$397),0)</f>
        <v>4</v>
      </c>
      <c r="F435" s="771">
        <f>Top20Deb3738[[#This Row],[Nb of Loans]]/Top20Deb3738[[#Totals],[Nb of Loans]]</f>
        <v>7.0921985815602835E-3</v>
      </c>
    </row>
    <row r="436" spans="1:6">
      <c r="A436" s="394" t="s">
        <v>1016</v>
      </c>
      <c r="B436" s="389" t="s">
        <v>1138</v>
      </c>
      <c r="C436" s="390">
        <f>_xlfn.IFNA(_xlfn.XLOOKUP(A436,INPUT_DATA!$CK$4:$CK$397,INPUT_DATA!$CM$4:$CM$397),0)</f>
        <v>111000</v>
      </c>
      <c r="D436" s="771">
        <f>Top20Deb3738[[#This Row],[Principal Outstanding Balance]]/Top20Deb3738[[#Totals],[Principal Outstanding Balance]]</f>
        <v>3.648150023287522E-4</v>
      </c>
      <c r="E436" s="772">
        <f>_xlfn.IFNA(_xlfn.XLOOKUP(A436,INPUT_DATA!$CK$4:$CK$397,INPUT_DATA!$CN$4:$CN$397),0)</f>
        <v>1</v>
      </c>
      <c r="F436" s="771">
        <f>Top20Deb3738[[#This Row],[Nb of Loans]]/Top20Deb3738[[#Totals],[Nb of Loans]]</f>
        <v>1.7730496453900709E-3</v>
      </c>
    </row>
    <row r="437" spans="1:6">
      <c r="A437" s="394" t="s">
        <v>1017</v>
      </c>
      <c r="B437" s="389" t="s">
        <v>1139</v>
      </c>
      <c r="C437" s="390">
        <f>_xlfn.IFNA(_xlfn.XLOOKUP(A437,INPUT_DATA!$CK$4:$CK$397,INPUT_DATA!$CM$4:$CM$397),0)</f>
        <v>1160000</v>
      </c>
      <c r="D437" s="771">
        <f>Top20Deb3738[[#This Row],[Principal Outstanding Balance]]/Top20Deb3738[[#Totals],[Principal Outstanding Balance]]</f>
        <v>3.8124811054175904E-3</v>
      </c>
      <c r="E437" s="772">
        <f>_xlfn.IFNA(_xlfn.XLOOKUP(A437,INPUT_DATA!$CK$4:$CK$397,INPUT_DATA!$CN$4:$CN$397),0)</f>
        <v>3</v>
      </c>
      <c r="F437" s="771">
        <f>Top20Deb3738[[#This Row],[Nb of Loans]]/Top20Deb3738[[#Totals],[Nb of Loans]]</f>
        <v>5.3191489361702126E-3</v>
      </c>
    </row>
    <row r="438" spans="1:6">
      <c r="A438" s="394" t="s">
        <v>1018</v>
      </c>
      <c r="B438" s="389" t="s">
        <v>1140</v>
      </c>
      <c r="C438" s="390">
        <f>_xlfn.IFNA(_xlfn.XLOOKUP(A438,INPUT_DATA!$CK$4:$CK$397,INPUT_DATA!$CM$4:$CM$397),0)</f>
        <v>0</v>
      </c>
      <c r="D438" s="771">
        <f>Top20Deb3738[[#This Row],[Principal Outstanding Balance]]/Top20Deb3738[[#Totals],[Principal Outstanding Balance]]</f>
        <v>0</v>
      </c>
      <c r="E438" s="772">
        <f>_xlfn.IFNA(_xlfn.XLOOKUP(A438,INPUT_DATA!$CK$4:$CK$397,INPUT_DATA!$CN$4:$CN$397),0)</f>
        <v>0</v>
      </c>
      <c r="F438" s="771">
        <f>Top20Deb3738[[#This Row],[Nb of Loans]]/Top20Deb3738[[#Totals],[Nb of Loans]]</f>
        <v>0</v>
      </c>
    </row>
    <row r="439" spans="1:6">
      <c r="A439" s="394" t="s">
        <v>1019</v>
      </c>
      <c r="B439" s="389" t="s">
        <v>1141</v>
      </c>
      <c r="C439" s="390">
        <f>_xlfn.IFNA(_xlfn.XLOOKUP(A439,INPUT_DATA!$CK$4:$CK$397,INPUT_DATA!$CM$4:$CM$397),0)</f>
        <v>0</v>
      </c>
      <c r="D439" s="771">
        <f>Top20Deb3738[[#This Row],[Principal Outstanding Balance]]/Top20Deb3738[[#Totals],[Principal Outstanding Balance]]</f>
        <v>0</v>
      </c>
      <c r="E439" s="772">
        <f>_xlfn.IFNA(_xlfn.XLOOKUP(A439,INPUT_DATA!$CK$4:$CK$397,INPUT_DATA!$CN$4:$CN$397),0)</f>
        <v>0</v>
      </c>
      <c r="F439" s="771">
        <f>Top20Deb3738[[#This Row],[Nb of Loans]]/Top20Deb3738[[#Totals],[Nb of Loans]]</f>
        <v>0</v>
      </c>
    </row>
    <row r="440" spans="1:6">
      <c r="A440" s="394" t="s">
        <v>1020</v>
      </c>
      <c r="B440" s="389" t="s">
        <v>1142</v>
      </c>
      <c r="C440" s="390">
        <f>_xlfn.IFNA(_xlfn.XLOOKUP(A440,INPUT_DATA!$CK$4:$CK$397,INPUT_DATA!$CM$4:$CM$397),0)</f>
        <v>0</v>
      </c>
      <c r="D440" s="771">
        <f>Top20Deb3738[[#This Row],[Principal Outstanding Balance]]/Top20Deb3738[[#Totals],[Principal Outstanding Balance]]</f>
        <v>0</v>
      </c>
      <c r="E440" s="772">
        <f>_xlfn.IFNA(_xlfn.XLOOKUP(A440,INPUT_DATA!$CK$4:$CK$397,INPUT_DATA!$CN$4:$CN$397),0)</f>
        <v>0</v>
      </c>
      <c r="F440" s="771">
        <f>Top20Deb3738[[#This Row],[Nb of Loans]]/Top20Deb3738[[#Totals],[Nb of Loans]]</f>
        <v>0</v>
      </c>
    </row>
    <row r="441" spans="1:6">
      <c r="A441" s="394" t="s">
        <v>1021</v>
      </c>
      <c r="B441" s="389" t="s">
        <v>1143</v>
      </c>
      <c r="C441" s="390">
        <f>_xlfn.IFNA(_xlfn.XLOOKUP(A441,INPUT_DATA!$CK$4:$CK$397,INPUT_DATA!$CM$4:$CM$397),0)</f>
        <v>0</v>
      </c>
      <c r="D441" s="771">
        <f>Top20Deb3738[[#This Row],[Principal Outstanding Balance]]/Top20Deb3738[[#Totals],[Principal Outstanding Balance]]</f>
        <v>0</v>
      </c>
      <c r="E441" s="772">
        <f>_xlfn.IFNA(_xlfn.XLOOKUP(A441,INPUT_DATA!$CK$4:$CK$397,INPUT_DATA!$CN$4:$CN$397),0)</f>
        <v>0</v>
      </c>
      <c r="F441" s="771">
        <f>Top20Deb3738[[#This Row],[Nb of Loans]]/Top20Deb3738[[#Totals],[Nb of Loans]]</f>
        <v>0</v>
      </c>
    </row>
    <row r="442" spans="1:6">
      <c r="A442" s="394" t="s">
        <v>1022</v>
      </c>
      <c r="B442" s="389" t="s">
        <v>1144</v>
      </c>
      <c r="C442" s="390">
        <f>_xlfn.IFNA(_xlfn.XLOOKUP(A442,INPUT_DATA!$CK$4:$CK$397,INPUT_DATA!$CM$4:$CM$397),0)</f>
        <v>750000</v>
      </c>
      <c r="D442" s="771">
        <f>Top20Deb3738[[#This Row],[Principal Outstanding Balance]]/Top20Deb3738[[#Totals],[Principal Outstanding Balance]]</f>
        <v>2.4649662319510286E-3</v>
      </c>
      <c r="E442" s="772">
        <f>_xlfn.IFNA(_xlfn.XLOOKUP(A442,INPUT_DATA!$CK$4:$CK$397,INPUT_DATA!$CN$4:$CN$397),0)</f>
        <v>1</v>
      </c>
      <c r="F442" s="771">
        <f>Top20Deb3738[[#This Row],[Nb of Loans]]/Top20Deb3738[[#Totals],[Nb of Loans]]</f>
        <v>1.7730496453900709E-3</v>
      </c>
    </row>
    <row r="443" spans="1:6">
      <c r="A443" s="394" t="s">
        <v>1023</v>
      </c>
      <c r="B443" s="389" t="s">
        <v>1145</v>
      </c>
      <c r="C443" s="390">
        <f>_xlfn.IFNA(_xlfn.XLOOKUP(A443,INPUT_DATA!$CK$4:$CK$397,INPUT_DATA!$CM$4:$CM$397),0)</f>
        <v>0</v>
      </c>
      <c r="D443" s="771">
        <f>Top20Deb3738[[#This Row],[Principal Outstanding Balance]]/Top20Deb3738[[#Totals],[Principal Outstanding Balance]]</f>
        <v>0</v>
      </c>
      <c r="E443" s="772">
        <f>_xlfn.IFNA(_xlfn.XLOOKUP(A443,INPUT_DATA!$CK$4:$CK$397,INPUT_DATA!$CN$4:$CN$397),0)</f>
        <v>0</v>
      </c>
      <c r="F443" s="771">
        <f>Top20Deb3738[[#This Row],[Nb of Loans]]/Top20Deb3738[[#Totals],[Nb of Loans]]</f>
        <v>0</v>
      </c>
    </row>
    <row r="444" spans="1:6">
      <c r="A444" s="394" t="s">
        <v>1024</v>
      </c>
      <c r="B444" s="389" t="s">
        <v>1146</v>
      </c>
      <c r="C444" s="390">
        <f>_xlfn.IFNA(_xlfn.XLOOKUP(A444,INPUT_DATA!$CK$4:$CK$397,INPUT_DATA!$CM$4:$CM$397),0)</f>
        <v>0</v>
      </c>
      <c r="D444" s="771">
        <f>Top20Deb3738[[#This Row],[Principal Outstanding Balance]]/Top20Deb3738[[#Totals],[Principal Outstanding Balance]]</f>
        <v>0</v>
      </c>
      <c r="E444" s="772">
        <f>_xlfn.IFNA(_xlfn.XLOOKUP(A444,INPUT_DATA!$CK$4:$CK$397,INPUT_DATA!$CN$4:$CN$397),0)</f>
        <v>0</v>
      </c>
      <c r="F444" s="771">
        <f>Top20Deb3738[[#This Row],[Nb of Loans]]/Top20Deb3738[[#Totals],[Nb of Loans]]</f>
        <v>0</v>
      </c>
    </row>
    <row r="445" spans="1:6">
      <c r="A445" s="394" t="s">
        <v>1025</v>
      </c>
      <c r="B445" s="389" t="s">
        <v>1147</v>
      </c>
      <c r="C445" s="390">
        <f>_xlfn.IFNA(_xlfn.XLOOKUP(A445,INPUT_DATA!$CK$4:$CK$397,INPUT_DATA!$CM$4:$CM$397),0)</f>
        <v>0</v>
      </c>
      <c r="D445" s="771">
        <f>Top20Deb3738[[#This Row],[Principal Outstanding Balance]]/Top20Deb3738[[#Totals],[Principal Outstanding Balance]]</f>
        <v>0</v>
      </c>
      <c r="E445" s="772">
        <f>_xlfn.IFNA(_xlfn.XLOOKUP(A445,INPUT_DATA!$CK$4:$CK$397,INPUT_DATA!$CN$4:$CN$397),0)</f>
        <v>0</v>
      </c>
      <c r="F445" s="771">
        <f>Top20Deb3738[[#This Row],[Nb of Loans]]/Top20Deb3738[[#Totals],[Nb of Loans]]</f>
        <v>0</v>
      </c>
    </row>
    <row r="446" spans="1:6">
      <c r="A446" s="394" t="s">
        <v>1026</v>
      </c>
      <c r="B446" s="389" t="s">
        <v>1148</v>
      </c>
      <c r="C446" s="390">
        <f>_xlfn.IFNA(_xlfn.XLOOKUP(A446,INPUT_DATA!$CK$4:$CK$397,INPUT_DATA!$CM$4:$CM$397),0)</f>
        <v>3596000</v>
      </c>
      <c r="D446" s="771">
        <f>Top20Deb3738[[#This Row],[Principal Outstanding Balance]]/Top20Deb3738[[#Totals],[Principal Outstanding Balance]]</f>
        <v>1.1818691426794531E-2</v>
      </c>
      <c r="E446" s="772">
        <f>_xlfn.IFNA(_xlfn.XLOOKUP(A446,INPUT_DATA!$CK$4:$CK$397,INPUT_DATA!$CN$4:$CN$397),0)</f>
        <v>5</v>
      </c>
      <c r="F446" s="771">
        <f>Top20Deb3738[[#This Row],[Nb of Loans]]/Top20Deb3738[[#Totals],[Nb of Loans]]</f>
        <v>8.8652482269503553E-3</v>
      </c>
    </row>
    <row r="447" spans="1:6">
      <c r="A447" s="394" t="s">
        <v>1027</v>
      </c>
      <c r="B447" s="389" t="s">
        <v>1149</v>
      </c>
      <c r="C447" s="390">
        <f>_xlfn.IFNA(_xlfn.XLOOKUP(A447,INPUT_DATA!$CK$4:$CK$397,INPUT_DATA!$CM$4:$CM$397),0)</f>
        <v>0</v>
      </c>
      <c r="D447" s="771">
        <f>Top20Deb3738[[#This Row],[Principal Outstanding Balance]]/Top20Deb3738[[#Totals],[Principal Outstanding Balance]]</f>
        <v>0</v>
      </c>
      <c r="E447" s="772">
        <f>_xlfn.IFNA(_xlfn.XLOOKUP(A447,INPUT_DATA!$CK$4:$CK$397,INPUT_DATA!$CN$4:$CN$397),0)</f>
        <v>0</v>
      </c>
      <c r="F447" s="771">
        <f>Top20Deb3738[[#This Row],[Nb of Loans]]/Top20Deb3738[[#Totals],[Nb of Loans]]</f>
        <v>0</v>
      </c>
    </row>
    <row r="448" spans="1:6">
      <c r="A448" s="394" t="s">
        <v>1028</v>
      </c>
      <c r="B448" s="389" t="s">
        <v>1150</v>
      </c>
      <c r="C448" s="390">
        <f>_xlfn.IFNA(_xlfn.XLOOKUP(A448,INPUT_DATA!$CK$4:$CK$397,INPUT_DATA!$CM$4:$CM$397),0)</f>
        <v>0</v>
      </c>
      <c r="D448" s="771">
        <f>Top20Deb3738[[#This Row],[Principal Outstanding Balance]]/Top20Deb3738[[#Totals],[Principal Outstanding Balance]]</f>
        <v>0</v>
      </c>
      <c r="E448" s="772">
        <f>_xlfn.IFNA(_xlfn.XLOOKUP(A448,INPUT_DATA!$CK$4:$CK$397,INPUT_DATA!$CN$4:$CN$397),0)</f>
        <v>0</v>
      </c>
      <c r="F448" s="771">
        <f>Top20Deb3738[[#This Row],[Nb of Loans]]/Top20Deb3738[[#Totals],[Nb of Loans]]</f>
        <v>0</v>
      </c>
    </row>
    <row r="449" spans="1:6">
      <c r="A449" s="394" t="s">
        <v>1029</v>
      </c>
      <c r="B449" s="389" t="s">
        <v>1151</v>
      </c>
      <c r="C449" s="390">
        <f>_xlfn.IFNA(_xlfn.XLOOKUP(A449,INPUT_DATA!$CK$4:$CK$397,INPUT_DATA!$CM$4:$CM$397),0)</f>
        <v>1136550</v>
      </c>
      <c r="D449" s="771">
        <f>Top20Deb3738[[#This Row],[Principal Outstanding Balance]]/Top20Deb3738[[#Totals],[Principal Outstanding Balance]]</f>
        <v>3.7354098278985885E-3</v>
      </c>
      <c r="E449" s="772">
        <f>_xlfn.IFNA(_xlfn.XLOOKUP(A449,INPUT_DATA!$CK$4:$CK$397,INPUT_DATA!$CN$4:$CN$397),0)</f>
        <v>5</v>
      </c>
      <c r="F449" s="771">
        <f>Top20Deb3738[[#This Row],[Nb of Loans]]/Top20Deb3738[[#Totals],[Nb of Loans]]</f>
        <v>8.8652482269503553E-3</v>
      </c>
    </row>
    <row r="450" spans="1:6">
      <c r="A450" s="394" t="s">
        <v>1030</v>
      </c>
      <c r="B450" s="389" t="s">
        <v>1152</v>
      </c>
      <c r="C450" s="390">
        <f>_xlfn.IFNA(_xlfn.XLOOKUP(A450,INPUT_DATA!$CK$4:$CK$397,INPUT_DATA!$CM$4:$CM$397),0)</f>
        <v>875000</v>
      </c>
      <c r="D450" s="771">
        <f>Top20Deb3738[[#This Row],[Principal Outstanding Balance]]/Top20Deb3738[[#Totals],[Principal Outstanding Balance]]</f>
        <v>2.8757939372761995E-3</v>
      </c>
      <c r="E450" s="772">
        <f>_xlfn.IFNA(_xlfn.XLOOKUP(A450,INPUT_DATA!$CK$4:$CK$397,INPUT_DATA!$CN$4:$CN$397),0)</f>
        <v>3</v>
      </c>
      <c r="F450" s="771">
        <f>Top20Deb3738[[#This Row],[Nb of Loans]]/Top20Deb3738[[#Totals],[Nb of Loans]]</f>
        <v>5.3191489361702126E-3</v>
      </c>
    </row>
    <row r="451" spans="1:6">
      <c r="A451" s="394" t="s">
        <v>1031</v>
      </c>
      <c r="B451" s="389" t="s">
        <v>1153</v>
      </c>
      <c r="C451" s="390">
        <f>_xlfn.IFNA(_xlfn.XLOOKUP(A451,INPUT_DATA!$CK$4:$CK$397,INPUT_DATA!$CM$4:$CM$397),0)</f>
        <v>2920700</v>
      </c>
      <c r="D451" s="771">
        <f>Top20Deb3738[[#This Row],[Principal Outstanding Balance]]/Top20Deb3738[[#Totals],[Principal Outstanding Balance]]</f>
        <v>9.5992358315458246E-3</v>
      </c>
      <c r="E451" s="772">
        <f>_xlfn.IFNA(_xlfn.XLOOKUP(A451,INPUT_DATA!$CK$4:$CK$397,INPUT_DATA!$CN$4:$CN$397),0)</f>
        <v>9</v>
      </c>
      <c r="F451" s="771">
        <f>Top20Deb3738[[#This Row],[Nb of Loans]]/Top20Deb3738[[#Totals],[Nb of Loans]]</f>
        <v>1.5957446808510637E-2</v>
      </c>
    </row>
    <row r="452" spans="1:6">
      <c r="A452" s="394" t="s">
        <v>1032</v>
      </c>
      <c r="B452" s="389" t="s">
        <v>1154</v>
      </c>
      <c r="C452" s="390">
        <f>_xlfn.IFNA(_xlfn.XLOOKUP(A452,INPUT_DATA!$CK$4:$CK$397,INPUT_DATA!$CM$4:$CM$397),0)</f>
        <v>1824500</v>
      </c>
      <c r="D452" s="771">
        <f>Top20Deb3738[[#This Row],[Principal Outstanding Balance]]/Top20Deb3738[[#Totals],[Principal Outstanding Balance]]</f>
        <v>5.9964411869262019E-3</v>
      </c>
      <c r="E452" s="772">
        <f>_xlfn.IFNA(_xlfn.XLOOKUP(A452,INPUT_DATA!$CK$4:$CK$397,INPUT_DATA!$CN$4:$CN$397),0)</f>
        <v>4</v>
      </c>
      <c r="F452" s="771">
        <f>Top20Deb3738[[#This Row],[Nb of Loans]]/Top20Deb3738[[#Totals],[Nb of Loans]]</f>
        <v>7.0921985815602835E-3</v>
      </c>
    </row>
    <row r="453" spans="1:6">
      <c r="A453" s="394" t="s">
        <v>1033</v>
      </c>
      <c r="B453" s="389" t="s">
        <v>1155</v>
      </c>
      <c r="C453" s="390">
        <f>_xlfn.IFNA(_xlfn.XLOOKUP(A453,INPUT_DATA!$CK$4:$CK$397,INPUT_DATA!$CM$4:$CM$397),0)</f>
        <v>355000</v>
      </c>
      <c r="D453" s="771">
        <f>Top20Deb3738[[#This Row],[Principal Outstanding Balance]]/Top20Deb3738[[#Totals],[Principal Outstanding Balance]]</f>
        <v>1.1667506831234868E-3</v>
      </c>
      <c r="E453" s="772">
        <f>_xlfn.IFNA(_xlfn.XLOOKUP(A453,INPUT_DATA!$CK$4:$CK$397,INPUT_DATA!$CN$4:$CN$397),0)</f>
        <v>1</v>
      </c>
      <c r="F453" s="771">
        <f>Top20Deb3738[[#This Row],[Nb of Loans]]/Top20Deb3738[[#Totals],[Nb of Loans]]</f>
        <v>1.7730496453900709E-3</v>
      </c>
    </row>
    <row r="454" spans="1:6">
      <c r="A454" s="394" t="s">
        <v>1034</v>
      </c>
      <c r="B454" s="389" t="s">
        <v>1156</v>
      </c>
      <c r="C454" s="390">
        <f>_xlfn.IFNA(_xlfn.XLOOKUP(A454,INPUT_DATA!$CK$4:$CK$397,INPUT_DATA!$CM$4:$CM$397),0)</f>
        <v>761000</v>
      </c>
      <c r="D454" s="771">
        <f>Top20Deb3738[[#This Row],[Principal Outstanding Balance]]/Top20Deb3738[[#Totals],[Principal Outstanding Balance]]</f>
        <v>2.5011190700196433E-3</v>
      </c>
      <c r="E454" s="772">
        <f>_xlfn.IFNA(_xlfn.XLOOKUP(A454,INPUT_DATA!$CK$4:$CK$397,INPUT_DATA!$CN$4:$CN$397),0)</f>
        <v>3</v>
      </c>
      <c r="F454" s="771">
        <f>Top20Deb3738[[#This Row],[Nb of Loans]]/Top20Deb3738[[#Totals],[Nb of Loans]]</f>
        <v>5.3191489361702126E-3</v>
      </c>
    </row>
    <row r="455" spans="1:6">
      <c r="A455" s="394" t="s">
        <v>1035</v>
      </c>
      <c r="B455" s="389" t="s">
        <v>1157</v>
      </c>
      <c r="C455" s="390">
        <f>_xlfn.IFNA(_xlfn.XLOOKUP(A455,INPUT_DATA!$CK$4:$CK$397,INPUT_DATA!$CM$4:$CM$397),0)</f>
        <v>110000</v>
      </c>
      <c r="D455" s="771">
        <f>Top20Deb3738[[#This Row],[Principal Outstanding Balance]]/Top20Deb3738[[#Totals],[Principal Outstanding Balance]]</f>
        <v>3.615283806861508E-4</v>
      </c>
      <c r="E455" s="772">
        <f>_xlfn.IFNA(_xlfn.XLOOKUP(A455,INPUT_DATA!$CK$4:$CK$397,INPUT_DATA!$CN$4:$CN$397),0)</f>
        <v>1</v>
      </c>
      <c r="F455" s="771">
        <f>Top20Deb3738[[#This Row],[Nb of Loans]]/Top20Deb3738[[#Totals],[Nb of Loans]]</f>
        <v>1.7730496453900709E-3</v>
      </c>
    </row>
    <row r="456" spans="1:6">
      <c r="A456" s="394" t="s">
        <v>1036</v>
      </c>
      <c r="B456" s="389" t="s">
        <v>1158</v>
      </c>
      <c r="C456" s="390">
        <f>_xlfn.IFNA(_xlfn.XLOOKUP(A456,INPUT_DATA!$CK$4:$CK$397,INPUT_DATA!$CM$4:$CM$397),0)</f>
        <v>2699000</v>
      </c>
      <c r="D456" s="771">
        <f>Top20Deb3738[[#This Row],[Principal Outstanding Balance]]/Top20Deb3738[[#Totals],[Principal Outstanding Balance]]</f>
        <v>8.8705918133811009E-3</v>
      </c>
      <c r="E456" s="772">
        <f>_xlfn.IFNA(_xlfn.XLOOKUP(A456,INPUT_DATA!$CK$4:$CK$397,INPUT_DATA!$CN$4:$CN$397),0)</f>
        <v>6</v>
      </c>
      <c r="F456" s="771">
        <f>Top20Deb3738[[#This Row],[Nb of Loans]]/Top20Deb3738[[#Totals],[Nb of Loans]]</f>
        <v>1.0638297872340425E-2</v>
      </c>
    </row>
    <row r="457" spans="1:6">
      <c r="A457" s="394" t="s">
        <v>1037</v>
      </c>
      <c r="B457" s="389" t="s">
        <v>1159</v>
      </c>
      <c r="C457" s="390">
        <f>_xlfn.IFNA(_xlfn.XLOOKUP(A457,INPUT_DATA!$CK$4:$CK$397,INPUT_DATA!$CM$4:$CM$397),0)</f>
        <v>0</v>
      </c>
      <c r="D457" s="771">
        <f>Top20Deb3738[[#This Row],[Principal Outstanding Balance]]/Top20Deb3738[[#Totals],[Principal Outstanding Balance]]</f>
        <v>0</v>
      </c>
      <c r="E457" s="772">
        <f>_xlfn.IFNA(_xlfn.XLOOKUP(A457,INPUT_DATA!$CK$4:$CK$397,INPUT_DATA!$CN$4:$CN$397),0)</f>
        <v>0</v>
      </c>
      <c r="F457" s="771">
        <f>Top20Deb3738[[#This Row],[Nb of Loans]]/Top20Deb3738[[#Totals],[Nb of Loans]]</f>
        <v>0</v>
      </c>
    </row>
    <row r="458" spans="1:6">
      <c r="A458" s="394" t="s">
        <v>1038</v>
      </c>
      <c r="B458" s="389" t="s">
        <v>1160</v>
      </c>
      <c r="C458" s="390">
        <f>_xlfn.IFNA(_xlfn.XLOOKUP(A458,INPUT_DATA!$CK$4:$CK$397,INPUT_DATA!$CM$4:$CM$397),0)</f>
        <v>0</v>
      </c>
      <c r="D458" s="771">
        <f>Top20Deb3738[[#This Row],[Principal Outstanding Balance]]/Top20Deb3738[[#Totals],[Principal Outstanding Balance]]</f>
        <v>0</v>
      </c>
      <c r="E458" s="772">
        <f>_xlfn.IFNA(_xlfn.XLOOKUP(A458,INPUT_DATA!$CK$4:$CK$397,INPUT_DATA!$CN$4:$CN$397),0)</f>
        <v>0</v>
      </c>
      <c r="F458" s="771">
        <f>Top20Deb3738[[#This Row],[Nb of Loans]]/Top20Deb3738[[#Totals],[Nb of Loans]]</f>
        <v>0</v>
      </c>
    </row>
    <row r="459" spans="1:6">
      <c r="A459" s="394" t="s">
        <v>1039</v>
      </c>
      <c r="B459" s="389" t="s">
        <v>1161</v>
      </c>
      <c r="C459" s="390">
        <f>_xlfn.IFNA(_xlfn.XLOOKUP(A459,INPUT_DATA!$CK$4:$CK$397,INPUT_DATA!$CM$4:$CM$397),0)</f>
        <v>0</v>
      </c>
      <c r="D459" s="771">
        <f>Top20Deb3738[[#This Row],[Principal Outstanding Balance]]/Top20Deb3738[[#Totals],[Principal Outstanding Balance]]</f>
        <v>0</v>
      </c>
      <c r="E459" s="772">
        <f>_xlfn.IFNA(_xlfn.XLOOKUP(A459,INPUT_DATA!$CK$4:$CK$397,INPUT_DATA!$CN$4:$CN$397),0)</f>
        <v>0</v>
      </c>
      <c r="F459" s="771">
        <f>Top20Deb3738[[#This Row],[Nb of Loans]]/Top20Deb3738[[#Totals],[Nb of Loans]]</f>
        <v>0</v>
      </c>
    </row>
    <row r="460" spans="1:6">
      <c r="A460" s="394" t="s">
        <v>1040</v>
      </c>
      <c r="B460" s="389" t="s">
        <v>1162</v>
      </c>
      <c r="C460" s="390">
        <f>_xlfn.IFNA(_xlfn.XLOOKUP(A460,INPUT_DATA!$CK$4:$CK$397,INPUT_DATA!$CM$4:$CM$397),0)</f>
        <v>0</v>
      </c>
      <c r="D460" s="771">
        <f>Top20Deb3738[[#This Row],[Principal Outstanding Balance]]/Top20Deb3738[[#Totals],[Principal Outstanding Balance]]</f>
        <v>0</v>
      </c>
      <c r="E460" s="772">
        <f>_xlfn.IFNA(_xlfn.XLOOKUP(A460,INPUT_DATA!$CK$4:$CK$397,INPUT_DATA!$CN$4:$CN$397),0)</f>
        <v>0</v>
      </c>
      <c r="F460" s="771">
        <f>Top20Deb3738[[#This Row],[Nb of Loans]]/Top20Deb3738[[#Totals],[Nb of Loans]]</f>
        <v>0</v>
      </c>
    </row>
    <row r="461" spans="1:6">
      <c r="A461" s="394" t="s">
        <v>1041</v>
      </c>
      <c r="B461" s="389" t="s">
        <v>1163</v>
      </c>
      <c r="C461" s="390">
        <f>_xlfn.IFNA(_xlfn.XLOOKUP(A461,INPUT_DATA!$CK$4:$CK$397,INPUT_DATA!$CM$4:$CM$397),0)</f>
        <v>0</v>
      </c>
      <c r="D461" s="771">
        <f>Top20Deb3738[[#This Row],[Principal Outstanding Balance]]/Top20Deb3738[[#Totals],[Principal Outstanding Balance]]</f>
        <v>0</v>
      </c>
      <c r="E461" s="772">
        <f>_xlfn.IFNA(_xlfn.XLOOKUP(A461,INPUT_DATA!$CK$4:$CK$397,INPUT_DATA!$CN$4:$CN$397),0)</f>
        <v>0</v>
      </c>
      <c r="F461" s="771">
        <f>Top20Deb3738[[#This Row],[Nb of Loans]]/Top20Deb3738[[#Totals],[Nb of Loans]]</f>
        <v>0</v>
      </c>
    </row>
    <row r="462" spans="1:6">
      <c r="A462" s="394" t="s">
        <v>1042</v>
      </c>
      <c r="B462" s="389" t="s">
        <v>1164</v>
      </c>
      <c r="C462" s="390">
        <f>_xlfn.IFNA(_xlfn.XLOOKUP(A462,INPUT_DATA!$CK$4:$CK$397,INPUT_DATA!$CM$4:$CM$397),0)</f>
        <v>295000</v>
      </c>
      <c r="D462" s="771">
        <f>Top20Deb3738[[#This Row],[Principal Outstanding Balance]]/Top20Deb3738[[#Totals],[Principal Outstanding Balance]]</f>
        <v>9.6955338456740446E-4</v>
      </c>
      <c r="E462" s="772">
        <f>_xlfn.IFNA(_xlfn.XLOOKUP(A462,INPUT_DATA!$CK$4:$CK$397,INPUT_DATA!$CN$4:$CN$397),0)</f>
        <v>1</v>
      </c>
      <c r="F462" s="771">
        <f>Top20Deb3738[[#This Row],[Nb of Loans]]/Top20Deb3738[[#Totals],[Nb of Loans]]</f>
        <v>1.7730496453900709E-3</v>
      </c>
    </row>
    <row r="463" spans="1:6">
      <c r="A463" s="394" t="s">
        <v>1043</v>
      </c>
      <c r="B463" s="389" t="s">
        <v>1165</v>
      </c>
      <c r="C463" s="390">
        <f>_xlfn.IFNA(_xlfn.XLOOKUP(A463,INPUT_DATA!$CK$4:$CK$397,INPUT_DATA!$CM$4:$CM$397),0)</f>
        <v>0</v>
      </c>
      <c r="D463" s="771">
        <f>Top20Deb3738[[#This Row],[Principal Outstanding Balance]]/Top20Deb3738[[#Totals],[Principal Outstanding Balance]]</f>
        <v>0</v>
      </c>
      <c r="E463" s="772">
        <f>_xlfn.IFNA(_xlfn.XLOOKUP(A463,INPUT_DATA!$CK$4:$CK$397,INPUT_DATA!$CN$4:$CN$397),0)</f>
        <v>0</v>
      </c>
      <c r="F463" s="771">
        <f>Top20Deb3738[[#This Row],[Nb of Loans]]/Top20Deb3738[[#Totals],[Nb of Loans]]</f>
        <v>0</v>
      </c>
    </row>
    <row r="464" spans="1:6">
      <c r="A464" s="394" t="s">
        <v>1044</v>
      </c>
      <c r="B464" s="389" t="s">
        <v>1166</v>
      </c>
      <c r="C464" s="390">
        <f>_xlfn.IFNA(_xlfn.XLOOKUP(A464,INPUT_DATA!$CK$4:$CK$397,INPUT_DATA!$CM$4:$CM$397),0)</f>
        <v>1490000</v>
      </c>
      <c r="D464" s="771">
        <f>Top20Deb3738[[#This Row],[Principal Outstanding Balance]]/Top20Deb3738[[#Totals],[Principal Outstanding Balance]]</f>
        <v>4.8970662474760434E-3</v>
      </c>
      <c r="E464" s="772">
        <f>_xlfn.IFNA(_xlfn.XLOOKUP(A464,INPUT_DATA!$CK$4:$CK$397,INPUT_DATA!$CN$4:$CN$397),0)</f>
        <v>3</v>
      </c>
      <c r="F464" s="771">
        <f>Top20Deb3738[[#This Row],[Nb of Loans]]/Top20Deb3738[[#Totals],[Nb of Loans]]</f>
        <v>5.3191489361702126E-3</v>
      </c>
    </row>
    <row r="465" spans="1:6">
      <c r="A465" s="394" t="s">
        <v>1045</v>
      </c>
      <c r="B465" s="389" t="s">
        <v>1167</v>
      </c>
      <c r="C465" s="390">
        <f>_xlfn.IFNA(_xlfn.XLOOKUP(A465,INPUT_DATA!$CK$4:$CK$397,INPUT_DATA!$CM$4:$CM$397),0)</f>
        <v>0</v>
      </c>
      <c r="D465" s="771">
        <f>Top20Deb3738[[#This Row],[Principal Outstanding Balance]]/Top20Deb3738[[#Totals],[Principal Outstanding Balance]]</f>
        <v>0</v>
      </c>
      <c r="E465" s="772">
        <f>_xlfn.IFNA(_xlfn.XLOOKUP(A465,INPUT_DATA!$CK$4:$CK$397,INPUT_DATA!$CN$4:$CN$397),0)</f>
        <v>0</v>
      </c>
      <c r="F465" s="771">
        <f>Top20Deb3738[[#This Row],[Nb of Loans]]/Top20Deb3738[[#Totals],[Nb of Loans]]</f>
        <v>0</v>
      </c>
    </row>
    <row r="466" spans="1:6">
      <c r="A466" s="394" t="s">
        <v>1046</v>
      </c>
      <c r="B466" s="389" t="s">
        <v>1168</v>
      </c>
      <c r="C466" s="390">
        <f>_xlfn.IFNA(_xlfn.XLOOKUP(A466,INPUT_DATA!$CK$4:$CK$397,INPUT_DATA!$CM$4:$CM$397),0)</f>
        <v>2345000</v>
      </c>
      <c r="D466" s="771">
        <f>Top20Deb3738[[#This Row],[Principal Outstanding Balance]]/Top20Deb3738[[#Totals],[Principal Outstanding Balance]]</f>
        <v>7.7071277519002151E-3</v>
      </c>
      <c r="E466" s="772">
        <f>_xlfn.IFNA(_xlfn.XLOOKUP(A466,INPUT_DATA!$CK$4:$CK$397,INPUT_DATA!$CN$4:$CN$397),0)</f>
        <v>8</v>
      </c>
      <c r="F466" s="771">
        <f>Top20Deb3738[[#This Row],[Nb of Loans]]/Top20Deb3738[[#Totals],[Nb of Loans]]</f>
        <v>1.4184397163120567E-2</v>
      </c>
    </row>
    <row r="467" spans="1:6">
      <c r="A467" s="394" t="s">
        <v>1047</v>
      </c>
      <c r="B467" s="389" t="s">
        <v>1169</v>
      </c>
      <c r="C467" s="390">
        <f>_xlfn.IFNA(_xlfn.XLOOKUP(A467,INPUT_DATA!$CK$4:$CK$397,INPUT_DATA!$CM$4:$CM$397),0)</f>
        <v>130000</v>
      </c>
      <c r="D467" s="771">
        <f>Top20Deb3738[[#This Row],[Principal Outstanding Balance]]/Top20Deb3738[[#Totals],[Principal Outstanding Balance]]</f>
        <v>4.2726081353817823E-4</v>
      </c>
      <c r="E467" s="772">
        <f>_xlfn.IFNA(_xlfn.XLOOKUP(A467,INPUT_DATA!$CK$4:$CK$397,INPUT_DATA!$CN$4:$CN$397),0)</f>
        <v>1</v>
      </c>
      <c r="F467" s="771">
        <f>Top20Deb3738[[#This Row],[Nb of Loans]]/Top20Deb3738[[#Totals],[Nb of Loans]]</f>
        <v>1.7730496453900709E-3</v>
      </c>
    </row>
    <row r="468" spans="1:6">
      <c r="A468" s="394" t="s">
        <v>1048</v>
      </c>
      <c r="B468" s="389" t="s">
        <v>1170</v>
      </c>
      <c r="C468" s="390">
        <f>_xlfn.IFNA(_xlfn.XLOOKUP(A468,INPUT_DATA!$CK$4:$CK$397,INPUT_DATA!$CM$4:$CM$397),0)</f>
        <v>124000</v>
      </c>
      <c r="D468" s="771">
        <f>Top20Deb3738[[#This Row],[Principal Outstanding Balance]]/Top20Deb3738[[#Totals],[Principal Outstanding Balance]]</f>
        <v>4.0754108368257002E-4</v>
      </c>
      <c r="E468" s="772">
        <f>_xlfn.IFNA(_xlfn.XLOOKUP(A468,INPUT_DATA!$CK$4:$CK$397,INPUT_DATA!$CN$4:$CN$397),0)</f>
        <v>1</v>
      </c>
      <c r="F468" s="771">
        <f>Top20Deb3738[[#This Row],[Nb of Loans]]/Top20Deb3738[[#Totals],[Nb of Loans]]</f>
        <v>1.7730496453900709E-3</v>
      </c>
    </row>
    <row r="469" spans="1:6">
      <c r="A469" s="394" t="s">
        <v>1049</v>
      </c>
      <c r="B469" s="389" t="s">
        <v>1171</v>
      </c>
      <c r="C469" s="390">
        <f>_xlfn.IFNA(_xlfn.XLOOKUP(A469,INPUT_DATA!$CK$4:$CK$397,INPUT_DATA!$CM$4:$CM$397),0)</f>
        <v>415050</v>
      </c>
      <c r="D469" s="771">
        <f>Top20Deb3738[[#This Row],[Principal Outstanding Balance]]/Top20Deb3738[[#Totals],[Principal Outstanding Balance]]</f>
        <v>1.3641123127616991E-3</v>
      </c>
      <c r="E469" s="772">
        <f>_xlfn.IFNA(_xlfn.XLOOKUP(A469,INPUT_DATA!$CK$4:$CK$397,INPUT_DATA!$CN$4:$CN$397),0)</f>
        <v>2</v>
      </c>
      <c r="F469" s="771">
        <f>Top20Deb3738[[#This Row],[Nb of Loans]]/Top20Deb3738[[#Totals],[Nb of Loans]]</f>
        <v>3.5460992907801418E-3</v>
      </c>
    </row>
    <row r="470" spans="1:6">
      <c r="A470" s="394" t="s">
        <v>1050</v>
      </c>
      <c r="B470" s="389" t="s">
        <v>1172</v>
      </c>
      <c r="C470" s="390">
        <f>_xlfn.IFNA(_xlfn.XLOOKUP(A470,INPUT_DATA!$CK$4:$CK$397,INPUT_DATA!$CM$4:$CM$397),0)</f>
        <v>1348813</v>
      </c>
      <c r="D470" s="771">
        <f>Top20Deb3738[[#This Row],[Principal Outstanding Balance]]/Top20Deb3738[[#Totals],[Principal Outstanding Balance]]</f>
        <v>4.4330379976220829E-3</v>
      </c>
      <c r="E470" s="772">
        <f>_xlfn.IFNA(_xlfn.XLOOKUP(A470,INPUT_DATA!$CK$4:$CK$397,INPUT_DATA!$CN$4:$CN$397),0)</f>
        <v>3</v>
      </c>
      <c r="F470" s="771">
        <f>Top20Deb3738[[#This Row],[Nb of Loans]]/Top20Deb3738[[#Totals],[Nb of Loans]]</f>
        <v>5.3191489361702126E-3</v>
      </c>
    </row>
    <row r="471" spans="1:6">
      <c r="A471" s="394" t="s">
        <v>1051</v>
      </c>
      <c r="B471" s="389" t="s">
        <v>1173</v>
      </c>
      <c r="C471" s="390">
        <f>_xlfn.IFNA(_xlfn.XLOOKUP(A471,INPUT_DATA!$CK$4:$CK$397,INPUT_DATA!$CM$4:$CM$397),0)</f>
        <v>141700</v>
      </c>
      <c r="D471" s="771">
        <f>Top20Deb3738[[#This Row],[Principal Outstanding Balance]]/Top20Deb3738[[#Totals],[Principal Outstanding Balance]]</f>
        <v>4.6571428675661427E-4</v>
      </c>
      <c r="E471" s="772">
        <f>_xlfn.IFNA(_xlfn.XLOOKUP(A471,INPUT_DATA!$CK$4:$CK$397,INPUT_DATA!$CN$4:$CN$397),0)</f>
        <v>1</v>
      </c>
      <c r="F471" s="771">
        <f>Top20Deb3738[[#This Row],[Nb of Loans]]/Top20Deb3738[[#Totals],[Nb of Loans]]</f>
        <v>1.7730496453900709E-3</v>
      </c>
    </row>
    <row r="472" spans="1:6">
      <c r="A472" s="394" t="s">
        <v>1052</v>
      </c>
      <c r="B472" s="389" t="s">
        <v>1174</v>
      </c>
      <c r="C472" s="390">
        <f>_xlfn.IFNA(_xlfn.XLOOKUP(A472,INPUT_DATA!$CK$4:$CK$397,INPUT_DATA!$CM$4:$CM$397),0)</f>
        <v>510000</v>
      </c>
      <c r="D472" s="771">
        <f>Top20Deb3738[[#This Row],[Principal Outstanding Balance]]/Top20Deb3738[[#Totals],[Principal Outstanding Balance]]</f>
        <v>1.6761770377266992E-3</v>
      </c>
      <c r="E472" s="772">
        <f>_xlfn.IFNA(_xlfn.XLOOKUP(A472,INPUT_DATA!$CK$4:$CK$397,INPUT_DATA!$CN$4:$CN$397),0)</f>
        <v>2</v>
      </c>
      <c r="F472" s="771">
        <f>Top20Deb3738[[#This Row],[Nb of Loans]]/Top20Deb3738[[#Totals],[Nb of Loans]]</f>
        <v>3.5460992907801418E-3</v>
      </c>
    </row>
    <row r="473" spans="1:6">
      <c r="A473" s="394" t="s">
        <v>1053</v>
      </c>
      <c r="B473" s="389" t="s">
        <v>1175</v>
      </c>
      <c r="C473" s="390">
        <f>_xlfn.IFNA(_xlfn.XLOOKUP(A473,INPUT_DATA!$CK$4:$CK$397,INPUT_DATA!$CM$4:$CM$397),0)</f>
        <v>2946418</v>
      </c>
      <c r="D473" s="771">
        <f>Top20Deb3738[[#This Row],[Principal Outstanding Balance]]/Top20Deb3738[[#Totals],[Principal Outstanding Balance]]</f>
        <v>9.6837611669502461E-3</v>
      </c>
      <c r="E473" s="772">
        <f>_xlfn.IFNA(_xlfn.XLOOKUP(A473,INPUT_DATA!$CK$4:$CK$397,INPUT_DATA!$CN$4:$CN$397),0)</f>
        <v>7</v>
      </c>
      <c r="F473" s="771">
        <f>Top20Deb3738[[#This Row],[Nb of Loans]]/Top20Deb3738[[#Totals],[Nb of Loans]]</f>
        <v>1.2411347517730497E-2</v>
      </c>
    </row>
    <row r="474" spans="1:6">
      <c r="A474" s="394" t="s">
        <v>1054</v>
      </c>
      <c r="B474" s="389" t="s">
        <v>1176</v>
      </c>
      <c r="C474" s="390">
        <f>_xlfn.IFNA(_xlfn.XLOOKUP(A474,INPUT_DATA!$CK$4:$CK$397,INPUT_DATA!$CM$4:$CM$397),0)</f>
        <v>2381483</v>
      </c>
      <c r="D474" s="771">
        <f>Top20Deb3738[[#This Row],[Principal Outstanding Balance]]/Top20Deb3738[[#Totals],[Principal Outstanding Balance]]</f>
        <v>7.8270335692872412E-3</v>
      </c>
      <c r="E474" s="772">
        <f>_xlfn.IFNA(_xlfn.XLOOKUP(A474,INPUT_DATA!$CK$4:$CK$397,INPUT_DATA!$CN$4:$CN$397),0)</f>
        <v>8</v>
      </c>
      <c r="F474" s="771">
        <f>Top20Deb3738[[#This Row],[Nb of Loans]]/Top20Deb3738[[#Totals],[Nb of Loans]]</f>
        <v>1.4184397163120567E-2</v>
      </c>
    </row>
    <row r="475" spans="1:6">
      <c r="A475" s="394" t="s">
        <v>1055</v>
      </c>
      <c r="B475" s="389" t="s">
        <v>1177</v>
      </c>
      <c r="C475" s="390">
        <f>_xlfn.IFNA(_xlfn.XLOOKUP(A475,INPUT_DATA!$CK$4:$CK$397,INPUT_DATA!$CM$4:$CM$397),0)</f>
        <v>739996</v>
      </c>
      <c r="D475" s="771">
        <f>Top20Deb3738[[#This Row],[Principal Outstanding Balance]]/Top20Deb3738[[#Totals],[Principal Outstanding Balance]]</f>
        <v>2.432086869038444E-3</v>
      </c>
      <c r="E475" s="772">
        <f>_xlfn.IFNA(_xlfn.XLOOKUP(A475,INPUT_DATA!$CK$4:$CK$397,INPUT_DATA!$CN$4:$CN$397),0)</f>
        <v>3</v>
      </c>
      <c r="F475" s="771">
        <f>Top20Deb3738[[#This Row],[Nb of Loans]]/Top20Deb3738[[#Totals],[Nb of Loans]]</f>
        <v>5.3191489361702126E-3</v>
      </c>
    </row>
    <row r="476" spans="1:6">
      <c r="A476" s="394" t="s">
        <v>1056</v>
      </c>
      <c r="B476" s="389" t="s">
        <v>1178</v>
      </c>
      <c r="C476" s="390">
        <f>_xlfn.IFNA(_xlfn.XLOOKUP(A476,INPUT_DATA!$CK$4:$CK$397,INPUT_DATA!$CM$4:$CM$397),0)</f>
        <v>12714035</v>
      </c>
      <c r="D476" s="771">
        <f>Top20Deb3738[[#This Row],[Principal Outstanding Balance]]/Top20Deb3738[[#Totals],[Principal Outstanding Balance]]</f>
        <v>4.1786222595791324E-2</v>
      </c>
      <c r="E476" s="772">
        <f>_xlfn.IFNA(_xlfn.XLOOKUP(A476,INPUT_DATA!$CK$4:$CK$397,INPUT_DATA!$CN$4:$CN$397),0)</f>
        <v>24</v>
      </c>
      <c r="F476" s="771">
        <f>Top20Deb3738[[#This Row],[Nb of Loans]]/Top20Deb3738[[#Totals],[Nb of Loans]]</f>
        <v>4.2553191489361701E-2</v>
      </c>
    </row>
    <row r="477" spans="1:6">
      <c r="A477" s="394" t="s">
        <v>1057</v>
      </c>
      <c r="B477" s="389" t="s">
        <v>1179</v>
      </c>
      <c r="C477" s="390">
        <f>_xlfn.IFNA(_xlfn.XLOOKUP(A477,INPUT_DATA!$CK$4:$CK$397,INPUT_DATA!$CM$4:$CM$397),0)</f>
        <v>1810750</v>
      </c>
      <c r="D477" s="771">
        <f>Top20Deb3738[[#This Row],[Principal Outstanding Balance]]/Top20Deb3738[[#Totals],[Principal Outstanding Balance]]</f>
        <v>5.9512501393404332E-3</v>
      </c>
      <c r="E477" s="772">
        <f>_xlfn.IFNA(_xlfn.XLOOKUP(A477,INPUT_DATA!$CK$4:$CK$397,INPUT_DATA!$CN$4:$CN$397),0)</f>
        <v>5</v>
      </c>
      <c r="F477" s="771">
        <f>Top20Deb3738[[#This Row],[Nb of Loans]]/Top20Deb3738[[#Totals],[Nb of Loans]]</f>
        <v>8.8652482269503553E-3</v>
      </c>
    </row>
    <row r="478" spans="1:6">
      <c r="A478" s="394" t="s">
        <v>1058</v>
      </c>
      <c r="B478" s="389" t="s">
        <v>1180</v>
      </c>
      <c r="C478" s="390">
        <f>_xlfn.IFNA(_xlfn.XLOOKUP(A478,INPUT_DATA!$CK$4:$CK$397,INPUT_DATA!$CM$4:$CM$397),0)</f>
        <v>230000</v>
      </c>
      <c r="D478" s="771">
        <f>Top20Deb3738[[#This Row],[Principal Outstanding Balance]]/Top20Deb3738[[#Totals],[Principal Outstanding Balance]]</f>
        <v>7.5592297779831532E-4</v>
      </c>
      <c r="E478" s="772">
        <f>_xlfn.IFNA(_xlfn.XLOOKUP(A478,INPUT_DATA!$CK$4:$CK$397,INPUT_DATA!$CN$4:$CN$397),0)</f>
        <v>1</v>
      </c>
      <c r="F478" s="771">
        <f>Top20Deb3738[[#This Row],[Nb of Loans]]/Top20Deb3738[[#Totals],[Nb of Loans]]</f>
        <v>1.7730496453900709E-3</v>
      </c>
    </row>
    <row r="479" spans="1:6">
      <c r="A479" s="394" t="s">
        <v>1059</v>
      </c>
      <c r="B479" s="389" t="s">
        <v>1181</v>
      </c>
      <c r="C479" s="390">
        <f>_xlfn.IFNA(_xlfn.XLOOKUP(A479,INPUT_DATA!$CK$4:$CK$397,INPUT_DATA!$CM$4:$CM$397),0)</f>
        <v>3337195</v>
      </c>
      <c r="D479" s="771">
        <f>Top20Deb3738[[#This Row],[Principal Outstanding Balance]]/Top20Deb3738[[#Totals],[Principal Outstanding Balance]]</f>
        <v>1.0968097312581082E-2</v>
      </c>
      <c r="E479" s="772">
        <f>_xlfn.IFNA(_xlfn.XLOOKUP(A479,INPUT_DATA!$CK$4:$CK$397,INPUT_DATA!$CN$4:$CN$397),0)</f>
        <v>4</v>
      </c>
      <c r="F479" s="771">
        <f>Top20Deb3738[[#This Row],[Nb of Loans]]/Top20Deb3738[[#Totals],[Nb of Loans]]</f>
        <v>7.0921985815602835E-3</v>
      </c>
    </row>
    <row r="480" spans="1:6">
      <c r="A480" s="394" t="s">
        <v>1060</v>
      </c>
      <c r="B480" s="389" t="s">
        <v>1182</v>
      </c>
      <c r="C480" s="390">
        <f>_xlfn.IFNA(_xlfn.XLOOKUP(A480,INPUT_DATA!$CK$4:$CK$397,INPUT_DATA!$CM$4:$CM$397),0)</f>
        <v>0</v>
      </c>
      <c r="D480" s="771">
        <f>Top20Deb3738[[#This Row],[Principal Outstanding Balance]]/Top20Deb3738[[#Totals],[Principal Outstanding Balance]]</f>
        <v>0</v>
      </c>
      <c r="E480" s="772">
        <f>_xlfn.IFNA(_xlfn.XLOOKUP(A480,INPUT_DATA!$CK$4:$CK$397,INPUT_DATA!$CN$4:$CN$397),0)</f>
        <v>0</v>
      </c>
      <c r="F480" s="771">
        <f>Top20Deb3738[[#This Row],[Nb of Loans]]/Top20Deb3738[[#Totals],[Nb of Loans]]</f>
        <v>0</v>
      </c>
    </row>
    <row r="481" spans="1:6">
      <c r="A481" s="394" t="s">
        <v>1061</v>
      </c>
      <c r="B481" s="389" t="s">
        <v>1183</v>
      </c>
      <c r="C481" s="390">
        <f>_xlfn.IFNA(_xlfn.XLOOKUP(A481,INPUT_DATA!$CK$4:$CK$397,INPUT_DATA!$CM$4:$CM$397),0)</f>
        <v>0</v>
      </c>
      <c r="D481" s="771">
        <f>Top20Deb3738[[#This Row],[Principal Outstanding Balance]]/Top20Deb3738[[#Totals],[Principal Outstanding Balance]]</f>
        <v>0</v>
      </c>
      <c r="E481" s="772">
        <f>_xlfn.IFNA(_xlfn.XLOOKUP(A481,INPUT_DATA!$CK$4:$CK$397,INPUT_DATA!$CN$4:$CN$397),0)</f>
        <v>0</v>
      </c>
      <c r="F481" s="771">
        <f>Top20Deb3738[[#This Row],[Nb of Loans]]/Top20Deb3738[[#Totals],[Nb of Loans]]</f>
        <v>0</v>
      </c>
    </row>
    <row r="482" spans="1:6">
      <c r="A482" s="394" t="s">
        <v>1062</v>
      </c>
      <c r="B482" s="389" t="s">
        <v>1184</v>
      </c>
      <c r="C482" s="390">
        <f>_xlfn.IFNA(_xlfn.XLOOKUP(A482,INPUT_DATA!$CK$4:$CK$397,INPUT_DATA!$CM$4:$CM$397),0)</f>
        <v>0</v>
      </c>
      <c r="D482" s="771">
        <f>Top20Deb3738[[#This Row],[Principal Outstanding Balance]]/Top20Deb3738[[#Totals],[Principal Outstanding Balance]]</f>
        <v>0</v>
      </c>
      <c r="E482" s="772">
        <f>_xlfn.IFNA(_xlfn.XLOOKUP(A482,INPUT_DATA!$CK$4:$CK$397,INPUT_DATA!$CN$4:$CN$397),0)</f>
        <v>0</v>
      </c>
      <c r="F482" s="771">
        <f>Top20Deb3738[[#This Row],[Nb of Loans]]/Top20Deb3738[[#Totals],[Nb of Loans]]</f>
        <v>0</v>
      </c>
    </row>
    <row r="483" spans="1:6">
      <c r="A483" s="394" t="s">
        <v>1063</v>
      </c>
      <c r="B483" s="389" t="s">
        <v>1185</v>
      </c>
      <c r="C483" s="390">
        <f>_xlfn.IFNA(_xlfn.XLOOKUP(A483,INPUT_DATA!$CK$4:$CK$397,INPUT_DATA!$CM$4:$CM$397),0)</f>
        <v>223000</v>
      </c>
      <c r="D483" s="771">
        <f>Top20Deb3738[[#This Row],[Principal Outstanding Balance]]/Top20Deb3738[[#Totals],[Principal Outstanding Balance]]</f>
        <v>7.3291662630010576E-4</v>
      </c>
      <c r="E483" s="772">
        <f>_xlfn.IFNA(_xlfn.XLOOKUP(A483,INPUT_DATA!$CK$4:$CK$397,INPUT_DATA!$CN$4:$CN$397),0)</f>
        <v>1</v>
      </c>
      <c r="F483" s="771">
        <f>Top20Deb3738[[#This Row],[Nb of Loans]]/Top20Deb3738[[#Totals],[Nb of Loans]]</f>
        <v>1.7730496453900709E-3</v>
      </c>
    </row>
    <row r="484" spans="1:6">
      <c r="A484" s="394" t="s">
        <v>1064</v>
      </c>
      <c r="B484" s="389" t="s">
        <v>1186</v>
      </c>
      <c r="C484" s="390">
        <f>_xlfn.IFNA(_xlfn.XLOOKUP(A484,INPUT_DATA!$CK$4:$CK$397,INPUT_DATA!$CM$4:$CM$397),0)</f>
        <v>1140000</v>
      </c>
      <c r="D484" s="771">
        <f>Top20Deb3738[[#This Row],[Principal Outstanding Balance]]/Top20Deb3738[[#Totals],[Principal Outstanding Balance]]</f>
        <v>3.746748672565563E-3</v>
      </c>
      <c r="E484" s="772">
        <f>_xlfn.IFNA(_xlfn.XLOOKUP(A484,INPUT_DATA!$CK$4:$CK$397,INPUT_DATA!$CN$4:$CN$397),0)</f>
        <v>4</v>
      </c>
      <c r="F484" s="771">
        <f>Top20Deb3738[[#This Row],[Nb of Loans]]/Top20Deb3738[[#Totals],[Nb of Loans]]</f>
        <v>7.0921985815602835E-3</v>
      </c>
    </row>
    <row r="485" spans="1:6">
      <c r="A485" s="394" t="s">
        <v>1065</v>
      </c>
      <c r="B485" s="389" t="s">
        <v>1187</v>
      </c>
      <c r="C485" s="390">
        <f>_xlfn.IFNA(_xlfn.XLOOKUP(A485,INPUT_DATA!$CK$4:$CK$397,INPUT_DATA!$CM$4:$CM$397),0)</f>
        <v>165000</v>
      </c>
      <c r="D485" s="771">
        <f>Top20Deb3738[[#This Row],[Principal Outstanding Balance]]/Top20Deb3738[[#Totals],[Principal Outstanding Balance]]</f>
        <v>5.4229257102922628E-4</v>
      </c>
      <c r="E485" s="772">
        <f>_xlfn.IFNA(_xlfn.XLOOKUP(A485,INPUT_DATA!$CK$4:$CK$397,INPUT_DATA!$CN$4:$CN$397),0)</f>
        <v>1</v>
      </c>
      <c r="F485" s="771">
        <f>Top20Deb3738[[#This Row],[Nb of Loans]]/Top20Deb3738[[#Totals],[Nb of Loans]]</f>
        <v>1.7730496453900709E-3</v>
      </c>
    </row>
    <row r="486" spans="1:6">
      <c r="A486" s="394" t="s">
        <v>1066</v>
      </c>
      <c r="B486" s="389" t="s">
        <v>1188</v>
      </c>
      <c r="C486" s="390">
        <f>_xlfn.IFNA(_xlfn.XLOOKUP(A486,INPUT_DATA!$CK$4:$CK$397,INPUT_DATA!$CM$4:$CM$397),0)</f>
        <v>0</v>
      </c>
      <c r="D486" s="771">
        <f>Top20Deb3738[[#This Row],[Principal Outstanding Balance]]/Top20Deb3738[[#Totals],[Principal Outstanding Balance]]</f>
        <v>0</v>
      </c>
      <c r="E486" s="772">
        <f>_xlfn.IFNA(_xlfn.XLOOKUP(A486,INPUT_DATA!$CK$4:$CK$397,INPUT_DATA!$CN$4:$CN$397),0)</f>
        <v>0</v>
      </c>
      <c r="F486" s="771">
        <f>Top20Deb3738[[#This Row],[Nb of Loans]]/Top20Deb3738[[#Totals],[Nb of Loans]]</f>
        <v>0</v>
      </c>
    </row>
    <row r="487" spans="1:6">
      <c r="A487" s="394" t="s">
        <v>1067</v>
      </c>
      <c r="B487" s="389" t="s">
        <v>1189</v>
      </c>
      <c r="C487" s="390">
        <f>_xlfn.IFNA(_xlfn.XLOOKUP(A487,INPUT_DATA!$CK$4:$CK$397,INPUT_DATA!$CM$4:$CM$397),0)</f>
        <v>835000</v>
      </c>
      <c r="D487" s="771">
        <f>Top20Deb3738[[#This Row],[Principal Outstanding Balance]]/Top20Deb3738[[#Totals],[Principal Outstanding Balance]]</f>
        <v>2.7443290715721451E-3</v>
      </c>
      <c r="E487" s="772">
        <f>_xlfn.IFNA(_xlfn.XLOOKUP(A487,INPUT_DATA!$CK$4:$CK$397,INPUT_DATA!$CN$4:$CN$397),0)</f>
        <v>3</v>
      </c>
      <c r="F487" s="771">
        <f>Top20Deb3738[[#This Row],[Nb of Loans]]/Top20Deb3738[[#Totals],[Nb of Loans]]</f>
        <v>5.3191489361702126E-3</v>
      </c>
    </row>
    <row r="488" spans="1:6">
      <c r="A488" s="394" t="s">
        <v>1068</v>
      </c>
      <c r="B488" s="389" t="s">
        <v>1190</v>
      </c>
      <c r="C488" s="390">
        <f>_xlfn.IFNA(_xlfn.XLOOKUP(A488,INPUT_DATA!$CK$4:$CK$397,INPUT_DATA!$CM$4:$CM$397),0)</f>
        <v>5010130</v>
      </c>
      <c r="D488" s="771">
        <f>Top20Deb3738[[#This Row],[Principal Outstanding Balance]]/Top20Deb3738[[#Totals],[Principal Outstanding Balance]]</f>
        <v>1.6466401690246407E-2</v>
      </c>
      <c r="E488" s="772">
        <f>_xlfn.IFNA(_xlfn.XLOOKUP(A488,INPUT_DATA!$CK$4:$CK$397,INPUT_DATA!$CN$4:$CN$397),0)</f>
        <v>7</v>
      </c>
      <c r="F488" s="771">
        <f>Top20Deb3738[[#This Row],[Nb of Loans]]/Top20Deb3738[[#Totals],[Nb of Loans]]</f>
        <v>1.2411347517730497E-2</v>
      </c>
    </row>
    <row r="489" spans="1:6">
      <c r="A489" s="394" t="s">
        <v>1069</v>
      </c>
      <c r="B489" s="389" t="s">
        <v>1191</v>
      </c>
      <c r="C489" s="390">
        <f>_xlfn.IFNA(_xlfn.XLOOKUP(A489,INPUT_DATA!$CK$4:$CK$397,INPUT_DATA!$CM$4:$CM$397),0)</f>
        <v>2150259</v>
      </c>
      <c r="D489" s="771">
        <f>Top20Deb3738[[#This Row],[Principal Outstanding Balance]]/Top20Deb3738[[#Totals],[Principal Outstanding Balance]]</f>
        <v>7.0670877665983817E-3</v>
      </c>
      <c r="E489" s="772">
        <f>_xlfn.IFNA(_xlfn.XLOOKUP(A489,INPUT_DATA!$CK$4:$CK$397,INPUT_DATA!$CN$4:$CN$397),0)</f>
        <v>10</v>
      </c>
      <c r="F489" s="771">
        <f>Top20Deb3738[[#This Row],[Nb of Loans]]/Top20Deb3738[[#Totals],[Nb of Loans]]</f>
        <v>1.7730496453900711E-2</v>
      </c>
    </row>
    <row r="490" spans="1:6">
      <c r="A490" s="394" t="s">
        <v>1070</v>
      </c>
      <c r="B490" s="389" t="s">
        <v>1192</v>
      </c>
      <c r="C490" s="390">
        <f>_xlfn.IFNA(_xlfn.XLOOKUP(A490,INPUT_DATA!$CK$4:$CK$397,INPUT_DATA!$CM$4:$CM$397),0)</f>
        <v>0</v>
      </c>
      <c r="D490" s="771">
        <f>Top20Deb3738[[#This Row],[Principal Outstanding Balance]]/Top20Deb3738[[#Totals],[Principal Outstanding Balance]]</f>
        <v>0</v>
      </c>
      <c r="E490" s="772">
        <f>_xlfn.IFNA(_xlfn.XLOOKUP(A490,INPUT_DATA!$CK$4:$CK$397,INPUT_DATA!$CN$4:$CN$397),0)</f>
        <v>0</v>
      </c>
      <c r="F490" s="771">
        <f>Top20Deb3738[[#This Row],[Nb of Loans]]/Top20Deb3738[[#Totals],[Nb of Loans]]</f>
        <v>0</v>
      </c>
    </row>
    <row r="491" spans="1:6">
      <c r="A491" s="394" t="s">
        <v>1071</v>
      </c>
      <c r="B491" s="389" t="s">
        <v>1193</v>
      </c>
      <c r="C491" s="390">
        <f>_xlfn.IFNA(_xlfn.XLOOKUP(A491,INPUT_DATA!$CK$4:$CK$397,INPUT_DATA!$CM$4:$CM$397),0)</f>
        <v>250000</v>
      </c>
      <c r="D491" s="771">
        <f>Top20Deb3738[[#This Row],[Principal Outstanding Balance]]/Top20Deb3738[[#Totals],[Principal Outstanding Balance]]</f>
        <v>8.2165541065034274E-4</v>
      </c>
      <c r="E491" s="772">
        <f>_xlfn.IFNA(_xlfn.XLOOKUP(A491,INPUT_DATA!$CK$4:$CK$397,INPUT_DATA!$CN$4:$CN$397),0)</f>
        <v>1</v>
      </c>
      <c r="F491" s="771">
        <f>Top20Deb3738[[#This Row],[Nb of Loans]]/Top20Deb3738[[#Totals],[Nb of Loans]]</f>
        <v>1.7730496453900709E-3</v>
      </c>
    </row>
    <row r="492" spans="1:6">
      <c r="A492" s="394" t="s">
        <v>1072</v>
      </c>
      <c r="B492" s="389" t="s">
        <v>1194</v>
      </c>
      <c r="C492" s="390">
        <f>_xlfn.IFNA(_xlfn.XLOOKUP(A492,INPUT_DATA!$CK$4:$CK$397,INPUT_DATA!$CM$4:$CM$397),0)</f>
        <v>0</v>
      </c>
      <c r="D492" s="771">
        <f>Top20Deb3738[[#This Row],[Principal Outstanding Balance]]/Top20Deb3738[[#Totals],[Principal Outstanding Balance]]</f>
        <v>0</v>
      </c>
      <c r="E492" s="772">
        <f>_xlfn.IFNA(_xlfn.XLOOKUP(A492,INPUT_DATA!$CK$4:$CK$397,INPUT_DATA!$CN$4:$CN$397),0)</f>
        <v>0</v>
      </c>
      <c r="F492" s="771">
        <f>Top20Deb3738[[#This Row],[Nb of Loans]]/Top20Deb3738[[#Totals],[Nb of Loans]]</f>
        <v>0</v>
      </c>
    </row>
    <row r="493" spans="1:6">
      <c r="A493" s="394" t="s">
        <v>1073</v>
      </c>
      <c r="B493" s="389" t="s">
        <v>1195</v>
      </c>
      <c r="C493" s="390">
        <f>_xlfn.IFNA(_xlfn.XLOOKUP(A493,INPUT_DATA!$CK$4:$CK$397,INPUT_DATA!$CM$4:$CM$397),0)</f>
        <v>0</v>
      </c>
      <c r="D493" s="771">
        <f>Top20Deb3738[[#This Row],[Principal Outstanding Balance]]/Top20Deb3738[[#Totals],[Principal Outstanding Balance]]</f>
        <v>0</v>
      </c>
      <c r="E493" s="772">
        <f>_xlfn.IFNA(_xlfn.XLOOKUP(A493,INPUT_DATA!$CK$4:$CK$397,INPUT_DATA!$CN$4:$CN$397),0)</f>
        <v>0</v>
      </c>
      <c r="F493" s="771">
        <f>Top20Deb3738[[#This Row],[Nb of Loans]]/Top20Deb3738[[#Totals],[Nb of Loans]]</f>
        <v>0</v>
      </c>
    </row>
    <row r="494" spans="1:6">
      <c r="A494" s="394" t="s">
        <v>1074</v>
      </c>
      <c r="B494" s="389" t="s">
        <v>1196</v>
      </c>
      <c r="C494" s="390">
        <f>_xlfn.IFNA(_xlfn.XLOOKUP(A494,INPUT_DATA!$CK$4:$CK$397,INPUT_DATA!$CM$4:$CM$397),0)</f>
        <v>5506900</v>
      </c>
      <c r="D494" s="771">
        <f>Top20Deb3738[[#This Row],[Principal Outstanding Balance]]/Top20Deb3738[[#Totals],[Principal Outstanding Balance]]</f>
        <v>1.8099096723641492E-2</v>
      </c>
      <c r="E494" s="772">
        <f>_xlfn.IFNA(_xlfn.XLOOKUP(A494,INPUT_DATA!$CK$4:$CK$397,INPUT_DATA!$CN$4:$CN$397),0)</f>
        <v>15</v>
      </c>
      <c r="F494" s="771">
        <f>Top20Deb3738[[#This Row],[Nb of Loans]]/Top20Deb3738[[#Totals],[Nb of Loans]]</f>
        <v>2.6595744680851064E-2</v>
      </c>
    </row>
    <row r="495" spans="1:6">
      <c r="A495" s="394" t="s">
        <v>1075</v>
      </c>
      <c r="B495" s="389" t="s">
        <v>1197</v>
      </c>
      <c r="C495" s="390">
        <f>_xlfn.IFNA(_xlfn.XLOOKUP(A495,INPUT_DATA!$CK$4:$CK$397,INPUT_DATA!$CM$4:$CM$397),0)</f>
        <v>0</v>
      </c>
      <c r="D495" s="771">
        <f>Top20Deb3738[[#This Row],[Principal Outstanding Balance]]/Top20Deb3738[[#Totals],[Principal Outstanding Balance]]</f>
        <v>0</v>
      </c>
      <c r="E495" s="772">
        <f>_xlfn.IFNA(_xlfn.XLOOKUP(A495,INPUT_DATA!$CK$4:$CK$397,INPUT_DATA!$CN$4:$CN$397),0)</f>
        <v>0</v>
      </c>
      <c r="F495" s="771">
        <f>Top20Deb3738[[#This Row],[Nb of Loans]]/Top20Deb3738[[#Totals],[Nb of Loans]]</f>
        <v>0</v>
      </c>
    </row>
    <row r="496" spans="1:6">
      <c r="A496" s="394" t="s">
        <v>1076</v>
      </c>
      <c r="B496" s="389" t="s">
        <v>1198</v>
      </c>
      <c r="C496" s="390">
        <f>_xlfn.IFNA(_xlfn.XLOOKUP(A496,INPUT_DATA!$CK$4:$CK$397,INPUT_DATA!$CM$4:$CM$397),0)</f>
        <v>0</v>
      </c>
      <c r="D496" s="771">
        <f>Top20Deb3738[[#This Row],[Principal Outstanding Balance]]/Top20Deb3738[[#Totals],[Principal Outstanding Balance]]</f>
        <v>0</v>
      </c>
      <c r="E496" s="772">
        <f>_xlfn.IFNA(_xlfn.XLOOKUP(A496,INPUT_DATA!$CK$4:$CK$397,INPUT_DATA!$CN$4:$CN$397),0)</f>
        <v>0</v>
      </c>
      <c r="F496" s="771">
        <f>Top20Deb3738[[#This Row],[Nb of Loans]]/Top20Deb3738[[#Totals],[Nb of Loans]]</f>
        <v>0</v>
      </c>
    </row>
    <row r="497" spans="1:6">
      <c r="A497" s="394" t="s">
        <v>1077</v>
      </c>
      <c r="B497" s="389" t="s">
        <v>1199</v>
      </c>
      <c r="C497" s="390">
        <f>_xlfn.IFNA(_xlfn.XLOOKUP(A497,INPUT_DATA!$CK$4:$CK$397,INPUT_DATA!$CM$4:$CM$397),0)</f>
        <v>331500</v>
      </c>
      <c r="D497" s="771">
        <f>Top20Deb3738[[#This Row],[Principal Outstanding Balance]]/Top20Deb3738[[#Totals],[Principal Outstanding Balance]]</f>
        <v>1.0895150745223545E-3</v>
      </c>
      <c r="E497" s="772">
        <f>_xlfn.IFNA(_xlfn.XLOOKUP(A497,INPUT_DATA!$CK$4:$CK$397,INPUT_DATA!$CN$4:$CN$397),0)</f>
        <v>1</v>
      </c>
      <c r="F497" s="771">
        <f>Top20Deb3738[[#This Row],[Nb of Loans]]/Top20Deb3738[[#Totals],[Nb of Loans]]</f>
        <v>1.7730496453900709E-3</v>
      </c>
    </row>
    <row r="498" spans="1:6">
      <c r="A498" s="394" t="s">
        <v>1078</v>
      </c>
      <c r="B498" s="389" t="s">
        <v>1200</v>
      </c>
      <c r="C498" s="390">
        <f>_xlfn.IFNA(_xlfn.XLOOKUP(A498,INPUT_DATA!$CK$4:$CK$397,INPUT_DATA!$CM$4:$CM$397),0)</f>
        <v>0</v>
      </c>
      <c r="D498" s="771">
        <f>Top20Deb3738[[#This Row],[Principal Outstanding Balance]]/Top20Deb3738[[#Totals],[Principal Outstanding Balance]]</f>
        <v>0</v>
      </c>
      <c r="E498" s="772">
        <f>_xlfn.IFNA(_xlfn.XLOOKUP(A498,INPUT_DATA!$CK$4:$CK$397,INPUT_DATA!$CN$4:$CN$397),0)</f>
        <v>0</v>
      </c>
      <c r="F498" s="771">
        <f>Top20Deb3738[[#This Row],[Nb of Loans]]/Top20Deb3738[[#Totals],[Nb of Loans]]</f>
        <v>0</v>
      </c>
    </row>
    <row r="499" spans="1:6">
      <c r="A499" s="394" t="s">
        <v>1079</v>
      </c>
      <c r="B499" s="389" t="s">
        <v>1201</v>
      </c>
      <c r="C499" s="390">
        <f>_xlfn.IFNA(_xlfn.XLOOKUP(A499,INPUT_DATA!$CK$4:$CK$397,INPUT_DATA!$CM$4:$CM$397),0)</f>
        <v>330000</v>
      </c>
      <c r="D499" s="771">
        <f>Top20Deb3738[[#This Row],[Principal Outstanding Balance]]/Top20Deb3738[[#Totals],[Principal Outstanding Balance]]</f>
        <v>1.0845851420584526E-3</v>
      </c>
      <c r="E499" s="772">
        <f>_xlfn.IFNA(_xlfn.XLOOKUP(A499,INPUT_DATA!$CK$4:$CK$397,INPUT_DATA!$CN$4:$CN$397),0)</f>
        <v>1</v>
      </c>
      <c r="F499" s="771">
        <f>Top20Deb3738[[#This Row],[Nb of Loans]]/Top20Deb3738[[#Totals],[Nb of Loans]]</f>
        <v>1.7730496453900709E-3</v>
      </c>
    </row>
    <row r="500" spans="1:6">
      <c r="A500" s="394" t="s">
        <v>1080</v>
      </c>
      <c r="B500" s="389" t="s">
        <v>1202</v>
      </c>
      <c r="C500" s="390">
        <f>_xlfn.IFNA(_xlfn.XLOOKUP(A500,INPUT_DATA!$CK$4:$CK$397,INPUT_DATA!$CM$4:$CM$397),0)</f>
        <v>0</v>
      </c>
      <c r="D500" s="771">
        <f>Top20Deb3738[[#This Row],[Principal Outstanding Balance]]/Top20Deb3738[[#Totals],[Principal Outstanding Balance]]</f>
        <v>0</v>
      </c>
      <c r="E500" s="772">
        <f>_xlfn.IFNA(_xlfn.XLOOKUP(A500,INPUT_DATA!$CK$4:$CK$397,INPUT_DATA!$CN$4:$CN$397),0)</f>
        <v>0</v>
      </c>
      <c r="F500" s="771">
        <f>Top20Deb3738[[#This Row],[Nb of Loans]]/Top20Deb3738[[#Totals],[Nb of Loans]]</f>
        <v>0</v>
      </c>
    </row>
    <row r="501" spans="1:6">
      <c r="A501" s="394" t="s">
        <v>1081</v>
      </c>
      <c r="B501" s="389" t="s">
        <v>1203</v>
      </c>
      <c r="C501" s="390">
        <f>_xlfn.IFNA(_xlfn.XLOOKUP(A501,INPUT_DATA!$CK$4:$CK$397,INPUT_DATA!$CM$4:$CM$397),0)</f>
        <v>0</v>
      </c>
      <c r="D501" s="771">
        <f>Top20Deb3738[[#This Row],[Principal Outstanding Balance]]/Top20Deb3738[[#Totals],[Principal Outstanding Balance]]</f>
        <v>0</v>
      </c>
      <c r="E501" s="772">
        <f>_xlfn.IFNA(_xlfn.XLOOKUP(A501,INPUT_DATA!$CK$4:$CK$397,INPUT_DATA!$CN$4:$CN$397),0)</f>
        <v>0</v>
      </c>
      <c r="F501" s="771">
        <f>Top20Deb3738[[#This Row],[Nb of Loans]]/Top20Deb3738[[#Totals],[Nb of Loans]]</f>
        <v>0</v>
      </c>
    </row>
    <row r="502" spans="1:6">
      <c r="A502" s="394" t="s">
        <v>1082</v>
      </c>
      <c r="B502" s="389" t="s">
        <v>1204</v>
      </c>
      <c r="C502" s="390">
        <f>_xlfn.IFNA(_xlfn.XLOOKUP(A502,INPUT_DATA!$CK$4:$CK$397,INPUT_DATA!$CM$4:$CM$397),0)</f>
        <v>0</v>
      </c>
      <c r="D502" s="771">
        <f>Top20Deb3738[[#This Row],[Principal Outstanding Balance]]/Top20Deb3738[[#Totals],[Principal Outstanding Balance]]</f>
        <v>0</v>
      </c>
      <c r="E502" s="772">
        <f>_xlfn.IFNA(_xlfn.XLOOKUP(A502,INPUT_DATA!$CK$4:$CK$397,INPUT_DATA!$CN$4:$CN$397),0)</f>
        <v>0</v>
      </c>
      <c r="F502" s="771">
        <f>Top20Deb3738[[#This Row],[Nb of Loans]]/Top20Deb3738[[#Totals],[Nb of Loans]]</f>
        <v>0</v>
      </c>
    </row>
    <row r="503" spans="1:6">
      <c r="A503" s="394" t="s">
        <v>1083</v>
      </c>
      <c r="B503" s="389" t="s">
        <v>1205</v>
      </c>
      <c r="C503" s="390">
        <f>_xlfn.IFNA(_xlfn.XLOOKUP(A503,INPUT_DATA!$CK$4:$CK$397,INPUT_DATA!$CM$4:$CM$397),0)</f>
        <v>735081</v>
      </c>
      <c r="D503" s="771">
        <f>Top20Deb3738[[#This Row],[Principal Outstanding Balance]]/Top20Deb3738[[#Totals],[Principal Outstanding Balance]]</f>
        <v>2.4159331236650585E-3</v>
      </c>
      <c r="E503" s="772">
        <f>_xlfn.IFNA(_xlfn.XLOOKUP(A503,INPUT_DATA!$CK$4:$CK$397,INPUT_DATA!$CN$4:$CN$397),0)</f>
        <v>2</v>
      </c>
      <c r="F503" s="771">
        <f>Top20Deb3738[[#This Row],[Nb of Loans]]/Top20Deb3738[[#Totals],[Nb of Loans]]</f>
        <v>3.5460992907801418E-3</v>
      </c>
    </row>
    <row r="504" spans="1:6">
      <c r="A504" s="394" t="s">
        <v>1084</v>
      </c>
      <c r="B504" s="389" t="s">
        <v>1206</v>
      </c>
      <c r="C504" s="390">
        <f>_xlfn.IFNA(_xlfn.XLOOKUP(A504,INPUT_DATA!$CK$4:$CK$397,INPUT_DATA!$CM$4:$CM$397),0)</f>
        <v>2231177</v>
      </c>
      <c r="D504" s="771">
        <f>Top20Deb3738[[#This Row],[Principal Outstanding Balance]]/Top20Deb3738[[#Totals],[Principal Outstanding Balance]]</f>
        <v>7.3330346166743995E-3</v>
      </c>
      <c r="E504" s="772">
        <f>_xlfn.IFNA(_xlfn.XLOOKUP(A504,INPUT_DATA!$CK$4:$CK$397,INPUT_DATA!$CN$4:$CN$397),0)</f>
        <v>4</v>
      </c>
      <c r="F504" s="771">
        <f>Top20Deb3738[[#This Row],[Nb of Loans]]/Top20Deb3738[[#Totals],[Nb of Loans]]</f>
        <v>7.0921985815602835E-3</v>
      </c>
    </row>
    <row r="505" spans="1:6">
      <c r="A505" s="394" t="s">
        <v>1085</v>
      </c>
      <c r="B505" s="389" t="s">
        <v>1207</v>
      </c>
      <c r="C505" s="390">
        <f>_xlfn.IFNA(_xlfn.XLOOKUP(A505,INPUT_DATA!$CK$4:$CK$397,INPUT_DATA!$CM$4:$CM$397),0)</f>
        <v>0</v>
      </c>
      <c r="D505" s="771">
        <f>Top20Deb3738[[#This Row],[Principal Outstanding Balance]]/Top20Deb3738[[#Totals],[Principal Outstanding Balance]]</f>
        <v>0</v>
      </c>
      <c r="E505" s="772">
        <f>_xlfn.IFNA(_xlfn.XLOOKUP(A505,INPUT_DATA!$CK$4:$CK$397,INPUT_DATA!$CN$4:$CN$397),0)</f>
        <v>0</v>
      </c>
      <c r="F505" s="771">
        <f>Top20Deb3738[[#This Row],[Nb of Loans]]/Top20Deb3738[[#Totals],[Nb of Loans]]</f>
        <v>0</v>
      </c>
    </row>
    <row r="506" spans="1:6">
      <c r="A506" s="394" t="s">
        <v>1086</v>
      </c>
      <c r="B506" s="389" t="s">
        <v>1208</v>
      </c>
      <c r="C506" s="390">
        <f>_xlfn.IFNA(_xlfn.XLOOKUP(A506,INPUT_DATA!$CK$4:$CK$397,INPUT_DATA!$CM$4:$CM$397),0)</f>
        <v>420000</v>
      </c>
      <c r="D506" s="771">
        <f>Top20Deb3738[[#This Row],[Principal Outstanding Balance]]/Top20Deb3738[[#Totals],[Principal Outstanding Balance]]</f>
        <v>1.380381089892576E-3</v>
      </c>
      <c r="E506" s="772">
        <f>_xlfn.IFNA(_xlfn.XLOOKUP(A506,INPUT_DATA!$CK$4:$CK$397,INPUT_DATA!$CN$4:$CN$397),0)</f>
        <v>1</v>
      </c>
      <c r="F506" s="771">
        <f>Top20Deb3738[[#This Row],[Nb of Loans]]/Top20Deb3738[[#Totals],[Nb of Loans]]</f>
        <v>1.7730496453900709E-3</v>
      </c>
    </row>
    <row r="507" spans="1:6">
      <c r="A507" s="394" t="s">
        <v>1087</v>
      </c>
      <c r="B507" s="389" t="s">
        <v>1209</v>
      </c>
      <c r="C507" s="390">
        <f>_xlfn.IFNA(_xlfn.XLOOKUP(A507,INPUT_DATA!$CK$4:$CK$397,INPUT_DATA!$CM$4:$CM$397),0)</f>
        <v>3101749</v>
      </c>
      <c r="D507" s="771">
        <f>Top20Deb3738[[#This Row],[Principal Outstanding Balance]]/Top20Deb3738[[#Totals],[Principal Outstanding Balance]]</f>
        <v>1.0194275393317161E-2</v>
      </c>
      <c r="E507" s="772">
        <f>_xlfn.IFNA(_xlfn.XLOOKUP(A507,INPUT_DATA!$CK$4:$CK$397,INPUT_DATA!$CN$4:$CN$397),0)</f>
        <v>9</v>
      </c>
      <c r="F507" s="771">
        <f>Top20Deb3738[[#This Row],[Nb of Loans]]/Top20Deb3738[[#Totals],[Nb of Loans]]</f>
        <v>1.5957446808510637E-2</v>
      </c>
    </row>
    <row r="508" spans="1:6">
      <c r="A508" s="394" t="s">
        <v>1088</v>
      </c>
      <c r="B508" s="389" t="s">
        <v>1210</v>
      </c>
      <c r="C508" s="390">
        <f>_xlfn.IFNA(_xlfn.XLOOKUP(A508,INPUT_DATA!$CK$4:$CK$397,INPUT_DATA!$CM$4:$CM$397),0)</f>
        <v>370000</v>
      </c>
      <c r="D508" s="391">
        <f>Top20Deb3738[[#This Row],[Principal Outstanding Balance]]/Top20Deb3738[[#Totals],[Principal Outstanding Balance]]</f>
        <v>1.2160500077625074E-3</v>
      </c>
      <c r="E508" s="392">
        <f>_xlfn.IFNA(_xlfn.XLOOKUP(A508,INPUT_DATA!$CK$4:$CK$397,INPUT_DATA!$CN$4:$CN$397),0)</f>
        <v>1</v>
      </c>
      <c r="F508" s="391">
        <f>Top20Deb3738[[#This Row],[Nb of Loans]]/Top20Deb3738[[#Totals],[Nb of Loans]]</f>
        <v>1.7730496453900709E-3</v>
      </c>
    </row>
    <row r="509" spans="1:6">
      <c r="A509" s="394" t="s">
        <v>1089</v>
      </c>
      <c r="B509" s="389" t="s">
        <v>1211</v>
      </c>
      <c r="C509" s="390">
        <f>_xlfn.IFNA(_xlfn.XLOOKUP(A509,INPUT_DATA!$CK$4:$CK$397,INPUT_DATA!$CM$4:$CM$397),0)</f>
        <v>9174087</v>
      </c>
      <c r="D509" s="391">
        <f>Top20Deb3738[[#This Row],[Principal Outstanding Balance]]/Top20Deb3738[[#Totals],[Principal Outstanding Balance]]</f>
        <v>3.0151752885307886E-2</v>
      </c>
      <c r="E509" s="392">
        <f>_xlfn.IFNA(_xlfn.XLOOKUP(A509,INPUT_DATA!$CK$4:$CK$397,INPUT_DATA!$CN$4:$CN$397),0)</f>
        <v>18</v>
      </c>
      <c r="F509" s="391">
        <f>Top20Deb3738[[#This Row],[Nb of Loans]]/Top20Deb3738[[#Totals],[Nb of Loans]]</f>
        <v>3.1914893617021274E-2</v>
      </c>
    </row>
    <row r="510" spans="1:6">
      <c r="A510" s="394" t="s">
        <v>1090</v>
      </c>
      <c r="B510" s="389" t="s">
        <v>1212</v>
      </c>
      <c r="C510" s="390">
        <f>_xlfn.IFNA(_xlfn.XLOOKUP(A510,INPUT_DATA!$CK$4:$CK$397,INPUT_DATA!$CM$4:$CM$397),0)</f>
        <v>5785975</v>
      </c>
      <c r="D510" s="391">
        <f>Top20Deb3738[[#This Row],[Principal Outstanding Balance]]/Top20Deb3738[[#Totals],[Principal Outstanding Balance]]</f>
        <v>1.9016310658550469E-2</v>
      </c>
      <c r="E510" s="392">
        <f>_xlfn.IFNA(_xlfn.XLOOKUP(A510,INPUT_DATA!$CK$4:$CK$397,INPUT_DATA!$CN$4:$CN$397),0)</f>
        <v>11</v>
      </c>
      <c r="F510" s="391">
        <f>Top20Deb3738[[#This Row],[Nb of Loans]]/Top20Deb3738[[#Totals],[Nb of Loans]]</f>
        <v>1.9503546099290781E-2</v>
      </c>
    </row>
    <row r="511" spans="1:6">
      <c r="A511" s="394" t="s">
        <v>1091</v>
      </c>
      <c r="B511" s="389" t="s">
        <v>1213</v>
      </c>
      <c r="C511" s="390">
        <f>_xlfn.IFNA(_xlfn.XLOOKUP(A511,INPUT_DATA!$CK$4:$CK$397,INPUT_DATA!$CM$4:$CM$397),0)</f>
        <v>4079300</v>
      </c>
      <c r="D511" s="391">
        <f>Top20Deb3738[[#This Row],[Principal Outstanding Balance]]/Top20Deb3738[[#Totals],[Principal Outstanding Balance]]</f>
        <v>1.3407115666663773E-2</v>
      </c>
      <c r="E511" s="392">
        <f>_xlfn.IFNA(_xlfn.XLOOKUP(A511,INPUT_DATA!$CK$4:$CK$397,INPUT_DATA!$CN$4:$CN$397),0)</f>
        <v>9</v>
      </c>
      <c r="F511" s="391">
        <f>Top20Deb3738[[#This Row],[Nb of Loans]]/Top20Deb3738[[#Totals],[Nb of Loans]]</f>
        <v>1.5957446808510637E-2</v>
      </c>
    </row>
    <row r="512" spans="1:6">
      <c r="A512" s="394" t="s">
        <v>1092</v>
      </c>
      <c r="B512" s="389" t="s">
        <v>1214</v>
      </c>
      <c r="C512" s="390">
        <f>_xlfn.IFNA(_xlfn.XLOOKUP(A512,INPUT_DATA!$CK$4:$CK$397,INPUT_DATA!$CM$4:$CM$397),0)</f>
        <v>200000</v>
      </c>
      <c r="D512" s="391">
        <f>Top20Deb3738[[#This Row],[Principal Outstanding Balance]]/Top20Deb3738[[#Totals],[Principal Outstanding Balance]]</f>
        <v>6.5732432852027428E-4</v>
      </c>
      <c r="E512" s="392">
        <f>_xlfn.IFNA(_xlfn.XLOOKUP(A512,INPUT_DATA!$CK$4:$CK$397,INPUT_DATA!$CN$4:$CN$397),0)</f>
        <v>1</v>
      </c>
      <c r="F512" s="391">
        <f>Top20Deb3738[[#This Row],[Nb of Loans]]/Top20Deb3738[[#Totals],[Nb of Loans]]</f>
        <v>1.7730496453900709E-3</v>
      </c>
    </row>
    <row r="513" spans="1:8">
      <c r="A513" s="394" t="s">
        <v>1093</v>
      </c>
      <c r="B513" s="389" t="s">
        <v>1215</v>
      </c>
      <c r="C513" s="390">
        <f>_xlfn.IFNA(_xlfn.XLOOKUP(A513,INPUT_DATA!$CK$4:$CK$397,INPUT_DATA!$CM$4:$CM$397),0)</f>
        <v>0</v>
      </c>
      <c r="D513" s="391">
        <f>Top20Deb3738[[#This Row],[Principal Outstanding Balance]]/Top20Deb3738[[#Totals],[Principal Outstanding Balance]]</f>
        <v>0</v>
      </c>
      <c r="E513" s="392">
        <f>_xlfn.IFNA(_xlfn.XLOOKUP(A513,INPUT_DATA!$CK$4:$CK$397,INPUT_DATA!$CN$4:$CN$397),0)</f>
        <v>0</v>
      </c>
      <c r="F513" s="391">
        <f>Top20Deb3738[[#This Row],[Nb of Loans]]/Top20Deb3738[[#Totals],[Nb of Loans]]</f>
        <v>0</v>
      </c>
    </row>
    <row r="514" spans="1:8">
      <c r="A514" s="394" t="s">
        <v>1094</v>
      </c>
      <c r="B514" s="389" t="s">
        <v>1216</v>
      </c>
      <c r="C514" s="390">
        <f>_xlfn.IFNA(_xlfn.XLOOKUP(A514,INPUT_DATA!$CK$4:$CK$397,INPUT_DATA!$CM$4:$CM$397),0)</f>
        <v>14889750</v>
      </c>
      <c r="D514" s="391">
        <f>Top20Deb3738[[#This Row],[Principal Outstanding Balance]]/Top20Deb3738[[#Totals],[Principal Outstanding Balance]]</f>
        <v>4.8936974602923768E-2</v>
      </c>
      <c r="E514" s="392">
        <f>_xlfn.IFNA(_xlfn.XLOOKUP(A514,INPUT_DATA!$CK$4:$CK$397,INPUT_DATA!$CN$4:$CN$397),0)</f>
        <v>33</v>
      </c>
      <c r="F514" s="391">
        <f>Top20Deb3738[[#This Row],[Nb of Loans]]/Top20Deb3738[[#Totals],[Nb of Loans]]</f>
        <v>5.8510638297872342E-2</v>
      </c>
    </row>
    <row r="515" spans="1:8">
      <c r="A515" s="394" t="s">
        <v>1095</v>
      </c>
      <c r="B515" s="389" t="s">
        <v>1217</v>
      </c>
      <c r="C515" s="390">
        <f>_xlfn.IFNA(_xlfn.XLOOKUP(A515,INPUT_DATA!$CK$4:$CK$397,INPUT_DATA!$CM$4:$CM$397),0)</f>
        <v>3550421</v>
      </c>
      <c r="D515" s="391">
        <f>Top20Deb3738[[#This Row],[Principal Outstanding Balance]]/Top20Deb3738[[#Totals],[Principal Outstanding Balance]]</f>
        <v>1.1668890498946403E-2</v>
      </c>
      <c r="E515" s="392">
        <f>_xlfn.IFNA(_xlfn.XLOOKUP(A515,INPUT_DATA!$CK$4:$CK$397,INPUT_DATA!$CN$4:$CN$397),0)</f>
        <v>9</v>
      </c>
      <c r="F515" s="391">
        <f>Top20Deb3738[[#This Row],[Nb of Loans]]/Top20Deb3738[[#Totals],[Nb of Loans]]</f>
        <v>1.5957446808510637E-2</v>
      </c>
    </row>
    <row r="516" spans="1:8">
      <c r="A516" s="394" t="s">
        <v>1096</v>
      </c>
      <c r="B516" s="389" t="s">
        <v>1218</v>
      </c>
      <c r="C516" s="390">
        <f>_xlfn.IFNA(_xlfn.XLOOKUP(A516,INPUT_DATA!$CK$4:$CK$397,INPUT_DATA!$CM$4:$CM$397),0)</f>
        <v>3335482</v>
      </c>
      <c r="D516" s="391">
        <f>Top20Deb3738[[#This Row],[Principal Outstanding Balance]]/Top20Deb3738[[#Totals],[Principal Outstanding Balance]]</f>
        <v>1.0962467329707307E-2</v>
      </c>
      <c r="E516" s="392">
        <f>_xlfn.IFNA(_xlfn.XLOOKUP(A516,INPUT_DATA!$CK$4:$CK$397,INPUT_DATA!$CN$4:$CN$397),0)</f>
        <v>7</v>
      </c>
      <c r="F516" s="391">
        <f>Top20Deb3738[[#This Row],[Nb of Loans]]/Top20Deb3738[[#Totals],[Nb of Loans]]</f>
        <v>1.2411347517730497E-2</v>
      </c>
    </row>
    <row r="517" spans="1:8">
      <c r="A517" s="394" t="s">
        <v>1097</v>
      </c>
      <c r="B517" s="389" t="s">
        <v>1219</v>
      </c>
      <c r="C517" s="390">
        <f>_xlfn.IFNA(_xlfn.XLOOKUP(A517,INPUT_DATA!$CK$4:$CK$397,INPUT_DATA!$CM$4:$CM$397),0)</f>
        <v>923000</v>
      </c>
      <c r="D517" s="391">
        <f>Top20Deb3738[[#This Row],[Principal Outstanding Balance]]/Top20Deb3738[[#Totals],[Principal Outstanding Balance]]</f>
        <v>3.0335517761210656E-3</v>
      </c>
      <c r="E517" s="392">
        <f>_xlfn.IFNA(_xlfn.XLOOKUP(A517,INPUT_DATA!$CK$4:$CK$397,INPUT_DATA!$CN$4:$CN$397),0)</f>
        <v>2</v>
      </c>
      <c r="F517" s="391">
        <f>Top20Deb3738[[#This Row],[Nb of Loans]]/Top20Deb3738[[#Totals],[Nb of Loans]]</f>
        <v>3.5460992907801418E-3</v>
      </c>
    </row>
    <row r="518" spans="1:8">
      <c r="A518" s="394" t="s">
        <v>1098</v>
      </c>
      <c r="B518" s="389" t="s">
        <v>1220</v>
      </c>
      <c r="C518" s="390">
        <f>_xlfn.IFNA(_xlfn.XLOOKUP(A518,INPUT_DATA!$CK$4:$CK$397,INPUT_DATA!$CM$4:$CM$397),0)</f>
        <v>0</v>
      </c>
      <c r="D518" s="391">
        <f>Top20Deb3738[[#This Row],[Principal Outstanding Balance]]/Top20Deb3738[[#Totals],[Principal Outstanding Balance]]</f>
        <v>0</v>
      </c>
      <c r="E518" s="392">
        <f>_xlfn.IFNA(_xlfn.XLOOKUP(A518,INPUT_DATA!$CK$4:$CK$397,INPUT_DATA!$CN$4:$CN$397),0)</f>
        <v>0</v>
      </c>
      <c r="F518" s="391">
        <f>Top20Deb3738[[#This Row],[Nb of Loans]]/Top20Deb3738[[#Totals],[Nb of Loans]]</f>
        <v>0</v>
      </c>
    </row>
    <row r="519" spans="1:8">
      <c r="A519" s="394" t="s">
        <v>1099</v>
      </c>
      <c r="B519" s="389" t="s">
        <v>1221</v>
      </c>
      <c r="C519" s="390">
        <f>_xlfn.IFNA(_xlfn.XLOOKUP(A519,INPUT_DATA!$CK$4:$CK$397,INPUT_DATA!$CM$4:$CM$397),0)</f>
        <v>0</v>
      </c>
      <c r="D519" s="391">
        <f>Top20Deb3738[[#This Row],[Principal Outstanding Balance]]/Top20Deb3738[[#Totals],[Principal Outstanding Balance]]</f>
        <v>0</v>
      </c>
      <c r="E519" s="392">
        <f>_xlfn.IFNA(_xlfn.XLOOKUP(A519,INPUT_DATA!$CK$4:$CK$397,INPUT_DATA!$CN$4:$CN$397),0)</f>
        <v>0</v>
      </c>
      <c r="F519" s="391">
        <f>Top20Deb3738[[#This Row],[Nb of Loans]]/Top20Deb3738[[#Totals],[Nb of Loans]]</f>
        <v>0</v>
      </c>
    </row>
    <row r="520" spans="1:8">
      <c r="A520" s="394" t="s">
        <v>517</v>
      </c>
      <c r="B520" s="389" t="s">
        <v>1222</v>
      </c>
      <c r="C520" s="390">
        <f>_xlfn.IFNA(_xlfn.XLOOKUP(A520,INPUT_DATA!$CK$4:$CK$397,INPUT_DATA!$CM$4:$CM$397),0)</f>
        <v>0</v>
      </c>
      <c r="D520" s="391">
        <f>Top20Deb3738[[#This Row],[Principal Outstanding Balance]]/Top20Deb3738[[#Totals],[Principal Outstanding Balance]]</f>
        <v>0</v>
      </c>
      <c r="E520" s="392">
        <f>_xlfn.IFNA(_xlfn.XLOOKUP(A520,INPUT_DATA!$CK$4:$CK$397,INPUT_DATA!$CN$4:$CN$397),0)</f>
        <v>0</v>
      </c>
      <c r="F520" s="391">
        <f>Top20Deb3738[[#This Row],[Nb of Loans]]/Top20Deb3738[[#Totals],[Nb of Loans]]</f>
        <v>0</v>
      </c>
    </row>
    <row r="521" spans="1:8">
      <c r="A521" s="394" t="s">
        <v>518</v>
      </c>
      <c r="B521" s="389" t="s">
        <v>1223</v>
      </c>
      <c r="C521" s="390">
        <f>_xlfn.IFNA(_xlfn.XLOOKUP(A521,INPUT_DATA!$CK$4:$CK$397,INPUT_DATA!$CM$4:$CM$397),0)</f>
        <v>0</v>
      </c>
      <c r="D521" s="391">
        <f>Top20Deb3738[[#This Row],[Principal Outstanding Balance]]/Top20Deb3738[[#Totals],[Principal Outstanding Balance]]</f>
        <v>0</v>
      </c>
      <c r="E521" s="392">
        <f>_xlfn.IFNA(_xlfn.XLOOKUP(A521,INPUT_DATA!$CK$4:$CK$397,INPUT_DATA!$CN$4:$CN$397),0)</f>
        <v>0</v>
      </c>
      <c r="F521" s="391">
        <f>Top20Deb3738[[#This Row],[Nb of Loans]]/Top20Deb3738[[#Totals],[Nb of Loans]]</f>
        <v>0</v>
      </c>
    </row>
    <row r="522" spans="1:8">
      <c r="A522" s="394" t="s">
        <v>519</v>
      </c>
      <c r="B522" s="389" t="s">
        <v>1224</v>
      </c>
      <c r="C522" s="390">
        <f>_xlfn.IFNA(_xlfn.XLOOKUP(A522,INPUT_DATA!$CK$4:$CK$397,INPUT_DATA!$CM$4:$CM$397),0)</f>
        <v>0</v>
      </c>
      <c r="D522" s="391">
        <f>Top20Deb3738[[#This Row],[Principal Outstanding Balance]]/Top20Deb3738[[#Totals],[Principal Outstanding Balance]]</f>
        <v>0</v>
      </c>
      <c r="E522" s="392">
        <f>_xlfn.IFNA(_xlfn.XLOOKUP(A522,INPUT_DATA!$CK$4:$CK$397,INPUT_DATA!$CN$4:$CN$397),0)</f>
        <v>0</v>
      </c>
      <c r="F522" s="391">
        <f>Top20Deb3738[[#This Row],[Nb of Loans]]/Top20Deb3738[[#Totals],[Nb of Loans]]</f>
        <v>0</v>
      </c>
    </row>
    <row r="523" spans="1:8">
      <c r="A523" s="394" t="s">
        <v>1100</v>
      </c>
      <c r="B523" s="389" t="s">
        <v>1225</v>
      </c>
      <c r="C523" s="390">
        <f>_xlfn.IFNA(_xlfn.XLOOKUP(A523,INPUT_DATA!$CK$4:$CK$397,INPUT_DATA!$CM$4:$CM$397),0)</f>
        <v>0</v>
      </c>
      <c r="D523" s="391">
        <f>Top20Deb3738[[#This Row],[Principal Outstanding Balance]]/Top20Deb3738[[#Totals],[Principal Outstanding Balance]]</f>
        <v>0</v>
      </c>
      <c r="E523" s="392">
        <f>_xlfn.IFNA(_xlfn.XLOOKUP(A523,INPUT_DATA!$CK$4:$CK$397,INPUT_DATA!$CN$4:$CN$397),0)</f>
        <v>0</v>
      </c>
      <c r="F523" s="391">
        <f>Top20Deb3738[[#This Row],[Nb of Loans]]/Top20Deb3738[[#Totals],[Nb of Loans]]</f>
        <v>0</v>
      </c>
    </row>
    <row r="524" spans="1:8">
      <c r="A524" s="394" t="s">
        <v>1101</v>
      </c>
      <c r="B524" s="389" t="s">
        <v>1226</v>
      </c>
      <c r="C524" s="390">
        <f>_xlfn.IFNA(_xlfn.XLOOKUP(A524,INPUT_DATA!$CK$4:$CK$397,INPUT_DATA!$CM$4:$CM$397),0)</f>
        <v>0</v>
      </c>
      <c r="D524" s="391">
        <f>Top20Deb3738[[#This Row],[Principal Outstanding Balance]]/Top20Deb3738[[#Totals],[Principal Outstanding Balance]]</f>
        <v>0</v>
      </c>
      <c r="E524" s="392">
        <f>_xlfn.IFNA(_xlfn.XLOOKUP(A524,INPUT_DATA!$CK$4:$CK$397,INPUT_DATA!$CN$4:$CN$397),0)</f>
        <v>0</v>
      </c>
      <c r="F524" s="391">
        <f>Top20Deb3738[[#This Row],[Nb of Loans]]/Top20Deb3738[[#Totals],[Nb of Loans]]</f>
        <v>0</v>
      </c>
    </row>
    <row r="525" spans="1:8">
      <c r="A525" s="394" t="s">
        <v>1102</v>
      </c>
      <c r="B525" s="389" t="s">
        <v>1125</v>
      </c>
      <c r="C525" s="390">
        <f>_xlfn.IFNA(_xlfn.XLOOKUP(A525,INPUT_DATA!$CK$4:$CK$397,INPUT_DATA!$CM$4:$CM$397),0)</f>
        <v>0</v>
      </c>
      <c r="D525" s="391">
        <f>Top20Deb3738[[#This Row],[Principal Outstanding Balance]]/Top20Deb3738[[#Totals],[Principal Outstanding Balance]]</f>
        <v>0</v>
      </c>
      <c r="E525" s="392">
        <f>_xlfn.IFNA(_xlfn.XLOOKUP(A525,INPUT_DATA!$CK$4:$CK$397,INPUT_DATA!$CN$4:$CN$397),0)</f>
        <v>0</v>
      </c>
      <c r="F525" s="391">
        <f>Top20Deb3738[[#This Row],[Nb of Loans]]/Top20Deb3738[[#Totals],[Nb of Loans]]</f>
        <v>0</v>
      </c>
    </row>
    <row r="526" spans="1:8">
      <c r="A526" s="394"/>
      <c r="B526" s="683" t="s">
        <v>2</v>
      </c>
      <c r="C526" s="768">
        <f>SUBTOTAL(109,Top20Deb3738[Principal Outstanding Balance])</f>
        <v>304263803</v>
      </c>
      <c r="D526" s="1095">
        <f>SUBTOTAL(109,Top20Deb3738[% of Total (Amount)])</f>
        <v>0.99999999999999978</v>
      </c>
      <c r="E526" s="1096">
        <f>SUBTOTAL(109,Top20Deb3738[Nb of Loans])</f>
        <v>564</v>
      </c>
      <c r="F526" s="1095">
        <f>SUBTOTAL(109,Top20Deb3738[% of Total (Number)])</f>
        <v>0.99999999999999978</v>
      </c>
    </row>
    <row r="527" spans="1:8">
      <c r="A527" s="394"/>
      <c r="B527" s="389"/>
      <c r="C527" s="390"/>
      <c r="D527" s="391"/>
      <c r="E527" s="392"/>
      <c r="F527" s="391"/>
      <c r="H527" s="454" t="s">
        <v>650</v>
      </c>
    </row>
  </sheetData>
  <mergeCells count="1">
    <mergeCell ref="B25:C25"/>
  </mergeCells>
  <phoneticPr fontId="165"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33">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9:D144">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50:D162">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8:D171">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7:D187">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93:D203">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9:D219">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25:D235">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41:D251">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7:D261">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7:D271">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7:D286">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92:D311">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7:D418">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24:D525">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35" location="'Breakdown Statistics'!A1" display="&gt;&gt; Up" xr:uid="{F5B6ED42-F957-47DF-8A9B-7A3C27B5ABF5}"/>
    <hyperlink ref="H146" location="'Breakdown Statistics'!A1" display="&gt;&gt; Up" xr:uid="{61A990D2-411D-4F31-B795-DC6EC101FFD9}"/>
    <hyperlink ref="H164" location="'Breakdown Statistics'!A1" display="&gt;&gt; Up" xr:uid="{087AC763-B63A-4BFB-B8ED-B6A828B38CA7}"/>
    <hyperlink ref="H205" location="'Breakdown Statistics'!A1" display="&gt;&gt; Up" xr:uid="{387663DC-248E-4981-942A-EF089F03C588}"/>
    <hyperlink ref="H221" location="'Breakdown Statistics'!A1" display="&gt;&gt; Up" xr:uid="{8A7F87E9-4829-47D9-A794-06F5898B965C}"/>
    <hyperlink ref="H263" location="'Breakdown Statistics'!A1" display="&gt;&gt; Up" xr:uid="{8E5F2C16-0137-4B89-A772-1EA20054A515}"/>
    <hyperlink ref="H313"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73" location="'Breakdown Statistics'!A1" display="&gt;&gt; Up" xr:uid="{024885C4-D633-4380-99FE-5DA959756E3D}"/>
    <hyperlink ref="H189" location="'Breakdown Statistics'!A1" display="&gt;&gt; Up" xr:uid="{9602A376-89BD-4CD5-AC3A-127BA86FC166}"/>
    <hyperlink ref="H237" location="'Breakdown Statistics'!A1" display="&gt;&gt; Up" xr:uid="{91BB1FA3-8BBF-43D5-85D4-A76CD1EBFC6B}"/>
    <hyperlink ref="H253" location="'07 - Breakdown Statistics'!A1" display="&gt;&gt; Up" xr:uid="{C0989267-0940-4752-A3CA-AA9DCE7849CA}"/>
    <hyperlink ref="H273" location="'Breakdown Statistics'!A1" display="&gt;&gt; Up" xr:uid="{3526D354-2B59-4E4A-81AE-B15E037E922C}"/>
    <hyperlink ref="H288" location="'Breakdown Statistics'!A1" display="&gt;&gt; Up" xr:uid="{2B4F04F5-5C83-4270-A027-38665E2A56C3}"/>
    <hyperlink ref="H420" location="'Breakdown Statistics'!A1" display="&gt;&gt; Up" xr:uid="{36071401-06A1-4291-B80A-1A232670A9C8}"/>
    <hyperlink ref="H527"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62"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D106:D133</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D139:D144</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D150:D162</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D168:D171</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D177:D187</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D193:D203</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D209:D219</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D225:D235</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D241:D251</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D257:D261</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D267:D271</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D277:D286</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D292:D311</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D317:D418</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D424:D525</xm:sqref>
        </x14:conditionalFormatting>
      </x14:conditionalFormattings>
    </ext>
  </extLst>
</worksheet>
</file>

<file path=docMetadata/LabelInfo.xml><?xml version="1.0" encoding="utf-8"?>
<clbl:labelList xmlns:clbl="http://schemas.microsoft.com/office/2020/mipLabelMetadata">
  <clbl:label id="{3affaf3a-87f3-4eb5-b073-6232a8c0186e}"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Revolving Target Calculation </vt:lpstr>
      <vt:lpstr>Neolink</vt:lpstr>
      <vt:lpstr>Sheet1</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Bienta N'DIAYE</cp:lastModifiedBy>
  <cp:lastPrinted>2021-10-06T07:00:20Z</cp:lastPrinted>
  <dcterms:created xsi:type="dcterms:W3CDTF">2009-08-06T14:40:37Z</dcterms:created>
  <dcterms:modified xsi:type="dcterms:W3CDTF">2026-07-20T15:07:30Z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ffaf3a-87f3-4eb5-b073-6232a8c0186e_Enabled">
    <vt:lpwstr>true</vt:lpwstr>
  </property>
  <property fmtid="{D5CDD505-2E9C-101B-9397-08002B2CF9AE}" pid="3" name="MSIP_Label_3affaf3a-87f3-4eb5-b073-6232a8c0186e_SetDate">
    <vt:lpwstr>2025-07-23T13:20:45Z</vt:lpwstr>
  </property>
  <property fmtid="{D5CDD505-2E9C-101B-9397-08002B2CF9AE}" pid="4" name="MSIP_Label_3affaf3a-87f3-4eb5-b073-6232a8c0186e_Method">
    <vt:lpwstr>Privileged</vt:lpwstr>
  </property>
  <property fmtid="{D5CDD505-2E9C-101B-9397-08002B2CF9AE}" pid="5" name="MSIP_Label_3affaf3a-87f3-4eb5-b073-6232a8c0186e_Name">
    <vt:lpwstr>Internal Label</vt:lpwstr>
  </property>
  <property fmtid="{D5CDD505-2E9C-101B-9397-08002B2CF9AE}" pid="6" name="MSIP_Label_3affaf3a-87f3-4eb5-b073-6232a8c0186e_SiteId">
    <vt:lpwstr>b03dec2e-a78d-4e2d-8ef8-6293fb4a768a</vt:lpwstr>
  </property>
  <property fmtid="{D5CDD505-2E9C-101B-9397-08002B2CF9AE}" pid="7" name="MSIP_Label_3affaf3a-87f3-4eb5-b073-6232a8c0186e_ActionId">
    <vt:lpwstr>fffa3037-eac6-4e70-9268-f89452327489</vt:lpwstr>
  </property>
  <property fmtid="{D5CDD505-2E9C-101B-9397-08002B2CF9AE}" pid="8" name="MSIP_Label_3affaf3a-87f3-4eb5-b073-6232a8c0186e_ContentBits">
    <vt:lpwstr>0</vt:lpwstr>
  </property>
  <property fmtid="{D5CDD505-2E9C-101B-9397-08002B2CF9AE}" pid="9" name="MSIP_Label_3affaf3a-87f3-4eb5-b073-6232a8c0186e_Tag">
    <vt:lpwstr>10, 0, 1, 1</vt:lpwstr>
  </property>
</Properties>
</file>